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Override2.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1.xml" ContentType="application/vnd.openxmlformats-officedocument.themeOverrid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worksheets/sheet1.xml" ContentType="application/vnd.openxmlformats-officedocument.spreadsheetml.worksheet+xml"/>
  <Override PartName="/xl/worksheets/sheet19.xml" ContentType="application/vnd.openxmlformats-officedocument.spreadsheetml.worksheet+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worksheets/sheet13.xml" ContentType="application/vnd.openxmlformats-officedocument.spreadsheetml.worksheet+xml"/>
  <Override PartName="/xl/drawings/drawing1.xml" ContentType="application/vnd.openxmlformats-officedocument.drawing+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20.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worksheets/sheet2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externalLinks/externalLink3.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300" tabRatio="897"/>
  </bookViews>
  <sheets>
    <sheet name="Outline and Notes" sheetId="39" r:id="rId1"/>
    <sheet name="1. Energy Efficiency" sheetId="32" r:id="rId2"/>
    <sheet name="2. Demand Response" sheetId="33" r:id="rId3"/>
    <sheet name="3. Incremental Resource Cost" sheetId="31" r:id="rId4"/>
    <sheet name="Incremental Cost Sum - test v2" sheetId="12" state="hidden" r:id="rId5"/>
    <sheet name="DER Resources" sheetId="5" state="hidden" r:id="rId6"/>
    <sheet name="Supporting - Grid Mod" sheetId="2" state="hidden" r:id="rId7"/>
    <sheet name="4A. Supp-DER Enab+ITGM-RR" sheetId="27" r:id="rId8"/>
    <sheet name="4B. Supp - GridMod RR" sheetId="13" r:id="rId9"/>
    <sheet name="Supporting - DERs" sheetId="7" state="hidden" r:id="rId10"/>
    <sheet name="Supporting - Education" sheetId="3" state="hidden" r:id="rId11"/>
    <sheet name="Supporting Administration" sheetId="4" state="hidden" r:id="rId12"/>
    <sheet name="4C. Enablement and Grid Mod Bud" sheetId="38" r:id="rId13"/>
    <sheet name="5. Comm and Education Costs" sheetId="28" r:id="rId14"/>
    <sheet name="6. Admin" sheetId="29" r:id="rId15"/>
    <sheet name="7. Incremental Cost" sheetId="9" r:id="rId16"/>
    <sheet name="8. 2020 CBR" sheetId="23" r:id="rId17"/>
    <sheet name="9. Bill Impact Estimate" sheetId="30" r:id="rId18"/>
    <sheet name="Chart and Display -&gt;" sheetId="40" r:id="rId19"/>
    <sheet name="Inc Cost Sum for Display" sheetId="37" r:id="rId20"/>
    <sheet name="2% Inc Cost Sum Charts" sheetId="16" r:id="rId21"/>
  </sheets>
  <externalReferences>
    <externalReference r:id="rId22"/>
    <externalReference r:id="rId23"/>
    <externalReference r:id="rId24"/>
    <externalReference r:id="rId25"/>
    <externalReference r:id="rId26"/>
  </externalReferences>
  <definedNames>
    <definedName name="_Fill" hidden="1">#REF!</definedName>
    <definedName name="_Order1">255</definedName>
    <definedName name="_Order2">255</definedName>
    <definedName name="AAAAAAAAAAAAAA" hidden="1">{#N/A,#N/A,FALSE,"Coversheet";#N/A,#N/A,FALSE,"QA"}</definedName>
    <definedName name="AccessDatabase">"I:\COMTREL\FINICLE\TradeSummary.mdb"</definedName>
    <definedName name="AfterTaxWACC">[1]Assumptions!$E$18</definedName>
    <definedName name="AS2DocOpenMode">"AS2DocumentEdit"</definedName>
    <definedName name="AuroraBaseYear">'[2]Aurora_New Resources'!$C$2</definedName>
    <definedName name="b" hidden="1">{#N/A,#N/A,FALSE,"Coversheet";#N/A,#N/A,FALSE,"QA"}</definedName>
    <definedName name="BaseYear">'[2]Thermal Options'!$H$2</definedName>
    <definedName name="BD">'8. 2020 CBR'!$DC$12</definedName>
    <definedName name="CBWorkbookPriority" hidden="1">-1894858854</definedName>
    <definedName name="ConversionFactor">[2]Assumptions!$B$13</definedName>
    <definedName name="DELETE01" hidden="1">{#N/A,#N/A,FALSE,"Coversheet";#N/A,#N/A,FALSE,"QA"}</definedName>
    <definedName name="DELETE02" hidden="1">{#N/A,#N/A,FALSE,"Schedule F";#N/A,#N/A,FALSE,"Schedule G"}</definedName>
    <definedName name="Delete06" hidden="1">{#N/A,#N/A,FALSE,"Coversheet";#N/A,#N/A,FALSE,"QA"}</definedName>
    <definedName name="Delete1" hidden="1">{#N/A,#N/A,FALSE,"Coversheet";#N/A,#N/A,FALSE,"QA"}</definedName>
    <definedName name="DOCKET">'8. 2020 CBR'!$A$7</definedName>
    <definedName name="FedTaxRate">[2]Assumptions!$B$15</definedName>
    <definedName name="FF">'8. 2020 CBR'!$DC$13</definedName>
    <definedName name="FIT">'8. 2020 CBR'!$DB$19</definedName>
    <definedName name="GTInsRate">[2]Assumptions!$B$17</definedName>
    <definedName name="HTML_CodePage">1252</definedName>
    <definedName name="HTML_Control">{"'3P'!$A$1:$L$58"}</definedName>
    <definedName name="HTML_Description">""</definedName>
    <definedName name="HTML_Email">""</definedName>
    <definedName name="HTML_Header">"Attachment 3P"</definedName>
    <definedName name="HTML_LastUpdate">"09/20/2000"</definedName>
    <definedName name="HTML_LineAfter">FALSE</definedName>
    <definedName name="HTML_LineBefore">FALSE</definedName>
    <definedName name="HTML_Name">"BV"</definedName>
    <definedName name="HTML_OBDlg2">TRUE</definedName>
    <definedName name="HTML_OBDlg4">TRUE</definedName>
    <definedName name="HTML_OS">0</definedName>
    <definedName name="HTML_PathFile">"E:\BV Users_D\a50 - Design Engineering\50.2000, Guidelines\MyHTML.htm"</definedName>
    <definedName name="HTML_Title">"51_2101, a3"</definedName>
    <definedName name="inctaxrate">0.4</definedName>
    <definedName name="InsRate">[2]Assumptions!$B$12</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NvsASD">"V1999-02-28"</definedName>
    <definedName name="NvsAutoDrillOk">"VN"</definedName>
    <definedName name="NvsElapsedTime">0.00604305555316387</definedName>
    <definedName name="NvsEndTime">36245.5384840278</definedName>
    <definedName name="NvsInstSpec">"%,FPPL_SUPP_RES_CTR,TPPL_RPTD_SRC,NFOSSIL"</definedName>
    <definedName name="NvsLayoutType">"M3"</definedName>
    <definedName name="NvsNplSpec">"%,X,RNF..,CZF.."</definedName>
    <definedName name="NvsPanelEffdt">"V1900-01-01"</definedName>
    <definedName name="NvsPanelSetid">"VSHARE"</definedName>
    <definedName name="NvsReqBU">"V10000"</definedName>
    <definedName name="NvsReqBUOnly">"VN"</definedName>
    <definedName name="NvsTransLed">"VN"</definedName>
    <definedName name="NvsTreeASD">"V1999-02-28"</definedName>
    <definedName name="NvsValTbl.ACCOUNT">"GL_ACCOUNT_TBL"</definedName>
    <definedName name="NvsValTbl.BUSINESS_UNIT">"BUS_UNIT_TBL_GL"</definedName>
    <definedName name="NvsValTbl.PPL_ACTIVITY">"PPL_ACT_ALL_VW"</definedName>
    <definedName name="NvsValTbl.PPL_CONS_RES_CTR">"PPL_CRC_ALL_VW"</definedName>
    <definedName name="NvsValTbl.PRODUCT">"PROD_ALL_VW"</definedName>
    <definedName name="NvsValTbl.SCENARIO">"BD_SCENARIO_TBL"</definedName>
    <definedName name="NvsValTbl.STATISTICS_CODE">"STAT_TBL"</definedName>
    <definedName name="NvsValTbl.U_GL_RES_GROUP">"U_SUM_LEDGER"</definedName>
    <definedName name="NvsValTbl.U_GL_RESOURCE">"U_GLRESOURCE_VW"</definedName>
    <definedName name="NvsValTbl.U_PROCESS">"U_PROCESS_AL_VW"</definedName>
    <definedName name="_xlnm.Print_Area" localSheetId="12">'4C. Enablement and Grid Mod Bud'!$A$1:$M$339</definedName>
    <definedName name="_xlnm.Print_Area" localSheetId="15">'7. Incremental Cost'!$A$1:$M$24</definedName>
    <definedName name="PropTaxRate">[2]Assumptions!$B$10</definedName>
    <definedName name="PropTaxRatio">[2]Assumptions!$B$11</definedName>
    <definedName name="PSPL">'8. 2020 CBR'!$A$4</definedName>
    <definedName name="RENAME" hidden="1">#REF!</definedName>
    <definedName name="RENAME2" hidden="1">#REF!</definedName>
    <definedName name="RevBaseYear">'[3]March Point2'!$M$9</definedName>
    <definedName name="RevBaseYear2">'[3]March Point2'!$M$10</definedName>
    <definedName name="RevBaseYear3">'[3]March Point2'!$M$11</definedName>
    <definedName name="solver_eval" hidden="1">0</definedName>
    <definedName name="solver_ntri" hidden="1">1000</definedName>
    <definedName name="solver_rsmp" hidden="1">1</definedName>
    <definedName name="solver_seed" hidden="1">0</definedName>
    <definedName name="StartDate">[1]Assumptions!$B$7</definedName>
    <definedName name="TEst" hidden="1">{#N/A,#N/A,FALSE,"Coversheet";#N/A,#N/A,FALSE,"QA"}</definedName>
    <definedName name="TESTYEAR">'8. 2020 CBR'!$A$6</definedName>
    <definedName name="TotalREC20">[4]LPProblem!$AA$32</definedName>
    <definedName name="UNI_FILT_OFFSPEC">2</definedName>
    <definedName name="UNI_FILT_ONSPEC">1</definedName>
    <definedName name="UNI_NOTHING">0</definedName>
    <definedName name="UNI_PRES_FILTER">1</definedName>
    <definedName name="UNI_PRES_HEADINGS">16</definedName>
    <definedName name="UNI_PRES_INVERT">2</definedName>
    <definedName name="UNI_PRES_MATRIX">4</definedName>
    <definedName name="UNI_PRES_MERGED">8</definedName>
    <definedName name="UNI_PRES_OUTLIERS">32</definedName>
    <definedName name="UNI_RET_ATTRIB">64</definedName>
    <definedName name="UNI_RET_CONF">32</definedName>
    <definedName name="UNI_RET_DESC">4</definedName>
    <definedName name="UNI_RET_EQUIP">1</definedName>
    <definedName name="UNI_RET_OFFSPEC">512</definedName>
    <definedName name="UNI_RET_ONSPEC">256</definedName>
    <definedName name="UNI_RET_PROP">32</definedName>
    <definedName name="UNI_RET_PROPDESC">64</definedName>
    <definedName name="UNI_RET_SMPLPNT">4</definedName>
    <definedName name="UNI_RET_SPECMAX">2048</definedName>
    <definedName name="UNI_RET_SPECMIN">1024</definedName>
    <definedName name="UNI_RET_TAG">1</definedName>
    <definedName name="UNI_RET_TESTTIME">128</definedName>
    <definedName name="UNI_RET_TIME">8</definedName>
    <definedName name="UNI_RET_UNIT">2</definedName>
    <definedName name="UNI_RET_VALUE">16</definedName>
    <definedName name="UTG">'8. 2020 CBR'!$DB$14</definedName>
    <definedName name="UTN">'8. 2020 CBR'!$DC$14</definedName>
    <definedName name="VOMesc">'[2]Aurora_New Resources'!$C$4</definedName>
    <definedName name="w" hidden="1">#REF!</definedName>
    <definedName name="wnp3ex_wkly_vect_input">[5]WNP3_BPA_Exchange!$D$75:$AR$243</definedName>
    <definedName name="wrn.Fundamental." hidden="1">{#N/A,#N/A,TRUE,"CoverPage";#N/A,#N/A,TRUE,"Gas";#N/A,#N/A,TRUE,"Power";#N/A,#N/A,TRUE,"Historical DJ Mthly Prices"}</definedName>
    <definedName name="wrn.Incentive._.Overhead." hidden="1">{#N/A,#N/A,FALSE,"Coversheet";#N/A,#N/A,FALSE,"QA"}</definedName>
    <definedName name="wrn.limit_reports." hidden="1">{#N/A,#N/A,FALSE,"Schedule F";#N/A,#N/A,FALSE,"Schedule G"}</definedName>
    <definedName name="wrn.MARGIN_WO_QTR." hidden="1">{#N/A,#N/A,FALSE,"Month ";#N/A,#N/A,FALSE,"YTD";#N/A,#N/A,FALSE,"12 mo ended"}</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292" i="33" l="1"/>
  <c r="P292" i="33"/>
  <c r="O292" i="33"/>
  <c r="Q291" i="33"/>
  <c r="P291" i="33"/>
  <c r="O291" i="33"/>
  <c r="N292" i="33"/>
  <c r="N293" i="33" s="1"/>
  <c r="M292" i="33"/>
  <c r="M293" i="33" s="1"/>
  <c r="L292" i="33"/>
  <c r="K292" i="33"/>
  <c r="J292" i="33"/>
  <c r="J297" i="33" s="1"/>
  <c r="H292" i="33"/>
  <c r="G292" i="33"/>
  <c r="N291" i="33"/>
  <c r="M291" i="33"/>
  <c r="L291" i="33"/>
  <c r="K291" i="33"/>
  <c r="J291" i="33"/>
  <c r="I291" i="33"/>
  <c r="H291" i="33"/>
  <c r="G291" i="33"/>
  <c r="Q6" i="31" l="1"/>
  <c r="G293" i="33"/>
  <c r="O293" i="33"/>
  <c r="K297" i="33"/>
  <c r="N297" i="33"/>
  <c r="H293" i="33"/>
  <c r="P293" i="33"/>
  <c r="G297" i="33"/>
  <c r="L297" i="33"/>
  <c r="O297" i="33"/>
  <c r="Q293" i="33"/>
  <c r="H297" i="33"/>
  <c r="M297" i="33"/>
  <c r="P297" i="33"/>
  <c r="J293" i="33"/>
  <c r="Q297" i="33"/>
  <c r="K293" i="33"/>
  <c r="L293" i="33"/>
  <c r="O35" i="37"/>
  <c r="L35" i="37"/>
  <c r="L34" i="37"/>
  <c r="L44" i="37"/>
  <c r="L43" i="37"/>
  <c r="L42" i="37"/>
  <c r="L36" i="37"/>
  <c r="L39" i="37"/>
  <c r="L38" i="37"/>
  <c r="M32" i="37"/>
  <c r="L32" i="37"/>
  <c r="L31" i="37"/>
  <c r="N14" i="37"/>
  <c r="M14" i="37"/>
  <c r="N13" i="37"/>
  <c r="N10" i="37"/>
  <c r="N9" i="37"/>
  <c r="N6" i="37"/>
  <c r="N5" i="37"/>
  <c r="T1" i="37"/>
  <c r="R1" i="37"/>
  <c r="Q1" i="37"/>
  <c r="P1" i="37"/>
  <c r="O1" i="37"/>
  <c r="L25" i="37"/>
  <c r="L24" i="37"/>
  <c r="L22" i="37"/>
  <c r="L21" i="37"/>
  <c r="L20" i="37"/>
  <c r="L19" i="37"/>
  <c r="L18" i="37"/>
  <c r="L17" i="37"/>
  <c r="L15" i="37"/>
  <c r="L14" i="37"/>
  <c r="L13" i="37"/>
  <c r="L12" i="37"/>
  <c r="L11" i="37"/>
  <c r="L10" i="37"/>
  <c r="L9" i="37"/>
  <c r="L8" i="37"/>
  <c r="L7" i="37"/>
  <c r="L6" i="37"/>
  <c r="L5" i="37"/>
  <c r="L4" i="37"/>
  <c r="M13" i="37"/>
  <c r="N6" i="31" l="1"/>
  <c r="T6" i="31"/>
  <c r="U6" i="31"/>
  <c r="O6" i="31"/>
  <c r="R6" i="31"/>
  <c r="V6" i="31"/>
  <c r="S6" i="31"/>
  <c r="E14" i="37"/>
  <c r="P14" i="37" s="1"/>
  <c r="F14" i="37"/>
  <c r="Q14" i="37" s="1"/>
  <c r="G14" i="37"/>
  <c r="R14" i="37" s="1"/>
  <c r="D14" i="37"/>
  <c r="O14" i="37" s="1"/>
  <c r="I288" i="33"/>
  <c r="J287" i="33"/>
  <c r="K287" i="33"/>
  <c r="L287" i="33"/>
  <c r="M287" i="33"/>
  <c r="N287" i="33"/>
  <c r="O287" i="33"/>
  <c r="P287" i="33"/>
  <c r="Q287" i="33"/>
  <c r="R287" i="33"/>
  <c r="S287" i="33"/>
  <c r="T287" i="33"/>
  <c r="U287" i="33"/>
  <c r="V287" i="33"/>
  <c r="W287" i="33"/>
  <c r="X287" i="33"/>
  <c r="Y287" i="33"/>
  <c r="Z287" i="33"/>
  <c r="AA287" i="33"/>
  <c r="AB287" i="33"/>
  <c r="AC287" i="33"/>
  <c r="J288" i="33"/>
  <c r="K288" i="33"/>
  <c r="L288" i="33"/>
  <c r="M288" i="33"/>
  <c r="M289" i="33" s="1"/>
  <c r="N288" i="33"/>
  <c r="O288" i="33"/>
  <c r="P288" i="33"/>
  <c r="Q288" i="33"/>
  <c r="Q289" i="33" s="1"/>
  <c r="R288" i="33"/>
  <c r="S288" i="33"/>
  <c r="T288" i="33"/>
  <c r="U288" i="33"/>
  <c r="V288" i="33"/>
  <c r="W288" i="33"/>
  <c r="X288" i="33"/>
  <c r="Y288" i="33"/>
  <c r="Z288" i="33"/>
  <c r="AA288" i="33"/>
  <c r="AB288" i="33"/>
  <c r="AC288" i="33"/>
  <c r="I287" i="33"/>
  <c r="B9" i="37" s="1"/>
  <c r="M9" i="37" s="1"/>
  <c r="G287" i="33"/>
  <c r="H287" i="33"/>
  <c r="G288" i="33"/>
  <c r="H288" i="33"/>
  <c r="F288" i="33"/>
  <c r="F287" i="33"/>
  <c r="J296" i="33" l="1"/>
  <c r="K296" i="33"/>
  <c r="L296" i="33"/>
  <c r="M296" i="33"/>
  <c r="Q296" i="33"/>
  <c r="Q298" i="33" s="1"/>
  <c r="O296" i="33"/>
  <c r="N296" i="33"/>
  <c r="P296" i="33"/>
  <c r="P298" i="33" s="1"/>
  <c r="B10" i="37"/>
  <c r="M10" i="37" s="1"/>
  <c r="I289" i="33"/>
  <c r="G280" i="33"/>
  <c r="H280" i="33"/>
  <c r="J280" i="33"/>
  <c r="K280" i="33"/>
  <c r="L280" i="33"/>
  <c r="M280" i="33"/>
  <c r="N280" i="33"/>
  <c r="O280" i="33"/>
  <c r="P280" i="33"/>
  <c r="Q280" i="33"/>
  <c r="R280" i="33"/>
  <c r="S280" i="33"/>
  <c r="T280" i="33"/>
  <c r="U280" i="33"/>
  <c r="V280" i="33"/>
  <c r="W280" i="33"/>
  <c r="X280" i="33"/>
  <c r="Y280" i="33"/>
  <c r="Z280" i="33"/>
  <c r="AA280" i="33"/>
  <c r="AB280" i="33"/>
  <c r="AC280" i="33"/>
  <c r="F280" i="33"/>
  <c r="G262" i="33"/>
  <c r="H262" i="33"/>
  <c r="I262" i="33"/>
  <c r="J262" i="33"/>
  <c r="K262" i="33"/>
  <c r="L262" i="33"/>
  <c r="M262" i="33"/>
  <c r="N262" i="33"/>
  <c r="O262" i="33"/>
  <c r="P262" i="33"/>
  <c r="Q262" i="33"/>
  <c r="R262" i="33"/>
  <c r="S262" i="33"/>
  <c r="T262" i="33"/>
  <c r="U262" i="33"/>
  <c r="V262" i="33"/>
  <c r="W262" i="33"/>
  <c r="X262" i="33"/>
  <c r="Y262" i="33"/>
  <c r="Z262" i="33"/>
  <c r="AA262" i="33"/>
  <c r="AB262" i="33"/>
  <c r="AC262" i="33"/>
  <c r="F262" i="33"/>
  <c r="G244" i="33"/>
  <c r="H244" i="33"/>
  <c r="J244" i="33"/>
  <c r="K244" i="33"/>
  <c r="L244" i="33"/>
  <c r="M244" i="33"/>
  <c r="N244" i="33"/>
  <c r="O244" i="33"/>
  <c r="P244" i="33"/>
  <c r="Q244" i="33"/>
  <c r="R244" i="33"/>
  <c r="S244" i="33"/>
  <c r="T244" i="33"/>
  <c r="U244" i="33"/>
  <c r="V244" i="33"/>
  <c r="W244" i="33"/>
  <c r="X244" i="33"/>
  <c r="Y244" i="33"/>
  <c r="Z244" i="33"/>
  <c r="AA244" i="33"/>
  <c r="AB244" i="33"/>
  <c r="AC244" i="33"/>
  <c r="F244" i="33"/>
  <c r="G226" i="33"/>
  <c r="H226" i="33"/>
  <c r="J226" i="33"/>
  <c r="K226" i="33"/>
  <c r="L226" i="33"/>
  <c r="M226" i="33"/>
  <c r="N226" i="33"/>
  <c r="O226" i="33"/>
  <c r="P226" i="33"/>
  <c r="Q226" i="33"/>
  <c r="R226" i="33"/>
  <c r="S226" i="33"/>
  <c r="T226" i="33"/>
  <c r="U226" i="33"/>
  <c r="V226" i="33"/>
  <c r="W226" i="33"/>
  <c r="X226" i="33"/>
  <c r="Y226" i="33"/>
  <c r="Z226" i="33"/>
  <c r="AA226" i="33"/>
  <c r="AB226" i="33"/>
  <c r="AC226" i="33"/>
  <c r="F226" i="33"/>
  <c r="G208" i="33"/>
  <c r="H208" i="33"/>
  <c r="J208" i="33"/>
  <c r="K208" i="33"/>
  <c r="L208" i="33"/>
  <c r="M208" i="33"/>
  <c r="N208" i="33"/>
  <c r="O208" i="33"/>
  <c r="P208" i="33"/>
  <c r="Q208" i="33"/>
  <c r="R208" i="33"/>
  <c r="S208" i="33"/>
  <c r="T208" i="33"/>
  <c r="U208" i="33"/>
  <c r="V208" i="33"/>
  <c r="W208" i="33"/>
  <c r="X208" i="33"/>
  <c r="Y208" i="33"/>
  <c r="Z208" i="33"/>
  <c r="AA208" i="33"/>
  <c r="AB208" i="33"/>
  <c r="AC208" i="33"/>
  <c r="F208" i="33"/>
  <c r="G189" i="33"/>
  <c r="H189" i="33"/>
  <c r="J189" i="33"/>
  <c r="K189" i="33"/>
  <c r="L189" i="33"/>
  <c r="M189" i="33"/>
  <c r="N189" i="33"/>
  <c r="O189" i="33"/>
  <c r="P189" i="33"/>
  <c r="Q189" i="33"/>
  <c r="R189" i="33"/>
  <c r="S189" i="33"/>
  <c r="T189" i="33"/>
  <c r="U189" i="33"/>
  <c r="V189" i="33"/>
  <c r="W189" i="33"/>
  <c r="X189" i="33"/>
  <c r="Y189" i="33"/>
  <c r="Z189" i="33"/>
  <c r="AA189" i="33"/>
  <c r="AB189" i="33"/>
  <c r="AC189" i="33"/>
  <c r="F189" i="33"/>
  <c r="G171" i="33"/>
  <c r="H171" i="33"/>
  <c r="I171" i="33"/>
  <c r="J171" i="33"/>
  <c r="K171" i="33"/>
  <c r="L171" i="33"/>
  <c r="M171" i="33"/>
  <c r="N171" i="33"/>
  <c r="O171" i="33"/>
  <c r="P171" i="33"/>
  <c r="Q171" i="33"/>
  <c r="R171" i="33"/>
  <c r="S171" i="33"/>
  <c r="T171" i="33"/>
  <c r="U171" i="33"/>
  <c r="V171" i="33"/>
  <c r="W171" i="33"/>
  <c r="X171" i="33"/>
  <c r="Y171" i="33"/>
  <c r="Z171" i="33"/>
  <c r="AA171" i="33"/>
  <c r="AB171" i="33"/>
  <c r="AC171" i="33"/>
  <c r="G153" i="33"/>
  <c r="H153" i="33"/>
  <c r="J153" i="33"/>
  <c r="K153" i="33"/>
  <c r="L153" i="33"/>
  <c r="M153" i="33"/>
  <c r="N153" i="33"/>
  <c r="O153" i="33"/>
  <c r="P153" i="33"/>
  <c r="Q153" i="33"/>
  <c r="R153" i="33"/>
  <c r="S153" i="33"/>
  <c r="T153" i="33"/>
  <c r="U153" i="33"/>
  <c r="V153" i="33"/>
  <c r="W153" i="33"/>
  <c r="X153" i="33"/>
  <c r="Y153" i="33"/>
  <c r="Z153" i="33"/>
  <c r="AA153" i="33"/>
  <c r="AB153" i="33"/>
  <c r="AC153" i="33"/>
  <c r="F153" i="33"/>
  <c r="G135" i="33"/>
  <c r="H135" i="33"/>
  <c r="I135" i="33"/>
  <c r="J135" i="33"/>
  <c r="K135" i="33"/>
  <c r="L135" i="33"/>
  <c r="M135" i="33"/>
  <c r="N135" i="33"/>
  <c r="O135" i="33"/>
  <c r="P135" i="33"/>
  <c r="Q135" i="33"/>
  <c r="R135" i="33"/>
  <c r="S135" i="33"/>
  <c r="T135" i="33"/>
  <c r="U135" i="33"/>
  <c r="V135" i="33"/>
  <c r="W135" i="33"/>
  <c r="X135" i="33"/>
  <c r="Y135" i="33"/>
  <c r="Z135" i="33"/>
  <c r="AA135" i="33"/>
  <c r="AB135" i="33"/>
  <c r="AC135" i="33"/>
  <c r="G117" i="33"/>
  <c r="H117" i="33"/>
  <c r="I117" i="33"/>
  <c r="J117" i="33"/>
  <c r="K117" i="33"/>
  <c r="L117" i="33"/>
  <c r="M117" i="33"/>
  <c r="N117" i="33"/>
  <c r="O117" i="33"/>
  <c r="P117" i="33"/>
  <c r="Q117" i="33"/>
  <c r="R117" i="33"/>
  <c r="S117" i="33"/>
  <c r="T117" i="33"/>
  <c r="U117" i="33"/>
  <c r="V117" i="33"/>
  <c r="W117" i="33"/>
  <c r="X117" i="33"/>
  <c r="Y117" i="33"/>
  <c r="Z117" i="33"/>
  <c r="AA117" i="33"/>
  <c r="AB117" i="33"/>
  <c r="AC117" i="33"/>
  <c r="F117" i="33"/>
  <c r="G98" i="33"/>
  <c r="H98" i="33"/>
  <c r="I98" i="33"/>
  <c r="J98" i="33"/>
  <c r="K98" i="33"/>
  <c r="L98" i="33"/>
  <c r="M98" i="33"/>
  <c r="N98" i="33"/>
  <c r="O98" i="33"/>
  <c r="P98" i="33"/>
  <c r="Q98" i="33"/>
  <c r="R98" i="33"/>
  <c r="S98" i="33"/>
  <c r="T98" i="33"/>
  <c r="U98" i="33"/>
  <c r="V98" i="33"/>
  <c r="W98" i="33"/>
  <c r="X98" i="33"/>
  <c r="Y98" i="33"/>
  <c r="Z98" i="33"/>
  <c r="AA98" i="33"/>
  <c r="AB98" i="33"/>
  <c r="AC98" i="33"/>
  <c r="G80" i="33"/>
  <c r="H80" i="33"/>
  <c r="J80" i="33"/>
  <c r="K80" i="33"/>
  <c r="L80" i="33"/>
  <c r="M80" i="33"/>
  <c r="N80" i="33"/>
  <c r="O80" i="33"/>
  <c r="P80" i="33"/>
  <c r="Q80" i="33"/>
  <c r="R80" i="33"/>
  <c r="S80" i="33"/>
  <c r="T80" i="33"/>
  <c r="U80" i="33"/>
  <c r="V80" i="33"/>
  <c r="W80" i="33"/>
  <c r="X80" i="33"/>
  <c r="Y80" i="33"/>
  <c r="Z80" i="33"/>
  <c r="AA80" i="33"/>
  <c r="AB80" i="33"/>
  <c r="AC80" i="33"/>
  <c r="F80" i="33"/>
  <c r="G60" i="33"/>
  <c r="H60" i="33"/>
  <c r="I60" i="33"/>
  <c r="J60" i="33"/>
  <c r="K60" i="33"/>
  <c r="L60" i="33"/>
  <c r="M60" i="33"/>
  <c r="N60" i="33"/>
  <c r="O60" i="33"/>
  <c r="P60" i="33"/>
  <c r="Q60" i="33"/>
  <c r="R60" i="33"/>
  <c r="S60" i="33"/>
  <c r="T60" i="33"/>
  <c r="U60" i="33"/>
  <c r="V60" i="33"/>
  <c r="W60" i="33"/>
  <c r="X60" i="33"/>
  <c r="Y60" i="33"/>
  <c r="Z60" i="33"/>
  <c r="AA60" i="33"/>
  <c r="AB60" i="33"/>
  <c r="AC60" i="33"/>
  <c r="G43" i="33"/>
  <c r="G284" i="33" s="1"/>
  <c r="G295" i="33" s="1"/>
  <c r="H43" i="33"/>
  <c r="I43" i="33"/>
  <c r="J43" i="33"/>
  <c r="K43" i="33"/>
  <c r="L43" i="33"/>
  <c r="M43" i="33"/>
  <c r="N43" i="33"/>
  <c r="O43" i="33"/>
  <c r="O284" i="33" s="1"/>
  <c r="O295" i="33" s="1"/>
  <c r="P43" i="33"/>
  <c r="Q43" i="33"/>
  <c r="R43" i="33"/>
  <c r="S43" i="33"/>
  <c r="T43" i="33"/>
  <c r="U43" i="33"/>
  <c r="V43" i="33"/>
  <c r="W43" i="33"/>
  <c r="W284" i="33" s="1"/>
  <c r="X43" i="33"/>
  <c r="Y43" i="33"/>
  <c r="Z43" i="33"/>
  <c r="AA43" i="33"/>
  <c r="AB43" i="33"/>
  <c r="AC43" i="33"/>
  <c r="J6" i="31" l="1"/>
  <c r="N298" i="33"/>
  <c r="K6" i="31"/>
  <c r="O298" i="33"/>
  <c r="S284" i="33"/>
  <c r="K284" i="33"/>
  <c r="K295" i="33" s="1"/>
  <c r="I6" i="31"/>
  <c r="M298" i="33"/>
  <c r="H6" i="31"/>
  <c r="L298" i="33"/>
  <c r="G296" i="33"/>
  <c r="H296" i="33"/>
  <c r="G6" i="31"/>
  <c r="K298" i="33"/>
  <c r="AA284" i="33"/>
  <c r="F6" i="31"/>
  <c r="J298" i="33"/>
  <c r="Z284" i="33"/>
  <c r="V284" i="33"/>
  <c r="R284" i="33"/>
  <c r="N284" i="33"/>
  <c r="N295" i="33" s="1"/>
  <c r="J284" i="33"/>
  <c r="J295" i="33" s="1"/>
  <c r="AC284" i="33"/>
  <c r="Y284" i="33"/>
  <c r="U284" i="33"/>
  <c r="Q284" i="33"/>
  <c r="Q295" i="33" s="1"/>
  <c r="M284" i="33"/>
  <c r="M295" i="33" s="1"/>
  <c r="AB284" i="33"/>
  <c r="X284" i="33"/>
  <c r="T284" i="33"/>
  <c r="P284" i="33"/>
  <c r="P295" i="33" s="1"/>
  <c r="L284" i="33"/>
  <c r="L295" i="33" s="1"/>
  <c r="H284" i="33"/>
  <c r="H295" i="33" s="1"/>
  <c r="F24" i="32"/>
  <c r="F12" i="32"/>
  <c r="BV4" i="32"/>
  <c r="BK7" i="32"/>
  <c r="D6" i="31" l="1"/>
  <c r="H298" i="33"/>
  <c r="C6" i="31"/>
  <c r="G298" i="33"/>
  <c r="E20" i="9"/>
  <c r="D22" i="37" s="1"/>
  <c r="O22" i="37" l="1"/>
  <c r="F20" i="9"/>
  <c r="I19" i="27"/>
  <c r="H19" i="27"/>
  <c r="G19" i="27"/>
  <c r="F19" i="27"/>
  <c r="B27" i="27"/>
  <c r="B20" i="27"/>
  <c r="B13" i="27"/>
  <c r="B6" i="27"/>
  <c r="I18" i="13"/>
  <c r="J18" i="13" s="1"/>
  <c r="K18" i="13" s="1"/>
  <c r="L18" i="13" s="1"/>
  <c r="M18" i="13" s="1"/>
  <c r="N18" i="13" s="1"/>
  <c r="H18" i="13"/>
  <c r="G18" i="13"/>
  <c r="F18" i="13"/>
  <c r="B27" i="13"/>
  <c r="B20" i="13"/>
  <c r="B13" i="13"/>
  <c r="B6" i="13"/>
  <c r="E22" i="37" l="1"/>
  <c r="G20" i="9"/>
  <c r="G13" i="37"/>
  <c r="R13" i="37" s="1"/>
  <c r="F13" i="37"/>
  <c r="Q13" i="37" s="1"/>
  <c r="E13" i="37"/>
  <c r="P13" i="37" s="1"/>
  <c r="D13" i="37"/>
  <c r="O13" i="37" s="1"/>
  <c r="F22" i="37" l="1"/>
  <c r="Q22" i="37" s="1"/>
  <c r="H20" i="9"/>
  <c r="G22" i="37" s="1"/>
  <c r="R22" i="37" s="1"/>
  <c r="P22" i="37"/>
  <c r="D15" i="37"/>
  <c r="E15" i="37"/>
  <c r="P15" i="37" s="1"/>
  <c r="F15" i="37"/>
  <c r="Q15" i="37" s="1"/>
  <c r="G15" i="37"/>
  <c r="R15" i="37" s="1"/>
  <c r="I22" i="37" l="1"/>
  <c r="T22" i="37" s="1"/>
  <c r="O15" i="37"/>
  <c r="I15" i="37"/>
  <c r="AD45" i="32"/>
  <c r="AE45" i="32"/>
  <c r="AF45" i="32"/>
  <c r="AG45" i="32"/>
  <c r="AH45" i="32"/>
  <c r="AI45" i="32"/>
  <c r="AJ45" i="32"/>
  <c r="AK45" i="32"/>
  <c r="AL45" i="32"/>
  <c r="AO28" i="32"/>
  <c r="AP28" i="32"/>
  <c r="AQ28" i="32"/>
  <c r="AR28" i="32"/>
  <c r="AS28" i="32"/>
  <c r="AT28" i="32"/>
  <c r="AU28" i="32"/>
  <c r="AV28" i="32"/>
  <c r="AW28" i="32"/>
  <c r="AO29" i="32"/>
  <c r="AP29" i="32"/>
  <c r="AQ29" i="32"/>
  <c r="AR29" i="32"/>
  <c r="AS29" i="32"/>
  <c r="AT29" i="32"/>
  <c r="AU29" i="32"/>
  <c r="AV29" i="32"/>
  <c r="AW29" i="32"/>
  <c r="AO36" i="32"/>
  <c r="AP36" i="32"/>
  <c r="AQ36" i="32"/>
  <c r="AR36" i="32"/>
  <c r="AS36" i="32"/>
  <c r="AT36" i="32"/>
  <c r="AU36" i="32"/>
  <c r="AV36" i="32"/>
  <c r="AW36" i="32"/>
  <c r="AO39" i="32"/>
  <c r="AP39" i="32"/>
  <c r="AQ39" i="32"/>
  <c r="AR39" i="32"/>
  <c r="AS39" i="32"/>
  <c r="AT39" i="32"/>
  <c r="AU39" i="32"/>
  <c r="AV39" i="32"/>
  <c r="AW39" i="32"/>
  <c r="AO40" i="32"/>
  <c r="AP40" i="32"/>
  <c r="AQ40" i="32"/>
  <c r="AR40" i="32"/>
  <c r="AS40" i="32"/>
  <c r="AT40" i="32"/>
  <c r="AU40" i="32"/>
  <c r="AV40" i="32"/>
  <c r="AW40" i="32"/>
  <c r="F19" i="32"/>
  <c r="F20" i="32"/>
  <c r="F11" i="32"/>
  <c r="AN28" i="32"/>
  <c r="AY28" i="32" s="1"/>
  <c r="AN29" i="32"/>
  <c r="AY29" i="32" s="1"/>
  <c r="AN36" i="32"/>
  <c r="AN39" i="32"/>
  <c r="AY39" i="32" s="1"/>
  <c r="AN40" i="32"/>
  <c r="AY40" i="32" s="1"/>
  <c r="F13" i="32"/>
  <c r="F14" i="32"/>
  <c r="F15" i="32"/>
  <c r="F17" i="32"/>
  <c r="F18" i="32"/>
  <c r="F21" i="32"/>
  <c r="F22" i="32"/>
  <c r="F23" i="32"/>
  <c r="F25" i="32"/>
  <c r="F26" i="32"/>
  <c r="F30" i="32"/>
  <c r="F31" i="32"/>
  <c r="F32" i="32"/>
  <c r="F33" i="32"/>
  <c r="F34" i="32"/>
  <c r="F35" i="32"/>
  <c r="F37" i="32"/>
  <c r="F41" i="32"/>
  <c r="F42" i="32"/>
  <c r="F46" i="32"/>
  <c r="F49" i="32"/>
  <c r="AC45" i="32"/>
  <c r="BK8" i="32"/>
  <c r="BL7" i="32"/>
  <c r="BM7" i="32"/>
  <c r="BN7" i="32"/>
  <c r="BO7" i="32"/>
  <c r="V3" i="32" s="1"/>
  <c r="V46" i="32" s="1"/>
  <c r="BP7" i="32"/>
  <c r="W3" i="32" s="1"/>
  <c r="BQ7" i="32"/>
  <c r="X3" i="32" s="1"/>
  <c r="BR7" i="32"/>
  <c r="Y3" i="32" s="1"/>
  <c r="BS7" i="32"/>
  <c r="Z3" i="32" s="1"/>
  <c r="BT7" i="32"/>
  <c r="AA3" i="32" s="1"/>
  <c r="BL8" i="32"/>
  <c r="BM8" i="32"/>
  <c r="BN8" i="32"/>
  <c r="BO8" i="32"/>
  <c r="K3" i="32" s="1"/>
  <c r="BP8" i="32"/>
  <c r="L3" i="32" s="1"/>
  <c r="BQ8" i="32"/>
  <c r="M3" i="32" s="1"/>
  <c r="BR8" i="32"/>
  <c r="N3" i="32" s="1"/>
  <c r="BS8" i="32"/>
  <c r="O3" i="32" s="1"/>
  <c r="BT8" i="32"/>
  <c r="P3" i="32" s="1"/>
  <c r="F50" i="32"/>
  <c r="AR46" i="32" l="1"/>
  <c r="T15" i="37"/>
  <c r="F27" i="32"/>
  <c r="BU7" i="32"/>
  <c r="BV7" i="32" s="1"/>
  <c r="BU8" i="32"/>
  <c r="BV8" i="32" s="1"/>
  <c r="H3" i="32" l="1"/>
  <c r="I3" i="32"/>
  <c r="J3" i="32"/>
  <c r="G3" i="32"/>
  <c r="B5" i="37" s="1"/>
  <c r="M5" i="37" s="1"/>
  <c r="T3" i="32"/>
  <c r="S3" i="32"/>
  <c r="U3" i="32"/>
  <c r="R3" i="32"/>
  <c r="B6" i="37" s="1"/>
  <c r="M6" i="37" s="1"/>
  <c r="C13" i="31"/>
  <c r="F14" i="9" s="1"/>
  <c r="D13" i="31"/>
  <c r="G14" i="9" s="1"/>
  <c r="E13" i="31"/>
  <c r="H14" i="9" s="1"/>
  <c r="F13" i="31"/>
  <c r="I14" i="9" s="1"/>
  <c r="G13" i="31"/>
  <c r="J14" i="9" s="1"/>
  <c r="H13" i="31"/>
  <c r="K14" i="9" s="1"/>
  <c r="I13" i="31"/>
  <c r="L14" i="9" s="1"/>
  <c r="J13" i="31"/>
  <c r="M14" i="9" s="1"/>
  <c r="K13" i="31"/>
  <c r="F43" i="32" l="1"/>
  <c r="F38" i="32" l="1"/>
  <c r="F275" i="33"/>
  <c r="F274" i="33"/>
  <c r="F273" i="33"/>
  <c r="F272" i="33"/>
  <c r="F271" i="33"/>
  <c r="G267" i="33"/>
  <c r="H267" i="33" s="1"/>
  <c r="I267" i="33" s="1"/>
  <c r="J267" i="33" s="1"/>
  <c r="K267" i="33" s="1"/>
  <c r="L267" i="33" s="1"/>
  <c r="M267" i="33" s="1"/>
  <c r="N267" i="33" s="1"/>
  <c r="O267" i="33" s="1"/>
  <c r="P267" i="33" s="1"/>
  <c r="Q267" i="33" s="1"/>
  <c r="R267" i="33" s="1"/>
  <c r="S267" i="33" s="1"/>
  <c r="T267" i="33" s="1"/>
  <c r="U267" i="33" s="1"/>
  <c r="V267" i="33" s="1"/>
  <c r="W267" i="33" s="1"/>
  <c r="X267" i="33" s="1"/>
  <c r="Y267" i="33" s="1"/>
  <c r="Z267" i="33" s="1"/>
  <c r="AA267" i="33" s="1"/>
  <c r="AB267" i="33" s="1"/>
  <c r="AC267" i="33" s="1"/>
  <c r="F257" i="33"/>
  <c r="F256" i="33"/>
  <c r="F255" i="33"/>
  <c r="F254" i="33"/>
  <c r="F253" i="33"/>
  <c r="G249" i="33"/>
  <c r="H249" i="33" s="1"/>
  <c r="I249" i="33" s="1"/>
  <c r="J249" i="33" s="1"/>
  <c r="K249" i="33" s="1"/>
  <c r="L249" i="33" s="1"/>
  <c r="M249" i="33" s="1"/>
  <c r="N249" i="33" s="1"/>
  <c r="O249" i="33" s="1"/>
  <c r="P249" i="33" s="1"/>
  <c r="Q249" i="33" s="1"/>
  <c r="R249" i="33" s="1"/>
  <c r="S249" i="33" s="1"/>
  <c r="T249" i="33" s="1"/>
  <c r="U249" i="33" s="1"/>
  <c r="V249" i="33" s="1"/>
  <c r="W249" i="33" s="1"/>
  <c r="X249" i="33" s="1"/>
  <c r="Y249" i="33" s="1"/>
  <c r="Z249" i="33" s="1"/>
  <c r="AA249" i="33" s="1"/>
  <c r="AB249" i="33" s="1"/>
  <c r="AC249" i="33" s="1"/>
  <c r="F239" i="33"/>
  <c r="F238" i="33"/>
  <c r="F237" i="33"/>
  <c r="F236" i="33"/>
  <c r="F235" i="33"/>
  <c r="G231" i="33"/>
  <c r="H231" i="33" s="1"/>
  <c r="I231" i="33" s="1"/>
  <c r="J231" i="33" s="1"/>
  <c r="K231" i="33" s="1"/>
  <c r="L231" i="33" s="1"/>
  <c r="M231" i="33" s="1"/>
  <c r="N231" i="33" s="1"/>
  <c r="O231" i="33" s="1"/>
  <c r="P231" i="33" s="1"/>
  <c r="Q231" i="33" s="1"/>
  <c r="R231" i="33" s="1"/>
  <c r="S231" i="33" s="1"/>
  <c r="T231" i="33" s="1"/>
  <c r="U231" i="33" s="1"/>
  <c r="V231" i="33" s="1"/>
  <c r="W231" i="33" s="1"/>
  <c r="X231" i="33" s="1"/>
  <c r="Y231" i="33" s="1"/>
  <c r="Z231" i="33" s="1"/>
  <c r="AA231" i="33" s="1"/>
  <c r="AB231" i="33" s="1"/>
  <c r="AC231" i="33" s="1"/>
  <c r="F221" i="33"/>
  <c r="F220" i="33"/>
  <c r="F219" i="33"/>
  <c r="F218" i="33"/>
  <c r="F217" i="33"/>
  <c r="G213" i="33"/>
  <c r="H213" i="33" s="1"/>
  <c r="I213" i="33" s="1"/>
  <c r="J213" i="33" s="1"/>
  <c r="K213" i="33" s="1"/>
  <c r="L213" i="33" s="1"/>
  <c r="M213" i="33" s="1"/>
  <c r="N213" i="33" s="1"/>
  <c r="O213" i="33" s="1"/>
  <c r="P213" i="33" s="1"/>
  <c r="Q213" i="33" s="1"/>
  <c r="R213" i="33" s="1"/>
  <c r="S213" i="33" s="1"/>
  <c r="T213" i="33" s="1"/>
  <c r="U213" i="33" s="1"/>
  <c r="V213" i="33" s="1"/>
  <c r="W213" i="33" s="1"/>
  <c r="X213" i="33" s="1"/>
  <c r="Y213" i="33" s="1"/>
  <c r="Z213" i="33" s="1"/>
  <c r="AA213" i="33" s="1"/>
  <c r="AB213" i="33" s="1"/>
  <c r="AC213" i="33" s="1"/>
  <c r="F204" i="33"/>
  <c r="F203" i="33"/>
  <c r="F202" i="33"/>
  <c r="F201" i="33"/>
  <c r="F200" i="33"/>
  <c r="F199" i="33"/>
  <c r="AC196" i="33"/>
  <c r="AB196" i="33"/>
  <c r="AA196" i="33"/>
  <c r="Z196" i="33"/>
  <c r="Y196" i="33"/>
  <c r="X196" i="33"/>
  <c r="W196" i="33"/>
  <c r="V196" i="33"/>
  <c r="U196" i="33"/>
  <c r="T196" i="33"/>
  <c r="S196" i="33"/>
  <c r="R196" i="33"/>
  <c r="Q196" i="33"/>
  <c r="P196" i="33"/>
  <c r="O196" i="33"/>
  <c r="N196" i="33"/>
  <c r="M196" i="33"/>
  <c r="L196" i="33"/>
  <c r="K196" i="33"/>
  <c r="J196" i="33"/>
  <c r="I196" i="33"/>
  <c r="H196" i="33"/>
  <c r="G196" i="33"/>
  <c r="G194" i="33"/>
  <c r="H194" i="33" s="1"/>
  <c r="H204" i="33" s="1"/>
  <c r="F184" i="33"/>
  <c r="F183" i="33"/>
  <c r="F182" i="33"/>
  <c r="F181" i="33"/>
  <c r="F180" i="33"/>
  <c r="G176" i="33"/>
  <c r="H176" i="33" s="1"/>
  <c r="I176" i="33" s="1"/>
  <c r="J176" i="33" s="1"/>
  <c r="K176" i="33" s="1"/>
  <c r="L176" i="33" s="1"/>
  <c r="M176" i="33" s="1"/>
  <c r="N176" i="33" s="1"/>
  <c r="O176" i="33" s="1"/>
  <c r="P176" i="33" s="1"/>
  <c r="Q176" i="33" s="1"/>
  <c r="R176" i="33" s="1"/>
  <c r="S176" i="33" s="1"/>
  <c r="T176" i="33" s="1"/>
  <c r="U176" i="33" s="1"/>
  <c r="V176" i="33" s="1"/>
  <c r="W176" i="33" s="1"/>
  <c r="X176" i="33" s="1"/>
  <c r="Y176" i="33" s="1"/>
  <c r="Z176" i="33" s="1"/>
  <c r="AA176" i="33" s="1"/>
  <c r="AB176" i="33" s="1"/>
  <c r="AC176" i="33" s="1"/>
  <c r="F167" i="33"/>
  <c r="F166" i="33"/>
  <c r="F165" i="33"/>
  <c r="F164" i="33"/>
  <c r="F163" i="33"/>
  <c r="F162" i="33"/>
  <c r="G158" i="33"/>
  <c r="G167" i="33" s="1"/>
  <c r="F149" i="33"/>
  <c r="F148" i="33"/>
  <c r="F147" i="33"/>
  <c r="F146" i="33"/>
  <c r="F145" i="33"/>
  <c r="F144" i="33"/>
  <c r="G140" i="33"/>
  <c r="G149" i="33" s="1"/>
  <c r="F131" i="33"/>
  <c r="F130" i="33"/>
  <c r="F129" i="33"/>
  <c r="F128" i="33"/>
  <c r="F127" i="33"/>
  <c r="F126" i="33"/>
  <c r="G122" i="33"/>
  <c r="G131" i="33" s="1"/>
  <c r="F113" i="33"/>
  <c r="F112" i="33"/>
  <c r="T111" i="33"/>
  <c r="S111" i="33"/>
  <c r="R111" i="33"/>
  <c r="Q111" i="33"/>
  <c r="P111" i="33"/>
  <c r="O111" i="33"/>
  <c r="N111" i="33"/>
  <c r="M111" i="33"/>
  <c r="F111" i="33"/>
  <c r="T110" i="33"/>
  <c r="S110" i="33"/>
  <c r="R110" i="33"/>
  <c r="Q110" i="33"/>
  <c r="P110" i="33"/>
  <c r="O110" i="33"/>
  <c r="N110" i="33"/>
  <c r="M110" i="33"/>
  <c r="F110" i="33"/>
  <c r="F109" i="33"/>
  <c r="F108" i="33"/>
  <c r="G103" i="33"/>
  <c r="F94" i="33"/>
  <c r="F93" i="33"/>
  <c r="F92" i="33"/>
  <c r="F91" i="33"/>
  <c r="F90" i="33"/>
  <c r="F89" i="33"/>
  <c r="G85" i="33"/>
  <c r="G94" i="33" s="1"/>
  <c r="F76" i="33"/>
  <c r="F75" i="33"/>
  <c r="T74" i="33"/>
  <c r="S74" i="33"/>
  <c r="R74" i="33"/>
  <c r="Q74" i="33"/>
  <c r="P74" i="33"/>
  <c r="O74" i="33"/>
  <c r="N74" i="33"/>
  <c r="M74" i="33"/>
  <c r="F74" i="33"/>
  <c r="T73" i="33"/>
  <c r="S73" i="33"/>
  <c r="R73" i="33"/>
  <c r="Q73" i="33"/>
  <c r="P73" i="33"/>
  <c r="O73" i="33"/>
  <c r="N73" i="33"/>
  <c r="M73" i="33"/>
  <c r="F73" i="33"/>
  <c r="F72" i="33"/>
  <c r="F71" i="33"/>
  <c r="G66" i="33"/>
  <c r="F56" i="33"/>
  <c r="F55" i="33"/>
  <c r="F54" i="33"/>
  <c r="F53" i="33"/>
  <c r="F52" i="33"/>
  <c r="G48" i="33"/>
  <c r="G56" i="33" s="1"/>
  <c r="F39" i="33"/>
  <c r="F38" i="33"/>
  <c r="F37" i="33"/>
  <c r="F36" i="33"/>
  <c r="F35" i="33"/>
  <c r="F34" i="33"/>
  <c r="G30" i="33"/>
  <c r="H30" i="33" s="1"/>
  <c r="H39" i="33" s="1"/>
  <c r="AC25" i="33"/>
  <c r="AB25" i="33"/>
  <c r="AA25" i="33"/>
  <c r="Z25" i="33"/>
  <c r="Y25" i="33"/>
  <c r="X25" i="33"/>
  <c r="W25" i="33"/>
  <c r="V25" i="33"/>
  <c r="U25" i="33"/>
  <c r="T25" i="33"/>
  <c r="S25" i="33"/>
  <c r="R25" i="33"/>
  <c r="Q25" i="33"/>
  <c r="P25" i="33"/>
  <c r="O25" i="33"/>
  <c r="N25" i="33"/>
  <c r="M25" i="33"/>
  <c r="L25" i="33"/>
  <c r="K25" i="33"/>
  <c r="J25" i="33"/>
  <c r="F21" i="33"/>
  <c r="F20" i="33"/>
  <c r="F19" i="33"/>
  <c r="AC11" i="33"/>
  <c r="AB11" i="33"/>
  <c r="AA11" i="33"/>
  <c r="Z11" i="33"/>
  <c r="Y11" i="33"/>
  <c r="X11" i="33"/>
  <c r="W11" i="33"/>
  <c r="V11" i="33"/>
  <c r="U11" i="33"/>
  <c r="T11" i="33"/>
  <c r="S11" i="33"/>
  <c r="R11" i="33"/>
  <c r="Q11" i="33"/>
  <c r="P11" i="33"/>
  <c r="O11" i="33"/>
  <c r="N11" i="33"/>
  <c r="M11" i="33"/>
  <c r="L11" i="33"/>
  <c r="K11" i="33"/>
  <c r="J11" i="33"/>
  <c r="F7" i="33"/>
  <c r="F6" i="33"/>
  <c r="F5" i="33"/>
  <c r="G2" i="33"/>
  <c r="G7" i="33" s="1"/>
  <c r="BH40" i="32"/>
  <c r="BG40" i="32"/>
  <c r="BF40" i="32"/>
  <c r="BE40" i="32"/>
  <c r="BD40" i="32"/>
  <c r="BC40" i="32"/>
  <c r="BB40" i="32"/>
  <c r="BA40" i="32"/>
  <c r="AZ40" i="32"/>
  <c r="BH39" i="32"/>
  <c r="BG39" i="32"/>
  <c r="BF39" i="32"/>
  <c r="BE39" i="32"/>
  <c r="BD39" i="32"/>
  <c r="BC39" i="32"/>
  <c r="BB39" i="32"/>
  <c r="BA39" i="32"/>
  <c r="AZ39" i="32"/>
  <c r="BH29" i="32"/>
  <c r="BG29" i="32"/>
  <c r="BF29" i="32"/>
  <c r="BE29" i="32"/>
  <c r="BD29" i="32"/>
  <c r="BC29" i="32"/>
  <c r="BB29" i="32"/>
  <c r="BA29" i="32"/>
  <c r="AZ29" i="32"/>
  <c r="BH28" i="32"/>
  <c r="BG28" i="32"/>
  <c r="BF28" i="32"/>
  <c r="BE28" i="32"/>
  <c r="BD28" i="32"/>
  <c r="BC28" i="32"/>
  <c r="BB28" i="32"/>
  <c r="BA28" i="32"/>
  <c r="AZ28" i="32"/>
  <c r="H158" i="33" l="1"/>
  <c r="I158" i="33" s="1"/>
  <c r="F186" i="33"/>
  <c r="F223" i="33"/>
  <c r="F40" i="33"/>
  <c r="F42" i="33" s="1"/>
  <c r="F77" i="33"/>
  <c r="F259" i="33"/>
  <c r="H2" i="33"/>
  <c r="H6" i="33" s="1"/>
  <c r="F57" i="33"/>
  <c r="F59" i="33" s="1"/>
  <c r="F95" i="33"/>
  <c r="F114" i="33"/>
  <c r="H220" i="33"/>
  <c r="G256" i="33"/>
  <c r="G35" i="33"/>
  <c r="G37" i="33"/>
  <c r="G53" i="33"/>
  <c r="G55" i="33"/>
  <c r="F150" i="33"/>
  <c r="H167" i="33"/>
  <c r="F241" i="33"/>
  <c r="H48" i="33"/>
  <c r="H56" i="33" s="1"/>
  <c r="I194" i="33"/>
  <c r="J194" i="33" s="1"/>
  <c r="K194" i="33" s="1"/>
  <c r="G112" i="33"/>
  <c r="G184" i="33"/>
  <c r="G6" i="33"/>
  <c r="G8" i="33" s="1"/>
  <c r="G10" i="33" s="1"/>
  <c r="H9" i="33" s="1"/>
  <c r="F22" i="33"/>
  <c r="F24" i="33" s="1"/>
  <c r="G36" i="33"/>
  <c r="G38" i="33"/>
  <c r="G54" i="33"/>
  <c r="F132" i="33"/>
  <c r="F133" i="33" s="1"/>
  <c r="G163" i="33"/>
  <c r="E10" i="37"/>
  <c r="P10" i="37" s="1"/>
  <c r="F168" i="33"/>
  <c r="F205" i="33"/>
  <c r="F10" i="37"/>
  <c r="Q10" i="37" s="1"/>
  <c r="P25" i="32"/>
  <c r="AL25" i="32" s="1"/>
  <c r="X41" i="32"/>
  <c r="K21" i="32"/>
  <c r="AG21" i="32" s="1"/>
  <c r="K19" i="32"/>
  <c r="AG19" i="32" s="1"/>
  <c r="K44" i="32"/>
  <c r="AG44" i="32" s="1"/>
  <c r="N48" i="32"/>
  <c r="AJ48" i="32" s="1"/>
  <c r="N33" i="32"/>
  <c r="AJ33" i="32" s="1"/>
  <c r="M14" i="32"/>
  <c r="AI14" i="32" s="1"/>
  <c r="M44" i="32"/>
  <c r="AI44" i="32" s="1"/>
  <c r="M21" i="32"/>
  <c r="AI21" i="32" s="1"/>
  <c r="O32" i="32"/>
  <c r="AK32" i="32" s="1"/>
  <c r="AA19" i="32"/>
  <c r="AW19" i="32" s="1"/>
  <c r="AA45" i="32"/>
  <c r="AW45" i="32" s="1"/>
  <c r="W13" i="32"/>
  <c r="W45" i="32"/>
  <c r="AS45" i="32" s="1"/>
  <c r="L30" i="32"/>
  <c r="M48" i="32"/>
  <c r="AI48" i="32" s="1"/>
  <c r="W46" i="32"/>
  <c r="V41" i="32"/>
  <c r="P46" i="32"/>
  <c r="O44" i="32"/>
  <c r="AK44" i="32" s="1"/>
  <c r="M11" i="32"/>
  <c r="L34" i="32"/>
  <c r="AH34" i="32" s="1"/>
  <c r="W31" i="32"/>
  <c r="AS31" i="32" s="1"/>
  <c r="X37" i="32"/>
  <c r="AT37" i="32" s="1"/>
  <c r="T30" i="32"/>
  <c r="Z20" i="32"/>
  <c r="AV20" i="32" s="1"/>
  <c r="V16" i="32"/>
  <c r="AR16" i="32" s="1"/>
  <c r="Z37" i="32"/>
  <c r="AV37" i="32" s="1"/>
  <c r="Y34" i="32"/>
  <c r="Y44" i="32"/>
  <c r="AU44" i="32" s="1"/>
  <c r="U21" i="32"/>
  <c r="AQ21" i="32" s="1"/>
  <c r="U37" i="32"/>
  <c r="AQ37" i="32" s="1"/>
  <c r="Z47" i="32"/>
  <c r="AV47" i="32" s="1"/>
  <c r="U32" i="32"/>
  <c r="AQ32" i="32" s="1"/>
  <c r="X17" i="32"/>
  <c r="AT17" i="32" s="1"/>
  <c r="T31" i="32"/>
  <c r="AP31" i="32" s="1"/>
  <c r="K24" i="32"/>
  <c r="AG24" i="32" s="1"/>
  <c r="K14" i="32"/>
  <c r="AG14" i="32" s="1"/>
  <c r="K31" i="32"/>
  <c r="AG31" i="32" s="1"/>
  <c r="N49" i="32"/>
  <c r="AJ49" i="32" s="1"/>
  <c r="O20" i="32"/>
  <c r="AK20" i="32" s="1"/>
  <c r="AA26" i="32"/>
  <c r="AW26" i="32" s="1"/>
  <c r="W42" i="32"/>
  <c r="AS42" i="32" s="1"/>
  <c r="L21" i="32"/>
  <c r="AH21" i="32" s="1"/>
  <c r="Y46" i="32"/>
  <c r="P36" i="32"/>
  <c r="AL36" i="32" s="1"/>
  <c r="BH36" i="32" s="1"/>
  <c r="W20" i="32"/>
  <c r="AS20" i="32" s="1"/>
  <c r="X18" i="32"/>
  <c r="AT18" i="32" s="1"/>
  <c r="Z44" i="32"/>
  <c r="AV44" i="32" s="1"/>
  <c r="V22" i="32"/>
  <c r="AR22" i="32" s="1"/>
  <c r="U34" i="32"/>
  <c r="V26" i="32"/>
  <c r="AR26" i="32" s="1"/>
  <c r="Z25" i="32"/>
  <c r="AV25" i="32" s="1"/>
  <c r="L14" i="32"/>
  <c r="AH14" i="32" s="1"/>
  <c r="K18" i="32"/>
  <c r="AG18" i="32" s="1"/>
  <c r="K13" i="32"/>
  <c r="AG13" i="32" s="1"/>
  <c r="N37" i="32"/>
  <c r="AJ37" i="32" s="1"/>
  <c r="N30" i="32"/>
  <c r="M34" i="32"/>
  <c r="AI34" i="32" s="1"/>
  <c r="O14" i="32"/>
  <c r="AK14" i="32" s="1"/>
  <c r="O48" i="32"/>
  <c r="AK48" i="32" s="1"/>
  <c r="AA18" i="32"/>
  <c r="AW18" i="32" s="1"/>
  <c r="L25" i="32"/>
  <c r="AH25" i="32" s="1"/>
  <c r="L16" i="32"/>
  <c r="AH16" i="32" s="1"/>
  <c r="P35" i="32"/>
  <c r="AL35" i="32" s="1"/>
  <c r="M47" i="32"/>
  <c r="AI47" i="32" s="1"/>
  <c r="L44" i="32"/>
  <c r="AH44" i="32" s="1"/>
  <c r="X32" i="32"/>
  <c r="AT32" i="32" s="1"/>
  <c r="U46" i="32"/>
  <c r="Z14" i="32"/>
  <c r="AV14" i="32" s="1"/>
  <c r="V45" i="32"/>
  <c r="AR45" i="32" s="1"/>
  <c r="Y30" i="32"/>
  <c r="U13" i="32"/>
  <c r="V34" i="32"/>
  <c r="T13" i="32"/>
  <c r="X45" i="32"/>
  <c r="AT45" i="32" s="1"/>
  <c r="P44" i="32"/>
  <c r="AL44" i="32" s="1"/>
  <c r="K47" i="32"/>
  <c r="AG47" i="32" s="1"/>
  <c r="K23" i="32"/>
  <c r="AG23" i="32" s="1"/>
  <c r="N25" i="32"/>
  <c r="AJ25" i="32" s="1"/>
  <c r="N34" i="32"/>
  <c r="AJ34" i="32" s="1"/>
  <c r="N24" i="32"/>
  <c r="AJ24" i="32" s="1"/>
  <c r="M32" i="32"/>
  <c r="AI32" i="32" s="1"/>
  <c r="M25" i="32"/>
  <c r="AI25" i="32" s="1"/>
  <c r="O16" i="32"/>
  <c r="AK16" i="32" s="1"/>
  <c r="O13" i="32"/>
  <c r="AK13" i="32" s="1"/>
  <c r="AA14" i="32"/>
  <c r="AW14" i="32" s="1"/>
  <c r="AA46" i="32"/>
  <c r="W41" i="32"/>
  <c r="L15" i="32"/>
  <c r="AH15" i="32" s="1"/>
  <c r="L18" i="32"/>
  <c r="AH18" i="32" s="1"/>
  <c r="O33" i="32"/>
  <c r="AK33" i="32" s="1"/>
  <c r="W18" i="32"/>
  <c r="AS18" i="32" s="1"/>
  <c r="P23" i="32"/>
  <c r="AL23" i="32" s="1"/>
  <c r="P32" i="32"/>
  <c r="AL32" i="32" s="1"/>
  <c r="L32" i="32"/>
  <c r="AH32" i="32" s="1"/>
  <c r="Y31" i="32"/>
  <c r="AU31" i="32" s="1"/>
  <c r="O21" i="32"/>
  <c r="AK21" i="32" s="1"/>
  <c r="X14" i="32"/>
  <c r="AT14" i="32" s="1"/>
  <c r="Y32" i="32"/>
  <c r="AU32" i="32" s="1"/>
  <c r="Z23" i="32"/>
  <c r="AV23" i="32" s="1"/>
  <c r="Z41" i="32"/>
  <c r="V21" i="32"/>
  <c r="AR21" i="32" s="1"/>
  <c r="V20" i="32"/>
  <c r="AR20" i="32" s="1"/>
  <c r="Y14" i="32"/>
  <c r="AU14" i="32" s="1"/>
  <c r="U30" i="32"/>
  <c r="U15" i="32"/>
  <c r="AQ15" i="32" s="1"/>
  <c r="Z26" i="32"/>
  <c r="AV26" i="32" s="1"/>
  <c r="Z45" i="32"/>
  <c r="AV45" i="32" s="1"/>
  <c r="U26" i="32"/>
  <c r="AQ26" i="32" s="1"/>
  <c r="X31" i="32"/>
  <c r="AT31" i="32" s="1"/>
  <c r="N31" i="32"/>
  <c r="AJ31" i="32" s="1"/>
  <c r="N32" i="32"/>
  <c r="AJ32" i="32" s="1"/>
  <c r="M13" i="32"/>
  <c r="AI13" i="32" s="1"/>
  <c r="M33" i="32"/>
  <c r="AI33" i="32" s="1"/>
  <c r="O23" i="32"/>
  <c r="AK23" i="32" s="1"/>
  <c r="AA47" i="32"/>
  <c r="AW47" i="32" s="1"/>
  <c r="L23" i="32"/>
  <c r="AH23" i="32" s="1"/>
  <c r="L31" i="32"/>
  <c r="AH31" i="32" s="1"/>
  <c r="P33" i="32"/>
  <c r="AL33" i="32" s="1"/>
  <c r="O25" i="32"/>
  <c r="AK25" i="32" s="1"/>
  <c r="M20" i="32"/>
  <c r="AI20" i="32" s="1"/>
  <c r="Y21" i="32"/>
  <c r="AU21" i="32" s="1"/>
  <c r="V15" i="32"/>
  <c r="AR15" i="32" s="1"/>
  <c r="Z17" i="32"/>
  <c r="AV17" i="32" s="1"/>
  <c r="Y22" i="32"/>
  <c r="AU22" i="32" s="1"/>
  <c r="U23" i="32"/>
  <c r="AQ23" i="32" s="1"/>
  <c r="U44" i="32"/>
  <c r="AQ44" i="32" s="1"/>
  <c r="X35" i="32"/>
  <c r="AT35" i="32" s="1"/>
  <c r="P37" i="32"/>
  <c r="AL37" i="32" s="1"/>
  <c r="K48" i="32"/>
  <c r="AG48" i="32" s="1"/>
  <c r="N18" i="32"/>
  <c r="AJ18" i="32" s="1"/>
  <c r="M42" i="32"/>
  <c r="AI42" i="32" s="1"/>
  <c r="AA44" i="32"/>
  <c r="AW44" i="32" s="1"/>
  <c r="W26" i="32"/>
  <c r="AS26" i="32" s="1"/>
  <c r="L47" i="32"/>
  <c r="AH47" i="32" s="1"/>
  <c r="V49" i="32"/>
  <c r="AR49" i="32" s="1"/>
  <c r="P13" i="32"/>
  <c r="AL13" i="32" s="1"/>
  <c r="W37" i="32"/>
  <c r="AS37" i="32" s="1"/>
  <c r="V48" i="32"/>
  <c r="AR48" i="32" s="1"/>
  <c r="Y35" i="32"/>
  <c r="AU35" i="32" s="1"/>
  <c r="Y37" i="32"/>
  <c r="AU37" i="32" s="1"/>
  <c r="U48" i="32"/>
  <c r="AQ48" i="32" s="1"/>
  <c r="X13" i="32"/>
  <c r="K20" i="32"/>
  <c r="AG20" i="32" s="1"/>
  <c r="X20" i="32"/>
  <c r="AT20" i="32" s="1"/>
  <c r="BE20" i="32" s="1"/>
  <c r="Y26" i="32"/>
  <c r="AU26" i="32" s="1"/>
  <c r="U31" i="32"/>
  <c r="AQ31" i="32" s="1"/>
  <c r="Y49" i="32"/>
  <c r="AU49" i="32" s="1"/>
  <c r="V14" i="32"/>
  <c r="AR14" i="32" s="1"/>
  <c r="Z15" i="32"/>
  <c r="AV15" i="32" s="1"/>
  <c r="Z42" i="32"/>
  <c r="AV42" i="32" s="1"/>
  <c r="O19" i="32"/>
  <c r="AK19" i="32" s="1"/>
  <c r="P24" i="32"/>
  <c r="AL24" i="32" s="1"/>
  <c r="M17" i="32"/>
  <c r="AI17" i="32" s="1"/>
  <c r="L12" i="32"/>
  <c r="AA11" i="32"/>
  <c r="AW11" i="32" s="1"/>
  <c r="O37" i="32"/>
  <c r="AK37" i="32" s="1"/>
  <c r="M41" i="32"/>
  <c r="N15" i="32"/>
  <c r="AJ15" i="32" s="1"/>
  <c r="N26" i="32"/>
  <c r="AJ26" i="32" s="1"/>
  <c r="K32" i="32"/>
  <c r="AG32" i="32" s="1"/>
  <c r="P34" i="32"/>
  <c r="AL34" i="32" s="1"/>
  <c r="AA25" i="32"/>
  <c r="AW25" i="32" s="1"/>
  <c r="V17" i="32"/>
  <c r="AR17" i="32" s="1"/>
  <c r="U25" i="32"/>
  <c r="AQ25" i="32" s="1"/>
  <c r="U16" i="32"/>
  <c r="AQ16" i="32" s="1"/>
  <c r="V37" i="32"/>
  <c r="AR37" i="32" s="1"/>
  <c r="Z30" i="32"/>
  <c r="X30" i="32"/>
  <c r="P30" i="32"/>
  <c r="M36" i="32"/>
  <c r="AI36" i="32" s="1"/>
  <c r="BE36" i="32" s="1"/>
  <c r="P11" i="32"/>
  <c r="O46" i="32"/>
  <c r="W44" i="32"/>
  <c r="AS44" i="32" s="1"/>
  <c r="AA17" i="32"/>
  <c r="AW17" i="32" s="1"/>
  <c r="O36" i="32"/>
  <c r="AK36" i="32" s="1"/>
  <c r="BG36" i="32" s="1"/>
  <c r="M12" i="32"/>
  <c r="N35" i="32"/>
  <c r="AJ35" i="32" s="1"/>
  <c r="N13" i="32"/>
  <c r="AJ13" i="32" s="1"/>
  <c r="K36" i="32"/>
  <c r="AG36" i="32" s="1"/>
  <c r="BC36" i="32" s="1"/>
  <c r="X16" i="32"/>
  <c r="AT16" i="32" s="1"/>
  <c r="W35" i="32"/>
  <c r="AS35" i="32" s="1"/>
  <c r="W30" i="32"/>
  <c r="X47" i="32"/>
  <c r="AT47" i="32" s="1"/>
  <c r="K16" i="32"/>
  <c r="AG16" i="32" s="1"/>
  <c r="K37" i="32"/>
  <c r="AG37" i="32" s="1"/>
  <c r="N21" i="32"/>
  <c r="AJ21" i="32" s="1"/>
  <c r="N12" i="32"/>
  <c r="M26" i="32"/>
  <c r="AI26" i="32" s="1"/>
  <c r="M46" i="32"/>
  <c r="O47" i="32"/>
  <c r="AK47" i="32" s="1"/>
  <c r="AA35" i="32"/>
  <c r="AW35" i="32" s="1"/>
  <c r="W34" i="32"/>
  <c r="L22" i="32"/>
  <c r="AH22" i="32" s="1"/>
  <c r="O35" i="32"/>
  <c r="AK35" i="32" s="1"/>
  <c r="Y42" i="32"/>
  <c r="AU42" i="32" s="1"/>
  <c r="P20" i="32"/>
  <c r="AL20" i="32" s="1"/>
  <c r="L17" i="32"/>
  <c r="AH17" i="32" s="1"/>
  <c r="P22" i="32"/>
  <c r="AL22" i="32" s="1"/>
  <c r="X23" i="32"/>
  <c r="AT23" i="32" s="1"/>
  <c r="Z19" i="32"/>
  <c r="AV19" i="32" s="1"/>
  <c r="V44" i="32"/>
  <c r="AR44" i="32" s="1"/>
  <c r="Z24" i="32"/>
  <c r="AV24" i="32" s="1"/>
  <c r="Y25" i="32"/>
  <c r="AU25" i="32" s="1"/>
  <c r="I22" i="32"/>
  <c r="AE22" i="32" s="1"/>
  <c r="I20" i="32"/>
  <c r="AE20" i="32" s="1"/>
  <c r="I13" i="32"/>
  <c r="AE13" i="32" s="1"/>
  <c r="I34" i="32"/>
  <c r="AE34" i="32" s="1"/>
  <c r="I11" i="32"/>
  <c r="I15" i="32"/>
  <c r="AE15" i="32" s="1"/>
  <c r="I12" i="32"/>
  <c r="I47" i="32"/>
  <c r="AE47" i="32" s="1"/>
  <c r="T18" i="32"/>
  <c r="AP18" i="32" s="1"/>
  <c r="T20" i="32"/>
  <c r="AP20" i="32" s="1"/>
  <c r="BA20" i="32" s="1"/>
  <c r="T47" i="32"/>
  <c r="AP47" i="32" s="1"/>
  <c r="T19" i="32"/>
  <c r="AP19" i="32" s="1"/>
  <c r="H15" i="32"/>
  <c r="AD15" i="32" s="1"/>
  <c r="H13" i="32"/>
  <c r="AD13" i="32" s="1"/>
  <c r="H34" i="32"/>
  <c r="AD34" i="32" s="1"/>
  <c r="H12" i="32"/>
  <c r="H36" i="32"/>
  <c r="AD36" i="32" s="1"/>
  <c r="AZ36" i="32" s="1"/>
  <c r="H32" i="32"/>
  <c r="AD32" i="32" s="1"/>
  <c r="H20" i="32"/>
  <c r="AD20" i="32" s="1"/>
  <c r="H37" i="32"/>
  <c r="AD37" i="32" s="1"/>
  <c r="R41" i="32"/>
  <c r="AN41" i="32" s="1"/>
  <c r="P31" i="32"/>
  <c r="AL31" i="32" s="1"/>
  <c r="X46" i="32"/>
  <c r="U49" i="32"/>
  <c r="AQ49" i="32" s="1"/>
  <c r="Y24" i="32"/>
  <c r="AU24" i="32" s="1"/>
  <c r="BF24" i="32" s="1"/>
  <c r="V23" i="32"/>
  <c r="AR23" i="32" s="1"/>
  <c r="Y48" i="32"/>
  <c r="AU48" i="32" s="1"/>
  <c r="L26" i="32"/>
  <c r="AH26" i="32" s="1"/>
  <c r="O34" i="32"/>
  <c r="AK34" i="32" s="1"/>
  <c r="P19" i="32"/>
  <c r="AL19" i="32" s="1"/>
  <c r="M37" i="32"/>
  <c r="AI37" i="32" s="1"/>
  <c r="L11" i="32"/>
  <c r="AH11" i="32" s="1"/>
  <c r="AA34" i="32"/>
  <c r="O42" i="32"/>
  <c r="AK42" i="32" s="1"/>
  <c r="M15" i="32"/>
  <c r="AI15" i="32" s="1"/>
  <c r="N11" i="32"/>
  <c r="N17" i="32"/>
  <c r="AJ17" i="32" s="1"/>
  <c r="K42" i="32"/>
  <c r="AG42" i="32" s="1"/>
  <c r="P48" i="32"/>
  <c r="AL48" i="32" s="1"/>
  <c r="T23" i="32"/>
  <c r="AP23" i="32" s="1"/>
  <c r="Z31" i="32"/>
  <c r="AV31" i="32" s="1"/>
  <c r="Z35" i="32"/>
  <c r="AV35" i="32" s="1"/>
  <c r="Y23" i="32"/>
  <c r="AU23" i="32" s="1"/>
  <c r="V32" i="32"/>
  <c r="AR32" i="32" s="1"/>
  <c r="Z48" i="32"/>
  <c r="AV48" i="32" s="1"/>
  <c r="X24" i="32"/>
  <c r="AT24" i="32" s="1"/>
  <c r="AA15" i="32"/>
  <c r="AW15" i="32" s="1"/>
  <c r="P42" i="32"/>
  <c r="AL42" i="32" s="1"/>
  <c r="Y47" i="32"/>
  <c r="AU47" i="32" s="1"/>
  <c r="L36" i="32"/>
  <c r="AH36" i="32" s="1"/>
  <c r="BD36" i="32" s="1"/>
  <c r="W48" i="32"/>
  <c r="AS48" i="32" s="1"/>
  <c r="AA30" i="32"/>
  <c r="O30" i="32"/>
  <c r="M16" i="32"/>
  <c r="AI16" i="32" s="1"/>
  <c r="N14" i="32"/>
  <c r="AJ14" i="32" s="1"/>
  <c r="K22" i="32"/>
  <c r="AG22" i="32" s="1"/>
  <c r="K30" i="32"/>
  <c r="L20" i="32"/>
  <c r="AH20" i="32" s="1"/>
  <c r="W49" i="32"/>
  <c r="AS49" i="32" s="1"/>
  <c r="X26" i="32"/>
  <c r="AT26" i="32" s="1"/>
  <c r="K34" i="32"/>
  <c r="AG34" i="32" s="1"/>
  <c r="K35" i="32"/>
  <c r="AG35" i="32" s="1"/>
  <c r="N23" i="32"/>
  <c r="AJ23" i="32" s="1"/>
  <c r="N46" i="32"/>
  <c r="M19" i="32"/>
  <c r="AI19" i="32" s="1"/>
  <c r="Z18" i="32"/>
  <c r="AV18" i="32" s="1"/>
  <c r="O31" i="32"/>
  <c r="AK31" i="32" s="1"/>
  <c r="AA21" i="32"/>
  <c r="AW21" i="32" s="1"/>
  <c r="W14" i="32"/>
  <c r="AS14" i="32" s="1"/>
  <c r="L41" i="32"/>
  <c r="O18" i="32"/>
  <c r="AK18" i="32" s="1"/>
  <c r="P15" i="32"/>
  <c r="AL15" i="32" s="1"/>
  <c r="P47" i="32"/>
  <c r="AL47" i="32" s="1"/>
  <c r="AA37" i="32"/>
  <c r="AW37" i="32" s="1"/>
  <c r="L13" i="32"/>
  <c r="AH13" i="32" s="1"/>
  <c r="X11" i="32"/>
  <c r="AT11" i="32" s="1"/>
  <c r="Z13" i="32"/>
  <c r="V13" i="32"/>
  <c r="Y20" i="32"/>
  <c r="AU20" i="32" s="1"/>
  <c r="U20" i="32"/>
  <c r="AQ20" i="32" s="1"/>
  <c r="I26" i="32"/>
  <c r="AE26" i="32" s="1"/>
  <c r="I23" i="32"/>
  <c r="AE23" i="32" s="1"/>
  <c r="I16" i="32"/>
  <c r="AE16" i="32" s="1"/>
  <c r="I35" i="32"/>
  <c r="AE35" i="32" s="1"/>
  <c r="I24" i="32"/>
  <c r="AE24" i="32" s="1"/>
  <c r="I30" i="32"/>
  <c r="I25" i="32"/>
  <c r="AE25" i="32" s="1"/>
  <c r="T11" i="32"/>
  <c r="AP11" i="32" s="1"/>
  <c r="T22" i="32"/>
  <c r="AP22" i="32" s="1"/>
  <c r="T26" i="32"/>
  <c r="AP26" i="32" s="1"/>
  <c r="T46" i="32"/>
  <c r="H19" i="32"/>
  <c r="AD19" i="32" s="1"/>
  <c r="H16" i="32"/>
  <c r="AD16" i="32" s="1"/>
  <c r="H35" i="32"/>
  <c r="AD35" i="32" s="1"/>
  <c r="H22" i="32"/>
  <c r="AD22" i="32" s="1"/>
  <c r="H42" i="32"/>
  <c r="AD42" i="32" s="1"/>
  <c r="H49" i="32"/>
  <c r="AD49" i="32" s="1"/>
  <c r="H44" i="32"/>
  <c r="AD44" i="32" s="1"/>
  <c r="H48" i="32"/>
  <c r="AD48" i="32" s="1"/>
  <c r="R31" i="32"/>
  <c r="AN31" i="32" s="1"/>
  <c r="X48" i="32"/>
  <c r="AT48" i="32" s="1"/>
  <c r="Y13" i="32"/>
  <c r="V25" i="32"/>
  <c r="AR25" i="32" s="1"/>
  <c r="X19" i="32"/>
  <c r="AT19" i="32" s="1"/>
  <c r="L48" i="32"/>
  <c r="AH48" i="32" s="1"/>
  <c r="L42" i="32"/>
  <c r="AH42" i="32" s="1"/>
  <c r="AA31" i="32"/>
  <c r="AW31" i="32" s="1"/>
  <c r="M31" i="32"/>
  <c r="AI31" i="32" s="1"/>
  <c r="K41" i="32"/>
  <c r="X44" i="32"/>
  <c r="AT44" i="32" s="1"/>
  <c r="U42" i="32"/>
  <c r="AQ42" i="32" s="1"/>
  <c r="Y45" i="32"/>
  <c r="AU45" i="32" s="1"/>
  <c r="Z11" i="32"/>
  <c r="AV11" i="32" s="1"/>
  <c r="AA42" i="32"/>
  <c r="AW42" i="32" s="1"/>
  <c r="W24" i="32"/>
  <c r="AS24" i="32" s="1"/>
  <c r="W16" i="32"/>
  <c r="AS16" i="32" s="1"/>
  <c r="Z46" i="32"/>
  <c r="N19" i="32"/>
  <c r="AJ19" i="32" s="1"/>
  <c r="AA41" i="32"/>
  <c r="AA16" i="32"/>
  <c r="AW16" i="32" s="1"/>
  <c r="X49" i="32"/>
  <c r="AT49" i="32" s="1"/>
  <c r="K49" i="32"/>
  <c r="AG49" i="32" s="1"/>
  <c r="N36" i="32"/>
  <c r="AJ36" i="32" s="1"/>
  <c r="BF36" i="32" s="1"/>
  <c r="O24" i="32"/>
  <c r="AK24" i="32" s="1"/>
  <c r="AA48" i="32"/>
  <c r="AW48" i="32" s="1"/>
  <c r="L24" i="32"/>
  <c r="AH24" i="32" s="1"/>
  <c r="P18" i="32"/>
  <c r="AL18" i="32" s="1"/>
  <c r="V18" i="32"/>
  <c r="AR18" i="32" s="1"/>
  <c r="Y19" i="32"/>
  <c r="AU19" i="32" s="1"/>
  <c r="V31" i="32"/>
  <c r="AR31" i="32" s="1"/>
  <c r="U41" i="32"/>
  <c r="I14" i="32"/>
  <c r="AE14" i="32" s="1"/>
  <c r="I44" i="32"/>
  <c r="AE44" i="32" s="1"/>
  <c r="I41" i="32"/>
  <c r="I42" i="32"/>
  <c r="AE42" i="32" s="1"/>
  <c r="T32" i="32"/>
  <c r="AP32" i="32" s="1"/>
  <c r="T25" i="32"/>
  <c r="AP25" i="32" s="1"/>
  <c r="H23" i="32"/>
  <c r="AD23" i="32" s="1"/>
  <c r="H41" i="32"/>
  <c r="H47" i="32"/>
  <c r="AD47" i="32" s="1"/>
  <c r="H18" i="32"/>
  <c r="AD18" i="32" s="1"/>
  <c r="R15" i="32"/>
  <c r="AN15" i="32" s="1"/>
  <c r="R49" i="32"/>
  <c r="AN49" i="32" s="1"/>
  <c r="R25" i="32"/>
  <c r="AN25" i="32" s="1"/>
  <c r="R21" i="32"/>
  <c r="AN21" i="32" s="1"/>
  <c r="R32" i="32"/>
  <c r="AN32" i="32" s="1"/>
  <c r="R24" i="32"/>
  <c r="AN24" i="32" s="1"/>
  <c r="J17" i="32"/>
  <c r="AF17" i="32" s="1"/>
  <c r="J11" i="32"/>
  <c r="J37" i="32"/>
  <c r="AF37" i="32" s="1"/>
  <c r="J26" i="32"/>
  <c r="AF26" i="32" s="1"/>
  <c r="J18" i="32"/>
  <c r="AF18" i="32" s="1"/>
  <c r="J16" i="32"/>
  <c r="AF16" i="32" s="1"/>
  <c r="J30" i="32"/>
  <c r="J35" i="32"/>
  <c r="AF35" i="32" s="1"/>
  <c r="S13" i="32"/>
  <c r="S26" i="32"/>
  <c r="AO26" i="32" s="1"/>
  <c r="S20" i="32"/>
  <c r="AO20" i="32" s="1"/>
  <c r="S41" i="32"/>
  <c r="S24" i="32"/>
  <c r="AO24" i="32" s="1"/>
  <c r="S49" i="32"/>
  <c r="AO49" i="32" s="1"/>
  <c r="S30" i="32"/>
  <c r="T35" i="32"/>
  <c r="AP35" i="32" s="1"/>
  <c r="G11" i="32"/>
  <c r="G13" i="32"/>
  <c r="AC13" i="32" s="1"/>
  <c r="G49" i="32"/>
  <c r="AC49" i="32" s="1"/>
  <c r="G18" i="32"/>
  <c r="AC18" i="32" s="1"/>
  <c r="G16" i="32"/>
  <c r="AC16" i="32" s="1"/>
  <c r="G20" i="32"/>
  <c r="AC20" i="32" s="1"/>
  <c r="G21" i="32"/>
  <c r="AC21" i="32" s="1"/>
  <c r="G24" i="32"/>
  <c r="AC24" i="32" s="1"/>
  <c r="U17" i="32"/>
  <c r="AQ17" i="32" s="1"/>
  <c r="U24" i="32"/>
  <c r="AQ24" i="32" s="1"/>
  <c r="Z32" i="32"/>
  <c r="AV32" i="32" s="1"/>
  <c r="Y18" i="32"/>
  <c r="AU18" i="32" s="1"/>
  <c r="O11" i="32"/>
  <c r="K15" i="32"/>
  <c r="AG15" i="32" s="1"/>
  <c r="U22" i="32"/>
  <c r="AQ22" i="32" s="1"/>
  <c r="W17" i="32"/>
  <c r="AS17" i="32" s="1"/>
  <c r="AA22" i="32"/>
  <c r="AW22" i="32" s="1"/>
  <c r="K25" i="32"/>
  <c r="AG25" i="32" s="1"/>
  <c r="O22" i="32"/>
  <c r="AK22" i="32" s="1"/>
  <c r="N16" i="32"/>
  <c r="AJ16" i="32" s="1"/>
  <c r="AA20" i="32"/>
  <c r="AW20" i="32" s="1"/>
  <c r="W32" i="32"/>
  <c r="AS32" i="32" s="1"/>
  <c r="W19" i="32"/>
  <c r="AS19" i="32" s="1"/>
  <c r="Y41" i="32"/>
  <c r="I32" i="32"/>
  <c r="AE32" i="32" s="1"/>
  <c r="I37" i="32"/>
  <c r="AE37" i="32" s="1"/>
  <c r="T16" i="32"/>
  <c r="AP16" i="32" s="1"/>
  <c r="H25" i="32"/>
  <c r="AD25" i="32" s="1"/>
  <c r="R14" i="32"/>
  <c r="AN14" i="32" s="1"/>
  <c r="R37" i="32"/>
  <c r="AN37" i="32" s="1"/>
  <c r="R17" i="32"/>
  <c r="AN17" i="32" s="1"/>
  <c r="T49" i="32"/>
  <c r="AP49" i="32" s="1"/>
  <c r="J25" i="32"/>
  <c r="AF25" i="32" s="1"/>
  <c r="J20" i="32"/>
  <c r="AF20" i="32" s="1"/>
  <c r="J36" i="32"/>
  <c r="AF36" i="32" s="1"/>
  <c r="BB36" i="32" s="1"/>
  <c r="J19" i="32"/>
  <c r="AF19" i="32" s="1"/>
  <c r="S17" i="32"/>
  <c r="AO17" i="32" s="1"/>
  <c r="S32" i="32"/>
  <c r="AO32" i="32" s="1"/>
  <c r="S34" i="32"/>
  <c r="S45" i="32"/>
  <c r="AO45" i="32" s="1"/>
  <c r="G32" i="32"/>
  <c r="AC32" i="32" s="1"/>
  <c r="G42" i="32"/>
  <c r="AC42" i="32" s="1"/>
  <c r="G35" i="32"/>
  <c r="AC35" i="32" s="1"/>
  <c r="U35" i="32"/>
  <c r="AQ35" i="32" s="1"/>
  <c r="Z16" i="32"/>
  <c r="AV16" i="32" s="1"/>
  <c r="BG16" i="32" s="1"/>
  <c r="Z34" i="32"/>
  <c r="W22" i="32"/>
  <c r="AS22" i="32" s="1"/>
  <c r="N22" i="32"/>
  <c r="AJ22" i="32" s="1"/>
  <c r="X21" i="32"/>
  <c r="AT21" i="32" s="1"/>
  <c r="V19" i="32"/>
  <c r="AR19" i="32" s="1"/>
  <c r="P21" i="32"/>
  <c r="AL21" i="32" s="1"/>
  <c r="O26" i="32"/>
  <c r="AK26" i="32" s="1"/>
  <c r="K17" i="32"/>
  <c r="AG17" i="32" s="1"/>
  <c r="V35" i="32"/>
  <c r="AR35" i="32" s="1"/>
  <c r="N44" i="32"/>
  <c r="AJ44" i="32" s="1"/>
  <c r="M30" i="32"/>
  <c r="L19" i="32"/>
  <c r="AH19" i="32" s="1"/>
  <c r="P26" i="32"/>
  <c r="AL26" i="32" s="1"/>
  <c r="V11" i="32"/>
  <c r="AR11" i="32" s="1"/>
  <c r="I31" i="32"/>
  <c r="AE31" i="32" s="1"/>
  <c r="I36" i="32"/>
  <c r="AE36" i="32" s="1"/>
  <c r="BA36" i="32" s="1"/>
  <c r="T48" i="32"/>
  <c r="AP48" i="32" s="1"/>
  <c r="H31" i="32"/>
  <c r="AD31" i="32" s="1"/>
  <c r="H14" i="32"/>
  <c r="AD14" i="32" s="1"/>
  <c r="R13" i="32"/>
  <c r="AN13" i="32" s="1"/>
  <c r="R16" i="32"/>
  <c r="AN16" i="32" s="1"/>
  <c r="R30" i="32"/>
  <c r="AN30" i="32" s="1"/>
  <c r="T21" i="32"/>
  <c r="AP21" i="32" s="1"/>
  <c r="J31" i="32"/>
  <c r="AF31" i="32" s="1"/>
  <c r="J23" i="32"/>
  <c r="AF23" i="32" s="1"/>
  <c r="J47" i="32"/>
  <c r="AF47" i="32" s="1"/>
  <c r="J34" i="32"/>
  <c r="AF34" i="32" s="1"/>
  <c r="S21" i="32"/>
  <c r="AO21" i="32" s="1"/>
  <c r="S37" i="32"/>
  <c r="AO37" i="32" s="1"/>
  <c r="S48" i="32"/>
  <c r="AO48" i="32" s="1"/>
  <c r="G19" i="32"/>
  <c r="AC19" i="32" s="1"/>
  <c r="G26" i="32"/>
  <c r="AC26" i="32" s="1"/>
  <c r="G34" i="32"/>
  <c r="AC34" i="32" s="1"/>
  <c r="G30" i="32"/>
  <c r="U19" i="32"/>
  <c r="AQ19" i="32" s="1"/>
  <c r="X22" i="32"/>
  <c r="AT22" i="32" s="1"/>
  <c r="V30" i="32"/>
  <c r="V42" i="32"/>
  <c r="AR42" i="32" s="1"/>
  <c r="W15" i="32"/>
  <c r="AS15" i="32" s="1"/>
  <c r="P17" i="32"/>
  <c r="AL17" i="32" s="1"/>
  <c r="L46" i="32"/>
  <c r="AA23" i="32"/>
  <c r="AW23" i="32" s="1"/>
  <c r="M22" i="32"/>
  <c r="AI22" i="32" s="1"/>
  <c r="K46" i="32"/>
  <c r="X34" i="32"/>
  <c r="V47" i="32"/>
  <c r="AR47" i="32" s="1"/>
  <c r="Y16" i="32"/>
  <c r="AU16" i="32" s="1"/>
  <c r="BF16" i="32" s="1"/>
  <c r="Y11" i="32"/>
  <c r="AU11" i="32" s="1"/>
  <c r="M24" i="32"/>
  <c r="AI24" i="32" s="1"/>
  <c r="M23" i="32"/>
  <c r="AI23" i="32" s="1"/>
  <c r="AA49" i="32"/>
  <c r="AW49" i="32" s="1"/>
  <c r="M35" i="32"/>
  <c r="AI35" i="32" s="1"/>
  <c r="N20" i="32"/>
  <c r="AJ20" i="32" s="1"/>
  <c r="P12" i="32"/>
  <c r="W47" i="32"/>
  <c r="AS47" i="32" s="1"/>
  <c r="P16" i="32"/>
  <c r="AL16" i="32" s="1"/>
  <c r="K26" i="32"/>
  <c r="AG26" i="32" s="1"/>
  <c r="N41" i="32"/>
  <c r="O17" i="32"/>
  <c r="AK17" i="32" s="1"/>
  <c r="W11" i="32"/>
  <c r="AS11" i="32" s="1"/>
  <c r="L49" i="32"/>
  <c r="AH49" i="32" s="1"/>
  <c r="P41" i="32"/>
  <c r="O41" i="32"/>
  <c r="U47" i="32"/>
  <c r="AQ47" i="32" s="1"/>
  <c r="Z49" i="32"/>
  <c r="AV49" i="32" s="1"/>
  <c r="U14" i="32"/>
  <c r="AQ14" i="32" s="1"/>
  <c r="I18" i="32"/>
  <c r="AE18" i="32" s="1"/>
  <c r="I49" i="32"/>
  <c r="AE49" i="32" s="1"/>
  <c r="I46" i="32"/>
  <c r="I21" i="32"/>
  <c r="AE21" i="32" s="1"/>
  <c r="T14" i="32"/>
  <c r="AP14" i="32" s="1"/>
  <c r="T37" i="32"/>
  <c r="AP37" i="32" s="1"/>
  <c r="T34" i="32"/>
  <c r="H33" i="32"/>
  <c r="AD33" i="32" s="1"/>
  <c r="H46" i="32"/>
  <c r="H17" i="32"/>
  <c r="AD17" i="32" s="1"/>
  <c r="H24" i="32"/>
  <c r="AD24" i="32" s="1"/>
  <c r="R19" i="32"/>
  <c r="AN19" i="32" s="1"/>
  <c r="R35" i="32"/>
  <c r="AN35" i="32" s="1"/>
  <c r="R46" i="32"/>
  <c r="AN46" i="32" s="1"/>
  <c r="R26" i="32"/>
  <c r="AN26" i="32" s="1"/>
  <c r="R22" i="32"/>
  <c r="AN22" i="32" s="1"/>
  <c r="R42" i="32"/>
  <c r="AN42" i="32" s="1"/>
  <c r="T15" i="32"/>
  <c r="AP15" i="32" s="1"/>
  <c r="T41" i="32"/>
  <c r="J21" i="32"/>
  <c r="AF21" i="32" s="1"/>
  <c r="J14" i="32"/>
  <c r="AF14" i="32" s="1"/>
  <c r="J48" i="32"/>
  <c r="AF48" i="32" s="1"/>
  <c r="J44" i="32"/>
  <c r="AF44" i="32" s="1"/>
  <c r="J33" i="32"/>
  <c r="AF33" i="32" s="1"/>
  <c r="J22" i="32"/>
  <c r="AF22" i="32" s="1"/>
  <c r="J42" i="32"/>
  <c r="AF42" i="32" s="1"/>
  <c r="J46" i="32"/>
  <c r="S16" i="32"/>
  <c r="AO16" i="32" s="1"/>
  <c r="AZ16" i="32" s="1"/>
  <c r="S35" i="32"/>
  <c r="AO35" i="32" s="1"/>
  <c r="S25" i="32"/>
  <c r="AO25" i="32" s="1"/>
  <c r="S42" i="32"/>
  <c r="AO42" i="32" s="1"/>
  <c r="S31" i="32"/>
  <c r="AO31" i="32" s="1"/>
  <c r="S11" i="32"/>
  <c r="AO11" i="32" s="1"/>
  <c r="S14" i="32"/>
  <c r="AO14" i="32" s="1"/>
  <c r="T17" i="32"/>
  <c r="AP17" i="32" s="1"/>
  <c r="G48" i="32"/>
  <c r="AC48" i="32" s="1"/>
  <c r="G17" i="32"/>
  <c r="AC17" i="32" s="1"/>
  <c r="G36" i="32"/>
  <c r="AC36" i="32" s="1"/>
  <c r="AY36" i="32" s="1"/>
  <c r="G23" i="32"/>
  <c r="AC23" i="32" s="1"/>
  <c r="G25" i="32"/>
  <c r="AC25" i="32" s="1"/>
  <c r="G46" i="32"/>
  <c r="G12" i="32"/>
  <c r="U18" i="32"/>
  <c r="AQ18" i="32" s="1"/>
  <c r="X25" i="32"/>
  <c r="AT25" i="32" s="1"/>
  <c r="P49" i="32"/>
  <c r="AL49" i="32" s="1"/>
  <c r="W23" i="32"/>
  <c r="AS23" i="32" s="1"/>
  <c r="N42" i="32"/>
  <c r="AJ42" i="32" s="1"/>
  <c r="X42" i="32"/>
  <c r="AT42" i="32" s="1"/>
  <c r="V24" i="32"/>
  <c r="AR24" i="32" s="1"/>
  <c r="P14" i="32"/>
  <c r="AL14" i="32" s="1"/>
  <c r="L35" i="32"/>
  <c r="AH35" i="32" s="1"/>
  <c r="M18" i="32"/>
  <c r="AI18" i="32" s="1"/>
  <c r="AA32" i="32"/>
  <c r="AW32" i="32" s="1"/>
  <c r="K33" i="32"/>
  <c r="AG33" i="32" s="1"/>
  <c r="M49" i="32"/>
  <c r="AI49" i="32" s="1"/>
  <c r="W25" i="32"/>
  <c r="AS25" i="32" s="1"/>
  <c r="L37" i="32"/>
  <c r="AH37" i="32" s="1"/>
  <c r="Z22" i="32"/>
  <c r="AV22" i="32" s="1"/>
  <c r="I19" i="32"/>
  <c r="AE19" i="32" s="1"/>
  <c r="I33" i="32"/>
  <c r="AE33" i="32" s="1"/>
  <c r="T24" i="32"/>
  <c r="AP24" i="32" s="1"/>
  <c r="H26" i="32"/>
  <c r="AD26" i="32" s="1"/>
  <c r="H21" i="32"/>
  <c r="AD21" i="32" s="1"/>
  <c r="R23" i="32"/>
  <c r="AN23" i="32" s="1"/>
  <c r="R34" i="32"/>
  <c r="AN34" i="32" s="1"/>
  <c r="R47" i="32"/>
  <c r="AN47" i="32" s="1"/>
  <c r="T42" i="32"/>
  <c r="AP42" i="32" s="1"/>
  <c r="J24" i="32"/>
  <c r="AF24" i="32" s="1"/>
  <c r="J49" i="32"/>
  <c r="AF49" i="32" s="1"/>
  <c r="J41" i="32"/>
  <c r="S19" i="32"/>
  <c r="AO19" i="32" s="1"/>
  <c r="S44" i="32"/>
  <c r="AO44" i="32" s="1"/>
  <c r="S15" i="32"/>
  <c r="AO15" i="32" s="1"/>
  <c r="S23" i="32"/>
  <c r="AO23" i="32" s="1"/>
  <c r="G37" i="32"/>
  <c r="AC37" i="32" s="1"/>
  <c r="AY37" i="32" s="1"/>
  <c r="G22" i="32"/>
  <c r="AC22" i="32" s="1"/>
  <c r="G47" i="32"/>
  <c r="AC47" i="32" s="1"/>
  <c r="G41" i="32"/>
  <c r="AC41" i="32" s="1"/>
  <c r="Y17" i="32"/>
  <c r="AU17" i="32" s="1"/>
  <c r="Z21" i="32"/>
  <c r="AV21" i="32" s="1"/>
  <c r="W21" i="32"/>
  <c r="AS21" i="32" s="1"/>
  <c r="O12" i="32"/>
  <c r="K12" i="32"/>
  <c r="U45" i="32"/>
  <c r="AQ45" i="32" s="1"/>
  <c r="O15" i="32"/>
  <c r="AK15" i="32" s="1"/>
  <c r="L33" i="32"/>
  <c r="AH33" i="32" s="1"/>
  <c r="N47" i="32"/>
  <c r="AJ47" i="32" s="1"/>
  <c r="O49" i="32"/>
  <c r="AK49" i="32" s="1"/>
  <c r="K11" i="32"/>
  <c r="AA24" i="32"/>
  <c r="AW24" i="32" s="1"/>
  <c r="AA13" i="32"/>
  <c r="X15" i="32"/>
  <c r="AT15" i="32" s="1"/>
  <c r="Y15" i="32"/>
  <c r="AU15" i="32" s="1"/>
  <c r="I17" i="32"/>
  <c r="AE17" i="32" s="1"/>
  <c r="I48" i="32"/>
  <c r="AE48" i="32" s="1"/>
  <c r="T44" i="32"/>
  <c r="AP44" i="32" s="1"/>
  <c r="H11" i="32"/>
  <c r="H30" i="32"/>
  <c r="R48" i="32"/>
  <c r="AN48" i="32" s="1"/>
  <c r="R20" i="32"/>
  <c r="AN20" i="32" s="1"/>
  <c r="R18" i="32"/>
  <c r="AN18" i="32" s="1"/>
  <c r="AY18" i="32" s="1"/>
  <c r="R11" i="32"/>
  <c r="AN11" i="32" s="1"/>
  <c r="J13" i="32"/>
  <c r="AF13" i="32" s="1"/>
  <c r="J32" i="32"/>
  <c r="AF32" i="32" s="1"/>
  <c r="J12" i="32"/>
  <c r="J15" i="32"/>
  <c r="AF15" i="32" s="1"/>
  <c r="S22" i="32"/>
  <c r="AO22" i="32" s="1"/>
  <c r="S47" i="32"/>
  <c r="AO47" i="32" s="1"/>
  <c r="S18" i="32"/>
  <c r="AO18" i="32" s="1"/>
  <c r="S46" i="32"/>
  <c r="T45" i="32"/>
  <c r="AP45" i="32" s="1"/>
  <c r="G33" i="32"/>
  <c r="AC33" i="32" s="1"/>
  <c r="G14" i="32"/>
  <c r="AC14" i="32" s="1"/>
  <c r="G31" i="32"/>
  <c r="AC31" i="32" s="1"/>
  <c r="G15" i="32"/>
  <c r="AC15" i="32" s="1"/>
  <c r="U11" i="32"/>
  <c r="AQ11" i="32" s="1"/>
  <c r="B13" i="31"/>
  <c r="H15" i="31"/>
  <c r="I15" i="31"/>
  <c r="I30" i="33"/>
  <c r="G23" i="33"/>
  <c r="F25" i="33"/>
  <c r="F134" i="33"/>
  <c r="H21" i="33"/>
  <c r="G39" i="33"/>
  <c r="H254" i="33"/>
  <c r="H238" i="33"/>
  <c r="H239" i="33"/>
  <c r="H219" i="33"/>
  <c r="H75" i="33"/>
  <c r="H74" i="33"/>
  <c r="H127" i="33"/>
  <c r="H112" i="33"/>
  <c r="H146" i="33"/>
  <c r="H93" i="33"/>
  <c r="H7" i="33"/>
  <c r="H20" i="33"/>
  <c r="G113" i="33"/>
  <c r="H103" i="33"/>
  <c r="H147" i="33"/>
  <c r="F97" i="33"/>
  <c r="F96" i="33"/>
  <c r="G109" i="33"/>
  <c r="G110" i="33"/>
  <c r="G111" i="33"/>
  <c r="H122" i="33"/>
  <c r="L194" i="33"/>
  <c r="K204" i="33"/>
  <c r="I204" i="33"/>
  <c r="G76" i="33"/>
  <c r="H66" i="33"/>
  <c r="G274" i="33"/>
  <c r="G254" i="33"/>
  <c r="G239" i="33"/>
  <c r="G238" i="33"/>
  <c r="G237" i="33"/>
  <c r="G273" i="33"/>
  <c r="G257" i="33"/>
  <c r="G221" i="33"/>
  <c r="G220" i="33"/>
  <c r="G219" i="33"/>
  <c r="G255" i="33"/>
  <c r="G203" i="33"/>
  <c r="G202" i="33"/>
  <c r="G200" i="33"/>
  <c r="G183" i="33"/>
  <c r="G275" i="33"/>
  <c r="G272" i="33"/>
  <c r="G148" i="33"/>
  <c r="G182" i="33"/>
  <c r="G181" i="33"/>
  <c r="G166" i="33"/>
  <c r="G147" i="33"/>
  <c r="G146" i="33"/>
  <c r="G145" i="33"/>
  <c r="G93" i="33"/>
  <c r="G92" i="33"/>
  <c r="G91" i="33"/>
  <c r="G90" i="33"/>
  <c r="G165" i="33"/>
  <c r="G75" i="33"/>
  <c r="G74" i="33"/>
  <c r="G73" i="33"/>
  <c r="G72" i="33"/>
  <c r="F8" i="33"/>
  <c r="F10" i="33" s="1"/>
  <c r="G20" i="33"/>
  <c r="G21" i="33"/>
  <c r="G127" i="33"/>
  <c r="G128" i="33"/>
  <c r="G129" i="33"/>
  <c r="G130" i="33"/>
  <c r="I167" i="33"/>
  <c r="J158" i="33"/>
  <c r="G164" i="33"/>
  <c r="J204" i="33"/>
  <c r="H85" i="33"/>
  <c r="H140" i="33"/>
  <c r="G201" i="33"/>
  <c r="G204" i="33"/>
  <c r="G236" i="33"/>
  <c r="G218" i="33"/>
  <c r="F277" i="33"/>
  <c r="R45" i="32"/>
  <c r="AN45" i="32" s="1"/>
  <c r="AY45" i="32" s="1"/>
  <c r="R44" i="32"/>
  <c r="AN44" i="32" s="1"/>
  <c r="G44" i="32"/>
  <c r="AC44" i="32" s="1"/>
  <c r="AZ48" i="32" l="1"/>
  <c r="BA16" i="32"/>
  <c r="AZ20" i="32"/>
  <c r="BD16" i="32"/>
  <c r="BC24" i="32"/>
  <c r="H92" i="33"/>
  <c r="H55" i="33"/>
  <c r="H130" i="33"/>
  <c r="H237" i="33"/>
  <c r="H183" i="33"/>
  <c r="H272" i="33"/>
  <c r="H236" i="33"/>
  <c r="H241" i="33" s="1"/>
  <c r="H145" i="33"/>
  <c r="H109" i="33"/>
  <c r="H164" i="33"/>
  <c r="H218" i="33"/>
  <c r="H223" i="33" s="1"/>
  <c r="H200" i="33"/>
  <c r="H257" i="33"/>
  <c r="I48" i="33"/>
  <c r="F15" i="31"/>
  <c r="I13" i="9" s="1"/>
  <c r="H38" i="33"/>
  <c r="H91" i="33"/>
  <c r="H163" i="33"/>
  <c r="H53" i="33"/>
  <c r="H110" i="33"/>
  <c r="H128" i="33"/>
  <c r="H72" i="33"/>
  <c r="H165" i="33"/>
  <c r="H181" i="33"/>
  <c r="H274" i="33"/>
  <c r="H277" i="33" s="1"/>
  <c r="H202" i="33"/>
  <c r="H255" i="33"/>
  <c r="H273" i="33"/>
  <c r="I2" i="33"/>
  <c r="I207" i="33" s="1"/>
  <c r="I208" i="33" s="1"/>
  <c r="G277" i="33"/>
  <c r="H201" i="33"/>
  <c r="H148" i="33"/>
  <c r="H166" i="33"/>
  <c r="H54" i="33"/>
  <c r="H111" i="33"/>
  <c r="H129" i="33"/>
  <c r="H73" i="33"/>
  <c r="H221" i="33"/>
  <c r="H182" i="33"/>
  <c r="H275" i="33"/>
  <c r="H203" i="33"/>
  <c r="H256" i="33"/>
  <c r="H90" i="33"/>
  <c r="H35" i="33"/>
  <c r="I243" i="33"/>
  <c r="I244" i="33" s="1"/>
  <c r="H36" i="33"/>
  <c r="G168" i="33"/>
  <c r="G15" i="31"/>
  <c r="J13" i="9" s="1"/>
  <c r="H37" i="33"/>
  <c r="H8" i="33"/>
  <c r="H10" i="33" s="1"/>
  <c r="H184" i="33"/>
  <c r="H186" i="33" s="1"/>
  <c r="J15" i="31"/>
  <c r="M13" i="9" s="1"/>
  <c r="F43" i="33"/>
  <c r="G114" i="33"/>
  <c r="G57" i="33"/>
  <c r="F135" i="33"/>
  <c r="F60" i="33"/>
  <c r="F98" i="33"/>
  <c r="K15" i="31"/>
  <c r="F169" i="33"/>
  <c r="F170" i="33"/>
  <c r="F292" i="33" s="1"/>
  <c r="C15" i="31"/>
  <c r="F13" i="9" s="1"/>
  <c r="E9" i="37"/>
  <c r="D15" i="31"/>
  <c r="G13" i="9" s="1"/>
  <c r="F9" i="37"/>
  <c r="AY19" i="32"/>
  <c r="BE24" i="32"/>
  <c r="BB16" i="32"/>
  <c r="BC16" i="32"/>
  <c r="AY16" i="32"/>
  <c r="BH24" i="32"/>
  <c r="AY47" i="32"/>
  <c r="BH20" i="32"/>
  <c r="BA24" i="32"/>
  <c r="AF12" i="32"/>
  <c r="AY48" i="32"/>
  <c r="AY26" i="32"/>
  <c r="BB24" i="32"/>
  <c r="AY21" i="32"/>
  <c r="BE16" i="32"/>
  <c r="BG20" i="32"/>
  <c r="AZ24" i="32"/>
  <c r="BH16" i="32"/>
  <c r="BB20" i="32"/>
  <c r="BD20" i="32"/>
  <c r="AY35" i="32"/>
  <c r="AY24" i="32"/>
  <c r="BD24" i="32"/>
  <c r="BF20" i="32"/>
  <c r="BG24" i="32"/>
  <c r="BC20" i="32"/>
  <c r="AY14" i="32"/>
  <c r="AY25" i="32"/>
  <c r="AW13" i="32"/>
  <c r="AW12" i="32" s="1"/>
  <c r="AW27" i="32" s="1"/>
  <c r="AA12" i="32"/>
  <c r="AA27" i="32" s="1"/>
  <c r="J50" i="32"/>
  <c r="AF46" i="32"/>
  <c r="AF50" i="32" s="1"/>
  <c r="AP34" i="32"/>
  <c r="T33" i="32"/>
  <c r="AP33" i="32" s="1"/>
  <c r="AH46" i="32"/>
  <c r="AH50" i="32" s="1"/>
  <c r="L50" i="32"/>
  <c r="AV34" i="32"/>
  <c r="Z33" i="32"/>
  <c r="AV33" i="32" s="1"/>
  <c r="AG41" i="32"/>
  <c r="K43" i="32"/>
  <c r="AG43" i="32" s="1"/>
  <c r="AG30" i="32"/>
  <c r="AG38" i="32" s="1"/>
  <c r="K38" i="32"/>
  <c r="AW34" i="32"/>
  <c r="AA33" i="32"/>
  <c r="AW33" i="32" s="1"/>
  <c r="AD12" i="32"/>
  <c r="AI41" i="32"/>
  <c r="M43" i="32"/>
  <c r="AI43" i="32" s="1"/>
  <c r="AO46" i="32"/>
  <c r="AO50" i="32" s="1"/>
  <c r="S50" i="32"/>
  <c r="AD30" i="32"/>
  <c r="H38" i="32"/>
  <c r="J43" i="32"/>
  <c r="AF43" i="32" s="1"/>
  <c r="AF41" i="32"/>
  <c r="AN50" i="32"/>
  <c r="AN12" i="32"/>
  <c r="AN27" i="32" s="1"/>
  <c r="AY13" i="32"/>
  <c r="G27" i="32"/>
  <c r="AC11" i="32"/>
  <c r="S12" i="32"/>
  <c r="S27" i="32" s="1"/>
  <c r="AO13" i="32"/>
  <c r="AO12" i="32" s="1"/>
  <c r="AO27" i="32" s="1"/>
  <c r="AJ46" i="32"/>
  <c r="AJ50" i="32" s="1"/>
  <c r="N50" i="32"/>
  <c r="AJ11" i="32"/>
  <c r="N27" i="32"/>
  <c r="AY41" i="32"/>
  <c r="AS34" i="32"/>
  <c r="W33" i="32"/>
  <c r="AS33" i="32" s="1"/>
  <c r="AK46" i="32"/>
  <c r="AK50" i="32" s="1"/>
  <c r="O50" i="32"/>
  <c r="AT30" i="32"/>
  <c r="AL12" i="32"/>
  <c r="AQ30" i="32"/>
  <c r="AR41" i="32"/>
  <c r="V43" i="32"/>
  <c r="AR43" i="32" s="1"/>
  <c r="AD11" i="32"/>
  <c r="H27" i="32"/>
  <c r="AG11" i="32"/>
  <c r="K27" i="32"/>
  <c r="AY34" i="32"/>
  <c r="G50" i="32"/>
  <c r="AC46" i="32"/>
  <c r="AC50" i="32" s="1"/>
  <c r="AY42" i="32"/>
  <c r="H50" i="32"/>
  <c r="AD46" i="32"/>
  <c r="AD50" i="32" s="1"/>
  <c r="AK41" i="32"/>
  <c r="O43" i="32"/>
  <c r="AK43" i="32" s="1"/>
  <c r="AK12" i="32"/>
  <c r="AI12" i="32"/>
  <c r="AI30" i="32"/>
  <c r="M38" i="32"/>
  <c r="AU41" i="32"/>
  <c r="Y43" i="32"/>
  <c r="AU43" i="32" s="1"/>
  <c r="S43" i="32"/>
  <c r="AO43" i="32" s="1"/>
  <c r="AO41" i="32"/>
  <c r="AY49" i="32"/>
  <c r="AD41" i="32"/>
  <c r="H43" i="32"/>
  <c r="AD43" i="32" s="1"/>
  <c r="U43" i="32"/>
  <c r="AQ43" i="32" s="1"/>
  <c r="AQ41" i="32"/>
  <c r="AW41" i="32"/>
  <c r="AA43" i="32"/>
  <c r="AW43" i="32" s="1"/>
  <c r="AP46" i="32"/>
  <c r="AP50" i="32" s="1"/>
  <c r="T50" i="32"/>
  <c r="AH12" i="32"/>
  <c r="AH27" i="32" s="1"/>
  <c r="AI38" i="32"/>
  <c r="V50" i="32"/>
  <c r="AR50" i="32"/>
  <c r="AL11" i="32"/>
  <c r="P27" i="32"/>
  <c r="AV30" i="32"/>
  <c r="AS41" i="32"/>
  <c r="W43" i="32"/>
  <c r="AS43" i="32" s="1"/>
  <c r="AQ13" i="32"/>
  <c r="AQ12" i="32" s="1"/>
  <c r="AQ27" i="32" s="1"/>
  <c r="U12" i="32"/>
  <c r="U27" i="32" s="1"/>
  <c r="AQ46" i="32"/>
  <c r="AQ50" i="32" s="1"/>
  <c r="U50" i="32"/>
  <c r="AU46" i="32"/>
  <c r="AU50" i="32" s="1"/>
  <c r="Y50" i="32"/>
  <c r="Y33" i="32"/>
  <c r="AU33" i="32" s="1"/>
  <c r="AU34" i="32"/>
  <c r="AP30" i="32"/>
  <c r="AI11" i="32"/>
  <c r="M27" i="32"/>
  <c r="AS46" i="32"/>
  <c r="AS50" i="32" s="1"/>
  <c r="W50" i="32"/>
  <c r="AS13" i="32"/>
  <c r="AS12" i="32" s="1"/>
  <c r="AS27" i="32" s="1"/>
  <c r="W12" i="32"/>
  <c r="W27" i="32" s="1"/>
  <c r="AT41" i="32"/>
  <c r="X43" i="32"/>
  <c r="AT43" i="32" s="1"/>
  <c r="AP41" i="32"/>
  <c r="T43" i="32"/>
  <c r="AP43" i="32" s="1"/>
  <c r="AE46" i="32"/>
  <c r="AE50" i="32" s="1"/>
  <c r="I50" i="32"/>
  <c r="AT34" i="32"/>
  <c r="X33" i="32"/>
  <c r="AT33" i="32" s="1"/>
  <c r="AR30" i="32"/>
  <c r="AC12" i="32"/>
  <c r="AF11" i="32"/>
  <c r="AF27" i="32" s="1"/>
  <c r="J27" i="32"/>
  <c r="AV46" i="32"/>
  <c r="AV50" i="32" s="1"/>
  <c r="Z50" i="32"/>
  <c r="AV13" i="32"/>
  <c r="AV12" i="32" s="1"/>
  <c r="AV27" i="32" s="1"/>
  <c r="Z12" i="32"/>
  <c r="Z27" i="32" s="1"/>
  <c r="AK30" i="32"/>
  <c r="AK38" i="32" s="1"/>
  <c r="O38" i="32"/>
  <c r="AI46" i="32"/>
  <c r="AI50" i="32" s="1"/>
  <c r="M50" i="32"/>
  <c r="AL30" i="32"/>
  <c r="AL38" i="32" s="1"/>
  <c r="P38" i="32"/>
  <c r="AP13" i="32"/>
  <c r="AP12" i="32" s="1"/>
  <c r="AP27" i="32" s="1"/>
  <c r="T12" i="32"/>
  <c r="T27" i="32" s="1"/>
  <c r="AQ34" i="32"/>
  <c r="U33" i="32"/>
  <c r="AQ33" i="32" s="1"/>
  <c r="AL46" i="32"/>
  <c r="AL50" i="32" s="1"/>
  <c r="P50" i="32"/>
  <c r="AH30" i="32"/>
  <c r="AH38" i="32" s="1"/>
  <c r="L38" i="32"/>
  <c r="AG46" i="32"/>
  <c r="K50" i="32"/>
  <c r="O27" i="32"/>
  <c r="AK11" i="32"/>
  <c r="AY31" i="32"/>
  <c r="AW30" i="32"/>
  <c r="I27" i="32"/>
  <c r="AE11" i="32"/>
  <c r="AV41" i="32"/>
  <c r="Z43" i="32"/>
  <c r="AV43" i="32" s="1"/>
  <c r="AR34" i="32"/>
  <c r="V33" i="32"/>
  <c r="AR33" i="32" s="1"/>
  <c r="AJ30" i="32"/>
  <c r="AJ38" i="32" s="1"/>
  <c r="N38" i="32"/>
  <c r="AY20" i="32"/>
  <c r="AY23" i="32"/>
  <c r="AY22" i="32"/>
  <c r="P43" i="32"/>
  <c r="AL43" i="32" s="1"/>
  <c r="AL41" i="32"/>
  <c r="AJ41" i="32"/>
  <c r="N43" i="32"/>
  <c r="AJ43" i="32" s="1"/>
  <c r="AC30" i="32"/>
  <c r="AY30" i="32" s="1"/>
  <c r="G38" i="32"/>
  <c r="AO34" i="32"/>
  <c r="S33" i="32"/>
  <c r="AO33" i="32" s="1"/>
  <c r="AY17" i="32"/>
  <c r="AO30" i="32"/>
  <c r="AF30" i="32"/>
  <c r="AF38" i="32" s="1"/>
  <c r="J38" i="32"/>
  <c r="AY32" i="32"/>
  <c r="AY15" i="32"/>
  <c r="AE41" i="32"/>
  <c r="I43" i="32"/>
  <c r="AE43" i="32" s="1"/>
  <c r="L27" i="32"/>
  <c r="AJ12" i="32"/>
  <c r="Y12" i="32"/>
  <c r="Y27" i="32" s="1"/>
  <c r="AU13" i="32"/>
  <c r="AU12" i="32" s="1"/>
  <c r="AU27" i="32" s="1"/>
  <c r="AE30" i="32"/>
  <c r="AE38" i="32" s="1"/>
  <c r="I38" i="32"/>
  <c r="AR13" i="32"/>
  <c r="AR12" i="32" s="1"/>
  <c r="AR27" i="32" s="1"/>
  <c r="V12" i="32"/>
  <c r="V27" i="32" s="1"/>
  <c r="L43" i="32"/>
  <c r="AH43" i="32" s="1"/>
  <c r="AH41" i="32"/>
  <c r="AT46" i="32"/>
  <c r="AT50" i="32" s="1"/>
  <c r="X50" i="32"/>
  <c r="AE12" i="32"/>
  <c r="AS30" i="32"/>
  <c r="AT13" i="32"/>
  <c r="AT12" i="32" s="1"/>
  <c r="AT27" i="32" s="1"/>
  <c r="X12" i="32"/>
  <c r="X27" i="32" s="1"/>
  <c r="AW46" i="32"/>
  <c r="AW50" i="32" s="1"/>
  <c r="AA50" i="32"/>
  <c r="AU30" i="32"/>
  <c r="AG12" i="32"/>
  <c r="AY44" i="32"/>
  <c r="AZ47" i="32"/>
  <c r="BA15" i="32"/>
  <c r="AZ15" i="32"/>
  <c r="AZ14" i="32"/>
  <c r="AZ17" i="32"/>
  <c r="AZ18" i="32"/>
  <c r="AZ21" i="32"/>
  <c r="AZ25" i="32"/>
  <c r="AZ19" i="32"/>
  <c r="AZ45" i="32"/>
  <c r="AZ49" i="32"/>
  <c r="K13" i="9"/>
  <c r="L13" i="9"/>
  <c r="E14" i="9"/>
  <c r="I140" i="33"/>
  <c r="H149" i="33"/>
  <c r="L204" i="33"/>
  <c r="M194" i="33"/>
  <c r="H113" i="33"/>
  <c r="I103" i="33"/>
  <c r="H11" i="33"/>
  <c r="I9" i="33"/>
  <c r="I39" i="33"/>
  <c r="J30" i="33"/>
  <c r="G223" i="33"/>
  <c r="G22" i="33"/>
  <c r="G24" i="33" s="1"/>
  <c r="G241" i="33"/>
  <c r="J167" i="33"/>
  <c r="K158" i="33"/>
  <c r="G9" i="33"/>
  <c r="F11" i="33"/>
  <c r="G77" i="33"/>
  <c r="G205" i="33"/>
  <c r="G259" i="33"/>
  <c r="I275" i="33"/>
  <c r="I165" i="33"/>
  <c r="I182" i="33"/>
  <c r="I73" i="33"/>
  <c r="H76" i="33"/>
  <c r="I66" i="33"/>
  <c r="I85" i="33"/>
  <c r="H94" i="33"/>
  <c r="H131" i="33"/>
  <c r="I122" i="33"/>
  <c r="I56" i="33"/>
  <c r="J48" i="33"/>
  <c r="G132" i="33"/>
  <c r="G95" i="33"/>
  <c r="G150" i="33"/>
  <c r="G186" i="33"/>
  <c r="H22" i="33"/>
  <c r="H24" i="33" s="1"/>
  <c r="G40" i="33"/>
  <c r="BA21" i="32"/>
  <c r="BA18" i="32"/>
  <c r="BA35" i="32"/>
  <c r="BA45" i="32"/>
  <c r="R50" i="32"/>
  <c r="R43" i="32"/>
  <c r="AN43" i="32" s="1"/>
  <c r="AZ32" i="32"/>
  <c r="AZ42" i="32"/>
  <c r="BA14" i="32"/>
  <c r="BA23" i="32"/>
  <c r="BA44" i="32"/>
  <c r="R12" i="32"/>
  <c r="R33" i="32"/>
  <c r="AN33" i="32" s="1"/>
  <c r="G43" i="32"/>
  <c r="AZ23" i="32"/>
  <c r="BA22" i="32"/>
  <c r="BA17" i="32"/>
  <c r="BA19" i="32"/>
  <c r="BA26" i="32"/>
  <c r="BA47" i="32"/>
  <c r="BA48" i="32"/>
  <c r="BB49" i="32"/>
  <c r="AZ26" i="32"/>
  <c r="AZ31" i="32"/>
  <c r="AZ22" i="32"/>
  <c r="AZ35" i="32"/>
  <c r="AZ44" i="32"/>
  <c r="BB44" i="32"/>
  <c r="BA25" i="32"/>
  <c r="BA32" i="32"/>
  <c r="BA31" i="32"/>
  <c r="BA42" i="32"/>
  <c r="BA49" i="32"/>
  <c r="H205" i="33" l="1"/>
  <c r="H114" i="33"/>
  <c r="F297" i="33"/>
  <c r="F296" i="33"/>
  <c r="B6" i="31" s="1"/>
  <c r="D9" i="37" s="1"/>
  <c r="O9" i="37" s="1"/>
  <c r="I148" i="33"/>
  <c r="I55" i="33"/>
  <c r="I183" i="33"/>
  <c r="H95" i="33"/>
  <c r="I20" i="33"/>
  <c r="I220" i="33"/>
  <c r="I112" i="33"/>
  <c r="I237" i="33"/>
  <c r="F291" i="33"/>
  <c r="F293" i="33" s="1"/>
  <c r="I146" i="33"/>
  <c r="I38" i="33"/>
  <c r="I130" i="33"/>
  <c r="I257" i="33"/>
  <c r="H259" i="33"/>
  <c r="H57" i="33"/>
  <c r="E11" i="37"/>
  <c r="P11" i="37" s="1"/>
  <c r="P9" i="37"/>
  <c r="F11" i="37"/>
  <c r="Q11" i="37" s="1"/>
  <c r="Q9" i="37"/>
  <c r="I74" i="33"/>
  <c r="I92" i="33"/>
  <c r="I127" i="33"/>
  <c r="I184" i="33"/>
  <c r="I6" i="33"/>
  <c r="I93" i="33"/>
  <c r="I200" i="33"/>
  <c r="I109" i="33"/>
  <c r="I239" i="33"/>
  <c r="I203" i="33"/>
  <c r="I255" i="33"/>
  <c r="I147" i="33"/>
  <c r="I35" i="33"/>
  <c r="I202" i="33"/>
  <c r="I201" i="33"/>
  <c r="I166" i="33"/>
  <c r="I272" i="33"/>
  <c r="I219" i="33"/>
  <c r="J2" i="33"/>
  <c r="J203" i="33" s="1"/>
  <c r="I75" i="33"/>
  <c r="I36" i="33"/>
  <c r="I145" i="33"/>
  <c r="I53" i="33"/>
  <c r="I57" i="33" s="1"/>
  <c r="I110" i="33"/>
  <c r="I128" i="33"/>
  <c r="I163" i="33"/>
  <c r="I221" i="33"/>
  <c r="I218" i="33"/>
  <c r="I273" i="33"/>
  <c r="H132" i="33"/>
  <c r="I21" i="33"/>
  <c r="I22" i="33" s="1"/>
  <c r="I72" i="33"/>
  <c r="I91" i="33"/>
  <c r="I90" i="33"/>
  <c r="I37" i="33"/>
  <c r="I40" i="33" s="1"/>
  <c r="I181" i="33"/>
  <c r="I186" i="33" s="1"/>
  <c r="I54" i="33"/>
  <c r="I111" i="33"/>
  <c r="I129" i="33"/>
  <c r="I164" i="33"/>
  <c r="I238" i="33"/>
  <c r="I236" i="33"/>
  <c r="I256" i="33"/>
  <c r="I274" i="33"/>
  <c r="I277" i="33" s="1"/>
  <c r="H150" i="33"/>
  <c r="H40" i="33"/>
  <c r="H168" i="33"/>
  <c r="H77" i="33"/>
  <c r="I7" i="33"/>
  <c r="I79" i="33"/>
  <c r="I279" i="33"/>
  <c r="I254" i="33"/>
  <c r="I152" i="33"/>
  <c r="I188" i="33"/>
  <c r="I225" i="33"/>
  <c r="I226" i="33" s="1"/>
  <c r="F171" i="33"/>
  <c r="F284" i="33" s="1"/>
  <c r="F295" i="33" s="1"/>
  <c r="AA38" i="32"/>
  <c r="H51" i="32"/>
  <c r="H53" i="32" s="1"/>
  <c r="AG50" i="32"/>
  <c r="BC46" i="32"/>
  <c r="AR38" i="32"/>
  <c r="AR51" i="32" s="1"/>
  <c r="Q5" i="31" s="1"/>
  <c r="O51" i="32"/>
  <c r="O53" i="32" s="1"/>
  <c r="AS38" i="32"/>
  <c r="AS51" i="32" s="1"/>
  <c r="R5" i="31" s="1"/>
  <c r="Y38" i="32"/>
  <c r="Y51" i="32" s="1"/>
  <c r="Y53" i="32" s="1"/>
  <c r="Z38" i="32"/>
  <c r="Z51" i="32" s="1"/>
  <c r="Z53" i="32" s="1"/>
  <c r="AU38" i="32"/>
  <c r="AV38" i="32"/>
  <c r="AV51" i="32" s="1"/>
  <c r="U5" i="31" s="1"/>
  <c r="AZ30" i="32"/>
  <c r="AP38" i="32"/>
  <c r="AP51" i="32" s="1"/>
  <c r="O5" i="31" s="1"/>
  <c r="F6" i="37" s="1"/>
  <c r="Q6" i="37" s="1"/>
  <c r="S38" i="32"/>
  <c r="S51" i="32" s="1"/>
  <c r="S53" i="32" s="1"/>
  <c r="AJ27" i="32"/>
  <c r="AJ51" i="32" s="1"/>
  <c r="K51" i="32"/>
  <c r="K53" i="32" s="1"/>
  <c r="M51" i="32"/>
  <c r="M53" i="32" s="1"/>
  <c r="AK27" i="32"/>
  <c r="AK51" i="32" s="1"/>
  <c r="AF51" i="32"/>
  <c r="AI27" i="32"/>
  <c r="AI51" i="32" s="1"/>
  <c r="AL27" i="32"/>
  <c r="AL51" i="32" s="1"/>
  <c r="AD38" i="32"/>
  <c r="AG27" i="32"/>
  <c r="AG51" i="32" s="1"/>
  <c r="AY12" i="32"/>
  <c r="AH51" i="32"/>
  <c r="AU51" i="32"/>
  <c r="T5" i="31" s="1"/>
  <c r="AT38" i="32"/>
  <c r="AT51" i="32" s="1"/>
  <c r="S5" i="31" s="1"/>
  <c r="AC27" i="32"/>
  <c r="AY27" i="32" s="1"/>
  <c r="BA30" i="32"/>
  <c r="W38" i="32"/>
  <c r="W51" i="32" s="1"/>
  <c r="W53" i="32" s="1"/>
  <c r="AE27" i="32"/>
  <c r="AE51" i="32" s="1"/>
  <c r="V38" i="32"/>
  <c r="V51" i="32" s="1"/>
  <c r="V53" i="32" s="1"/>
  <c r="T38" i="32"/>
  <c r="T51" i="32" s="1"/>
  <c r="T53" i="32" s="1"/>
  <c r="P51" i="32"/>
  <c r="P53" i="32" s="1"/>
  <c r="AD27" i="32"/>
  <c r="AQ38" i="32"/>
  <c r="AQ51" i="32" s="1"/>
  <c r="P5" i="31" s="1"/>
  <c r="G6" i="37" s="1"/>
  <c r="R6" i="37" s="1"/>
  <c r="AY50" i="32"/>
  <c r="AW38" i="32"/>
  <c r="AW51" i="32" s="1"/>
  <c r="V5" i="31" s="1"/>
  <c r="AA51" i="32"/>
  <c r="AA53" i="32" s="1"/>
  <c r="X38" i="32"/>
  <c r="X51" i="32" s="1"/>
  <c r="X53" i="32" s="1"/>
  <c r="U38" i="32"/>
  <c r="U51" i="32" s="1"/>
  <c r="U53" i="32" s="1"/>
  <c r="AO38" i="32"/>
  <c r="AO51" i="32" s="1"/>
  <c r="N5" i="31" s="1"/>
  <c r="E6" i="37" s="1"/>
  <c r="P6" i="37" s="1"/>
  <c r="I51" i="32"/>
  <c r="I53" i="32" s="1"/>
  <c r="J51" i="32"/>
  <c r="J53" i="32" s="1"/>
  <c r="N51" i="32"/>
  <c r="N53" i="32" s="1"/>
  <c r="AY46" i="32"/>
  <c r="L51" i="32"/>
  <c r="L53" i="32" s="1"/>
  <c r="AC43" i="32"/>
  <c r="AY43" i="32" s="1"/>
  <c r="G51" i="32"/>
  <c r="G53" i="32" s="1"/>
  <c r="AY33" i="32"/>
  <c r="AN38" i="32"/>
  <c r="R38" i="32"/>
  <c r="R27" i="32"/>
  <c r="BB31" i="32"/>
  <c r="J275" i="33"/>
  <c r="J272" i="33"/>
  <c r="J257" i="33"/>
  <c r="J239" i="33"/>
  <c r="J237" i="33"/>
  <c r="J219" i="33"/>
  <c r="J238" i="33"/>
  <c r="J164" i="33"/>
  <c r="J163" i="33"/>
  <c r="J183" i="33"/>
  <c r="J182" i="33"/>
  <c r="J184" i="33"/>
  <c r="J147" i="33"/>
  <c r="J93" i="33"/>
  <c r="J92" i="33"/>
  <c r="J201" i="33"/>
  <c r="J200" i="33"/>
  <c r="J110" i="33"/>
  <c r="J109" i="33"/>
  <c r="J73" i="33"/>
  <c r="J72" i="33"/>
  <c r="J55" i="33"/>
  <c r="J54" i="33"/>
  <c r="J38" i="33"/>
  <c r="J37" i="33"/>
  <c r="J130" i="33"/>
  <c r="J129" i="33"/>
  <c r="J20" i="33"/>
  <c r="J254" i="33"/>
  <c r="I11" i="33"/>
  <c r="N194" i="33"/>
  <c r="M204" i="33"/>
  <c r="I94" i="33"/>
  <c r="I95" i="33" s="1"/>
  <c r="J85" i="33"/>
  <c r="I241" i="33"/>
  <c r="J39" i="33"/>
  <c r="K30" i="33"/>
  <c r="I8" i="33"/>
  <c r="I76" i="33"/>
  <c r="J66" i="33"/>
  <c r="H23" i="33"/>
  <c r="H25" i="33" s="1"/>
  <c r="G25" i="33"/>
  <c r="I113" i="33"/>
  <c r="J103" i="33"/>
  <c r="J56" i="33"/>
  <c r="K48" i="33"/>
  <c r="G11" i="33"/>
  <c r="I23" i="33"/>
  <c r="I131" i="33"/>
  <c r="J122" i="33"/>
  <c r="K167" i="33"/>
  <c r="L158" i="33"/>
  <c r="I149" i="33"/>
  <c r="J140" i="33"/>
  <c r="BB21" i="32"/>
  <c r="BB35" i="32"/>
  <c r="BB15" i="32"/>
  <c r="BB14" i="32"/>
  <c r="AY11" i="32"/>
  <c r="BB22" i="32"/>
  <c r="BB19" i="32"/>
  <c r="BA37" i="32"/>
  <c r="BB45" i="32"/>
  <c r="BB30" i="32"/>
  <c r="AZ12" i="32"/>
  <c r="AZ13" i="32"/>
  <c r="BB42" i="32"/>
  <c r="AZ11" i="32"/>
  <c r="BB25" i="32"/>
  <c r="BB11" i="32"/>
  <c r="BA13" i="32"/>
  <c r="BB41" i="32"/>
  <c r="BA11" i="32"/>
  <c r="AZ50" i="32"/>
  <c r="AZ46" i="32"/>
  <c r="AC38" i="32"/>
  <c r="BB48" i="32"/>
  <c r="BB47" i="32"/>
  <c r="BB17" i="32"/>
  <c r="BB26" i="32"/>
  <c r="AZ34" i="32"/>
  <c r="AZ33" i="32"/>
  <c r="BA34" i="32"/>
  <c r="BB18" i="32"/>
  <c r="BA46" i="32"/>
  <c r="AZ37" i="32"/>
  <c r="BB32" i="32"/>
  <c r="AZ43" i="32"/>
  <c r="AZ41" i="32"/>
  <c r="BA41" i="32"/>
  <c r="BB46" i="32"/>
  <c r="BB37" i="32"/>
  <c r="BB23" i="32"/>
  <c r="I259" i="33" l="1"/>
  <c r="I223" i="33"/>
  <c r="F298" i="33"/>
  <c r="M6" i="31"/>
  <c r="J218" i="33"/>
  <c r="J127" i="33"/>
  <c r="J35" i="33"/>
  <c r="J21" i="33"/>
  <c r="J22" i="33" s="1"/>
  <c r="K2" i="33"/>
  <c r="J74" i="33"/>
  <c r="J111" i="33"/>
  <c r="J90" i="33"/>
  <c r="J145" i="33"/>
  <c r="J236" i="33"/>
  <c r="J241" i="33" s="1"/>
  <c r="J202" i="33"/>
  <c r="J205" i="33" s="1"/>
  <c r="J165" i="33"/>
  <c r="J168" i="33" s="1"/>
  <c r="J220" i="33"/>
  <c r="J255" i="33"/>
  <c r="J273" i="33"/>
  <c r="I292" i="33"/>
  <c r="I132" i="33"/>
  <c r="J6" i="33"/>
  <c r="J128" i="33"/>
  <c r="J36" i="33"/>
  <c r="J53" i="33"/>
  <c r="J7" i="33"/>
  <c r="J75" i="33"/>
  <c r="J112" i="33"/>
  <c r="J91" i="33"/>
  <c r="J146" i="33"/>
  <c r="J181" i="33"/>
  <c r="J186" i="33" s="1"/>
  <c r="J148" i="33"/>
  <c r="J166" i="33"/>
  <c r="J221" i="33"/>
  <c r="J256" i="33"/>
  <c r="J259" i="33" s="1"/>
  <c r="J274" i="33"/>
  <c r="I168" i="33"/>
  <c r="I205" i="33"/>
  <c r="I150" i="33"/>
  <c r="I114" i="33"/>
  <c r="I77" i="33"/>
  <c r="I153" i="33"/>
  <c r="I80" i="33"/>
  <c r="I189" i="33"/>
  <c r="I280" i="33"/>
  <c r="J223" i="33"/>
  <c r="D10" i="37"/>
  <c r="O10" i="37" s="1"/>
  <c r="B15" i="31"/>
  <c r="E13" i="9" s="1"/>
  <c r="AD51" i="32"/>
  <c r="R51" i="32"/>
  <c r="R53" i="32" s="1"/>
  <c r="AC51" i="32"/>
  <c r="AY38" i="32"/>
  <c r="AY51" i="32" s="1"/>
  <c r="AN51" i="32"/>
  <c r="BA33" i="32"/>
  <c r="BB33" i="32"/>
  <c r="D5" i="31"/>
  <c r="F5" i="37" s="1"/>
  <c r="BB43" i="32"/>
  <c r="BA12" i="32"/>
  <c r="J76" i="33"/>
  <c r="J77" i="33" s="1"/>
  <c r="K66" i="33"/>
  <c r="J8" i="33"/>
  <c r="J57" i="33"/>
  <c r="J149" i="33"/>
  <c r="K140" i="33"/>
  <c r="K122" i="33"/>
  <c r="J131" i="33"/>
  <c r="I25" i="33"/>
  <c r="O194" i="33"/>
  <c r="N204" i="33"/>
  <c r="K272" i="33"/>
  <c r="K256" i="33"/>
  <c r="K239" i="33"/>
  <c r="K238" i="33"/>
  <c r="K237" i="33"/>
  <c r="K275" i="33"/>
  <c r="K255" i="33"/>
  <c r="K274" i="33"/>
  <c r="K273" i="33"/>
  <c r="K221" i="33"/>
  <c r="K220" i="33"/>
  <c r="K219" i="33"/>
  <c r="K203" i="33"/>
  <c r="K202" i="33"/>
  <c r="K200" i="33"/>
  <c r="K184" i="33"/>
  <c r="K183" i="33"/>
  <c r="K148" i="33"/>
  <c r="K254" i="33"/>
  <c r="K182" i="33"/>
  <c r="K181" i="33"/>
  <c r="K164" i="33"/>
  <c r="K147" i="33"/>
  <c r="K146" i="33"/>
  <c r="K145" i="33"/>
  <c r="K93" i="33"/>
  <c r="K92" i="33"/>
  <c r="K91" i="33"/>
  <c r="K90" i="33"/>
  <c r="K257" i="33"/>
  <c r="K163" i="33"/>
  <c r="K75" i="33"/>
  <c r="K74" i="33"/>
  <c r="K73" i="33"/>
  <c r="K72" i="33"/>
  <c r="K55" i="33"/>
  <c r="K54" i="33"/>
  <c r="K53" i="33"/>
  <c r="K21" i="33"/>
  <c r="K130" i="33"/>
  <c r="K128" i="33"/>
  <c r="K166" i="33"/>
  <c r="K165" i="33"/>
  <c r="K129" i="33"/>
  <c r="K127" i="33"/>
  <c r="K111" i="33"/>
  <c r="L2" i="33"/>
  <c r="K6" i="33"/>
  <c r="K109" i="33"/>
  <c r="K38" i="33"/>
  <c r="K36" i="33"/>
  <c r="K112" i="33"/>
  <c r="K7" i="33"/>
  <c r="K110" i="33"/>
  <c r="K37" i="33"/>
  <c r="K35" i="33"/>
  <c r="K236" i="33"/>
  <c r="K201" i="33"/>
  <c r="K20" i="33"/>
  <c r="K22" i="33" s="1"/>
  <c r="K218" i="33"/>
  <c r="J113" i="33"/>
  <c r="J114" i="33" s="1"/>
  <c r="K103" i="33"/>
  <c r="L167" i="33"/>
  <c r="M158" i="33"/>
  <c r="K56" i="33"/>
  <c r="L48" i="33"/>
  <c r="L30" i="33"/>
  <c r="K39" i="33"/>
  <c r="J94" i="33"/>
  <c r="K85" i="33"/>
  <c r="BC48" i="32"/>
  <c r="BC47" i="32"/>
  <c r="BC32" i="32"/>
  <c r="BC14" i="32"/>
  <c r="BC23" i="32"/>
  <c r="BC21" i="32"/>
  <c r="BC18" i="32"/>
  <c r="BC17" i="32"/>
  <c r="BC30" i="32"/>
  <c r="BC19" i="32"/>
  <c r="BC22" i="32"/>
  <c r="BC35" i="32"/>
  <c r="BC42" i="32"/>
  <c r="BC49" i="32"/>
  <c r="BC15" i="32"/>
  <c r="BC26" i="32"/>
  <c r="BC44" i="32"/>
  <c r="BC25" i="32"/>
  <c r="BC45" i="32"/>
  <c r="BC31" i="32"/>
  <c r="AZ38" i="32"/>
  <c r="BB12" i="32"/>
  <c r="BB13" i="32"/>
  <c r="BA27" i="32"/>
  <c r="BB50" i="32"/>
  <c r="BA43" i="32"/>
  <c r="BA50" i="32"/>
  <c r="BB34" i="32"/>
  <c r="BA38" i="32"/>
  <c r="J40" i="33" l="1"/>
  <c r="I297" i="33"/>
  <c r="I293" i="33"/>
  <c r="I296" i="33"/>
  <c r="E6" i="31" s="1"/>
  <c r="G9" i="37" s="1"/>
  <c r="R9" i="37" s="1"/>
  <c r="J277" i="33"/>
  <c r="J150" i="33"/>
  <c r="J132" i="33"/>
  <c r="I284" i="33"/>
  <c r="I295" i="33" s="1"/>
  <c r="F7" i="37"/>
  <c r="Q7" i="37" s="1"/>
  <c r="Q5" i="37"/>
  <c r="K223" i="33"/>
  <c r="K259" i="33"/>
  <c r="K205" i="33"/>
  <c r="K40" i="33"/>
  <c r="K8" i="33"/>
  <c r="D11" i="37"/>
  <c r="B5" i="31"/>
  <c r="AZ27" i="32"/>
  <c r="C5" i="31"/>
  <c r="E5" i="37" s="1"/>
  <c r="BB27" i="32"/>
  <c r="D14" i="31"/>
  <c r="K131" i="33"/>
  <c r="K132" i="33" s="1"/>
  <c r="L122" i="33"/>
  <c r="M167" i="33"/>
  <c r="N158" i="33"/>
  <c r="L103" i="33"/>
  <c r="K113" i="33"/>
  <c r="K114" i="33" s="1"/>
  <c r="L275" i="33"/>
  <c r="L255" i="33"/>
  <c r="L274" i="33"/>
  <c r="L254" i="33"/>
  <c r="L239" i="33"/>
  <c r="L203" i="33"/>
  <c r="L202" i="33"/>
  <c r="L200" i="33"/>
  <c r="L184" i="33"/>
  <c r="L183" i="33"/>
  <c r="L256" i="33"/>
  <c r="L238" i="33"/>
  <c r="L221" i="33"/>
  <c r="L182" i="33"/>
  <c r="L181" i="33"/>
  <c r="L257" i="33"/>
  <c r="L220" i="33"/>
  <c r="L163" i="33"/>
  <c r="L75" i="33"/>
  <c r="L74" i="33"/>
  <c r="L73" i="33"/>
  <c r="L72" i="33"/>
  <c r="L219" i="33"/>
  <c r="L218" i="33"/>
  <c r="L166" i="33"/>
  <c r="L148" i="33"/>
  <c r="L130" i="33"/>
  <c r="L129" i="33"/>
  <c r="L128" i="33"/>
  <c r="L127" i="33"/>
  <c r="L112" i="33"/>
  <c r="L111" i="33"/>
  <c r="L110" i="33"/>
  <c r="L109" i="33"/>
  <c r="L55" i="33"/>
  <c r="L54" i="33"/>
  <c r="L53" i="33"/>
  <c r="L237" i="33"/>
  <c r="L165" i="33"/>
  <c r="L91" i="33"/>
  <c r="L146" i="33"/>
  <c r="L93" i="33"/>
  <c r="L272" i="33"/>
  <c r="L147" i="33"/>
  <c r="L90" i="33"/>
  <c r="L38" i="33"/>
  <c r="L37" i="33"/>
  <c r="L36" i="33"/>
  <c r="L35" i="33"/>
  <c r="L145" i="33"/>
  <c r="L20" i="33"/>
  <c r="L7" i="33"/>
  <c r="L273" i="33"/>
  <c r="L21" i="33"/>
  <c r="L164" i="33"/>
  <c r="L92" i="33"/>
  <c r="L6" i="33"/>
  <c r="M2" i="33"/>
  <c r="L236" i="33"/>
  <c r="L201" i="33"/>
  <c r="L39" i="33"/>
  <c r="M30" i="33"/>
  <c r="K57" i="33"/>
  <c r="P194" i="33"/>
  <c r="O204" i="33"/>
  <c r="K149" i="33"/>
  <c r="K150" i="33" s="1"/>
  <c r="L140" i="33"/>
  <c r="K76" i="33"/>
  <c r="K77" i="33" s="1"/>
  <c r="L66" i="33"/>
  <c r="K168" i="33"/>
  <c r="K94" i="33"/>
  <c r="K95" i="33" s="1"/>
  <c r="L85" i="33"/>
  <c r="L56" i="33"/>
  <c r="M48" i="33"/>
  <c r="J95" i="33"/>
  <c r="K241" i="33"/>
  <c r="K186" i="33"/>
  <c r="K277" i="33"/>
  <c r="BC50" i="32"/>
  <c r="BC13" i="32"/>
  <c r="BB38" i="32"/>
  <c r="BC43" i="32"/>
  <c r="BC41" i="32"/>
  <c r="BC11" i="32"/>
  <c r="BC33" i="32"/>
  <c r="BC34" i="32"/>
  <c r="BC37" i="32"/>
  <c r="BD47" i="32"/>
  <c r="BD48" i="32"/>
  <c r="BD15" i="32"/>
  <c r="BD17" i="32"/>
  <c r="BD19" i="32"/>
  <c r="BD31" i="32"/>
  <c r="BD49" i="32"/>
  <c r="BD22" i="32"/>
  <c r="BD13" i="32"/>
  <c r="BD44" i="32"/>
  <c r="BD26" i="32"/>
  <c r="BD45" i="32"/>
  <c r="BD23" i="32"/>
  <c r="BD35" i="32"/>
  <c r="BD42" i="32"/>
  <c r="BD11" i="32"/>
  <c r="BD18" i="32"/>
  <c r="BD30" i="32"/>
  <c r="BD14" i="32"/>
  <c r="BD37" i="32"/>
  <c r="BD21" i="32"/>
  <c r="BD25" i="32"/>
  <c r="BD32" i="32"/>
  <c r="I298" i="33" l="1"/>
  <c r="P6" i="31"/>
  <c r="G10" i="37" s="1"/>
  <c r="D5" i="37"/>
  <c r="B7" i="31"/>
  <c r="O11" i="37"/>
  <c r="O5" i="37"/>
  <c r="G11" i="37"/>
  <c r="R11" i="37" s="1"/>
  <c r="R10" i="37"/>
  <c r="E7" i="37"/>
  <c r="P5" i="37"/>
  <c r="E15" i="31"/>
  <c r="H13" i="9" s="1"/>
  <c r="L8" i="33"/>
  <c r="L168" i="33"/>
  <c r="M5" i="31"/>
  <c r="AZ51" i="32"/>
  <c r="C14" i="31"/>
  <c r="BC12" i="32"/>
  <c r="BA51" i="32"/>
  <c r="BD43" i="32"/>
  <c r="BD50" i="32"/>
  <c r="G12" i="9"/>
  <c r="D16" i="31"/>
  <c r="M275" i="33"/>
  <c r="M274" i="33"/>
  <c r="M273" i="33"/>
  <c r="M272" i="33"/>
  <c r="M257" i="33"/>
  <c r="M256" i="33"/>
  <c r="M255" i="33"/>
  <c r="M238" i="33"/>
  <c r="M220" i="33"/>
  <c r="M237" i="33"/>
  <c r="M219" i="33"/>
  <c r="M203" i="33"/>
  <c r="M202" i="33"/>
  <c r="M201" i="33"/>
  <c r="M200" i="33"/>
  <c r="M166" i="33"/>
  <c r="M165" i="33"/>
  <c r="M164" i="33"/>
  <c r="M163" i="33"/>
  <c r="M218" i="33"/>
  <c r="M184" i="33"/>
  <c r="M148" i="33"/>
  <c r="M130" i="33"/>
  <c r="M129" i="33"/>
  <c r="M128" i="33"/>
  <c r="M127" i="33"/>
  <c r="M112" i="33"/>
  <c r="M109" i="33"/>
  <c r="M55" i="33"/>
  <c r="M54" i="33"/>
  <c r="M53" i="33"/>
  <c r="M239" i="33"/>
  <c r="M147" i="33"/>
  <c r="M90" i="33"/>
  <c r="M38" i="33"/>
  <c r="M37" i="33"/>
  <c r="M36" i="33"/>
  <c r="M35" i="33"/>
  <c r="M181" i="33"/>
  <c r="M146" i="33"/>
  <c r="M93" i="33"/>
  <c r="M7" i="33"/>
  <c r="N2" i="33"/>
  <c r="M221" i="33"/>
  <c r="M183" i="33"/>
  <c r="M145" i="33"/>
  <c r="M92" i="33"/>
  <c r="M75" i="33"/>
  <c r="M182" i="33"/>
  <c r="M72" i="33"/>
  <c r="M21" i="33"/>
  <c r="M91" i="33"/>
  <c r="M20" i="33"/>
  <c r="M6" i="33"/>
  <c r="M236" i="33"/>
  <c r="M254" i="33"/>
  <c r="N167" i="33"/>
  <c r="O158" i="33"/>
  <c r="L94" i="33"/>
  <c r="L95" i="33" s="1"/>
  <c r="M85" i="33"/>
  <c r="L40" i="33"/>
  <c r="L57" i="33"/>
  <c r="L149" i="33"/>
  <c r="L150" i="33" s="1"/>
  <c r="M140" i="33"/>
  <c r="L223" i="33"/>
  <c r="L205" i="33"/>
  <c r="L259" i="33"/>
  <c r="L131" i="33"/>
  <c r="L132" i="33" s="1"/>
  <c r="M122" i="33"/>
  <c r="L76" i="33"/>
  <c r="L77" i="33" s="1"/>
  <c r="M66" i="33"/>
  <c r="P204" i="33"/>
  <c r="Q194" i="33"/>
  <c r="M56" i="33"/>
  <c r="N48" i="33"/>
  <c r="M39" i="33"/>
  <c r="N30" i="33"/>
  <c r="L241" i="33"/>
  <c r="L22" i="33"/>
  <c r="L277" i="33"/>
  <c r="L186" i="33"/>
  <c r="L113" i="33"/>
  <c r="L114" i="33" s="1"/>
  <c r="M103" i="33"/>
  <c r="BC27" i="32"/>
  <c r="BC38" i="32"/>
  <c r="BD33" i="32"/>
  <c r="BE48" i="32"/>
  <c r="BE47" i="32"/>
  <c r="BE17" i="32"/>
  <c r="BE41" i="32"/>
  <c r="BE14" i="32"/>
  <c r="BE37" i="32"/>
  <c r="BE32" i="32"/>
  <c r="BE21" i="32"/>
  <c r="BE46" i="32"/>
  <c r="BE26" i="32"/>
  <c r="BE23" i="32"/>
  <c r="BE22" i="32"/>
  <c r="BE11" i="32"/>
  <c r="BE31" i="32"/>
  <c r="BE15" i="32"/>
  <c r="BE18" i="32"/>
  <c r="BE45" i="32"/>
  <c r="BE49" i="32"/>
  <c r="BE19" i="32"/>
  <c r="BE44" i="32"/>
  <c r="BE25" i="32"/>
  <c r="BE42" i="32"/>
  <c r="BE13" i="32"/>
  <c r="BE35" i="32"/>
  <c r="BE30" i="32"/>
  <c r="BD34" i="32"/>
  <c r="BD41" i="32"/>
  <c r="BD12" i="32"/>
  <c r="BD46" i="32"/>
  <c r="M8" i="33" l="1"/>
  <c r="I11" i="37"/>
  <c r="T11" i="37" s="1"/>
  <c r="D6" i="37"/>
  <c r="B14" i="31"/>
  <c r="E12" i="9" s="1"/>
  <c r="M7" i="31"/>
  <c r="P7" i="37"/>
  <c r="M259" i="33"/>
  <c r="M277" i="33"/>
  <c r="M186" i="33"/>
  <c r="BB51" i="32"/>
  <c r="C16" i="31"/>
  <c r="F12" i="9"/>
  <c r="E5" i="31"/>
  <c r="F5" i="31"/>
  <c r="F14" i="31" s="1"/>
  <c r="BD38" i="32"/>
  <c r="BE50" i="32"/>
  <c r="O48" i="33"/>
  <c r="N56" i="33"/>
  <c r="P158" i="33"/>
  <c r="O167" i="33"/>
  <c r="M223" i="33"/>
  <c r="M131" i="33"/>
  <c r="M132" i="33" s="1"/>
  <c r="N122" i="33"/>
  <c r="N275" i="33"/>
  <c r="N274" i="33"/>
  <c r="N273" i="33"/>
  <c r="N272" i="33"/>
  <c r="N257" i="33"/>
  <c r="N256" i="33"/>
  <c r="N255" i="33"/>
  <c r="N239" i="33"/>
  <c r="N237" i="33"/>
  <c r="N221" i="33"/>
  <c r="N220" i="33"/>
  <c r="N219" i="33"/>
  <c r="N203" i="33"/>
  <c r="N202" i="33"/>
  <c r="N200" i="33"/>
  <c r="N166" i="33"/>
  <c r="N165" i="33"/>
  <c r="N164" i="33"/>
  <c r="N163" i="33"/>
  <c r="N184" i="33"/>
  <c r="N183" i="33"/>
  <c r="N148" i="33"/>
  <c r="N236" i="33"/>
  <c r="N147" i="33"/>
  <c r="N146" i="33"/>
  <c r="N145" i="33"/>
  <c r="N93" i="33"/>
  <c r="N92" i="33"/>
  <c r="N91" i="33"/>
  <c r="N90" i="33"/>
  <c r="N181" i="33"/>
  <c r="N7" i="33"/>
  <c r="O2" i="33"/>
  <c r="N182" i="33"/>
  <c r="N112" i="33"/>
  <c r="N109" i="33"/>
  <c r="N238" i="33"/>
  <c r="N130" i="33"/>
  <c r="N129" i="33"/>
  <c r="N128" i="33"/>
  <c r="N127" i="33"/>
  <c r="N21" i="33"/>
  <c r="N75" i="33"/>
  <c r="N72" i="33"/>
  <c r="N55" i="33"/>
  <c r="N54" i="33"/>
  <c r="N53" i="33"/>
  <c r="N38" i="33"/>
  <c r="N37" i="33"/>
  <c r="N36" i="33"/>
  <c r="N35" i="33"/>
  <c r="N6" i="33"/>
  <c r="N218" i="33"/>
  <c r="N201" i="33"/>
  <c r="N20" i="33"/>
  <c r="N254" i="33"/>
  <c r="M57" i="33"/>
  <c r="M168" i="33"/>
  <c r="N39" i="33"/>
  <c r="O30" i="33"/>
  <c r="M149" i="33"/>
  <c r="M150" i="33" s="1"/>
  <c r="N140" i="33"/>
  <c r="M94" i="33"/>
  <c r="M95" i="33" s="1"/>
  <c r="N85" i="33"/>
  <c r="M40" i="33"/>
  <c r="M113" i="33"/>
  <c r="M114" i="33" s="1"/>
  <c r="N103" i="33"/>
  <c r="M241" i="33"/>
  <c r="M205" i="33"/>
  <c r="Q204" i="33"/>
  <c r="R194" i="33"/>
  <c r="M76" i="33"/>
  <c r="M77" i="33" s="1"/>
  <c r="N66" i="33"/>
  <c r="M22" i="33"/>
  <c r="BF48" i="32"/>
  <c r="BF47" i="32"/>
  <c r="BF13" i="32"/>
  <c r="BF17" i="32"/>
  <c r="BF23" i="32"/>
  <c r="BF31" i="32"/>
  <c r="BF19" i="32"/>
  <c r="BF32" i="32"/>
  <c r="BF42" i="32"/>
  <c r="BF34" i="32"/>
  <c r="BF30" i="32"/>
  <c r="BF11" i="32"/>
  <c r="BF18" i="32"/>
  <c r="BF41" i="32"/>
  <c r="BF44" i="32"/>
  <c r="BF45" i="32"/>
  <c r="BF15" i="32"/>
  <c r="BF49" i="32"/>
  <c r="BF21" i="32"/>
  <c r="BF26" i="32"/>
  <c r="BF14" i="32"/>
  <c r="BF46" i="32"/>
  <c r="BF22" i="32"/>
  <c r="BF35" i="32"/>
  <c r="BF25" i="32"/>
  <c r="BE12" i="32"/>
  <c r="BE43" i="32"/>
  <c r="BE34" i="32"/>
  <c r="N8" i="33" l="1"/>
  <c r="B16" i="31"/>
  <c r="O6" i="37"/>
  <c r="D7" i="37"/>
  <c r="O7" i="37" s="1"/>
  <c r="N259" i="33"/>
  <c r="N22" i="33"/>
  <c r="N57" i="33"/>
  <c r="N277" i="33"/>
  <c r="N205" i="33"/>
  <c r="E14" i="31"/>
  <c r="E16" i="31" s="1"/>
  <c r="G5" i="37"/>
  <c r="BC51" i="32"/>
  <c r="G5" i="31"/>
  <c r="BE27" i="32"/>
  <c r="BE33" i="32"/>
  <c r="I12" i="9"/>
  <c r="F16" i="31"/>
  <c r="N94" i="33"/>
  <c r="N95" i="33" s="1"/>
  <c r="O85" i="33"/>
  <c r="N131" i="33"/>
  <c r="N132" i="33" s="1"/>
  <c r="O122" i="33"/>
  <c r="S194" i="33"/>
  <c r="R204" i="33"/>
  <c r="N113" i="33"/>
  <c r="N114" i="33" s="1"/>
  <c r="O103" i="33"/>
  <c r="N40" i="33"/>
  <c r="N186" i="33"/>
  <c r="N149" i="33"/>
  <c r="N150" i="33" s="1"/>
  <c r="O140" i="33"/>
  <c r="O39" i="33"/>
  <c r="P30" i="33"/>
  <c r="N241" i="33"/>
  <c r="N168" i="33"/>
  <c r="Q158" i="33"/>
  <c r="P167" i="33"/>
  <c r="N76" i="33"/>
  <c r="N77" i="33" s="1"/>
  <c r="O66" i="33"/>
  <c r="N223" i="33"/>
  <c r="O274" i="33"/>
  <c r="O254" i="33"/>
  <c r="O239" i="33"/>
  <c r="O238" i="33"/>
  <c r="O237" i="33"/>
  <c r="O273" i="33"/>
  <c r="O257" i="33"/>
  <c r="O275" i="33"/>
  <c r="O256" i="33"/>
  <c r="O221" i="33"/>
  <c r="O220" i="33"/>
  <c r="O219" i="33"/>
  <c r="O272" i="33"/>
  <c r="O203" i="33"/>
  <c r="O202" i="33"/>
  <c r="O200" i="33"/>
  <c r="O184" i="33"/>
  <c r="O183" i="33"/>
  <c r="O182" i="33"/>
  <c r="O148" i="33"/>
  <c r="O147" i="33"/>
  <c r="O255" i="33"/>
  <c r="O181" i="33"/>
  <c r="O166" i="33"/>
  <c r="O146" i="33"/>
  <c r="O145" i="33"/>
  <c r="O93" i="33"/>
  <c r="O92" i="33"/>
  <c r="O91" i="33"/>
  <c r="O90" i="33"/>
  <c r="O165" i="33"/>
  <c r="O75" i="33"/>
  <c r="O72" i="33"/>
  <c r="O130" i="33"/>
  <c r="O129" i="33"/>
  <c r="O128" i="33"/>
  <c r="O127" i="33"/>
  <c r="O21" i="33"/>
  <c r="O164" i="33"/>
  <c r="O54" i="33"/>
  <c r="O53" i="33"/>
  <c r="O163" i="33"/>
  <c r="O112" i="33"/>
  <c r="O109" i="33"/>
  <c r="O55" i="33"/>
  <c r="O6" i="33"/>
  <c r="P2" i="33"/>
  <c r="O38" i="33"/>
  <c r="O37" i="33"/>
  <c r="O36" i="33"/>
  <c r="O35" i="33"/>
  <c r="O7" i="33"/>
  <c r="O20" i="33"/>
  <c r="O218" i="33"/>
  <c r="O201" i="33"/>
  <c r="O236" i="33"/>
  <c r="O56" i="33"/>
  <c r="P48" i="33"/>
  <c r="BG48" i="32"/>
  <c r="BG35" i="32"/>
  <c r="BG19" i="32"/>
  <c r="BG14" i="32"/>
  <c r="BG34" i="32"/>
  <c r="BG13" i="32"/>
  <c r="BG37" i="32"/>
  <c r="BG15" i="32"/>
  <c r="BG31" i="32"/>
  <c r="BG30" i="32"/>
  <c r="BG18" i="32"/>
  <c r="BG23" i="32"/>
  <c r="BG45" i="32"/>
  <c r="BG22" i="32"/>
  <c r="BG44" i="32"/>
  <c r="BG21" i="32"/>
  <c r="BG17" i="32"/>
  <c r="BG32" i="32"/>
  <c r="BG25" i="32"/>
  <c r="BG26" i="32"/>
  <c r="BG49" i="32"/>
  <c r="BG11" i="32"/>
  <c r="BG46" i="32"/>
  <c r="BG42" i="32"/>
  <c r="BG47" i="32"/>
  <c r="BF50" i="32"/>
  <c r="BF43" i="32"/>
  <c r="BE38" i="32"/>
  <c r="BD27" i="32"/>
  <c r="BF37" i="32"/>
  <c r="BF33" i="32"/>
  <c r="BF12" i="32"/>
  <c r="H12" i="9" l="1"/>
  <c r="G7" i="37"/>
  <c r="R5" i="37"/>
  <c r="O223" i="33"/>
  <c r="O8" i="33"/>
  <c r="O168" i="33"/>
  <c r="BD51" i="32"/>
  <c r="H5" i="31"/>
  <c r="H14" i="31" s="1"/>
  <c r="G14" i="31"/>
  <c r="G16" i="31" s="1"/>
  <c r="BF38" i="32"/>
  <c r="BG43" i="32"/>
  <c r="P56" i="33"/>
  <c r="Q48" i="33"/>
  <c r="O259" i="33"/>
  <c r="O76" i="33"/>
  <c r="O77" i="33" s="1"/>
  <c r="P66" i="33"/>
  <c r="O241" i="33"/>
  <c r="O205" i="33"/>
  <c r="T194" i="33"/>
  <c r="S204" i="33"/>
  <c r="O94" i="33"/>
  <c r="P85" i="33"/>
  <c r="O95" i="33"/>
  <c r="O22" i="33"/>
  <c r="O57" i="33"/>
  <c r="O277" i="33"/>
  <c r="O40" i="33"/>
  <c r="P273" i="33"/>
  <c r="P257" i="33"/>
  <c r="P272" i="33"/>
  <c r="P256" i="33"/>
  <c r="P237" i="33"/>
  <c r="P203" i="33"/>
  <c r="P202" i="33"/>
  <c r="P200" i="33"/>
  <c r="P184" i="33"/>
  <c r="P183" i="33"/>
  <c r="P255" i="33"/>
  <c r="P254" i="33"/>
  <c r="P219" i="33"/>
  <c r="P181" i="33"/>
  <c r="P236" i="33"/>
  <c r="P218" i="33"/>
  <c r="P182" i="33"/>
  <c r="P274" i="33"/>
  <c r="P239" i="33"/>
  <c r="P165" i="33"/>
  <c r="P147" i="33"/>
  <c r="P75" i="33"/>
  <c r="P72" i="33"/>
  <c r="P275" i="33"/>
  <c r="P238" i="33"/>
  <c r="P220" i="33"/>
  <c r="P164" i="33"/>
  <c r="P130" i="33"/>
  <c r="P129" i="33"/>
  <c r="P128" i="33"/>
  <c r="P127" i="33"/>
  <c r="P112" i="33"/>
  <c r="P109" i="33"/>
  <c r="P55" i="33"/>
  <c r="P54" i="33"/>
  <c r="P53" i="33"/>
  <c r="P166" i="33"/>
  <c r="P163" i="33"/>
  <c r="P148" i="33"/>
  <c r="P146" i="33"/>
  <c r="P93" i="33"/>
  <c r="P91" i="33"/>
  <c r="P221" i="33"/>
  <c r="P145" i="33"/>
  <c r="P92" i="33"/>
  <c r="P38" i="33"/>
  <c r="P37" i="33"/>
  <c r="P36" i="33"/>
  <c r="P35" i="33"/>
  <c r="P90" i="33"/>
  <c r="P20" i="33"/>
  <c r="P7" i="33"/>
  <c r="P21" i="33"/>
  <c r="Q2" i="33"/>
  <c r="P6" i="33"/>
  <c r="P201" i="33"/>
  <c r="O186" i="33"/>
  <c r="Q167" i="33"/>
  <c r="R158" i="33"/>
  <c r="P39" i="33"/>
  <c r="Q30" i="33"/>
  <c r="O149" i="33"/>
  <c r="O150" i="33" s="1"/>
  <c r="P140" i="33"/>
  <c r="P103" i="33"/>
  <c r="O113" i="33"/>
  <c r="O114" i="33" s="1"/>
  <c r="O131" i="33"/>
  <c r="O132" i="33" s="1"/>
  <c r="P122" i="33"/>
  <c r="BG50" i="32"/>
  <c r="BG12" i="32"/>
  <c r="BG33" i="32"/>
  <c r="BH47" i="32"/>
  <c r="BH48" i="32"/>
  <c r="BH21" i="32"/>
  <c r="BH15" i="32"/>
  <c r="BH14" i="32"/>
  <c r="BH17" i="32"/>
  <c r="BH35" i="32"/>
  <c r="BH37" i="32"/>
  <c r="BH42" i="32"/>
  <c r="BH11" i="32"/>
  <c r="BH41" i="32"/>
  <c r="BH25" i="32"/>
  <c r="BH32" i="32"/>
  <c r="BH31" i="32"/>
  <c r="BH19" i="32"/>
  <c r="BH22" i="32"/>
  <c r="BH45" i="32"/>
  <c r="BH18" i="32"/>
  <c r="BH23" i="32"/>
  <c r="BH44" i="32"/>
  <c r="BH49" i="32"/>
  <c r="BH26" i="32"/>
  <c r="BH30" i="32"/>
  <c r="BG41" i="32"/>
  <c r="R7" i="37" l="1"/>
  <c r="I7" i="37"/>
  <c r="P259" i="33"/>
  <c r="P186" i="33"/>
  <c r="P223" i="33"/>
  <c r="P57" i="33"/>
  <c r="P22" i="33"/>
  <c r="J12" i="9"/>
  <c r="BE51" i="32"/>
  <c r="BH34" i="32"/>
  <c r="BG38" i="32"/>
  <c r="BH50" i="32"/>
  <c r="BH27" i="32"/>
  <c r="K12" i="9"/>
  <c r="H16" i="31"/>
  <c r="P168" i="33"/>
  <c r="Q85" i="33"/>
  <c r="P94" i="33"/>
  <c r="P95" i="33" s="1"/>
  <c r="P76" i="33"/>
  <c r="P77" i="33" s="1"/>
  <c r="Q66" i="33"/>
  <c r="Q56" i="33"/>
  <c r="R48" i="33"/>
  <c r="P113" i="33"/>
  <c r="P114" i="33" s="1"/>
  <c r="Q103" i="33"/>
  <c r="P205" i="33"/>
  <c r="P131" i="33"/>
  <c r="P132" i="33" s="1"/>
  <c r="Q122" i="33"/>
  <c r="P149" i="33"/>
  <c r="P150" i="33" s="1"/>
  <c r="Q140" i="33"/>
  <c r="R167" i="33"/>
  <c r="S158" i="33"/>
  <c r="P8" i="33"/>
  <c r="P241" i="33"/>
  <c r="P277" i="33"/>
  <c r="T204" i="33"/>
  <c r="U194" i="33"/>
  <c r="Q275" i="33"/>
  <c r="Q274" i="33"/>
  <c r="Q273" i="33"/>
  <c r="Q272" i="33"/>
  <c r="Q257" i="33"/>
  <c r="Q256" i="33"/>
  <c r="Q255" i="33"/>
  <c r="Q239" i="33"/>
  <c r="Q238" i="33"/>
  <c r="Q237" i="33"/>
  <c r="Q218" i="33"/>
  <c r="Q184" i="33"/>
  <c r="Q183" i="33"/>
  <c r="Q182" i="33"/>
  <c r="Q221" i="33"/>
  <c r="Q166" i="33"/>
  <c r="Q165" i="33"/>
  <c r="Q164" i="33"/>
  <c r="Q163" i="33"/>
  <c r="Q220" i="33"/>
  <c r="Q219" i="33"/>
  <c r="Q203" i="33"/>
  <c r="Q130" i="33"/>
  <c r="Q129" i="33"/>
  <c r="Q128" i="33"/>
  <c r="Q127" i="33"/>
  <c r="Q112" i="33"/>
  <c r="Q109" i="33"/>
  <c r="Q55" i="33"/>
  <c r="Q54" i="33"/>
  <c r="Q53" i="33"/>
  <c r="Q200" i="33"/>
  <c r="Q181" i="33"/>
  <c r="Q202" i="33"/>
  <c r="Q145" i="33"/>
  <c r="Q92" i="33"/>
  <c r="Q38" i="33"/>
  <c r="Q37" i="33"/>
  <c r="Q36" i="33"/>
  <c r="Q35" i="33"/>
  <c r="Q91" i="33"/>
  <c r="Q75" i="33"/>
  <c r="Q72" i="33"/>
  <c r="Q7" i="33"/>
  <c r="R2" i="33"/>
  <c r="Q90" i="33"/>
  <c r="Q93" i="33"/>
  <c r="Q21" i="33"/>
  <c r="Q201" i="33"/>
  <c r="Q146" i="33"/>
  <c r="Q148" i="33"/>
  <c r="Q20" i="33"/>
  <c r="Q147" i="33"/>
  <c r="Q254" i="33"/>
  <c r="Q236" i="33"/>
  <c r="Q6" i="33"/>
  <c r="Q39" i="33"/>
  <c r="R30" i="33"/>
  <c r="P40" i="33"/>
  <c r="BF27" i="32"/>
  <c r="BH13" i="32"/>
  <c r="BG27" i="32"/>
  <c r="BH12" i="32"/>
  <c r="BH43" i="32"/>
  <c r="BH38" i="32"/>
  <c r="BH46" i="32"/>
  <c r="BH33" i="32"/>
  <c r="Q8" i="33" l="1"/>
  <c r="T7" i="37"/>
  <c r="Q186" i="33"/>
  <c r="Q22" i="33"/>
  <c r="Q241" i="33"/>
  <c r="Q57" i="33"/>
  <c r="Q168" i="33"/>
  <c r="J5" i="31"/>
  <c r="J14" i="31" s="1"/>
  <c r="BF51" i="32"/>
  <c r="I5" i="31"/>
  <c r="I14" i="31" s="1"/>
  <c r="Q223" i="33"/>
  <c r="R56" i="33"/>
  <c r="S48" i="33"/>
  <c r="R39" i="33"/>
  <c r="S30" i="33"/>
  <c r="Q259" i="33"/>
  <c r="Q94" i="33"/>
  <c r="Q95" i="33" s="1"/>
  <c r="R85" i="33"/>
  <c r="R275" i="33"/>
  <c r="R274" i="33"/>
  <c r="R273" i="33"/>
  <c r="R272" i="33"/>
  <c r="R257" i="33"/>
  <c r="R256" i="33"/>
  <c r="R255" i="33"/>
  <c r="R239" i="33"/>
  <c r="R238" i="33"/>
  <c r="R221" i="33"/>
  <c r="R220" i="33"/>
  <c r="R219" i="33"/>
  <c r="R166" i="33"/>
  <c r="R165" i="33"/>
  <c r="R164" i="33"/>
  <c r="R163" i="33"/>
  <c r="R148" i="33"/>
  <c r="R147" i="33"/>
  <c r="R200" i="33"/>
  <c r="R181" i="33"/>
  <c r="R201" i="33"/>
  <c r="R182" i="33"/>
  <c r="R146" i="33"/>
  <c r="R145" i="33"/>
  <c r="R93" i="33"/>
  <c r="R92" i="33"/>
  <c r="R91" i="33"/>
  <c r="R90" i="33"/>
  <c r="R203" i="33"/>
  <c r="R112" i="33"/>
  <c r="R109" i="33"/>
  <c r="R75" i="33"/>
  <c r="R72" i="33"/>
  <c r="R7" i="33"/>
  <c r="S2" i="33"/>
  <c r="R184" i="33"/>
  <c r="R183" i="33"/>
  <c r="R55" i="33"/>
  <c r="R54" i="33"/>
  <c r="R53" i="33"/>
  <c r="R21" i="33"/>
  <c r="R38" i="33"/>
  <c r="R37" i="33"/>
  <c r="R36" i="33"/>
  <c r="R35" i="33"/>
  <c r="R237" i="33"/>
  <c r="R202" i="33"/>
  <c r="R130" i="33"/>
  <c r="R129" i="33"/>
  <c r="R128" i="33"/>
  <c r="R127" i="33"/>
  <c r="R20" i="33"/>
  <c r="R6" i="33"/>
  <c r="R218" i="33"/>
  <c r="R236" i="33"/>
  <c r="R254" i="33"/>
  <c r="S167" i="33"/>
  <c r="T158" i="33"/>
  <c r="Q131" i="33"/>
  <c r="Q132" i="33" s="1"/>
  <c r="R122" i="33"/>
  <c r="Q113" i="33"/>
  <c r="Q114" i="33" s="1"/>
  <c r="R103" i="33"/>
  <c r="Q76" i="33"/>
  <c r="Q77" i="33" s="1"/>
  <c r="R66" i="33"/>
  <c r="Q149" i="33"/>
  <c r="Q150" i="33" s="1"/>
  <c r="R140" i="33"/>
  <c r="Q40" i="33"/>
  <c r="Q205" i="33"/>
  <c r="Q277" i="33"/>
  <c r="V194" i="33"/>
  <c r="U204" i="33"/>
  <c r="BG51" i="32"/>
  <c r="R8" i="33" l="1"/>
  <c r="R223" i="33"/>
  <c r="R40" i="33"/>
  <c r="M12" i="9"/>
  <c r="J16" i="31"/>
  <c r="BH51" i="32"/>
  <c r="K5" i="31"/>
  <c r="K14" i="31" s="1"/>
  <c r="K16" i="31" s="1"/>
  <c r="L12" i="9"/>
  <c r="I16" i="31"/>
  <c r="S56" i="33"/>
  <c r="T48" i="33"/>
  <c r="W194" i="33"/>
  <c r="V204" i="33"/>
  <c r="R76" i="33"/>
  <c r="R77" i="33" s="1"/>
  <c r="S66" i="33"/>
  <c r="S122" i="33"/>
  <c r="R131" i="33"/>
  <c r="R132" i="33" s="1"/>
  <c r="R259" i="33"/>
  <c r="R22" i="33"/>
  <c r="R57" i="33"/>
  <c r="R186" i="33"/>
  <c r="R168" i="33"/>
  <c r="R277" i="33"/>
  <c r="R94" i="33"/>
  <c r="R95" i="33" s="1"/>
  <c r="S85" i="33"/>
  <c r="R149" i="33"/>
  <c r="R150" i="33" s="1"/>
  <c r="S140" i="33"/>
  <c r="R241" i="33"/>
  <c r="S272" i="33"/>
  <c r="S256" i="33"/>
  <c r="S239" i="33"/>
  <c r="S238" i="33"/>
  <c r="S237" i="33"/>
  <c r="S275" i="33"/>
  <c r="S255" i="33"/>
  <c r="S221" i="33"/>
  <c r="S220" i="33"/>
  <c r="S219" i="33"/>
  <c r="S257" i="33"/>
  <c r="S254" i="33"/>
  <c r="S203" i="33"/>
  <c r="S202" i="33"/>
  <c r="S200" i="33"/>
  <c r="S184" i="33"/>
  <c r="S183" i="33"/>
  <c r="S182" i="33"/>
  <c r="S148" i="33"/>
  <c r="S147" i="33"/>
  <c r="S181" i="33"/>
  <c r="S164" i="33"/>
  <c r="S146" i="33"/>
  <c r="S145" i="33"/>
  <c r="S93" i="33"/>
  <c r="S92" i="33"/>
  <c r="S91" i="33"/>
  <c r="S90" i="33"/>
  <c r="S163" i="33"/>
  <c r="S75" i="33"/>
  <c r="S72" i="33"/>
  <c r="S274" i="33"/>
  <c r="S55" i="33"/>
  <c r="S54" i="33"/>
  <c r="S53" i="33"/>
  <c r="S21" i="33"/>
  <c r="S273" i="33"/>
  <c r="S129" i="33"/>
  <c r="S127" i="33"/>
  <c r="S130" i="33"/>
  <c r="S128" i="33"/>
  <c r="S166" i="33"/>
  <c r="S112" i="33"/>
  <c r="T2" i="33"/>
  <c r="S165" i="33"/>
  <c r="S109" i="33"/>
  <c r="S6" i="33"/>
  <c r="S37" i="33"/>
  <c r="S35" i="33"/>
  <c r="S7" i="33"/>
  <c r="S38" i="33"/>
  <c r="S36" i="33"/>
  <c r="S201" i="33"/>
  <c r="S20" i="33"/>
  <c r="S218" i="33"/>
  <c r="S236" i="33"/>
  <c r="R205" i="33"/>
  <c r="S39" i="33"/>
  <c r="T30" i="33"/>
  <c r="R113" i="33"/>
  <c r="R114" i="33" s="1"/>
  <c r="S103" i="33"/>
  <c r="T167" i="33"/>
  <c r="U158" i="33"/>
  <c r="S241" i="33" l="1"/>
  <c r="S22" i="33"/>
  <c r="S149" i="33"/>
  <c r="S150" i="33" s="1"/>
  <c r="T140" i="33"/>
  <c r="U167" i="33"/>
  <c r="V158" i="33"/>
  <c r="S40" i="33"/>
  <c r="S168" i="33"/>
  <c r="S186" i="33"/>
  <c r="S277" i="33"/>
  <c r="S131" i="33"/>
  <c r="S132" i="33" s="1"/>
  <c r="T122" i="33"/>
  <c r="X194" i="33"/>
  <c r="W204" i="33"/>
  <c r="T39" i="33"/>
  <c r="U30" i="33"/>
  <c r="T275" i="33"/>
  <c r="T255" i="33"/>
  <c r="T274" i="33"/>
  <c r="T254" i="33"/>
  <c r="T272" i="33"/>
  <c r="T257" i="33"/>
  <c r="T239" i="33"/>
  <c r="T203" i="33"/>
  <c r="T202" i="33"/>
  <c r="T200" i="33"/>
  <c r="T184" i="33"/>
  <c r="T183" i="33"/>
  <c r="T182" i="33"/>
  <c r="T273" i="33"/>
  <c r="T237" i="33"/>
  <c r="T236" i="33"/>
  <c r="T221" i="33"/>
  <c r="T181" i="33"/>
  <c r="T256" i="33"/>
  <c r="T238" i="33"/>
  <c r="T220" i="33"/>
  <c r="T163" i="33"/>
  <c r="T75" i="33"/>
  <c r="T72" i="33"/>
  <c r="T166" i="33"/>
  <c r="T148" i="33"/>
  <c r="T130" i="33"/>
  <c r="T129" i="33"/>
  <c r="T128" i="33"/>
  <c r="T127" i="33"/>
  <c r="T112" i="33"/>
  <c r="T109" i="33"/>
  <c r="T55" i="33"/>
  <c r="T54" i="33"/>
  <c r="T53" i="33"/>
  <c r="T91" i="33"/>
  <c r="T218" i="33"/>
  <c r="T147" i="33"/>
  <c r="T93" i="33"/>
  <c r="T164" i="33"/>
  <c r="T90" i="33"/>
  <c r="T38" i="33"/>
  <c r="T37" i="33"/>
  <c r="T36" i="33"/>
  <c r="T35" i="33"/>
  <c r="T219" i="33"/>
  <c r="T165" i="33"/>
  <c r="T146" i="33"/>
  <c r="T92" i="33"/>
  <c r="T20" i="33"/>
  <c r="T7" i="33"/>
  <c r="U2" i="33"/>
  <c r="T6" i="33"/>
  <c r="T145" i="33"/>
  <c r="T21" i="33"/>
  <c r="T201" i="33"/>
  <c r="S259" i="33"/>
  <c r="S94" i="33"/>
  <c r="S95" i="33" s="1"/>
  <c r="T85" i="33"/>
  <c r="S76" i="33"/>
  <c r="S77" i="33" s="1"/>
  <c r="T66" i="33"/>
  <c r="T56" i="33"/>
  <c r="U48" i="33"/>
  <c r="T103" i="33"/>
  <c r="S113" i="33"/>
  <c r="S114" i="33" s="1"/>
  <c r="S223" i="33"/>
  <c r="S8" i="33"/>
  <c r="S57" i="33"/>
  <c r="S205" i="33"/>
  <c r="T8" i="33" l="1"/>
  <c r="T40" i="33"/>
  <c r="T223" i="33"/>
  <c r="T277" i="33"/>
  <c r="U56" i="33"/>
  <c r="V48" i="33"/>
  <c r="U85" i="33"/>
  <c r="T94" i="33"/>
  <c r="T95" i="33" s="1"/>
  <c r="U275" i="33"/>
  <c r="U274" i="33"/>
  <c r="U273" i="33"/>
  <c r="U272" i="33"/>
  <c r="U257" i="33"/>
  <c r="U256" i="33"/>
  <c r="U255" i="33"/>
  <c r="U237" i="33"/>
  <c r="U238" i="33"/>
  <c r="U220" i="33"/>
  <c r="U239" i="33"/>
  <c r="U219" i="33"/>
  <c r="U203" i="33"/>
  <c r="U202" i="33"/>
  <c r="U201" i="33"/>
  <c r="U200" i="33"/>
  <c r="U205" i="33" s="1"/>
  <c r="U166" i="33"/>
  <c r="U165" i="33"/>
  <c r="U164" i="33"/>
  <c r="U163" i="33"/>
  <c r="U182" i="33"/>
  <c r="U148" i="33"/>
  <c r="U130" i="33"/>
  <c r="U129" i="33"/>
  <c r="U128" i="33"/>
  <c r="U127" i="33"/>
  <c r="U112" i="33"/>
  <c r="U111" i="33"/>
  <c r="U110" i="33"/>
  <c r="U109" i="33"/>
  <c r="U55" i="33"/>
  <c r="U54" i="33"/>
  <c r="U53" i="33"/>
  <c r="U221" i="33"/>
  <c r="U183" i="33"/>
  <c r="U147" i="33"/>
  <c r="U90" i="33"/>
  <c r="U38" i="33"/>
  <c r="U37" i="33"/>
  <c r="U36" i="33"/>
  <c r="U35" i="33"/>
  <c r="U145" i="33"/>
  <c r="U92" i="33"/>
  <c r="U218" i="33"/>
  <c r="U223" i="33" s="1"/>
  <c r="U184" i="33"/>
  <c r="U146" i="33"/>
  <c r="U93" i="33"/>
  <c r="U7" i="33"/>
  <c r="V2" i="33"/>
  <c r="U236" i="33"/>
  <c r="U181" i="33"/>
  <c r="U91" i="33"/>
  <c r="U73" i="33"/>
  <c r="U21" i="33"/>
  <c r="U74" i="33"/>
  <c r="U20" i="33"/>
  <c r="U22" i="33" s="1"/>
  <c r="U72" i="33"/>
  <c r="U75" i="33"/>
  <c r="U254" i="33"/>
  <c r="U6" i="33"/>
  <c r="T241" i="33"/>
  <c r="T259" i="33"/>
  <c r="U39" i="33"/>
  <c r="V30" i="33"/>
  <c r="T131" i="33"/>
  <c r="T132" i="33" s="1"/>
  <c r="U122" i="33"/>
  <c r="T149" i="33"/>
  <c r="T150" i="33" s="1"/>
  <c r="U140" i="33"/>
  <c r="T76" i="33"/>
  <c r="T77" i="33" s="1"/>
  <c r="U66" i="33"/>
  <c r="T57" i="33"/>
  <c r="X204" i="33"/>
  <c r="Y194" i="33"/>
  <c r="T113" i="33"/>
  <c r="T114" i="33" s="1"/>
  <c r="U103" i="33"/>
  <c r="T22" i="33"/>
  <c r="T168" i="33"/>
  <c r="T186" i="33"/>
  <c r="T205" i="33"/>
  <c r="V167" i="33"/>
  <c r="W158" i="33"/>
  <c r="U8" i="33" l="1"/>
  <c r="U168" i="33"/>
  <c r="U277" i="33"/>
  <c r="U259" i="33"/>
  <c r="U186" i="33"/>
  <c r="U76" i="33"/>
  <c r="V66" i="33"/>
  <c r="U94" i="33"/>
  <c r="U95" i="33" s="1"/>
  <c r="V85" i="33"/>
  <c r="U149" i="33"/>
  <c r="U150" i="33" s="1"/>
  <c r="V140" i="33"/>
  <c r="V39" i="33"/>
  <c r="W30" i="33"/>
  <c r="U241" i="33"/>
  <c r="W48" i="33"/>
  <c r="V56" i="33"/>
  <c r="Z194" i="33"/>
  <c r="Y204" i="33"/>
  <c r="U131" i="33"/>
  <c r="U132" i="33" s="1"/>
  <c r="V122" i="33"/>
  <c r="X158" i="33"/>
  <c r="W167" i="33"/>
  <c r="U113" i="33"/>
  <c r="U114" i="33" s="1"/>
  <c r="V103" i="33"/>
  <c r="U77" i="33"/>
  <c r="V275" i="33"/>
  <c r="V274" i="33"/>
  <c r="V273" i="33"/>
  <c r="V272" i="33"/>
  <c r="V257" i="33"/>
  <c r="V256" i="33"/>
  <c r="V255" i="33"/>
  <c r="V239" i="33"/>
  <c r="V238" i="33"/>
  <c r="V221" i="33"/>
  <c r="V220" i="33"/>
  <c r="V219" i="33"/>
  <c r="V203" i="33"/>
  <c r="V202" i="33"/>
  <c r="V200" i="33"/>
  <c r="V166" i="33"/>
  <c r="V165" i="33"/>
  <c r="V164" i="33"/>
  <c r="V163" i="33"/>
  <c r="V184" i="33"/>
  <c r="V183" i="33"/>
  <c r="V182" i="33"/>
  <c r="V148" i="33"/>
  <c r="V147" i="33"/>
  <c r="V237" i="33"/>
  <c r="V146" i="33"/>
  <c r="V145" i="33"/>
  <c r="V93" i="33"/>
  <c r="V92" i="33"/>
  <c r="V91" i="33"/>
  <c r="V90" i="33"/>
  <c r="V7" i="33"/>
  <c r="W2" i="33"/>
  <c r="V111" i="33"/>
  <c r="V110" i="33"/>
  <c r="V109" i="33"/>
  <c r="V75" i="33"/>
  <c r="V73" i="33"/>
  <c r="V130" i="33"/>
  <c r="V129" i="33"/>
  <c r="V128" i="33"/>
  <c r="V127" i="33"/>
  <c r="V21" i="33"/>
  <c r="V181" i="33"/>
  <c r="V112" i="33"/>
  <c r="V74" i="33"/>
  <c r="V72" i="33"/>
  <c r="V38" i="33"/>
  <c r="V37" i="33"/>
  <c r="V36" i="33"/>
  <c r="V35" i="33"/>
  <c r="V55" i="33"/>
  <c r="V53" i="33"/>
  <c r="V54" i="33"/>
  <c r="V236" i="33"/>
  <c r="V20" i="33"/>
  <c r="V6" i="33"/>
  <c r="V218" i="33"/>
  <c r="V201" i="33"/>
  <c r="V254" i="33"/>
  <c r="U40" i="33"/>
  <c r="U57" i="33"/>
  <c r="V8" i="33" l="1"/>
  <c r="V57" i="33"/>
  <c r="V223" i="33"/>
  <c r="W274" i="33"/>
  <c r="W254" i="33"/>
  <c r="W239" i="33"/>
  <c r="W238" i="33"/>
  <c r="W237" i="33"/>
  <c r="W273" i="33"/>
  <c r="W257" i="33"/>
  <c r="W221" i="33"/>
  <c r="W220" i="33"/>
  <c r="W219" i="33"/>
  <c r="W255" i="33"/>
  <c r="W203" i="33"/>
  <c r="W202" i="33"/>
  <c r="W200" i="33"/>
  <c r="W184" i="33"/>
  <c r="W183" i="33"/>
  <c r="W182" i="33"/>
  <c r="W256" i="33"/>
  <c r="W148" i="33"/>
  <c r="W147" i="33"/>
  <c r="W181" i="33"/>
  <c r="W275" i="33"/>
  <c r="W166" i="33"/>
  <c r="W146" i="33"/>
  <c r="W145" i="33"/>
  <c r="W93" i="33"/>
  <c r="W92" i="33"/>
  <c r="W91" i="33"/>
  <c r="W90" i="33"/>
  <c r="W272" i="33"/>
  <c r="W165" i="33"/>
  <c r="W75" i="33"/>
  <c r="W74" i="33"/>
  <c r="W73" i="33"/>
  <c r="W72" i="33"/>
  <c r="W164" i="33"/>
  <c r="W130" i="33"/>
  <c r="W129" i="33"/>
  <c r="W128" i="33"/>
  <c r="W127" i="33"/>
  <c r="W21" i="33"/>
  <c r="W54" i="33"/>
  <c r="W53" i="33"/>
  <c r="W112" i="33"/>
  <c r="W111" i="33"/>
  <c r="W110" i="33"/>
  <c r="W109" i="33"/>
  <c r="W55" i="33"/>
  <c r="W6" i="33"/>
  <c r="X2" i="33"/>
  <c r="W7" i="33"/>
  <c r="W38" i="33"/>
  <c r="W37" i="33"/>
  <c r="W36" i="33"/>
  <c r="W35" i="33"/>
  <c r="W163" i="33"/>
  <c r="W201" i="33"/>
  <c r="W20" i="33"/>
  <c r="W218" i="33"/>
  <c r="W236" i="33"/>
  <c r="W39" i="33"/>
  <c r="X30" i="33"/>
  <c r="V94" i="33"/>
  <c r="V95" i="33" s="1"/>
  <c r="W85" i="33"/>
  <c r="V259" i="33"/>
  <c r="V22" i="33"/>
  <c r="V186" i="33"/>
  <c r="V277" i="33"/>
  <c r="Y158" i="33"/>
  <c r="X167" i="33"/>
  <c r="AA194" i="33"/>
  <c r="Z204" i="33"/>
  <c r="V241" i="33"/>
  <c r="V168" i="33"/>
  <c r="V205" i="33"/>
  <c r="V113" i="33"/>
  <c r="V114" i="33" s="1"/>
  <c r="W103" i="33"/>
  <c r="W122" i="33"/>
  <c r="V131" i="33"/>
  <c r="V149" i="33"/>
  <c r="V150" i="33" s="1"/>
  <c r="W140" i="33"/>
  <c r="V76" i="33"/>
  <c r="V77" i="33" s="1"/>
  <c r="W66" i="33"/>
  <c r="V40" i="33"/>
  <c r="V132" i="33"/>
  <c r="W56" i="33"/>
  <c r="X48" i="33"/>
  <c r="W22" i="33" l="1"/>
  <c r="W277" i="33"/>
  <c r="W241" i="33"/>
  <c r="W168" i="33"/>
  <c r="X56" i="33"/>
  <c r="Y48" i="33"/>
  <c r="W76" i="33"/>
  <c r="W77" i="33" s="1"/>
  <c r="X66" i="33"/>
  <c r="W223" i="33"/>
  <c r="W40" i="33"/>
  <c r="W57" i="33"/>
  <c r="W131" i="33"/>
  <c r="W132" i="33" s="1"/>
  <c r="X122" i="33"/>
  <c r="Y167" i="33"/>
  <c r="Z158" i="33"/>
  <c r="X273" i="33"/>
  <c r="X257" i="33"/>
  <c r="X272" i="33"/>
  <c r="X256" i="33"/>
  <c r="X255" i="33"/>
  <c r="X254" i="33"/>
  <c r="X238" i="33"/>
  <c r="X203" i="33"/>
  <c r="X202" i="33"/>
  <c r="X200" i="33"/>
  <c r="X184" i="33"/>
  <c r="X183" i="33"/>
  <c r="X182" i="33"/>
  <c r="X275" i="33"/>
  <c r="X274" i="33"/>
  <c r="X239" i="33"/>
  <c r="X219" i="33"/>
  <c r="X181" i="33"/>
  <c r="X237" i="33"/>
  <c r="X218" i="33"/>
  <c r="X221" i="33"/>
  <c r="X165" i="33"/>
  <c r="X147" i="33"/>
  <c r="X75" i="33"/>
  <c r="X74" i="33"/>
  <c r="X73" i="33"/>
  <c r="X72" i="33"/>
  <c r="X164" i="33"/>
  <c r="X130" i="33"/>
  <c r="X129" i="33"/>
  <c r="X128" i="33"/>
  <c r="X127" i="33"/>
  <c r="X112" i="33"/>
  <c r="X111" i="33"/>
  <c r="X110" i="33"/>
  <c r="X109" i="33"/>
  <c r="X55" i="33"/>
  <c r="X54" i="33"/>
  <c r="X53" i="33"/>
  <c r="X146" i="33"/>
  <c r="X93" i="33"/>
  <c r="X166" i="33"/>
  <c r="X148" i="33"/>
  <c r="X220" i="33"/>
  <c r="X145" i="33"/>
  <c r="X92" i="33"/>
  <c r="X38" i="33"/>
  <c r="X37" i="33"/>
  <c r="X36" i="33"/>
  <c r="X35" i="33"/>
  <c r="X163" i="33"/>
  <c r="X91" i="33"/>
  <c r="X20" i="33"/>
  <c r="X7" i="33"/>
  <c r="X90" i="33"/>
  <c r="X21" i="33"/>
  <c r="Y2" i="33"/>
  <c r="X6" i="33"/>
  <c r="X236" i="33"/>
  <c r="X201" i="33"/>
  <c r="W205" i="33"/>
  <c r="W259" i="33"/>
  <c r="AB194" i="33"/>
  <c r="AA204" i="33"/>
  <c r="W94" i="33"/>
  <c r="W95" i="33" s="1"/>
  <c r="X85" i="33"/>
  <c r="X39" i="33"/>
  <c r="Y30" i="33"/>
  <c r="W149" i="33"/>
  <c r="W150" i="33" s="1"/>
  <c r="X140" i="33"/>
  <c r="X103" i="33"/>
  <c r="W113" i="33"/>
  <c r="W114" i="33" s="1"/>
  <c r="W8" i="33"/>
  <c r="W186" i="33"/>
  <c r="X241" i="33" l="1"/>
  <c r="X186" i="33"/>
  <c r="X259" i="33"/>
  <c r="X205" i="33"/>
  <c r="X40" i="33"/>
  <c r="X131" i="33"/>
  <c r="X132" i="33" s="1"/>
  <c r="Y122" i="33"/>
  <c r="Y275" i="33"/>
  <c r="Y274" i="33"/>
  <c r="Y273" i="33"/>
  <c r="Y272" i="33"/>
  <c r="Y257" i="33"/>
  <c r="Y256" i="33"/>
  <c r="Y255" i="33"/>
  <c r="Y239" i="33"/>
  <c r="Y237" i="33"/>
  <c r="Y218" i="33"/>
  <c r="Y184" i="33"/>
  <c r="Y183" i="33"/>
  <c r="Y182" i="33"/>
  <c r="Y221" i="33"/>
  <c r="Y166" i="33"/>
  <c r="Y165" i="33"/>
  <c r="Y164" i="33"/>
  <c r="Y163" i="33"/>
  <c r="Y238" i="33"/>
  <c r="Y201" i="33"/>
  <c r="Y130" i="33"/>
  <c r="Y129" i="33"/>
  <c r="Y128" i="33"/>
  <c r="Y127" i="33"/>
  <c r="Y112" i="33"/>
  <c r="Y111" i="33"/>
  <c r="Y110" i="33"/>
  <c r="Y109" i="33"/>
  <c r="Y55" i="33"/>
  <c r="Y54" i="33"/>
  <c r="Y53" i="33"/>
  <c r="Y202" i="33"/>
  <c r="Y181" i="33"/>
  <c r="Y220" i="33"/>
  <c r="Y145" i="33"/>
  <c r="Y92" i="33"/>
  <c r="Y38" i="33"/>
  <c r="Y37" i="33"/>
  <c r="Y36" i="33"/>
  <c r="Y35" i="33"/>
  <c r="Y90" i="33"/>
  <c r="Y219" i="33"/>
  <c r="Y148" i="33"/>
  <c r="Y147" i="33"/>
  <c r="Y91" i="33"/>
  <c r="Y75" i="33"/>
  <c r="Y74" i="33"/>
  <c r="Y73" i="33"/>
  <c r="Y72" i="33"/>
  <c r="Y7" i="33"/>
  <c r="Z2" i="33"/>
  <c r="Y236" i="33"/>
  <c r="Y21" i="33"/>
  <c r="Y146" i="33"/>
  <c r="Y200" i="33"/>
  <c r="Y20" i="33"/>
  <c r="Y203" i="33"/>
  <c r="Y93" i="33"/>
  <c r="Y6" i="33"/>
  <c r="Y254" i="33"/>
  <c r="X22" i="33"/>
  <c r="Y56" i="33"/>
  <c r="Z48" i="33"/>
  <c r="Y140" i="33"/>
  <c r="X149" i="33"/>
  <c r="X150" i="33" s="1"/>
  <c r="X223" i="33"/>
  <c r="Z167" i="33"/>
  <c r="AA158" i="33"/>
  <c r="Y85" i="33"/>
  <c r="X94" i="33"/>
  <c r="X95" i="33" s="1"/>
  <c r="X8" i="33"/>
  <c r="Y39" i="33"/>
  <c r="Z30" i="33"/>
  <c r="X113" i="33"/>
  <c r="X114" i="33" s="1"/>
  <c r="Y103" i="33"/>
  <c r="AB204" i="33"/>
  <c r="AC194" i="33"/>
  <c r="AC204" i="33" s="1"/>
  <c r="X168" i="33"/>
  <c r="X57" i="33"/>
  <c r="X277" i="33"/>
  <c r="X76" i="33"/>
  <c r="X77" i="33" s="1"/>
  <c r="Y66" i="33"/>
  <c r="Y168" i="33" l="1"/>
  <c r="Y186" i="33"/>
  <c r="Y113" i="33"/>
  <c r="Y114" i="33" s="1"/>
  <c r="Z103" i="33"/>
  <c r="Y149" i="33"/>
  <c r="Y150" i="33" s="1"/>
  <c r="Z140" i="33"/>
  <c r="Z39" i="33"/>
  <c r="AA30" i="33"/>
  <c r="Y94" i="33"/>
  <c r="Y95" i="33" s="1"/>
  <c r="Z85" i="33"/>
  <c r="Z56" i="33"/>
  <c r="AA48" i="33"/>
  <c r="Y259" i="33"/>
  <c r="Y22" i="33"/>
  <c r="Y241" i="33"/>
  <c r="Y40" i="33"/>
  <c r="Y277" i="33"/>
  <c r="Y131" i="33"/>
  <c r="Y132" i="33" s="1"/>
  <c r="Z122" i="33"/>
  <c r="Y223" i="33"/>
  <c r="Y76" i="33"/>
  <c r="Y77" i="33" s="1"/>
  <c r="Z66" i="33"/>
  <c r="AA167" i="33"/>
  <c r="AB158" i="33"/>
  <c r="Y8" i="33"/>
  <c r="Y205" i="33"/>
  <c r="Z275" i="33"/>
  <c r="Z274" i="33"/>
  <c r="Z273" i="33"/>
  <c r="Z272" i="33"/>
  <c r="Z257" i="33"/>
  <c r="Z256" i="33"/>
  <c r="Z255" i="33"/>
  <c r="Z239" i="33"/>
  <c r="Z237" i="33"/>
  <c r="Z221" i="33"/>
  <c r="Z220" i="33"/>
  <c r="Z219" i="33"/>
  <c r="Z166" i="33"/>
  <c r="Z165" i="33"/>
  <c r="Z164" i="33"/>
  <c r="Z163" i="33"/>
  <c r="Z236" i="33"/>
  <c r="Z148" i="33"/>
  <c r="Z147" i="33"/>
  <c r="Z202" i="33"/>
  <c r="Z183" i="33"/>
  <c r="Z181" i="33"/>
  <c r="Z203" i="33"/>
  <c r="Z184" i="33"/>
  <c r="Z146" i="33"/>
  <c r="Z145" i="33"/>
  <c r="Z93" i="33"/>
  <c r="Z92" i="33"/>
  <c r="Z91" i="33"/>
  <c r="Z90" i="33"/>
  <c r="Z238" i="33"/>
  <c r="Z112" i="33"/>
  <c r="Z111" i="33"/>
  <c r="Z110" i="33"/>
  <c r="Z109" i="33"/>
  <c r="Z75" i="33"/>
  <c r="Z74" i="33"/>
  <c r="Z73" i="33"/>
  <c r="Z72" i="33"/>
  <c r="Z7" i="33"/>
  <c r="AA2" i="33"/>
  <c r="Z200" i="33"/>
  <c r="Z182" i="33"/>
  <c r="Z55" i="33"/>
  <c r="Z54" i="33"/>
  <c r="Z53" i="33"/>
  <c r="Z21" i="33"/>
  <c r="Z201" i="33"/>
  <c r="Z130" i="33"/>
  <c r="Z129" i="33"/>
  <c r="Z128" i="33"/>
  <c r="Z127" i="33"/>
  <c r="Z38" i="33"/>
  <c r="Z37" i="33"/>
  <c r="Z36" i="33"/>
  <c r="Z35" i="33"/>
  <c r="Z20" i="33"/>
  <c r="Z254" i="33"/>
  <c r="Z218" i="33"/>
  <c r="Z6" i="33"/>
  <c r="Z8" i="33" s="1"/>
  <c r="Y57" i="33"/>
  <c r="Z259" i="33" l="1"/>
  <c r="Z40" i="33"/>
  <c r="Z168" i="33"/>
  <c r="Z277" i="33"/>
  <c r="Z76" i="33"/>
  <c r="Z77" i="33" s="1"/>
  <c r="AA66" i="33"/>
  <c r="AA56" i="33"/>
  <c r="AB48" i="33"/>
  <c r="AA39" i="33"/>
  <c r="AB30" i="33"/>
  <c r="Z149" i="33"/>
  <c r="Z150" i="33" s="1"/>
  <c r="AA140" i="33"/>
  <c r="Z223" i="33"/>
  <c r="Z57" i="33"/>
  <c r="Z205" i="33"/>
  <c r="Z186" i="33"/>
  <c r="AB167" i="33"/>
  <c r="AC158" i="33"/>
  <c r="AC167" i="33" s="1"/>
  <c r="Z94" i="33"/>
  <c r="Z95" i="33" s="1"/>
  <c r="AA85" i="33"/>
  <c r="Z113" i="33"/>
  <c r="Z114" i="33" s="1"/>
  <c r="AA103" i="33"/>
  <c r="Z22" i="33"/>
  <c r="AA272" i="33"/>
  <c r="AA256" i="33"/>
  <c r="AA239" i="33"/>
  <c r="AA238" i="33"/>
  <c r="AA237" i="33"/>
  <c r="AA275" i="33"/>
  <c r="AA255" i="33"/>
  <c r="AA274" i="33"/>
  <c r="AA273" i="33"/>
  <c r="AA221" i="33"/>
  <c r="AA220" i="33"/>
  <c r="AA219" i="33"/>
  <c r="AA203" i="33"/>
  <c r="AA202" i="33"/>
  <c r="AA200" i="33"/>
  <c r="AA184" i="33"/>
  <c r="AA183" i="33"/>
  <c r="AA182" i="33"/>
  <c r="AA257" i="33"/>
  <c r="AA148" i="33"/>
  <c r="AA147" i="33"/>
  <c r="AA181" i="33"/>
  <c r="AA164" i="33"/>
  <c r="AA146" i="33"/>
  <c r="AA145" i="33"/>
  <c r="AA93" i="33"/>
  <c r="AA92" i="33"/>
  <c r="AA91" i="33"/>
  <c r="AA90" i="33"/>
  <c r="AA163" i="33"/>
  <c r="AA75" i="33"/>
  <c r="AA74" i="33"/>
  <c r="AA73" i="33"/>
  <c r="AA72" i="33"/>
  <c r="AA55" i="33"/>
  <c r="AA54" i="33"/>
  <c r="AA53" i="33"/>
  <c r="AA21" i="33"/>
  <c r="AA130" i="33"/>
  <c r="AA128" i="33"/>
  <c r="AA254" i="33"/>
  <c r="AA259" i="33" s="1"/>
  <c r="AA166" i="33"/>
  <c r="AA165" i="33"/>
  <c r="AA129" i="33"/>
  <c r="AA127" i="33"/>
  <c r="AB2" i="33"/>
  <c r="AA110" i="33"/>
  <c r="AA6" i="33"/>
  <c r="AA111" i="33"/>
  <c r="AA38" i="33"/>
  <c r="AA36" i="33"/>
  <c r="AA109" i="33"/>
  <c r="AA7" i="33"/>
  <c r="AA112" i="33"/>
  <c r="AA37" i="33"/>
  <c r="AA35" i="33"/>
  <c r="AA236" i="33"/>
  <c r="AA20" i="33"/>
  <c r="AA218" i="33"/>
  <c r="AA201" i="33"/>
  <c r="Z241" i="33"/>
  <c r="AA122" i="33"/>
  <c r="Z131" i="33"/>
  <c r="Z132" i="33" s="1"/>
  <c r="AA22" i="33" l="1"/>
  <c r="AA8" i="33"/>
  <c r="AA40" i="33"/>
  <c r="AA223" i="33"/>
  <c r="AA205" i="33"/>
  <c r="AB103" i="33"/>
  <c r="AA113" i="33"/>
  <c r="AA114" i="33" s="1"/>
  <c r="AB39" i="33"/>
  <c r="AC30" i="33"/>
  <c r="AC39" i="33" s="1"/>
  <c r="AA76" i="33"/>
  <c r="AB66" i="33"/>
  <c r="AB275" i="33"/>
  <c r="AB255" i="33"/>
  <c r="AB274" i="33"/>
  <c r="AB254" i="33"/>
  <c r="AB239" i="33"/>
  <c r="AB203" i="33"/>
  <c r="AB202" i="33"/>
  <c r="AB200" i="33"/>
  <c r="AB184" i="33"/>
  <c r="AB183" i="33"/>
  <c r="AB182" i="33"/>
  <c r="AB256" i="33"/>
  <c r="AB238" i="33"/>
  <c r="AB237" i="33"/>
  <c r="AB221" i="33"/>
  <c r="AB181" i="33"/>
  <c r="AB273" i="33"/>
  <c r="AB272" i="33"/>
  <c r="AB220" i="33"/>
  <c r="AB257" i="33"/>
  <c r="AB163" i="33"/>
  <c r="AB75" i="33"/>
  <c r="AB74" i="33"/>
  <c r="AB73" i="33"/>
  <c r="AB72" i="33"/>
  <c r="AB219" i="33"/>
  <c r="AB218" i="33"/>
  <c r="AB166" i="33"/>
  <c r="AB148" i="33"/>
  <c r="AB130" i="33"/>
  <c r="AB129" i="33"/>
  <c r="AB128" i="33"/>
  <c r="AB127" i="33"/>
  <c r="AB112" i="33"/>
  <c r="AB111" i="33"/>
  <c r="AB110" i="33"/>
  <c r="AB109" i="33"/>
  <c r="AB55" i="33"/>
  <c r="AB54" i="33"/>
  <c r="AB53" i="33"/>
  <c r="AB165" i="33"/>
  <c r="AB147" i="33"/>
  <c r="AB91" i="33"/>
  <c r="AB146" i="33"/>
  <c r="AB90" i="33"/>
  <c r="AB38" i="33"/>
  <c r="AB37" i="33"/>
  <c r="AB36" i="33"/>
  <c r="AB35" i="33"/>
  <c r="AB93" i="33"/>
  <c r="AB164" i="33"/>
  <c r="AB20" i="33"/>
  <c r="AB7" i="33"/>
  <c r="AB145" i="33"/>
  <c r="AB92" i="33"/>
  <c r="AB21" i="33"/>
  <c r="AB6" i="33"/>
  <c r="AC2" i="33"/>
  <c r="AB201" i="33"/>
  <c r="AB236" i="33"/>
  <c r="AA77" i="33"/>
  <c r="AA168" i="33"/>
  <c r="AA186" i="33"/>
  <c r="AA131" i="33"/>
  <c r="AA132" i="33" s="1"/>
  <c r="AB122" i="33"/>
  <c r="AA241" i="33"/>
  <c r="AA57" i="33"/>
  <c r="AA277" i="33"/>
  <c r="AA94" i="33"/>
  <c r="AA95" i="33" s="1"/>
  <c r="AB85" i="33"/>
  <c r="AA149" i="33"/>
  <c r="AA150" i="33" s="1"/>
  <c r="AB140" i="33"/>
  <c r="AB56" i="33"/>
  <c r="AC48" i="33"/>
  <c r="AC56" i="33" s="1"/>
  <c r="AB8" i="33" l="1"/>
  <c r="AB241" i="33"/>
  <c r="AB223" i="33"/>
  <c r="AB149" i="33"/>
  <c r="AB150" i="33" s="1"/>
  <c r="AC140" i="33"/>
  <c r="AC149" i="33" s="1"/>
  <c r="AB76" i="33"/>
  <c r="AC66" i="33"/>
  <c r="AC76" i="33" s="1"/>
  <c r="AC275" i="33"/>
  <c r="AC274" i="33"/>
  <c r="AC273" i="33"/>
  <c r="AC272" i="33"/>
  <c r="AC257" i="33"/>
  <c r="AC256" i="33"/>
  <c r="AC255" i="33"/>
  <c r="AC238" i="33"/>
  <c r="AC220" i="33"/>
  <c r="AC219" i="33"/>
  <c r="AC203" i="33"/>
  <c r="AC202" i="33"/>
  <c r="AC201" i="33"/>
  <c r="AC200" i="33"/>
  <c r="AC166" i="33"/>
  <c r="AC165" i="33"/>
  <c r="AC164" i="33"/>
  <c r="AC163" i="33"/>
  <c r="AC237" i="33"/>
  <c r="AC218" i="33"/>
  <c r="AC184" i="33"/>
  <c r="AC148" i="33"/>
  <c r="AC130" i="33"/>
  <c r="AC129" i="33"/>
  <c r="AC128" i="33"/>
  <c r="AC127" i="33"/>
  <c r="AC112" i="33"/>
  <c r="AC111" i="33"/>
  <c r="AC110" i="33"/>
  <c r="AC109" i="33"/>
  <c r="AC55" i="33"/>
  <c r="AC54" i="33"/>
  <c r="AC53" i="33"/>
  <c r="AC147" i="33"/>
  <c r="AC221" i="33"/>
  <c r="AC183" i="33"/>
  <c r="AC182" i="33"/>
  <c r="AC90" i="33"/>
  <c r="AC38" i="33"/>
  <c r="AC37" i="33"/>
  <c r="AC36" i="33"/>
  <c r="AC35" i="33"/>
  <c r="AC181" i="33"/>
  <c r="AC146" i="33"/>
  <c r="AC93" i="33"/>
  <c r="AC7" i="33"/>
  <c r="AC239" i="33"/>
  <c r="AC145" i="33"/>
  <c r="AC92" i="33"/>
  <c r="AC72" i="33"/>
  <c r="AC75" i="33"/>
  <c r="AC74" i="33"/>
  <c r="AC21" i="33"/>
  <c r="AC73" i="33"/>
  <c r="AC91" i="33"/>
  <c r="AC20" i="33"/>
  <c r="AC6" i="33"/>
  <c r="AC236" i="33"/>
  <c r="AC254" i="33"/>
  <c r="AB277" i="33"/>
  <c r="AB113" i="33"/>
  <c r="AB114" i="33" s="1"/>
  <c r="AC103" i="33"/>
  <c r="AC113" i="33" s="1"/>
  <c r="AB94" i="33"/>
  <c r="AB95" i="33" s="1"/>
  <c r="AC85" i="33"/>
  <c r="AC94" i="33" s="1"/>
  <c r="AB131" i="33"/>
  <c r="AB132" i="33" s="1"/>
  <c r="AC122" i="33"/>
  <c r="AC131" i="33" s="1"/>
  <c r="AB40" i="33"/>
  <c r="AB77" i="33"/>
  <c r="AB168" i="33"/>
  <c r="AB22" i="33"/>
  <c r="AB57" i="33"/>
  <c r="AB186" i="33"/>
  <c r="AB205" i="33"/>
  <c r="AB259" i="33"/>
  <c r="AC223" i="33" l="1"/>
  <c r="AC277" i="33"/>
  <c r="AC22" i="33"/>
  <c r="AC259" i="33"/>
  <c r="AC150" i="33"/>
  <c r="AC186" i="33"/>
  <c r="AC241" i="33"/>
  <c r="AC77" i="33"/>
  <c r="AC40" i="33"/>
  <c r="AC95" i="33"/>
  <c r="AC114" i="33"/>
  <c r="AC132" i="33"/>
  <c r="AC168" i="33"/>
  <c r="AC205" i="33"/>
  <c r="AC8" i="33"/>
  <c r="AC57" i="33"/>
  <c r="G7" i="13" l="1"/>
  <c r="W7" i="31" l="1"/>
  <c r="V7" i="31"/>
  <c r="U7" i="31"/>
  <c r="T7" i="31"/>
  <c r="S7" i="31"/>
  <c r="R7" i="31"/>
  <c r="Q7" i="31"/>
  <c r="P7" i="31"/>
  <c r="O7" i="31"/>
  <c r="N7" i="31"/>
  <c r="L7" i="31"/>
  <c r="K7" i="31"/>
  <c r="J7" i="31"/>
  <c r="I7" i="31"/>
  <c r="H7" i="31"/>
  <c r="G7" i="31"/>
  <c r="F7" i="31"/>
  <c r="E7" i="31"/>
  <c r="D7" i="31"/>
  <c r="C7" i="31"/>
  <c r="L3" i="30" l="1"/>
  <c r="K3" i="30"/>
  <c r="J3" i="30"/>
  <c r="H3" i="30"/>
  <c r="G3" i="30"/>
  <c r="F3" i="30"/>
  <c r="E3" i="30"/>
  <c r="D3" i="30"/>
  <c r="E4" i="30" l="1"/>
  <c r="E13" i="30" s="1"/>
  <c r="I3" i="30"/>
  <c r="M27" i="30"/>
  <c r="M17" i="30"/>
  <c r="E28" i="30" l="1"/>
  <c r="E18" i="30"/>
  <c r="E22" i="30" s="1"/>
  <c r="I4" i="30" l="1"/>
  <c r="I13" i="30" s="1"/>
  <c r="M3" i="30"/>
  <c r="F4" i="30"/>
  <c r="J4" i="30"/>
  <c r="J13" i="30" s="1"/>
  <c r="G4" i="30"/>
  <c r="G13" i="30" s="1"/>
  <c r="K4" i="30"/>
  <c r="K13" i="30" s="1"/>
  <c r="H4" i="30"/>
  <c r="H13" i="30" s="1"/>
  <c r="L4" i="30"/>
  <c r="L13" i="30" s="1"/>
  <c r="F13" i="30" l="1"/>
  <c r="F18" i="30" s="1"/>
  <c r="M4" i="30"/>
  <c r="H18" i="30"/>
  <c r="H28" i="30"/>
  <c r="K28" i="30"/>
  <c r="K18" i="30"/>
  <c r="G28" i="30"/>
  <c r="G18" i="30"/>
  <c r="L18" i="30"/>
  <c r="L28" i="30"/>
  <c r="J28" i="30"/>
  <c r="J18" i="30"/>
  <c r="I18" i="30"/>
  <c r="I28" i="30"/>
  <c r="F28" i="30" l="1"/>
  <c r="M13" i="30"/>
  <c r="K22" i="30" l="1"/>
  <c r="G22" i="30"/>
  <c r="J22" i="30"/>
  <c r="F22" i="30"/>
  <c r="L22" i="30"/>
  <c r="I22" i="30"/>
  <c r="H22" i="30"/>
  <c r="L32" i="30"/>
  <c r="H32" i="30"/>
  <c r="K32" i="30"/>
  <c r="G32" i="30"/>
  <c r="I32" i="30"/>
  <c r="J32" i="30"/>
  <c r="F32" i="30"/>
  <c r="E32" i="30"/>
  <c r="M28" i="30"/>
  <c r="M18" i="30"/>
  <c r="H2" i="30" l="1"/>
  <c r="I2" i="30" s="1"/>
  <c r="J2" i="30" s="1"/>
  <c r="K2" i="30" s="1"/>
  <c r="L2" i="30" s="1"/>
  <c r="H19" i="9" l="1"/>
  <c r="G20" i="37" s="1"/>
  <c r="R20" i="37" s="1"/>
  <c r="G19" i="9"/>
  <c r="F20" i="37" s="1"/>
  <c r="Q20" i="37" s="1"/>
  <c r="F19" i="9"/>
  <c r="E20" i="37" s="1"/>
  <c r="P20" i="37" s="1"/>
  <c r="E19" i="9"/>
  <c r="D20" i="37" s="1"/>
  <c r="O20" i="37" l="1"/>
  <c r="I20" i="37"/>
  <c r="T20" i="37" s="1"/>
  <c r="F7" i="27"/>
  <c r="F36" i="27" s="1"/>
  <c r="F18" i="27" s="1"/>
  <c r="G7" i="27"/>
  <c r="G36" i="27" s="1"/>
  <c r="I7" i="27"/>
  <c r="I36" i="27" s="1"/>
  <c r="H7" i="27"/>
  <c r="H36" i="27" s="1"/>
  <c r="J19" i="27"/>
  <c r="K19" i="27" s="1"/>
  <c r="L19" i="27" s="1"/>
  <c r="M19" i="27" s="1"/>
  <c r="N19" i="27" s="1"/>
  <c r="G40" i="27" l="1"/>
  <c r="G41" i="27"/>
  <c r="J7" i="27"/>
  <c r="J36" i="27" s="1"/>
  <c r="I41" i="27"/>
  <c r="I18" i="27"/>
  <c r="I40" i="27"/>
  <c r="H18" i="27"/>
  <c r="H41" i="27"/>
  <c r="H40" i="27"/>
  <c r="F8" i="27"/>
  <c r="F10" i="27" l="1"/>
  <c r="F12" i="27" s="1"/>
  <c r="F13" i="27" s="1"/>
  <c r="F20" i="27" s="1"/>
  <c r="G8" i="27"/>
  <c r="I42" i="27"/>
  <c r="I43" i="27" s="1"/>
  <c r="H42" i="27"/>
  <c r="H43" i="27" s="1"/>
  <c r="J41" i="27"/>
  <c r="K7" i="27"/>
  <c r="K36" i="27" s="1"/>
  <c r="J40" i="27"/>
  <c r="J18" i="27"/>
  <c r="G18" i="27"/>
  <c r="G42" i="27"/>
  <c r="G43" i="27" s="1"/>
  <c r="G44" i="27" s="1"/>
  <c r="F14" i="27" l="1"/>
  <c r="F15" i="27" s="1"/>
  <c r="F21" i="27"/>
  <c r="J42" i="27"/>
  <c r="J43" i="27" s="1"/>
  <c r="H44" i="27"/>
  <c r="G10" i="27"/>
  <c r="G12" i="27" s="1"/>
  <c r="G13" i="27" s="1"/>
  <c r="H8" i="27"/>
  <c r="K41" i="27"/>
  <c r="L7" i="27"/>
  <c r="L36" i="27" s="1"/>
  <c r="K18" i="27"/>
  <c r="K40" i="27"/>
  <c r="F24" i="27" l="1"/>
  <c r="K42" i="27"/>
  <c r="K43" i="27" s="1"/>
  <c r="H10" i="27"/>
  <c r="I8" i="27"/>
  <c r="G20" i="27"/>
  <c r="G21" i="27" s="1"/>
  <c r="G14" i="27"/>
  <c r="G15" i="27" s="1"/>
  <c r="L41" i="27"/>
  <c r="L40" i="27"/>
  <c r="M7" i="27"/>
  <c r="M36" i="27" s="1"/>
  <c r="L18" i="27"/>
  <c r="H12" i="27"/>
  <c r="H13" i="27" s="1"/>
  <c r="H20" i="27" s="1"/>
  <c r="H21" i="27" s="1"/>
  <c r="I44" i="27"/>
  <c r="G24" i="27" l="1"/>
  <c r="E17" i="9"/>
  <c r="L42" i="27"/>
  <c r="L43" i="27" s="1"/>
  <c r="H14" i="27"/>
  <c r="H15" i="27" s="1"/>
  <c r="H24" i="27" s="1"/>
  <c r="F17" i="9"/>
  <c r="J44" i="27"/>
  <c r="M18" i="27"/>
  <c r="N7" i="27"/>
  <c r="N36" i="27" s="1"/>
  <c r="I10" i="27"/>
  <c r="I12" i="27" s="1"/>
  <c r="I13" i="27" s="1"/>
  <c r="I20" i="27" s="1"/>
  <c r="I21" i="27" s="1"/>
  <c r="J8" i="27"/>
  <c r="G17" i="9" l="1"/>
  <c r="N18" i="27"/>
  <c r="I14" i="27"/>
  <c r="I15" i="27" s="1"/>
  <c r="I24" i="27" s="1"/>
  <c r="K8" i="27"/>
  <c r="J10" i="27"/>
  <c r="J12" i="27" s="1"/>
  <c r="J13" i="27" s="1"/>
  <c r="J20" i="27" s="1"/>
  <c r="J21" i="27" s="1"/>
  <c r="K44" i="27"/>
  <c r="H17" i="9" l="1"/>
  <c r="J14" i="27"/>
  <c r="J15" i="27" s="1"/>
  <c r="J24" i="27" s="1"/>
  <c r="L44" i="27"/>
  <c r="K10" i="27"/>
  <c r="K12" i="27" s="1"/>
  <c r="K13" i="27" s="1"/>
  <c r="L8" i="27"/>
  <c r="I17" i="9" l="1"/>
  <c r="L10" i="27"/>
  <c r="L12" i="27" s="1"/>
  <c r="L13" i="27" s="1"/>
  <c r="M8" i="27"/>
  <c r="K20" i="27"/>
  <c r="K21" i="27" s="1"/>
  <c r="K14" i="27"/>
  <c r="K15" i="27" s="1"/>
  <c r="K24" i="27" l="1"/>
  <c r="M10" i="27"/>
  <c r="N8" i="27"/>
  <c r="N10" i="27" s="1"/>
  <c r="L14" i="27"/>
  <c r="L15" i="27" s="1"/>
  <c r="L20" i="27"/>
  <c r="L21" i="27" s="1"/>
  <c r="J17" i="9" l="1"/>
  <c r="L24" i="27"/>
  <c r="M12" i="27"/>
  <c r="M13" i="27" s="1"/>
  <c r="N12" i="27"/>
  <c r="N13" i="27" s="1"/>
  <c r="K17" i="9" l="1"/>
  <c r="N20" i="27"/>
  <c r="N21" i="27" s="1"/>
  <c r="N14" i="27"/>
  <c r="N15" i="27" s="1"/>
  <c r="M20" i="27"/>
  <c r="M21" i="27" s="1"/>
  <c r="M14" i="27"/>
  <c r="M15" i="27" s="1"/>
  <c r="M24" i="27" l="1"/>
  <c r="N24" i="27"/>
  <c r="DP72" i="23"/>
  <c r="EC70" i="23"/>
  <c r="DY69" i="23"/>
  <c r="DY72" i="23" s="1"/>
  <c r="DX69" i="23"/>
  <c r="DX72" i="23" s="1"/>
  <c r="DW69" i="23"/>
  <c r="DW72" i="23" s="1"/>
  <c r="DV69" i="23"/>
  <c r="DV72" i="23" s="1"/>
  <c r="DU69" i="23"/>
  <c r="DU72" i="23" s="1"/>
  <c r="DT69" i="23"/>
  <c r="DT72" i="23" s="1"/>
  <c r="DS69" i="23"/>
  <c r="DQ69" i="23"/>
  <c r="DQ72" i="23" s="1"/>
  <c r="DP69" i="23"/>
  <c r="DO69" i="23"/>
  <c r="DO72" i="23" s="1"/>
  <c r="DN69" i="23"/>
  <c r="DN72" i="23" s="1"/>
  <c r="DM69" i="23"/>
  <c r="DM72" i="23" s="1"/>
  <c r="DL69" i="23"/>
  <c r="DL72" i="23" s="1"/>
  <c r="DK69" i="23"/>
  <c r="DK72" i="23" s="1"/>
  <c r="DJ69" i="23"/>
  <c r="DJ72" i="23" s="1"/>
  <c r="DI69" i="23"/>
  <c r="DI72" i="23" s="1"/>
  <c r="DH69" i="23"/>
  <c r="DH72" i="23" s="1"/>
  <c r="DG69" i="23"/>
  <c r="DG72" i="23" s="1"/>
  <c r="DS68" i="23"/>
  <c r="EC67" i="23"/>
  <c r="EC63" i="23"/>
  <c r="DY62" i="23"/>
  <c r="DJ62" i="23"/>
  <c r="DG62" i="23"/>
  <c r="DL61" i="23"/>
  <c r="DY60" i="23"/>
  <c r="DY61" i="23" s="1"/>
  <c r="DX60" i="23"/>
  <c r="DX62" i="23" s="1"/>
  <c r="DW60" i="23"/>
  <c r="DW62" i="23" s="1"/>
  <c r="DV60" i="23"/>
  <c r="DV62" i="23" s="1"/>
  <c r="DU60" i="23"/>
  <c r="DU61" i="23" s="1"/>
  <c r="DT60" i="23"/>
  <c r="DT61" i="23" s="1"/>
  <c r="DQ60" i="23"/>
  <c r="DQ62" i="23" s="1"/>
  <c r="DP60" i="23"/>
  <c r="DP62" i="23" s="1"/>
  <c r="DO60" i="23"/>
  <c r="DO61" i="23" s="1"/>
  <c r="DN60" i="23"/>
  <c r="DN61" i="23" s="1"/>
  <c r="DM60" i="23"/>
  <c r="DM62" i="23" s="1"/>
  <c r="DL60" i="23"/>
  <c r="DL62" i="23" s="1"/>
  <c r="DK60" i="23"/>
  <c r="DK61" i="23" s="1"/>
  <c r="DJ60" i="23"/>
  <c r="DJ61" i="23" s="1"/>
  <c r="DI60" i="23"/>
  <c r="DI62" i="23" s="1"/>
  <c r="DH60" i="23"/>
  <c r="DH62" i="23" s="1"/>
  <c r="DG60" i="23"/>
  <c r="DG61" i="23" s="1"/>
  <c r="EF59" i="23"/>
  <c r="EF58" i="23"/>
  <c r="EF57" i="23"/>
  <c r="EF56" i="23"/>
  <c r="EF55" i="23"/>
  <c r="EF54" i="23"/>
  <c r="EE51" i="23"/>
  <c r="W51" i="23"/>
  <c r="EE49" i="23"/>
  <c r="EE69" i="23" s="1"/>
  <c r="E48" i="23"/>
  <c r="EE47" i="23"/>
  <c r="EE68" i="23" s="1"/>
  <c r="DJ44" i="23"/>
  <c r="EF44" i="23"/>
  <c r="EF43" i="23"/>
  <c r="EF42" i="23"/>
  <c r="DK25" i="23"/>
  <c r="EF41" i="23"/>
  <c r="DK40" i="23"/>
  <c r="EF40" i="23"/>
  <c r="EF39" i="23"/>
  <c r="EF38" i="23"/>
  <c r="J38" i="23"/>
  <c r="EF37" i="23"/>
  <c r="EF36" i="23"/>
  <c r="CC36" i="23"/>
  <c r="DK35" i="23"/>
  <c r="DG16" i="23"/>
  <c r="EF35" i="23"/>
  <c r="CC35" i="23"/>
  <c r="EF34" i="23"/>
  <c r="CC34" i="23"/>
  <c r="EF33" i="23"/>
  <c r="CC33" i="23"/>
  <c r="EF32" i="23"/>
  <c r="CD37" i="23"/>
  <c r="CD39" i="23" s="1"/>
  <c r="CD41" i="23" s="1"/>
  <c r="EF31" i="23"/>
  <c r="CC31" i="23"/>
  <c r="DX30" i="23"/>
  <c r="EF30" i="23"/>
  <c r="AA30" i="23"/>
  <c r="EB28" i="23"/>
  <c r="EA28" i="23"/>
  <c r="EA45" i="23" s="1"/>
  <c r="DZ28" i="23"/>
  <c r="DY28" i="23"/>
  <c r="DW28" i="23"/>
  <c r="DV28" i="23"/>
  <c r="DU28" i="23"/>
  <c r="DT28" i="23"/>
  <c r="DQ28" i="23"/>
  <c r="DP28" i="23"/>
  <c r="DO28" i="23"/>
  <c r="DN28" i="23"/>
  <c r="DM28" i="23"/>
  <c r="DJ28" i="23"/>
  <c r="DI28" i="23"/>
  <c r="DH28" i="23"/>
  <c r="DG28" i="23"/>
  <c r="BU28" i="23"/>
  <c r="AJ28" i="23"/>
  <c r="DK27" i="23"/>
  <c r="EF27" i="23"/>
  <c r="EF26" i="23"/>
  <c r="EF25" i="23"/>
  <c r="DX24" i="23"/>
  <c r="CG24" i="23"/>
  <c r="AS24" i="23"/>
  <c r="CW23" i="23"/>
  <c r="CM23" i="23"/>
  <c r="CB23" i="23"/>
  <c r="R22" i="23"/>
  <c r="CW21" i="23"/>
  <c r="CM21" i="23"/>
  <c r="AA23" i="23"/>
  <c r="CZ20" i="23"/>
  <c r="CX20" i="23"/>
  <c r="CX21" i="23" s="1"/>
  <c r="CL21" i="23"/>
  <c r="EB19" i="23"/>
  <c r="EA19" i="23"/>
  <c r="DZ19" i="23"/>
  <c r="DY19" i="23"/>
  <c r="DW19" i="23"/>
  <c r="DV19" i="23"/>
  <c r="DU19" i="23"/>
  <c r="DT19" i="23"/>
  <c r="DQ19" i="23"/>
  <c r="DP19" i="23"/>
  <c r="DO19" i="23"/>
  <c r="DM19" i="23"/>
  <c r="DJ19" i="23"/>
  <c r="DI19" i="23"/>
  <c r="CZ19" i="23"/>
  <c r="DH18" i="23"/>
  <c r="EF18" i="23"/>
  <c r="CZ18" i="23"/>
  <c r="CC18" i="23"/>
  <c r="BP18" i="23"/>
  <c r="AX18" i="23"/>
  <c r="AO18" i="23"/>
  <c r="DX17" i="23"/>
  <c r="EF17" i="23"/>
  <c r="CW17" i="23"/>
  <c r="CM17" i="23"/>
  <c r="CC17" i="23"/>
  <c r="BL17" i="23"/>
  <c r="BG17" i="23"/>
  <c r="DR16" i="23"/>
  <c r="DR17" i="23" s="1"/>
  <c r="EF16" i="23"/>
  <c r="CX16" i="23"/>
  <c r="EB57" i="23" s="1"/>
  <c r="CN16" i="23"/>
  <c r="DZ57" i="23" s="1"/>
  <c r="CC16" i="23"/>
  <c r="ED15" i="23"/>
  <c r="ED16" i="23" s="1"/>
  <c r="ED17" i="23" s="1"/>
  <c r="ED18" i="23" s="1"/>
  <c r="ED19" i="23" s="1"/>
  <c r="ED20" i="23" s="1"/>
  <c r="ED21" i="23" s="1"/>
  <c r="ED22" i="23" s="1"/>
  <c r="ED23" i="23" s="1"/>
  <c r="ED24" i="23" s="1"/>
  <c r="ED25" i="23" s="1"/>
  <c r="ED26" i="23" s="1"/>
  <c r="ED27" i="23" s="1"/>
  <c r="ED28" i="23" s="1"/>
  <c r="ED29" i="23" s="1"/>
  <c r="ED30" i="23" s="1"/>
  <c r="ED31" i="23" s="1"/>
  <c r="ED32" i="23" s="1"/>
  <c r="ED33" i="23" s="1"/>
  <c r="ED34" i="23" s="1"/>
  <c r="ED35" i="23" s="1"/>
  <c r="ED36" i="23" s="1"/>
  <c r="ED37" i="23" s="1"/>
  <c r="ED38" i="23" s="1"/>
  <c r="ED39" i="23" s="1"/>
  <c r="ED40" i="23" s="1"/>
  <c r="ED41" i="23" s="1"/>
  <c r="ED42" i="23" s="1"/>
  <c r="ED43" i="23" s="1"/>
  <c r="ED44" i="23" s="1"/>
  <c r="ED45" i="23" s="1"/>
  <c r="ED46" i="23" s="1"/>
  <c r="ED47" i="23" s="1"/>
  <c r="ED48" i="23" s="1"/>
  <c r="ED49" i="23" s="1"/>
  <c r="ED50" i="23" s="1"/>
  <c r="ED51" i="23" s="1"/>
  <c r="ED52" i="23" s="1"/>
  <c r="ED53" i="23" s="1"/>
  <c r="ED54" i="23" s="1"/>
  <c r="ED55" i="23" s="1"/>
  <c r="ED56" i="23" s="1"/>
  <c r="ED57" i="23" s="1"/>
  <c r="ED58" i="23" s="1"/>
  <c r="ED59" i="23" s="1"/>
  <c r="ED60" i="23" s="1"/>
  <c r="DR15" i="23"/>
  <c r="DD15" i="23"/>
  <c r="DD16" i="23" s="1"/>
  <c r="DD17" i="23" s="1"/>
  <c r="DD18" i="23" s="1"/>
  <c r="DD19" i="23" s="1"/>
  <c r="DD20" i="23" s="1"/>
  <c r="DD21" i="23" s="1"/>
  <c r="DD22" i="23" s="1"/>
  <c r="DD23" i="23" s="1"/>
  <c r="DD24" i="23" s="1"/>
  <c r="DD25" i="23" s="1"/>
  <c r="DD26" i="23" s="1"/>
  <c r="DD27" i="23" s="1"/>
  <c r="DD28" i="23" s="1"/>
  <c r="DD29" i="23" s="1"/>
  <c r="DD30" i="23" s="1"/>
  <c r="DD31" i="23" s="1"/>
  <c r="DD32" i="23" s="1"/>
  <c r="DD33" i="23" s="1"/>
  <c r="DD34" i="23" s="1"/>
  <c r="DD35" i="23" s="1"/>
  <c r="DD36" i="23" s="1"/>
  <c r="DD37" i="23" s="1"/>
  <c r="DD38" i="23" s="1"/>
  <c r="DD39" i="23" s="1"/>
  <c r="DD40" i="23" s="1"/>
  <c r="DD41" i="23" s="1"/>
  <c r="DD42" i="23" s="1"/>
  <c r="DD43" i="23" s="1"/>
  <c r="DD44" i="23" s="1"/>
  <c r="DD45" i="23" s="1"/>
  <c r="DD46" i="23" s="1"/>
  <c r="DD47" i="23" s="1"/>
  <c r="DD48" i="23" s="1"/>
  <c r="DD49" i="23" s="1"/>
  <c r="DD50" i="23" s="1"/>
  <c r="DD51" i="23" s="1"/>
  <c r="DD52" i="23" s="1"/>
  <c r="DD53" i="23" s="1"/>
  <c r="DD54" i="23" s="1"/>
  <c r="DD55" i="23" s="1"/>
  <c r="DD56" i="23" s="1"/>
  <c r="DD57" i="23" s="1"/>
  <c r="DD58" i="23" s="1"/>
  <c r="DD59" i="23" s="1"/>
  <c r="DD60" i="23" s="1"/>
  <c r="CX15" i="23"/>
  <c r="EB55" i="23" s="1"/>
  <c r="CN15" i="23"/>
  <c r="DZ55" i="23" s="1"/>
  <c r="CC15" i="23"/>
  <c r="AA17" i="23"/>
  <c r="CZ14" i="23"/>
  <c r="CN14" i="23"/>
  <c r="DX25" i="23"/>
  <c r="BQ14" i="23"/>
  <c r="BN14" i="23"/>
  <c r="BN15" i="23" s="1"/>
  <c r="BN16" i="23" s="1"/>
  <c r="BN17" i="23" s="1"/>
  <c r="BN18" i="23" s="1"/>
  <c r="BN19" i="23" s="1"/>
  <c r="BN20" i="23" s="1"/>
  <c r="BM16" i="23"/>
  <c r="BD14" i="23"/>
  <c r="BD15" i="23" s="1"/>
  <c r="BD16" i="23" s="1"/>
  <c r="BD17" i="23" s="1"/>
  <c r="BD18" i="23" s="1"/>
  <c r="BD19" i="23" s="1"/>
  <c r="O15" i="23"/>
  <c r="CT13" i="23"/>
  <c r="CT14" i="23" s="1"/>
  <c r="CT15" i="23" s="1"/>
  <c r="CT16" i="23" s="1"/>
  <c r="CT17" i="23" s="1"/>
  <c r="CT18" i="23" s="1"/>
  <c r="CT19" i="23" s="1"/>
  <c r="CT20" i="23" s="1"/>
  <c r="CT21" i="23" s="1"/>
  <c r="CT22" i="23" s="1"/>
  <c r="CT23" i="23" s="1"/>
  <c r="CT24" i="23" s="1"/>
  <c r="CO13" i="23"/>
  <c r="CO14" i="23" s="1"/>
  <c r="CO15" i="23" s="1"/>
  <c r="CO16" i="23" s="1"/>
  <c r="CO17" i="23" s="1"/>
  <c r="CJ13" i="23"/>
  <c r="CJ14" i="23" s="1"/>
  <c r="CJ15" i="23" s="1"/>
  <c r="CJ16" i="23" s="1"/>
  <c r="CJ17" i="23" s="1"/>
  <c r="CJ18" i="23" s="1"/>
  <c r="CJ19" i="23" s="1"/>
  <c r="CJ20" i="23" s="1"/>
  <c r="CJ21" i="23" s="1"/>
  <c r="CJ22" i="23" s="1"/>
  <c r="CJ23" i="23" s="1"/>
  <c r="CJ24" i="23" s="1"/>
  <c r="CC13" i="23"/>
  <c r="BZ13" i="23"/>
  <c r="BZ14" i="23" s="1"/>
  <c r="BZ15" i="23" s="1"/>
  <c r="BZ16" i="23" s="1"/>
  <c r="BZ17" i="23" s="1"/>
  <c r="BZ18" i="23" s="1"/>
  <c r="BZ19" i="23" s="1"/>
  <c r="BZ20" i="23" s="1"/>
  <c r="BZ21" i="23" s="1"/>
  <c r="BZ22" i="23" s="1"/>
  <c r="BZ23" i="23" s="1"/>
  <c r="BZ24" i="23" s="1"/>
  <c r="BZ25" i="23" s="1"/>
  <c r="BZ26" i="23" s="1"/>
  <c r="BZ27" i="23" s="1"/>
  <c r="BZ28" i="23" s="1"/>
  <c r="BZ29" i="23" s="1"/>
  <c r="BZ30" i="23" s="1"/>
  <c r="BZ31" i="23" s="1"/>
  <c r="BZ32" i="23" s="1"/>
  <c r="BZ33" i="23" s="1"/>
  <c r="BZ34" i="23" s="1"/>
  <c r="BZ35" i="23" s="1"/>
  <c r="BZ36" i="23" s="1"/>
  <c r="BZ37" i="23" s="1"/>
  <c r="BZ38" i="23" s="1"/>
  <c r="BZ39" i="23" s="1"/>
  <c r="BZ40" i="23" s="1"/>
  <c r="BZ41" i="23" s="1"/>
  <c r="BZ42" i="23" s="1"/>
  <c r="BZ43" i="23" s="1"/>
  <c r="BZ44" i="23" s="1"/>
  <c r="BS13" i="23"/>
  <c r="BS14" i="23" s="1"/>
  <c r="BS15" i="23" s="1"/>
  <c r="BS16" i="23" s="1"/>
  <c r="BS17" i="23" s="1"/>
  <c r="BS18" i="23" s="1"/>
  <c r="BS19" i="23" s="1"/>
  <c r="BS20" i="23" s="1"/>
  <c r="BS21" i="23" s="1"/>
  <c r="BS22" i="23" s="1"/>
  <c r="BS23" i="23" s="1"/>
  <c r="BS24" i="23" s="1"/>
  <c r="BS25" i="23" s="1"/>
  <c r="BS26" i="23" s="1"/>
  <c r="BS27" i="23" s="1"/>
  <c r="BS28" i="23" s="1"/>
  <c r="BS29" i="23" s="1"/>
  <c r="BS30" i="23" s="1"/>
  <c r="BN13" i="23"/>
  <c r="BI13" i="23"/>
  <c r="BI14" i="23" s="1"/>
  <c r="BI15" i="23" s="1"/>
  <c r="BI16" i="23" s="1"/>
  <c r="BI17" i="23" s="1"/>
  <c r="BI18" i="23" s="1"/>
  <c r="BI19" i="23" s="1"/>
  <c r="BD13" i="23"/>
  <c r="AZ13" i="23"/>
  <c r="AZ14" i="23" s="1"/>
  <c r="AZ15" i="23" s="1"/>
  <c r="AU13" i="23"/>
  <c r="AU14" i="23" s="1"/>
  <c r="AU15" i="23" s="1"/>
  <c r="AU16" i="23" s="1"/>
  <c r="AU17" i="23" s="1"/>
  <c r="AU18" i="23" s="1"/>
  <c r="AU19" i="23" s="1"/>
  <c r="AU20" i="23" s="1"/>
  <c r="AL13" i="23"/>
  <c r="AL14" i="23" s="1"/>
  <c r="AL15" i="23" s="1"/>
  <c r="AL16" i="23" s="1"/>
  <c r="AL17" i="23" s="1"/>
  <c r="AL18" i="23" s="1"/>
  <c r="AL19" i="23" s="1"/>
  <c r="AL20" i="23" s="1"/>
  <c r="AC13" i="23"/>
  <c r="AC14" i="23" s="1"/>
  <c r="AC15" i="23" s="1"/>
  <c r="AC16" i="23" s="1"/>
  <c r="AC17" i="23" s="1"/>
  <c r="AC18" i="23" s="1"/>
  <c r="AC19" i="23" s="1"/>
  <c r="AC20" i="23" s="1"/>
  <c r="AC21" i="23" s="1"/>
  <c r="AC22" i="23" s="1"/>
  <c r="AC23" i="23" s="1"/>
  <c r="AC24" i="23" s="1"/>
  <c r="AC25" i="23" s="1"/>
  <c r="AC26" i="23" s="1"/>
  <c r="AC27" i="23" s="1"/>
  <c r="AC28" i="23" s="1"/>
  <c r="AC29" i="23" s="1"/>
  <c r="P13" i="23"/>
  <c r="P14" i="23" s="1"/>
  <c r="P15" i="23" s="1"/>
  <c r="P16" i="23" s="1"/>
  <c r="P17" i="23" s="1"/>
  <c r="P18" i="23" s="1"/>
  <c r="P19" i="23" s="1"/>
  <c r="P20" i="23" s="1"/>
  <c r="P21" i="23" s="1"/>
  <c r="P22" i="23" s="1"/>
  <c r="P23" i="23" s="1"/>
  <c r="P24" i="23" s="1"/>
  <c r="M13" i="23"/>
  <c r="M14" i="23" s="1"/>
  <c r="M15" i="23" s="1"/>
  <c r="M16" i="23" s="1"/>
  <c r="M17" i="23" s="1"/>
  <c r="M18" i="23" s="1"/>
  <c r="M19" i="23" s="1"/>
  <c r="M20" i="23" s="1"/>
  <c r="M21" i="23" s="1"/>
  <c r="M22" i="23" s="1"/>
  <c r="M23" i="23" s="1"/>
  <c r="M24" i="23" s="1"/>
  <c r="M25" i="23" s="1"/>
  <c r="M26" i="23" s="1"/>
  <c r="M27" i="23" s="1"/>
  <c r="M28" i="23" s="1"/>
  <c r="M29" i="23" s="1"/>
  <c r="DH12" i="23"/>
  <c r="DI12" i="23" s="1"/>
  <c r="CE12" i="23"/>
  <c r="CE13" i="23" s="1"/>
  <c r="CE14" i="23" s="1"/>
  <c r="CE15" i="23" s="1"/>
  <c r="CE16" i="23" s="1"/>
  <c r="CE17" i="23" s="1"/>
  <c r="CE18" i="23" s="1"/>
  <c r="CE19" i="23" s="1"/>
  <c r="CE20" i="23" s="1"/>
  <c r="CE21" i="23" s="1"/>
  <c r="CE22" i="23" s="1"/>
  <c r="CE23" i="23" s="1"/>
  <c r="CE24" i="23" s="1"/>
  <c r="CE25" i="23" s="1"/>
  <c r="BP12" i="23"/>
  <c r="BR12" i="23" s="1"/>
  <c r="BG14" i="23"/>
  <c r="BF14" i="23"/>
  <c r="DQ33" i="23"/>
  <c r="AX14" i="23"/>
  <c r="AW14" i="23"/>
  <c r="AN15" i="23"/>
  <c r="H12" i="23"/>
  <c r="H13" i="23" s="1"/>
  <c r="H14" i="23" s="1"/>
  <c r="H15" i="23" s="1"/>
  <c r="H17" i="23" s="1"/>
  <c r="H18" i="23" s="1"/>
  <c r="H19" i="23" s="1"/>
  <c r="H20" i="23" s="1"/>
  <c r="H21" i="23" s="1"/>
  <c r="H22" i="23" s="1"/>
  <c r="H23" i="23" s="1"/>
  <c r="H24" i="23" s="1"/>
  <c r="H25" i="23" s="1"/>
  <c r="H26" i="23" s="1"/>
  <c r="H27" i="23" s="1"/>
  <c r="H28" i="23" s="1"/>
  <c r="H29" i="23" s="1"/>
  <c r="H30" i="23" s="1"/>
  <c r="H31" i="23" s="1"/>
  <c r="H32" i="23" s="1"/>
  <c r="H33" i="23" s="1"/>
  <c r="H34" i="23" s="1"/>
  <c r="H35" i="23" s="1"/>
  <c r="H36" i="23" s="1"/>
  <c r="H37" i="23" s="1"/>
  <c r="H38" i="23" s="1"/>
  <c r="H39" i="23" s="1"/>
  <c r="H40" i="23" s="1"/>
  <c r="H41" i="23" s="1"/>
  <c r="H42" i="23" s="1"/>
  <c r="A12" i="23"/>
  <c r="A13" i="23" s="1"/>
  <c r="A14" i="23" s="1"/>
  <c r="A15" i="23" s="1"/>
  <c r="A16" i="23" s="1"/>
  <c r="A17" i="23" s="1"/>
  <c r="A18" i="23" s="1"/>
  <c r="A19" i="23" s="1"/>
  <c r="A20" i="23" s="1"/>
  <c r="A21" i="23" s="1"/>
  <c r="A22" i="23" s="1"/>
  <c r="A23" i="23" s="1"/>
  <c r="A24" i="23" s="1"/>
  <c r="A25" i="23" s="1"/>
  <c r="A26" i="23" s="1"/>
  <c r="A27" i="23" s="1"/>
  <c r="A28" i="23" s="1"/>
  <c r="A29" i="23" s="1"/>
  <c r="A30" i="23" s="1"/>
  <c r="A31" i="23" s="1"/>
  <c r="A32" i="23" s="1"/>
  <c r="A33" i="23" s="1"/>
  <c r="A34" i="23" s="1"/>
  <c r="A35" i="23" s="1"/>
  <c r="A36" i="23" s="1"/>
  <c r="A37" i="23" s="1"/>
  <c r="A38" i="23" s="1"/>
  <c r="A39" i="23" s="1"/>
  <c r="A40" i="23" s="1"/>
  <c r="A41" i="23" s="1"/>
  <c r="A42" i="23" s="1"/>
  <c r="A43" i="23" s="1"/>
  <c r="A44" i="23" s="1"/>
  <c r="A45" i="23" s="1"/>
  <c r="A46" i="23" s="1"/>
  <c r="A47" i="23" s="1"/>
  <c r="A48" i="23" s="1"/>
  <c r="A49" i="23" s="1"/>
  <c r="ED8" i="23"/>
  <c r="ED7" i="23"/>
  <c r="DR7" i="23"/>
  <c r="DD7" i="23"/>
  <c r="CY7" i="23"/>
  <c r="CT7" i="23"/>
  <c r="CO7" i="23"/>
  <c r="CJ7" i="23"/>
  <c r="CE7" i="23"/>
  <c r="BZ7" i="23"/>
  <c r="BS7" i="23"/>
  <c r="BN7" i="23"/>
  <c r="BI7" i="23"/>
  <c r="BD7" i="23"/>
  <c r="AZ7" i="23"/>
  <c r="AU7" i="23"/>
  <c r="AQ7" i="23"/>
  <c r="AL7" i="23"/>
  <c r="AC7" i="23"/>
  <c r="Y7" i="23"/>
  <c r="T7" i="23"/>
  <c r="P7" i="23"/>
  <c r="M7" i="23"/>
  <c r="DR6" i="23"/>
  <c r="DD6" i="23"/>
  <c r="CY6" i="23"/>
  <c r="CT6" i="23"/>
  <c r="CO6" i="23"/>
  <c r="CJ6" i="23"/>
  <c r="CE6" i="23"/>
  <c r="BZ6" i="23"/>
  <c r="BS6" i="23"/>
  <c r="BN6" i="23"/>
  <c r="BI6" i="23"/>
  <c r="BD6" i="23"/>
  <c r="AZ6" i="23"/>
  <c r="AU6" i="23"/>
  <c r="AQ6" i="23"/>
  <c r="AL6" i="23"/>
  <c r="AC6" i="23"/>
  <c r="Y6" i="23"/>
  <c r="T6" i="23"/>
  <c r="P6" i="23"/>
  <c r="M6" i="23"/>
  <c r="H6" i="23"/>
  <c r="ED5" i="23"/>
  <c r="DR4" i="23"/>
  <c r="DD4" i="23"/>
  <c r="CY4" i="23"/>
  <c r="CT4" i="23"/>
  <c r="CO4" i="23"/>
  <c r="CJ4" i="23"/>
  <c r="CE4" i="23"/>
  <c r="BZ4" i="23"/>
  <c r="BS4" i="23"/>
  <c r="BN4" i="23"/>
  <c r="BI4" i="23"/>
  <c r="BD4" i="23"/>
  <c r="AZ4" i="23"/>
  <c r="AU4" i="23"/>
  <c r="AQ4" i="23"/>
  <c r="AL4" i="23"/>
  <c r="AC4" i="23"/>
  <c r="Y4" i="23"/>
  <c r="T4" i="23"/>
  <c r="P4" i="23"/>
  <c r="M4" i="23"/>
  <c r="G3" i="23"/>
  <c r="DJ12" i="23" l="1"/>
  <c r="S3" i="23" s="1"/>
  <c r="O3" i="23"/>
  <c r="EA47" i="23"/>
  <c r="DM61" i="23"/>
  <c r="DQ61" i="23"/>
  <c r="DV61" i="23"/>
  <c r="L3" i="23"/>
  <c r="DN62" i="23"/>
  <c r="DI61" i="23"/>
  <c r="DO62" i="23"/>
  <c r="M17" i="9"/>
  <c r="L17" i="9"/>
  <c r="L35" i="23"/>
  <c r="DH40" i="23" s="1"/>
  <c r="E25" i="23"/>
  <c r="E23" i="23"/>
  <c r="AP14" i="23"/>
  <c r="DN42" i="23" s="1"/>
  <c r="CQ17" i="23"/>
  <c r="AA19" i="23"/>
  <c r="AB19" i="23" s="1"/>
  <c r="BV19" i="23"/>
  <c r="BV21" i="23" s="1"/>
  <c r="BV26" i="23" s="1"/>
  <c r="DW32" i="23" s="1"/>
  <c r="CR17" i="23"/>
  <c r="CV17" i="23"/>
  <c r="CS16" i="23"/>
  <c r="EA57" i="23" s="1"/>
  <c r="DF19" i="23"/>
  <c r="DK18" i="23"/>
  <c r="E17" i="23"/>
  <c r="E16" i="23"/>
  <c r="E21" i="23"/>
  <c r="DK28" i="23"/>
  <c r="E15" i="23"/>
  <c r="CS15" i="23"/>
  <c r="EA55" i="23" s="1"/>
  <c r="AT14" i="23"/>
  <c r="DO42" i="23" s="1"/>
  <c r="BU19" i="23"/>
  <c r="BU21" i="23" s="1"/>
  <c r="BU26" i="23" s="1"/>
  <c r="DW31" i="23" s="1"/>
  <c r="C26" i="23"/>
  <c r="BY15" i="23"/>
  <c r="DK34" i="23"/>
  <c r="CC14" i="23"/>
  <c r="CC19" i="23" s="1"/>
  <c r="E18" i="23"/>
  <c r="E24" i="23"/>
  <c r="CC32" i="23"/>
  <c r="CC37" i="23" s="1"/>
  <c r="AJ13" i="23"/>
  <c r="AK13" i="23" s="1"/>
  <c r="BY14" i="23"/>
  <c r="O28" i="23"/>
  <c r="DI44" i="23" s="1"/>
  <c r="BY18" i="23"/>
  <c r="CN20" i="23"/>
  <c r="DZ37" i="23" s="1"/>
  <c r="BY24" i="23"/>
  <c r="BY16" i="23"/>
  <c r="BY17" i="23"/>
  <c r="AJ18" i="23"/>
  <c r="E20" i="23"/>
  <c r="E22" i="23"/>
  <c r="DF28" i="23"/>
  <c r="DF45" i="23" s="1"/>
  <c r="E37" i="23"/>
  <c r="AJ12" i="23"/>
  <c r="AK12" i="23" s="1"/>
  <c r="K17" i="23"/>
  <c r="DH15" i="23" s="1"/>
  <c r="DH19" i="23" s="1"/>
  <c r="AP12" i="23"/>
  <c r="DN36" i="23" s="1"/>
  <c r="CI15" i="23"/>
  <c r="BX19" i="23"/>
  <c r="BX21" i="23" s="1"/>
  <c r="BX26" i="23" s="1"/>
  <c r="DW36" i="23" s="1"/>
  <c r="AJ14" i="23"/>
  <c r="AK14" i="23" s="1"/>
  <c r="DC14" i="23"/>
  <c r="DC16" i="23" s="1"/>
  <c r="BC15" i="23"/>
  <c r="EF15" i="23"/>
  <c r="EF19" i="23" s="1"/>
  <c r="AT18" i="23"/>
  <c r="DO36" i="23" s="1"/>
  <c r="CI18" i="23"/>
  <c r="O25" i="23"/>
  <c r="X48" i="23"/>
  <c r="DX19" i="23"/>
  <c r="DU36" i="23"/>
  <c r="BM17" i="23"/>
  <c r="DU43" i="23" s="1"/>
  <c r="DZ54" i="23"/>
  <c r="DZ60" i="23" s="1"/>
  <c r="CN17" i="23"/>
  <c r="DZ49" i="23" s="1"/>
  <c r="DZ69" i="23" s="1"/>
  <c r="DV41" i="23"/>
  <c r="BR14" i="23"/>
  <c r="BR16" i="23" s="1"/>
  <c r="DR18" i="23"/>
  <c r="EC17" i="23"/>
  <c r="EG17" i="23" s="1"/>
  <c r="EH17" i="23" s="1"/>
  <c r="O27" i="23"/>
  <c r="O19" i="23"/>
  <c r="AO15" i="23"/>
  <c r="AY12" i="23"/>
  <c r="AY14" i="23" s="1"/>
  <c r="BH12" i="23"/>
  <c r="BH14" i="23" s="1"/>
  <c r="E39" i="23"/>
  <c r="W30" i="23"/>
  <c r="X30" i="23" s="1"/>
  <c r="J21" i="23"/>
  <c r="DK12" i="23"/>
  <c r="X27" i="23"/>
  <c r="BY13" i="23"/>
  <c r="D26" i="23"/>
  <c r="BP14" i="23"/>
  <c r="CX14" i="23"/>
  <c r="DK15" i="23"/>
  <c r="EC16" i="23"/>
  <c r="EG16" i="23" s="1"/>
  <c r="EH16" i="23" s="1"/>
  <c r="CL17" i="23"/>
  <c r="EB37" i="23"/>
  <c r="CX23" i="23"/>
  <c r="EB43" i="23" s="1"/>
  <c r="DX28" i="23"/>
  <c r="E40" i="23"/>
  <c r="W31" i="23"/>
  <c r="X31" i="23" s="1"/>
  <c r="DK36" i="23" s="1"/>
  <c r="E14" i="23"/>
  <c r="CS14" i="23"/>
  <c r="E19" i="23"/>
  <c r="BW19" i="23"/>
  <c r="BW21" i="23" s="1"/>
  <c r="BW26" i="23" s="1"/>
  <c r="DW42" i="23" s="1"/>
  <c r="CB19" i="23"/>
  <c r="CD19" i="23"/>
  <c r="CD21" i="23" s="1"/>
  <c r="AA25" i="23"/>
  <c r="AB25" i="23" s="1"/>
  <c r="J22" i="23"/>
  <c r="CV21" i="23"/>
  <c r="DQ45" i="23"/>
  <c r="DQ47" i="23" s="1"/>
  <c r="EF24" i="23"/>
  <c r="G37" i="23"/>
  <c r="F37" i="23"/>
  <c r="CD42" i="23"/>
  <c r="CB37" i="23"/>
  <c r="DT62" i="23"/>
  <c r="DX61" i="23"/>
  <c r="DK62" i="23"/>
  <c r="DU62" i="23"/>
  <c r="DF60" i="23"/>
  <c r="EF60" i="23"/>
  <c r="DH61" i="23"/>
  <c r="DP61" i="23"/>
  <c r="J25" i="23" l="1"/>
  <c r="EC61" i="23"/>
  <c r="EB45" i="23"/>
  <c r="EB47" i="23" s="1"/>
  <c r="EA68" i="23"/>
  <c r="EA71" i="23" s="1"/>
  <c r="CS1" i="23"/>
  <c r="AB28" i="23"/>
  <c r="AB30" i="23" s="1"/>
  <c r="DL43" i="23" s="1"/>
  <c r="L20" i="23"/>
  <c r="DK19" i="23"/>
  <c r="DF47" i="23"/>
  <c r="DF68" i="23" s="1"/>
  <c r="DF71" i="23" s="1"/>
  <c r="AT22" i="23"/>
  <c r="AT24" i="23" s="1"/>
  <c r="DO43" i="23" s="1"/>
  <c r="DO45" i="23" s="1"/>
  <c r="DO47" i="23" s="1"/>
  <c r="AT20" i="23"/>
  <c r="E26" i="23"/>
  <c r="DZ62" i="23"/>
  <c r="CN21" i="23"/>
  <c r="CN23" i="23" s="1"/>
  <c r="DZ43" i="23" s="1"/>
  <c r="DZ45" i="23" s="1"/>
  <c r="DZ47" i="23" s="1"/>
  <c r="BY19" i="23"/>
  <c r="DU45" i="23"/>
  <c r="DU47" i="23" s="1"/>
  <c r="DU68" i="23" s="1"/>
  <c r="DU71" i="23" s="1"/>
  <c r="E43" i="23"/>
  <c r="F43" i="23" s="1"/>
  <c r="G44" i="23" s="1"/>
  <c r="DG42" i="23" s="1"/>
  <c r="CX24" i="23"/>
  <c r="CX1" i="23" s="1"/>
  <c r="AK16" i="23"/>
  <c r="AJ21" i="23" s="1"/>
  <c r="AJ22" i="23" s="1"/>
  <c r="AK25" i="23" s="1"/>
  <c r="BM19" i="23"/>
  <c r="W32" i="23"/>
  <c r="X32" i="23" s="1"/>
  <c r="DK42" i="23" s="1"/>
  <c r="AP15" i="23"/>
  <c r="AP17" i="23" s="1"/>
  <c r="AP18" i="23" s="1"/>
  <c r="CI20" i="23"/>
  <c r="CI22" i="23" s="1"/>
  <c r="DY42" i="23" s="1"/>
  <c r="DL36" i="23"/>
  <c r="EB68" i="23"/>
  <c r="EB71" i="23" s="1"/>
  <c r="EF49" i="23"/>
  <c r="EF62" i="23" s="1"/>
  <c r="BY21" i="23"/>
  <c r="BY26" i="23" s="1"/>
  <c r="DF49" i="23"/>
  <c r="DF69" i="23" s="1"/>
  <c r="DF72" i="23" s="1"/>
  <c r="F40" i="23"/>
  <c r="DG36" i="23" s="1"/>
  <c r="DG15" i="23"/>
  <c r="EJ15" i="23" s="1"/>
  <c r="EK15" i="23" s="1"/>
  <c r="F39" i="23"/>
  <c r="CD23" i="23"/>
  <c r="DX43" i="23" s="1"/>
  <c r="DX45" i="23" s="1"/>
  <c r="DX47" i="23" s="1"/>
  <c r="EA54" i="23"/>
  <c r="EA60" i="23" s="1"/>
  <c r="CS17" i="23"/>
  <c r="EA49" i="23" s="1"/>
  <c r="EA69" i="23" s="1"/>
  <c r="EA72" i="23" s="1"/>
  <c r="DP36" i="23"/>
  <c r="AY16" i="23"/>
  <c r="DI43" i="23"/>
  <c r="DI45" i="23" s="1"/>
  <c r="DI47" i="23" s="1"/>
  <c r="O29" i="23"/>
  <c r="BR18" i="23"/>
  <c r="DV44" i="23" s="1"/>
  <c r="DV45" i="23" s="1"/>
  <c r="DV47" i="23" s="1"/>
  <c r="DL12" i="23"/>
  <c r="X3" i="23"/>
  <c r="EF28" i="23"/>
  <c r="EF45" i="23" s="1"/>
  <c r="EF47" i="23" s="1"/>
  <c r="DC18" i="23"/>
  <c r="DC19" i="23"/>
  <c r="DC20" i="23" s="1"/>
  <c r="DK33" i="23"/>
  <c r="DQ68" i="23"/>
  <c r="DQ71" i="23" s="1"/>
  <c r="BC1" i="23"/>
  <c r="DT36" i="23"/>
  <c r="BH16" i="23"/>
  <c r="EC18" i="23"/>
  <c r="EG18" i="23" s="1"/>
  <c r="EH18" i="23" s="1"/>
  <c r="DR19" i="23"/>
  <c r="BH51" i="23"/>
  <c r="EB54" i="23"/>
  <c r="EB60" i="23" s="1"/>
  <c r="CX17" i="23"/>
  <c r="EB49" i="23" s="1"/>
  <c r="EB69" i="23" s="1"/>
  <c r="EB72" i="23" s="1"/>
  <c r="K25" i="23"/>
  <c r="L27" i="23" s="1"/>
  <c r="DH42" i="23" s="1"/>
  <c r="K21" i="23"/>
  <c r="K22" i="23"/>
  <c r="DH36" i="23" s="1"/>
  <c r="DZ72" i="23"/>
  <c r="DF61" i="23" l="1"/>
  <c r="X33" i="23"/>
  <c r="X50" i="23" s="1"/>
  <c r="EC69" i="23"/>
  <c r="BM1" i="23"/>
  <c r="EB62" i="23"/>
  <c r="EC72" i="23"/>
  <c r="EA62" i="23"/>
  <c r="AK27" i="23"/>
  <c r="AK28" i="23"/>
  <c r="DM43" i="23" s="1"/>
  <c r="DM33" i="23"/>
  <c r="DN43" i="23"/>
  <c r="DN45" i="23" s="1"/>
  <c r="DN47" i="23" s="1"/>
  <c r="DN68" i="23" s="1"/>
  <c r="DN71" i="23" s="1"/>
  <c r="AP20" i="23"/>
  <c r="CI24" i="23"/>
  <c r="DY43" i="23" s="1"/>
  <c r="DY45" i="23" s="1"/>
  <c r="DY47" i="23" s="1"/>
  <c r="DX68" i="23"/>
  <c r="DX71" i="23" s="1"/>
  <c r="DR20" i="23"/>
  <c r="DR21" i="23" s="1"/>
  <c r="DR22" i="23" s="1"/>
  <c r="DR23" i="23" s="1"/>
  <c r="DR24" i="23" s="1"/>
  <c r="DZ68" i="23"/>
  <c r="DZ71" i="23" s="1"/>
  <c r="BR20" i="23"/>
  <c r="BM51" i="23" s="1"/>
  <c r="AY18" i="23"/>
  <c r="DP43" i="23" s="1"/>
  <c r="DP45" i="23" s="1"/>
  <c r="DP47" i="23" s="1"/>
  <c r="CD24" i="23"/>
  <c r="CD44" i="23" s="1"/>
  <c r="EF69" i="23"/>
  <c r="EF72" i="23" s="1"/>
  <c r="AB31" i="23"/>
  <c r="DI68" i="23"/>
  <c r="DI71" i="23" s="1"/>
  <c r="O1" i="23"/>
  <c r="X51" i="23"/>
  <c r="DK43" i="23" s="1"/>
  <c r="DK45" i="23" s="1"/>
  <c r="DK47" i="23" s="1"/>
  <c r="BH17" i="23"/>
  <c r="DT43" i="23" s="1"/>
  <c r="DT45" i="23" s="1"/>
  <c r="DT47" i="23" s="1"/>
  <c r="DM12" i="23"/>
  <c r="AB3" i="23"/>
  <c r="DV68" i="23"/>
  <c r="DV71" i="23" s="1"/>
  <c r="G41" i="23"/>
  <c r="G46" i="23" s="1"/>
  <c r="DG33" i="23"/>
  <c r="BY28" i="23"/>
  <c r="DW43" i="23" s="1"/>
  <c r="DW45" i="23" s="1"/>
  <c r="DW47" i="23" s="1"/>
  <c r="DF51" i="23"/>
  <c r="DL45" i="23"/>
  <c r="DL47" i="23" s="1"/>
  <c r="EF68" i="23"/>
  <c r="EF71" i="23" s="1"/>
  <c r="EF51" i="23"/>
  <c r="DO68" i="23"/>
  <c r="DO71" i="23" s="1"/>
  <c r="DH33" i="23"/>
  <c r="L24" i="23"/>
  <c r="L37" i="23" s="1"/>
  <c r="AT26" i="23"/>
  <c r="AT51" i="23" s="1"/>
  <c r="CN24" i="23"/>
  <c r="CN1" i="23" s="1"/>
  <c r="DG19" i="23"/>
  <c r="EC19" i="23" s="1"/>
  <c r="EC15" i="23"/>
  <c r="EG15" i="23" s="1"/>
  <c r="EH15" i="23" s="1"/>
  <c r="B31" i="37" s="1"/>
  <c r="DF62" i="23"/>
  <c r="C32" i="37" l="1"/>
  <c r="M31" i="37"/>
  <c r="AT1" i="23"/>
  <c r="EC62" i="23"/>
  <c r="CI25" i="23"/>
  <c r="BD51" i="23" s="1"/>
  <c r="DM45" i="23"/>
  <c r="DM47" i="23" s="1"/>
  <c r="DM68" i="23" s="1"/>
  <c r="DM71" i="23" s="1"/>
  <c r="AK29" i="23"/>
  <c r="AP1" i="23"/>
  <c r="BH19" i="23"/>
  <c r="BH1" i="23" s="1"/>
  <c r="DK68" i="23"/>
  <c r="DK71" i="23" s="1"/>
  <c r="DT68" i="23"/>
  <c r="DT71" i="23" s="1"/>
  <c r="G48" i="23"/>
  <c r="DG43" i="23" s="1"/>
  <c r="DG45" i="23" s="1"/>
  <c r="DG47" i="23" s="1"/>
  <c r="DR25" i="23"/>
  <c r="EC24" i="23"/>
  <c r="EG24" i="23" s="1"/>
  <c r="DY68" i="23"/>
  <c r="DY71" i="23" s="1"/>
  <c r="L39" i="23"/>
  <c r="DH43" i="23" s="1"/>
  <c r="DH45" i="23" s="1"/>
  <c r="DH47" i="23" s="1"/>
  <c r="DW68" i="23"/>
  <c r="DW71" i="23" s="1"/>
  <c r="DP68" i="23"/>
  <c r="DP71" i="23" s="1"/>
  <c r="DN12" i="23"/>
  <c r="AK3" i="23"/>
  <c r="X52" i="23"/>
  <c r="X1" i="23" s="1"/>
  <c r="CD1" i="23"/>
  <c r="DL68" i="23"/>
  <c r="DL71" i="23" s="1"/>
  <c r="AB1" i="23"/>
  <c r="EG19" i="23"/>
  <c r="BY30" i="23"/>
  <c r="BY1" i="23" s="1"/>
  <c r="BR1" i="23"/>
  <c r="AY20" i="23"/>
  <c r="AY51" i="23" s="1"/>
  <c r="D32" i="37" l="1"/>
  <c r="N32" i="37"/>
  <c r="D34" i="37"/>
  <c r="E34" i="37"/>
  <c r="P34" i="37" s="1"/>
  <c r="CI1" i="23"/>
  <c r="BY50" i="23"/>
  <c r="L41" i="23"/>
  <c r="L1" i="23" s="1"/>
  <c r="AK1" i="23"/>
  <c r="EH19" i="23"/>
  <c r="A4" i="9"/>
  <c r="C4" i="9" s="1"/>
  <c r="C5" i="9" s="1"/>
  <c r="AY1" i="23"/>
  <c r="DG68" i="23"/>
  <c r="EH24" i="23"/>
  <c r="DR26" i="23"/>
  <c r="EC25" i="23"/>
  <c r="EG25" i="23" s="1"/>
  <c r="EH25" i="23" s="1"/>
  <c r="AP3" i="23"/>
  <c r="DO12" i="23"/>
  <c r="DH68" i="23"/>
  <c r="DH71" i="23" s="1"/>
  <c r="G49" i="23"/>
  <c r="G1" i="23" s="1"/>
  <c r="D38" i="37" l="1"/>
  <c r="D39" i="37" s="1"/>
  <c r="O39" i="37" s="1"/>
  <c r="O34" i="37"/>
  <c r="D36" i="37"/>
  <c r="O36" i="37" s="1"/>
  <c r="E32" i="37"/>
  <c r="P32" i="37" s="1"/>
  <c r="O32" i="37"/>
  <c r="D4" i="9"/>
  <c r="D5" i="9" s="1"/>
  <c r="DR27" i="23"/>
  <c r="EC26" i="23"/>
  <c r="EG26" i="23" s="1"/>
  <c r="EH26" i="23" s="1"/>
  <c r="DP12" i="23"/>
  <c r="AT3" i="23"/>
  <c r="DG71" i="23"/>
  <c r="O38" i="37" l="1"/>
  <c r="F32" i="37"/>
  <c r="Q32" i="37" s="1"/>
  <c r="F34" i="37"/>
  <c r="Q34" i="37" s="1"/>
  <c r="G34" i="37"/>
  <c r="R34" i="37" s="1"/>
  <c r="G32" i="37"/>
  <c r="R32" i="37" s="1"/>
  <c r="DQ12" i="23"/>
  <c r="AY3" i="23"/>
  <c r="EC27" i="23"/>
  <c r="EG27" i="23" s="1"/>
  <c r="EH27" i="23" s="1"/>
  <c r="EH28" i="23" s="1"/>
  <c r="DR28" i="23"/>
  <c r="EG28" i="23" l="1"/>
  <c r="DR29" i="23"/>
  <c r="DR30" i="23" s="1"/>
  <c r="EC28" i="23"/>
  <c r="BC3" i="23"/>
  <c r="DT12" i="23"/>
  <c r="BH3" i="23" l="1"/>
  <c r="DU12" i="23"/>
  <c r="DR31" i="23"/>
  <c r="EC30" i="23"/>
  <c r="EG30" i="23" s="1"/>
  <c r="EH30" i="23" l="1"/>
  <c r="DR32" i="23"/>
  <c r="EC31" i="23"/>
  <c r="EG31" i="23" s="1"/>
  <c r="EH31" i="23" s="1"/>
  <c r="DV12" i="23"/>
  <c r="BM3" i="23"/>
  <c r="DW12" i="23" l="1"/>
  <c r="BR3" i="23"/>
  <c r="DR33" i="23"/>
  <c r="EC32" i="23"/>
  <c r="EG32" i="23" s="1"/>
  <c r="DR34" i="23" l="1"/>
  <c r="EC33" i="23"/>
  <c r="EG33" i="23" s="1"/>
  <c r="EH33" i="23" s="1"/>
  <c r="EH32" i="23"/>
  <c r="BY3" i="23"/>
  <c r="DX12" i="23"/>
  <c r="CD3" i="23" l="1"/>
  <c r="DY12" i="23"/>
  <c r="EC34" i="23"/>
  <c r="EG34" i="23" s="1"/>
  <c r="DR35" i="23"/>
  <c r="DR36" i="23" l="1"/>
  <c r="EC35" i="23"/>
  <c r="EG35" i="23" s="1"/>
  <c r="EH35" i="23" s="1"/>
  <c r="EH34" i="23"/>
  <c r="DZ12" i="23"/>
  <c r="CI3" i="23"/>
  <c r="EA12" i="23" l="1"/>
  <c r="CN3" i="23"/>
  <c r="EC36" i="23"/>
  <c r="EG36" i="23" s="1"/>
  <c r="EH36" i="23" s="1"/>
  <c r="DR37" i="23"/>
  <c r="DR38" i="23" l="1"/>
  <c r="EC37" i="23"/>
  <c r="EG37" i="23" s="1"/>
  <c r="EH37" i="23" s="1"/>
  <c r="CS3" i="23"/>
  <c r="EB12" i="23"/>
  <c r="CX3" i="23" s="1"/>
  <c r="EC38" i="23" l="1"/>
  <c r="EG38" i="23" s="1"/>
  <c r="EH38" i="23" s="1"/>
  <c r="DR39" i="23"/>
  <c r="EC39" i="23" l="1"/>
  <c r="EG39" i="23" s="1"/>
  <c r="EH39" i="23" s="1"/>
  <c r="DR40" i="23"/>
  <c r="DR41" i="23" l="1"/>
  <c r="EC40" i="23"/>
  <c r="EG40" i="23" s="1"/>
  <c r="EH40" i="23" s="1"/>
  <c r="DR42" i="23" l="1"/>
  <c r="EC41" i="23"/>
  <c r="EG41" i="23" s="1"/>
  <c r="EH41" i="23" s="1"/>
  <c r="DR43" i="23" l="1"/>
  <c r="EC42" i="23"/>
  <c r="EG42" i="23" s="1"/>
  <c r="EH42" i="23" s="1"/>
  <c r="DR44" i="23" l="1"/>
  <c r="EC44" i="23" l="1"/>
  <c r="EG44" i="23" s="1"/>
  <c r="DR45" i="23"/>
  <c r="DR46" i="23" l="1"/>
  <c r="DR47" i="23" s="1"/>
  <c r="EH44" i="23"/>
  <c r="DR48" i="23" l="1"/>
  <c r="DR49" i="23" s="1"/>
  <c r="EC49" i="23" l="1"/>
  <c r="EG49" i="23" s="1"/>
  <c r="DR50" i="23"/>
  <c r="DR51" i="23" s="1"/>
  <c r="DR52" i="23" s="1"/>
  <c r="DR53" i="23" s="1"/>
  <c r="DR54" i="23" s="1"/>
  <c r="EC54" i="23" l="1"/>
  <c r="EG54" i="23" s="1"/>
  <c r="DR55" i="23"/>
  <c r="EG69" i="23"/>
  <c r="EG72" i="23" s="1"/>
  <c r="EH49" i="23"/>
  <c r="EH69" i="23" l="1"/>
  <c r="EH72" i="23" s="1"/>
  <c r="R12" i="23"/>
  <c r="S15" i="23" s="1"/>
  <c r="S20" i="23" s="1"/>
  <c r="S22" i="23" s="1"/>
  <c r="EC55" i="23"/>
  <c r="EG55" i="23" s="1"/>
  <c r="EH55" i="23" s="1"/>
  <c r="DR56" i="23"/>
  <c r="EH54" i="23"/>
  <c r="EC56" i="23" l="1"/>
  <c r="EG56" i="23" s="1"/>
  <c r="EH56" i="23" s="1"/>
  <c r="DR57" i="23"/>
  <c r="DJ43" i="23"/>
  <c r="S24" i="23"/>
  <c r="DR58" i="23" l="1"/>
  <c r="EC57" i="23"/>
  <c r="EG57" i="23" s="1"/>
  <c r="DJ45" i="23"/>
  <c r="EC43" i="23"/>
  <c r="EG43" i="23" s="1"/>
  <c r="EH43" i="23" l="1"/>
  <c r="EH45" i="23" s="1"/>
  <c r="EH47" i="23" s="1"/>
  <c r="EG45" i="23"/>
  <c r="EG47" i="23" s="1"/>
  <c r="EG68" i="23" s="1"/>
  <c r="EG71" i="23" s="1"/>
  <c r="DJ47" i="23"/>
  <c r="EC45" i="23"/>
  <c r="EH57" i="23"/>
  <c r="DR59" i="23"/>
  <c r="EC58" i="23"/>
  <c r="EG58" i="23" s="1"/>
  <c r="EH58" i="23" s="1"/>
  <c r="DR60" i="23" l="1"/>
  <c r="EC60" i="23" s="1"/>
  <c r="EC59" i="23"/>
  <c r="EG59" i="23" s="1"/>
  <c r="EH59" i="23" s="1"/>
  <c r="DJ68" i="23"/>
  <c r="S1" i="23"/>
  <c r="EC47" i="23"/>
  <c r="EC51" i="23" s="1"/>
  <c r="EG60" i="23"/>
  <c r="EG62" i="23" s="1"/>
  <c r="EH60" i="23"/>
  <c r="EH62" i="23" s="1"/>
  <c r="EH51" i="23"/>
  <c r="EH68" i="23"/>
  <c r="EH71" i="23" s="1"/>
  <c r="DJ71" i="23" l="1"/>
  <c r="EC71" i="23" s="1"/>
  <c r="EC68" i="23"/>
  <c r="H7" i="13" l="1"/>
  <c r="I7" i="13"/>
  <c r="J7" i="13" s="1"/>
  <c r="F7" i="13"/>
  <c r="G2" i="2"/>
  <c r="G35" i="13" l="1"/>
  <c r="I35" i="13"/>
  <c r="I17" i="13" s="1"/>
  <c r="F35" i="13"/>
  <c r="H35" i="13"/>
  <c r="J35" i="13"/>
  <c r="J17" i="13" s="1"/>
  <c r="K7" i="13"/>
  <c r="M53" i="12"/>
  <c r="L53" i="12"/>
  <c r="K53" i="12"/>
  <c r="J53" i="12"/>
  <c r="I53" i="12"/>
  <c r="H53" i="12"/>
  <c r="G53" i="12"/>
  <c r="F53" i="12"/>
  <c r="E53" i="12"/>
  <c r="H17" i="13" l="1"/>
  <c r="F17" i="13"/>
  <c r="F8" i="13"/>
  <c r="F9" i="13" s="1"/>
  <c r="G17" i="13"/>
  <c r="L7" i="13"/>
  <c r="K35" i="13"/>
  <c r="K17" i="13" s="1"/>
  <c r="H87" i="12"/>
  <c r="I87" i="12" s="1"/>
  <c r="J87" i="12" s="1"/>
  <c r="K87" i="12" s="1"/>
  <c r="L87" i="12" s="1"/>
  <c r="M87" i="12" s="1"/>
  <c r="G87" i="12"/>
  <c r="F87" i="12"/>
  <c r="E87" i="12"/>
  <c r="E85" i="12"/>
  <c r="M83" i="12"/>
  <c r="M82" i="12"/>
  <c r="L82" i="12"/>
  <c r="K82" i="12"/>
  <c r="J82" i="12"/>
  <c r="I82" i="12"/>
  <c r="H82" i="12"/>
  <c r="G82" i="12"/>
  <c r="F82" i="12"/>
  <c r="E82" i="12"/>
  <c r="M81" i="12"/>
  <c r="L81" i="12"/>
  <c r="K81" i="12"/>
  <c r="J81" i="12"/>
  <c r="I81" i="12"/>
  <c r="H81" i="12"/>
  <c r="G81" i="12"/>
  <c r="F81" i="12"/>
  <c r="E81" i="12"/>
  <c r="M80" i="12"/>
  <c r="L80" i="12"/>
  <c r="K80" i="12"/>
  <c r="J80" i="12"/>
  <c r="I80" i="12"/>
  <c r="H80" i="12"/>
  <c r="G80" i="12"/>
  <c r="F80" i="12"/>
  <c r="E80" i="12"/>
  <c r="C71" i="12"/>
  <c r="C73" i="12" s="1"/>
  <c r="D70" i="12"/>
  <c r="E70" i="12" s="1"/>
  <c r="F70" i="12" s="1"/>
  <c r="G70" i="12" s="1"/>
  <c r="H70" i="12" s="1"/>
  <c r="I70" i="12" s="1"/>
  <c r="J70" i="12" s="1"/>
  <c r="K70" i="12" s="1"/>
  <c r="L70" i="12" s="1"/>
  <c r="M70" i="12" s="1"/>
  <c r="H58" i="12"/>
  <c r="I58" i="12" s="1"/>
  <c r="J58" i="12" s="1"/>
  <c r="K58" i="12" s="1"/>
  <c r="L58" i="12" s="1"/>
  <c r="M58" i="12" s="1"/>
  <c r="G58" i="12"/>
  <c r="F58" i="12"/>
  <c r="E58" i="12"/>
  <c r="E56" i="12"/>
  <c r="M54" i="12"/>
  <c r="M52" i="12"/>
  <c r="L52" i="12"/>
  <c r="K52" i="12"/>
  <c r="J52" i="12"/>
  <c r="I52" i="12"/>
  <c r="H52" i="12"/>
  <c r="G52" i="12"/>
  <c r="F52" i="12"/>
  <c r="E52" i="12"/>
  <c r="M51" i="12"/>
  <c r="L51" i="12"/>
  <c r="K51" i="12"/>
  <c r="J51" i="12"/>
  <c r="I51" i="12"/>
  <c r="H51" i="12"/>
  <c r="G51" i="12"/>
  <c r="F51" i="12"/>
  <c r="E51" i="12"/>
  <c r="C44" i="12"/>
  <c r="D42" i="12"/>
  <c r="C42" i="12"/>
  <c r="D41" i="12"/>
  <c r="E41" i="12" s="1"/>
  <c r="F41" i="12" s="1"/>
  <c r="G41" i="12" s="1"/>
  <c r="H41" i="12" s="1"/>
  <c r="I41" i="12" s="1"/>
  <c r="J41" i="12" s="1"/>
  <c r="K41" i="12" s="1"/>
  <c r="L41" i="12" s="1"/>
  <c r="M41" i="12" s="1"/>
  <c r="H24" i="12"/>
  <c r="I24" i="12" s="1"/>
  <c r="J24" i="12" s="1"/>
  <c r="K24" i="12" s="1"/>
  <c r="L24" i="12" s="1"/>
  <c r="M24" i="12" s="1"/>
  <c r="G24" i="12"/>
  <c r="F24" i="12"/>
  <c r="E24" i="12"/>
  <c r="E22" i="12"/>
  <c r="M18" i="12"/>
  <c r="L18" i="12"/>
  <c r="K18" i="12"/>
  <c r="J18" i="12"/>
  <c r="I18" i="12"/>
  <c r="H18" i="12"/>
  <c r="G18" i="12"/>
  <c r="F18" i="12"/>
  <c r="E18" i="12"/>
  <c r="M17" i="12"/>
  <c r="L17" i="12"/>
  <c r="K17" i="12"/>
  <c r="J17" i="12"/>
  <c r="I17" i="12"/>
  <c r="H17" i="12"/>
  <c r="G17" i="12"/>
  <c r="F17" i="12"/>
  <c r="E17" i="12"/>
  <c r="M16" i="12"/>
  <c r="L16" i="12"/>
  <c r="K16" i="12"/>
  <c r="J16" i="12"/>
  <c r="I16" i="12"/>
  <c r="H16" i="12"/>
  <c r="G16" i="12"/>
  <c r="F16" i="12"/>
  <c r="E16" i="12"/>
  <c r="C6" i="12"/>
  <c r="C8" i="12" s="1"/>
  <c r="D5" i="12"/>
  <c r="E5" i="12" s="1"/>
  <c r="F5" i="12" s="1"/>
  <c r="G5" i="12" s="1"/>
  <c r="H5" i="12" s="1"/>
  <c r="I5" i="12" s="1"/>
  <c r="J5" i="12" s="1"/>
  <c r="K5" i="12" s="1"/>
  <c r="L5" i="12" s="1"/>
  <c r="M5" i="12" s="1"/>
  <c r="D6" i="12" l="1"/>
  <c r="D71" i="12"/>
  <c r="D73" i="12" s="1"/>
  <c r="E76" i="12" s="1"/>
  <c r="G8" i="13"/>
  <c r="E27" i="12"/>
  <c r="E28" i="12" s="1"/>
  <c r="E90" i="12"/>
  <c r="E91" i="12" s="1"/>
  <c r="G9" i="13"/>
  <c r="G11" i="13" s="1"/>
  <c r="G12" i="13" s="1"/>
  <c r="G13" i="13" s="1"/>
  <c r="F11" i="13"/>
  <c r="F12" i="13" s="1"/>
  <c r="F19" i="13" s="1"/>
  <c r="L35" i="13"/>
  <c r="L17" i="13" s="1"/>
  <c r="M7" i="13"/>
  <c r="D8" i="12"/>
  <c r="E11" i="12" s="1"/>
  <c r="E6" i="12"/>
  <c r="D44" i="12"/>
  <c r="E47" i="12" s="1"/>
  <c r="E42" i="12"/>
  <c r="E61" i="12"/>
  <c r="E71" i="12"/>
  <c r="H8" i="13" l="1"/>
  <c r="I8" i="13"/>
  <c r="H9" i="13"/>
  <c r="F20" i="13"/>
  <c r="F13" i="13"/>
  <c r="F14" i="13" s="1"/>
  <c r="G19" i="13"/>
  <c r="G20" i="13" s="1"/>
  <c r="G14" i="13"/>
  <c r="M35" i="13"/>
  <c r="M17" i="13" s="1"/>
  <c r="N7" i="13"/>
  <c r="E12" i="12"/>
  <c r="F71" i="12"/>
  <c r="E73" i="12"/>
  <c r="E44" i="12"/>
  <c r="F42" i="12"/>
  <c r="E77" i="12"/>
  <c r="E62" i="12"/>
  <c r="E63" i="12" s="1"/>
  <c r="E48" i="12"/>
  <c r="E8" i="12"/>
  <c r="E9" i="12" s="1"/>
  <c r="F6" i="12"/>
  <c r="F23" i="13" l="1"/>
  <c r="G23" i="13"/>
  <c r="H11" i="13"/>
  <c r="H12" i="13" s="1"/>
  <c r="N35" i="13"/>
  <c r="N17" i="13" s="1"/>
  <c r="J8" i="13"/>
  <c r="I9" i="13"/>
  <c r="G71" i="12"/>
  <c r="F73" i="12"/>
  <c r="F76" i="12" s="1"/>
  <c r="G6" i="12"/>
  <c r="F8" i="12"/>
  <c r="G42" i="12"/>
  <c r="F44" i="12"/>
  <c r="F47" i="12" s="1"/>
  <c r="E13" i="12"/>
  <c r="F18" i="9" l="1"/>
  <c r="E18" i="9"/>
  <c r="H19" i="13"/>
  <c r="H20" i="13" s="1"/>
  <c r="H13" i="13"/>
  <c r="H14" i="13" s="1"/>
  <c r="H23" i="13" s="1"/>
  <c r="K8" i="13"/>
  <c r="J9" i="13"/>
  <c r="I11" i="13"/>
  <c r="I12" i="13" s="1"/>
  <c r="G8" i="12"/>
  <c r="G9" i="12" s="1"/>
  <c r="H6" i="12"/>
  <c r="G73" i="12"/>
  <c r="G76" i="12" s="1"/>
  <c r="H71" i="12"/>
  <c r="F48" i="12"/>
  <c r="H42" i="12"/>
  <c r="G44" i="12"/>
  <c r="G47" i="12" s="1"/>
  <c r="F9" i="12"/>
  <c r="F11" i="12"/>
  <c r="F77" i="12"/>
  <c r="D18" i="37" l="1"/>
  <c r="E22" i="9"/>
  <c r="E23" i="9" s="1"/>
  <c r="E18" i="37"/>
  <c r="F22" i="9"/>
  <c r="E6" i="30" s="1"/>
  <c r="E9" i="30" s="1"/>
  <c r="B15" i="16"/>
  <c r="B16" i="16" s="1"/>
  <c r="G18" i="9"/>
  <c r="L8" i="13"/>
  <c r="K9" i="13"/>
  <c r="K11" i="13" s="1"/>
  <c r="I19" i="13"/>
  <c r="I20" i="13" s="1"/>
  <c r="I13" i="13"/>
  <c r="I14" i="13" s="1"/>
  <c r="J11" i="13"/>
  <c r="J12" i="13" s="1"/>
  <c r="G48" i="12"/>
  <c r="G77" i="12"/>
  <c r="H73" i="12"/>
  <c r="H76" i="12" s="1"/>
  <c r="I71" i="12"/>
  <c r="F12" i="12"/>
  <c r="G11" i="12"/>
  <c r="H44" i="12"/>
  <c r="H47" i="12" s="1"/>
  <c r="I42" i="12"/>
  <c r="H8" i="12"/>
  <c r="H9" i="12" s="1"/>
  <c r="I6" i="12"/>
  <c r="D6" i="30" l="1"/>
  <c r="D9" i="30" s="1"/>
  <c r="F18" i="37"/>
  <c r="Q18" i="37" s="1"/>
  <c r="G22" i="9"/>
  <c r="P18" i="37"/>
  <c r="E25" i="37"/>
  <c r="O18" i="37"/>
  <c r="D24" i="37"/>
  <c r="O24" i="37" s="1"/>
  <c r="D25" i="37"/>
  <c r="D42" i="37" s="1"/>
  <c r="O42" i="37" s="1"/>
  <c r="I23" i="13"/>
  <c r="J19" i="13"/>
  <c r="J20" i="13" s="1"/>
  <c r="J13" i="13"/>
  <c r="J14" i="13" s="1"/>
  <c r="K12" i="13"/>
  <c r="M8" i="13"/>
  <c r="L9" i="13"/>
  <c r="H48" i="12"/>
  <c r="H77" i="12"/>
  <c r="F13" i="12"/>
  <c r="I44" i="12"/>
  <c r="I47" i="12" s="1"/>
  <c r="J42" i="12"/>
  <c r="I73" i="12"/>
  <c r="I76" i="12" s="1"/>
  <c r="J71" i="12"/>
  <c r="J6" i="12"/>
  <c r="I8" i="12"/>
  <c r="I9" i="12" s="1"/>
  <c r="G12" i="12"/>
  <c r="G13" i="12" s="1"/>
  <c r="H11" i="12"/>
  <c r="E7" i="30" l="1"/>
  <c r="E14" i="30" s="1"/>
  <c r="E19" i="30" s="1"/>
  <c r="E20" i="30" s="1"/>
  <c r="E23" i="30" s="1"/>
  <c r="E24" i="30" s="1"/>
  <c r="P25" i="37"/>
  <c r="E42" i="37"/>
  <c r="P42" i="37" s="1"/>
  <c r="O25" i="37"/>
  <c r="E15" i="30"/>
  <c r="E29" i="30"/>
  <c r="E30" i="30" s="1"/>
  <c r="E33" i="30" s="1"/>
  <c r="E34" i="30" s="1"/>
  <c r="J23" i="13"/>
  <c r="D43" i="37"/>
  <c r="O43" i="37" s="1"/>
  <c r="E35" i="37"/>
  <c r="P35" i="37" s="1"/>
  <c r="H18" i="9"/>
  <c r="E24" i="37"/>
  <c r="P24" i="37" s="1"/>
  <c r="F35" i="37"/>
  <c r="Q35" i="37" s="1"/>
  <c r="K19" i="13"/>
  <c r="K20" i="13" s="1"/>
  <c r="K13" i="13"/>
  <c r="K14" i="13" s="1"/>
  <c r="N8" i="13"/>
  <c r="N9" i="13" s="1"/>
  <c r="M9" i="13"/>
  <c r="M11" i="13" s="1"/>
  <c r="M12" i="13" s="1"/>
  <c r="L11" i="13"/>
  <c r="L12" i="13" s="1"/>
  <c r="I77" i="12"/>
  <c r="I48" i="12"/>
  <c r="K42" i="12"/>
  <c r="J44" i="12"/>
  <c r="J47" i="12" s="1"/>
  <c r="K6" i="12"/>
  <c r="J8" i="12"/>
  <c r="J9" i="12" s="1"/>
  <c r="H12" i="12"/>
  <c r="O12" i="12" s="1"/>
  <c r="I11" i="12"/>
  <c r="K71" i="12"/>
  <c r="J73" i="12"/>
  <c r="J76" i="12" s="1"/>
  <c r="O77" i="12"/>
  <c r="O48" i="12"/>
  <c r="G18" i="37" l="1"/>
  <c r="H22" i="9"/>
  <c r="E38" i="37"/>
  <c r="P38" i="37" s="1"/>
  <c r="E36" i="37"/>
  <c r="P36" i="37" s="1"/>
  <c r="F38" i="37"/>
  <c r="Q38" i="37" s="1"/>
  <c r="F36" i="37"/>
  <c r="Q36" i="37" s="1"/>
  <c r="I18" i="9"/>
  <c r="D44" i="37"/>
  <c r="O44" i="37" s="1"/>
  <c r="K23" i="13"/>
  <c r="N11" i="13"/>
  <c r="N12" i="13" s="1"/>
  <c r="N13" i="13" s="1"/>
  <c r="N14" i="13" s="1"/>
  <c r="M19" i="13"/>
  <c r="M20" i="13" s="1"/>
  <c r="M13" i="13"/>
  <c r="M14" i="13" s="1"/>
  <c r="L13" i="13"/>
  <c r="L14" i="13" s="1"/>
  <c r="L19" i="13"/>
  <c r="L20" i="13" s="1"/>
  <c r="J77" i="12"/>
  <c r="K76" i="12"/>
  <c r="J48" i="12"/>
  <c r="I12" i="12"/>
  <c r="J11" i="12"/>
  <c r="H13" i="12"/>
  <c r="K44" i="12"/>
  <c r="K47" i="12" s="1"/>
  <c r="L42" i="12"/>
  <c r="O98" i="12"/>
  <c r="L71" i="12"/>
  <c r="K73" i="12"/>
  <c r="L6" i="12"/>
  <c r="K8" i="12"/>
  <c r="K9" i="12" s="1"/>
  <c r="F39" i="37" l="1"/>
  <c r="Q39" i="37" s="1"/>
  <c r="E39" i="37"/>
  <c r="E43" i="37" s="1"/>
  <c r="R18" i="37"/>
  <c r="I18" i="37"/>
  <c r="T18" i="37" s="1"/>
  <c r="J18" i="9"/>
  <c r="G24" i="37"/>
  <c r="R24" i="37" s="1"/>
  <c r="G25" i="37"/>
  <c r="F24" i="37"/>
  <c r="Q24" i="37" s="1"/>
  <c r="F25" i="37"/>
  <c r="F42" i="37" s="1"/>
  <c r="Q42" i="37" s="1"/>
  <c r="N19" i="13"/>
  <c r="N20" i="13" s="1"/>
  <c r="N23" i="13" s="1"/>
  <c r="L23" i="13"/>
  <c r="M23" i="13"/>
  <c r="L73" i="12"/>
  <c r="M71" i="12"/>
  <c r="M73" i="12" s="1"/>
  <c r="L44" i="12"/>
  <c r="L47" i="12" s="1"/>
  <c r="M42" i="12"/>
  <c r="M44" i="12" s="1"/>
  <c r="K48" i="12"/>
  <c r="J12" i="12"/>
  <c r="K11" i="12"/>
  <c r="L8" i="12"/>
  <c r="L9" i="12" s="1"/>
  <c r="M6" i="12"/>
  <c r="M8" i="12" s="1"/>
  <c r="M9" i="12" s="1"/>
  <c r="I13" i="12"/>
  <c r="K77" i="12"/>
  <c r="L76" i="12"/>
  <c r="P39" i="37" l="1"/>
  <c r="E44" i="37"/>
  <c r="P44" i="37" s="1"/>
  <c r="P43" i="37"/>
  <c r="R25" i="37"/>
  <c r="G42" i="37"/>
  <c r="R42" i="37" s="1"/>
  <c r="G35" i="37"/>
  <c r="R35" i="37" s="1"/>
  <c r="Q25" i="37"/>
  <c r="I25" i="37"/>
  <c r="F43" i="37"/>
  <c r="K18" i="9"/>
  <c r="M18" i="9"/>
  <c r="L18" i="9"/>
  <c r="L48" i="12"/>
  <c r="P48" i="12" s="1"/>
  <c r="M47" i="12"/>
  <c r="J13" i="12"/>
  <c r="L77" i="12"/>
  <c r="P77" i="12" s="1"/>
  <c r="M76" i="12"/>
  <c r="M77" i="12" s="1"/>
  <c r="K12" i="12"/>
  <c r="K13" i="12" s="1"/>
  <c r="L11" i="12"/>
  <c r="Q77" i="12" l="1"/>
  <c r="F44" i="37"/>
  <c r="Q44" i="37" s="1"/>
  <c r="Q43" i="37"/>
  <c r="G38" i="37"/>
  <c r="G36" i="37"/>
  <c r="R36" i="37" s="1"/>
  <c r="T25" i="37"/>
  <c r="J25" i="37"/>
  <c r="U25" i="37" s="1"/>
  <c r="J20" i="37"/>
  <c r="U20" i="37" s="1"/>
  <c r="J22" i="37"/>
  <c r="U22" i="37" s="1"/>
  <c r="J18" i="37"/>
  <c r="U18" i="37" s="1"/>
  <c r="J15" i="37"/>
  <c r="U15" i="37" s="1"/>
  <c r="J11" i="37"/>
  <c r="U11" i="37" s="1"/>
  <c r="J7" i="37"/>
  <c r="U7" i="37" s="1"/>
  <c r="L12" i="12"/>
  <c r="L13" i="12" s="1"/>
  <c r="M11" i="12"/>
  <c r="M12" i="12" s="1"/>
  <c r="M13" i="12" s="1"/>
  <c r="M48" i="12"/>
  <c r="Q48" i="12" s="1"/>
  <c r="P98" i="12"/>
  <c r="Q12" i="12" l="1"/>
  <c r="P12" i="12"/>
  <c r="G39" i="37"/>
  <c r="R38" i="37"/>
  <c r="Q98" i="12"/>
  <c r="G43" i="37" l="1"/>
  <c r="R39" i="37"/>
  <c r="I20" i="9"/>
  <c r="I19" i="9"/>
  <c r="D3" i="9"/>
  <c r="E3" i="9" s="1"/>
  <c r="F3" i="9" s="1"/>
  <c r="G3" i="9" s="1"/>
  <c r="H3" i="9" s="1"/>
  <c r="I3" i="9" s="1"/>
  <c r="J3" i="9" s="1"/>
  <c r="K3" i="9" s="1"/>
  <c r="L3" i="9" s="1"/>
  <c r="M3" i="9" s="1"/>
  <c r="G44" i="37" l="1"/>
  <c r="R44" i="37" s="1"/>
  <c r="R43" i="37"/>
  <c r="J20" i="9"/>
  <c r="J19" i="9"/>
  <c r="E4" i="9"/>
  <c r="E5" i="9" s="1"/>
  <c r="E8" i="9" l="1"/>
  <c r="K20" i="9"/>
  <c r="K19" i="9"/>
  <c r="E9" i="9"/>
  <c r="B13" i="16" s="1"/>
  <c r="E6" i="9"/>
  <c r="F4" i="9"/>
  <c r="F5" i="9" s="1"/>
  <c r="F8" i="9" l="1"/>
  <c r="F9" i="9" s="1"/>
  <c r="E24" i="9"/>
  <c r="B2" i="16" s="1"/>
  <c r="B7" i="16" s="1"/>
  <c r="B8" i="16"/>
  <c r="B11" i="16" s="1"/>
  <c r="B14" i="16"/>
  <c r="L20" i="9"/>
  <c r="L19" i="9"/>
  <c r="G8" i="9"/>
  <c r="G4" i="9"/>
  <c r="G5" i="9" s="1"/>
  <c r="C8" i="16" l="1"/>
  <c r="M20" i="9"/>
  <c r="M19" i="9"/>
  <c r="F6" i="9"/>
  <c r="H4" i="9"/>
  <c r="H5" i="9" s="1"/>
  <c r="G6" i="9"/>
  <c r="H8" i="9" l="1"/>
  <c r="C11" i="16"/>
  <c r="C13" i="16"/>
  <c r="I4" i="9"/>
  <c r="I5" i="9" s="1"/>
  <c r="H6" i="9"/>
  <c r="I8" i="9" l="1"/>
  <c r="G9" i="9"/>
  <c r="D13" i="16" s="1"/>
  <c r="D14" i="16" s="1"/>
  <c r="D8" i="16"/>
  <c r="C14" i="16"/>
  <c r="I6" i="9"/>
  <c r="J4" i="9"/>
  <c r="J5" i="9" s="1"/>
  <c r="J8" i="9" l="1"/>
  <c r="H9" i="9"/>
  <c r="E13" i="16" s="1"/>
  <c r="E8" i="16"/>
  <c r="E11" i="16" s="1"/>
  <c r="D11" i="16"/>
  <c r="K4" i="9"/>
  <c r="K5" i="9" s="1"/>
  <c r="K8" i="9" l="1"/>
  <c r="I9" i="9"/>
  <c r="F13" i="16" s="1"/>
  <c r="F14" i="16" s="1"/>
  <c r="F8" i="16"/>
  <c r="E14" i="16"/>
  <c r="B89" i="16" s="1"/>
  <c r="G8" i="16"/>
  <c r="J6" i="9"/>
  <c r="L4" i="9"/>
  <c r="L5" i="9" s="1"/>
  <c r="K6" i="9"/>
  <c r="L8" i="9" l="1"/>
  <c r="G11" i="16"/>
  <c r="F11" i="16"/>
  <c r="H8" i="16"/>
  <c r="J9" i="9"/>
  <c r="G13" i="16" s="1"/>
  <c r="M4" i="9"/>
  <c r="L6" i="9"/>
  <c r="K9" i="9"/>
  <c r="H13" i="16" s="1"/>
  <c r="M5" i="9" l="1"/>
  <c r="M6" i="9" s="1"/>
  <c r="M8" i="9"/>
  <c r="H11" i="16"/>
  <c r="G14" i="16"/>
  <c r="H14" i="16"/>
  <c r="I8" i="16"/>
  <c r="I11" i="16" s="1"/>
  <c r="J8" i="16" l="1"/>
  <c r="J11" i="16" s="1"/>
  <c r="L9" i="9"/>
  <c r="I13" i="16" s="1"/>
  <c r="M9" i="9"/>
  <c r="J13" i="16" s="1"/>
  <c r="J14" i="16" l="1"/>
  <c r="C89" i="16" s="1"/>
  <c r="I14" i="16"/>
  <c r="H56" i="12"/>
  <c r="F56" i="12"/>
  <c r="F61" i="12" s="1"/>
  <c r="G56" i="12"/>
  <c r="G61" i="12" s="1"/>
  <c r="G62" i="12" s="1"/>
  <c r="G63" i="12" s="1"/>
  <c r="F62" i="12" l="1"/>
  <c r="F63" i="12" s="1"/>
  <c r="I56" i="12"/>
  <c r="H61" i="12"/>
  <c r="H62" i="12" s="1"/>
  <c r="H63" i="12" s="1"/>
  <c r="O61" i="12" l="1"/>
  <c r="J56" i="12"/>
  <c r="I61" i="12"/>
  <c r="O100" i="12"/>
  <c r="O63" i="12"/>
  <c r="O64" i="12" s="1"/>
  <c r="O101" i="12" s="1"/>
  <c r="F85" i="12" l="1"/>
  <c r="F90" i="12" s="1"/>
  <c r="F22" i="12"/>
  <c r="F27" i="12" s="1"/>
  <c r="C15" i="16"/>
  <c r="I62" i="12"/>
  <c r="I63" i="12" s="1"/>
  <c r="K56" i="12"/>
  <c r="J61" i="12"/>
  <c r="J62" i="12" s="1"/>
  <c r="J63" i="12" s="1"/>
  <c r="C16" i="16" l="1"/>
  <c r="G85" i="12"/>
  <c r="G90" i="12" s="1"/>
  <c r="G91" i="12" s="1"/>
  <c r="G22" i="12"/>
  <c r="G27" i="12" s="1"/>
  <c r="G28" i="12" s="1"/>
  <c r="F6" i="30"/>
  <c r="L56" i="12"/>
  <c r="K61" i="12"/>
  <c r="F23" i="9"/>
  <c r="F28" i="12"/>
  <c r="F91" i="12"/>
  <c r="F9" i="30" l="1"/>
  <c r="F7" i="30"/>
  <c r="G23" i="9"/>
  <c r="G24" i="9" s="1"/>
  <c r="D2" i="16" s="1"/>
  <c r="D15" i="16"/>
  <c r="F24" i="9"/>
  <c r="C2" i="16" s="1"/>
  <c r="M56" i="12"/>
  <c r="M61" i="12" s="1"/>
  <c r="M62" i="12" s="1"/>
  <c r="M63" i="12" s="1"/>
  <c r="L61" i="12"/>
  <c r="L62" i="12" s="1"/>
  <c r="L63" i="12" s="1"/>
  <c r="H85" i="12"/>
  <c r="H22" i="12"/>
  <c r="K62" i="12"/>
  <c r="K63" i="12" s="1"/>
  <c r="P61" i="12"/>
  <c r="F14" i="30" l="1"/>
  <c r="D16" i="16"/>
  <c r="C7" i="16"/>
  <c r="D7" i="16"/>
  <c r="P100" i="12"/>
  <c r="P63" i="12"/>
  <c r="P64" i="12" s="1"/>
  <c r="P101" i="12" s="1"/>
  <c r="I22" i="12"/>
  <c r="H27" i="12"/>
  <c r="I85" i="12"/>
  <c r="H90" i="12"/>
  <c r="Q61" i="12"/>
  <c r="E15" i="16" l="1"/>
  <c r="E16" i="16" s="1"/>
  <c r="B90" i="16" s="1"/>
  <c r="B92" i="16" s="1"/>
  <c r="G6" i="30"/>
  <c r="F15" i="30"/>
  <c r="F29" i="30"/>
  <c r="F19" i="30"/>
  <c r="H23" i="9"/>
  <c r="H28" i="12"/>
  <c r="O27" i="12"/>
  <c r="I22" i="9"/>
  <c r="H91" i="12"/>
  <c r="O90" i="12"/>
  <c r="J22" i="12"/>
  <c r="I27" i="12"/>
  <c r="Q100" i="12"/>
  <c r="Q63" i="12"/>
  <c r="Q64" i="12" s="1"/>
  <c r="Q101" i="12" s="1"/>
  <c r="J85" i="12"/>
  <c r="I90" i="12"/>
  <c r="F15" i="16" l="1"/>
  <c r="F16" i="16" s="1"/>
  <c r="H6" i="30"/>
  <c r="F30" i="30"/>
  <c r="G7" i="30"/>
  <c r="G9" i="30"/>
  <c r="F20" i="30"/>
  <c r="H24" i="9"/>
  <c r="E2" i="16" s="1"/>
  <c r="O103" i="12"/>
  <c r="O92" i="12"/>
  <c r="O93" i="12" s="1"/>
  <c r="O104" i="12" s="1"/>
  <c r="O106" i="12"/>
  <c r="O30" i="12"/>
  <c r="O31" i="12" s="1"/>
  <c r="O107" i="12" s="1"/>
  <c r="I91" i="12"/>
  <c r="I28" i="12"/>
  <c r="K85" i="12"/>
  <c r="J90" i="12"/>
  <c r="J91" i="12" s="1"/>
  <c r="K22" i="12"/>
  <c r="J27" i="12"/>
  <c r="J28" i="12" s="1"/>
  <c r="I23" i="9"/>
  <c r="J22" i="9"/>
  <c r="I6" i="30" s="1"/>
  <c r="F23" i="30" l="1"/>
  <c r="F24" i="30" s="1"/>
  <c r="I9" i="30"/>
  <c r="I7" i="30"/>
  <c r="I14" i="30" s="1"/>
  <c r="F33" i="30"/>
  <c r="F34" i="30" s="1"/>
  <c r="H9" i="30"/>
  <c r="H7" i="30"/>
  <c r="H14" i="30" s="1"/>
  <c r="G14" i="30"/>
  <c r="J23" i="9"/>
  <c r="J24" i="9" s="1"/>
  <c r="G2" i="16" s="1"/>
  <c r="G15" i="16"/>
  <c r="L2" i="16"/>
  <c r="M2" i="16" s="1"/>
  <c r="E7" i="16"/>
  <c r="I24" i="9"/>
  <c r="F2" i="16" s="1"/>
  <c r="F7" i="16" s="1"/>
  <c r="K22" i="9"/>
  <c r="L22" i="12"/>
  <c r="K27" i="12"/>
  <c r="L85" i="12"/>
  <c r="K90" i="12"/>
  <c r="H15" i="16" l="1"/>
  <c r="H16" i="16" s="1"/>
  <c r="J6" i="30"/>
  <c r="G19" i="30"/>
  <c r="G29" i="30"/>
  <c r="G15" i="30"/>
  <c r="I15" i="30"/>
  <c r="I19" i="30"/>
  <c r="I20" i="30" s="1"/>
  <c r="I29" i="30"/>
  <c r="I30" i="30" s="1"/>
  <c r="H29" i="30"/>
  <c r="H30" i="30" s="1"/>
  <c r="H19" i="30"/>
  <c r="H20" i="30" s="1"/>
  <c r="H15" i="30"/>
  <c r="G16" i="16"/>
  <c r="G7" i="16"/>
  <c r="K28" i="12"/>
  <c r="M22" i="12"/>
  <c r="M27" i="12" s="1"/>
  <c r="M28" i="12" s="1"/>
  <c r="L27" i="12"/>
  <c r="L28" i="12" s="1"/>
  <c r="K91" i="12"/>
  <c r="K23" i="9"/>
  <c r="M85" i="12"/>
  <c r="M90" i="12" s="1"/>
  <c r="M91" i="12" s="1"/>
  <c r="L90" i="12"/>
  <c r="L91" i="12" s="1"/>
  <c r="M22" i="9"/>
  <c r="L6" i="30" s="1"/>
  <c r="L22" i="9"/>
  <c r="K6" i="30" s="1"/>
  <c r="K9" i="30" l="1"/>
  <c r="K7" i="30"/>
  <c r="K14" i="30" s="1"/>
  <c r="G30" i="30"/>
  <c r="L9" i="30"/>
  <c r="L7" i="30"/>
  <c r="L14" i="30" s="1"/>
  <c r="G20" i="30"/>
  <c r="J9" i="30"/>
  <c r="J7" i="30"/>
  <c r="M6" i="30"/>
  <c r="L23" i="9"/>
  <c r="L24" i="9" s="1"/>
  <c r="I2" i="16" s="1"/>
  <c r="I15" i="16"/>
  <c r="I16" i="16" s="1"/>
  <c r="M23" i="9"/>
  <c r="M24" i="9" s="1"/>
  <c r="J2" i="16" s="1"/>
  <c r="J15" i="16"/>
  <c r="K24" i="9"/>
  <c r="H2" i="16" s="1"/>
  <c r="P27" i="12"/>
  <c r="P106" i="12" s="1"/>
  <c r="Q27" i="12"/>
  <c r="P90" i="12"/>
  <c r="Q90" i="12"/>
  <c r="P30" i="12" l="1"/>
  <c r="P31" i="12" s="1"/>
  <c r="P107" i="12" s="1"/>
  <c r="G23" i="30"/>
  <c r="G24" i="30" s="1"/>
  <c r="I23" i="30"/>
  <c r="H23" i="30"/>
  <c r="G33" i="30"/>
  <c r="G34" i="30" s="1"/>
  <c r="H33" i="30"/>
  <c r="H34" i="30" s="1"/>
  <c r="I33" i="30"/>
  <c r="I34" i="30" s="1"/>
  <c r="J14" i="30"/>
  <c r="M7" i="30"/>
  <c r="L29" i="30"/>
  <c r="L30" i="30" s="1"/>
  <c r="L19" i="30"/>
  <c r="L20" i="30" s="1"/>
  <c r="L15" i="30"/>
  <c r="K29" i="30"/>
  <c r="K30" i="30" s="1"/>
  <c r="K15" i="30"/>
  <c r="K19" i="30"/>
  <c r="K20" i="30" s="1"/>
  <c r="J16" i="16"/>
  <c r="C90" i="16" s="1"/>
  <c r="C92" i="16" s="1"/>
  <c r="H7" i="16"/>
  <c r="I7" i="16"/>
  <c r="N2" i="16"/>
  <c r="O2" i="16" s="1"/>
  <c r="J7" i="16"/>
  <c r="Q106" i="12"/>
  <c r="Q30" i="12"/>
  <c r="Q31" i="12" s="1"/>
  <c r="Q107" i="12" s="1"/>
  <c r="Q103" i="12"/>
  <c r="Q92" i="12"/>
  <c r="Q93" i="12" s="1"/>
  <c r="Q104" i="12" s="1"/>
  <c r="P103" i="12"/>
  <c r="P92" i="12"/>
  <c r="P93" i="12" s="1"/>
  <c r="P104" i="12" s="1"/>
  <c r="J19" i="30" l="1"/>
  <c r="J15" i="30"/>
  <c r="M15" i="30" s="1"/>
  <c r="J29" i="30"/>
  <c r="M14" i="30"/>
  <c r="H188" i="7"/>
  <c r="J30" i="30" l="1"/>
  <c r="M29" i="30"/>
  <c r="J20" i="30"/>
  <c r="M19" i="30"/>
  <c r="I21" i="4"/>
  <c r="L10" i="4"/>
  <c r="K10" i="4"/>
  <c r="J10" i="4"/>
  <c r="I10" i="4"/>
  <c r="L9" i="4"/>
  <c r="K9" i="4"/>
  <c r="J9" i="4"/>
  <c r="I9" i="4"/>
  <c r="L8" i="4"/>
  <c r="K8" i="4"/>
  <c r="J8" i="4"/>
  <c r="I8" i="4"/>
  <c r="L7" i="4"/>
  <c r="L21" i="4" s="1"/>
  <c r="K7" i="4"/>
  <c r="K21" i="4" s="1"/>
  <c r="J7" i="4"/>
  <c r="J21" i="4" s="1"/>
  <c r="I7" i="4"/>
  <c r="H10" i="4"/>
  <c r="H9" i="4"/>
  <c r="H8" i="4"/>
  <c r="H7" i="4"/>
  <c r="H21" i="4" s="1"/>
  <c r="G88" i="12" l="1"/>
  <c r="G59" i="12"/>
  <c r="G25" i="12"/>
  <c r="H25" i="12"/>
  <c r="I25" i="12" s="1"/>
  <c r="J25" i="12" s="1"/>
  <c r="K25" i="12" s="1"/>
  <c r="L25" i="12" s="1"/>
  <c r="M25" i="12" s="1"/>
  <c r="H59" i="12"/>
  <c r="I59" i="12" s="1"/>
  <c r="J59" i="12" s="1"/>
  <c r="K59" i="12" s="1"/>
  <c r="L59" i="12" s="1"/>
  <c r="M59" i="12" s="1"/>
  <c r="H88" i="12"/>
  <c r="I88" i="12" s="1"/>
  <c r="J88" i="12" s="1"/>
  <c r="K88" i="12" s="1"/>
  <c r="L88" i="12" s="1"/>
  <c r="M88" i="12" s="1"/>
  <c r="E25" i="12"/>
  <c r="E88" i="12"/>
  <c r="E59" i="12"/>
  <c r="F88" i="12"/>
  <c r="F25" i="12"/>
  <c r="F59" i="12"/>
  <c r="K23" i="30"/>
  <c r="M20" i="30"/>
  <c r="J23" i="30"/>
  <c r="L23" i="30"/>
  <c r="J33" i="30"/>
  <c r="J34" i="30" s="1"/>
  <c r="M30" i="30"/>
  <c r="K33" i="30"/>
  <c r="K34" i="30" s="1"/>
  <c r="L33" i="30"/>
  <c r="L34" i="30" s="1"/>
  <c r="K267" i="7"/>
  <c r="J267" i="7"/>
  <c r="I267" i="7"/>
  <c r="K266" i="7"/>
  <c r="J266" i="7"/>
  <c r="I266" i="7"/>
  <c r="H267" i="7"/>
  <c r="H266" i="7"/>
  <c r="U39" i="5" l="1"/>
  <c r="U38" i="5"/>
  <c r="U20" i="5"/>
  <c r="T20" i="5"/>
  <c r="T21" i="5" s="1"/>
  <c r="S20" i="5"/>
  <c r="S21" i="5" s="1"/>
  <c r="R20" i="5"/>
  <c r="R21" i="5" s="1"/>
  <c r="Q20" i="5"/>
  <c r="Q21" i="5" s="1"/>
  <c r="U19" i="5"/>
  <c r="U18" i="5"/>
  <c r="D40" i="5"/>
  <c r="D47" i="5" s="1"/>
  <c r="G39" i="5"/>
  <c r="G38" i="5"/>
  <c r="G20" i="5"/>
  <c r="F20" i="5"/>
  <c r="F21" i="5" s="1"/>
  <c r="E20" i="5"/>
  <c r="E21" i="5" s="1"/>
  <c r="D20" i="5"/>
  <c r="D21" i="5" s="1"/>
  <c r="C20" i="5"/>
  <c r="C21" i="5" s="1"/>
  <c r="G19" i="5"/>
  <c r="G18" i="5"/>
  <c r="G21" i="5" l="1"/>
  <c r="U21" i="5"/>
  <c r="Q40" i="5"/>
  <c r="Q47" i="5" s="1"/>
  <c r="R40" i="5"/>
  <c r="R47" i="5" s="1"/>
  <c r="U40" i="5"/>
  <c r="U47" i="5" s="1"/>
  <c r="S40" i="5"/>
  <c r="S47" i="5" s="1"/>
  <c r="E40" i="5"/>
  <c r="E47" i="5" s="1"/>
  <c r="T40" i="5"/>
  <c r="T47" i="5" s="1"/>
  <c r="T28" i="5"/>
  <c r="T29" i="5"/>
  <c r="R28" i="5"/>
  <c r="R29" i="5" s="1"/>
  <c r="S28" i="5"/>
  <c r="S29" i="5" s="1"/>
  <c r="Q28" i="5"/>
  <c r="Q29" i="5" s="1"/>
  <c r="U28" i="5"/>
  <c r="U29" i="5" s="1"/>
  <c r="F28" i="5"/>
  <c r="F29" i="5" s="1"/>
  <c r="D28" i="5"/>
  <c r="D29" i="5" s="1"/>
  <c r="E28" i="5"/>
  <c r="E29" i="5" s="1"/>
  <c r="C28" i="5"/>
  <c r="C29" i="5" s="1"/>
  <c r="G28" i="5"/>
  <c r="G29" i="5" s="1"/>
  <c r="F40" i="5"/>
  <c r="F47" i="5" s="1"/>
  <c r="C40" i="5"/>
  <c r="C47" i="5" s="1"/>
  <c r="G40" i="5"/>
  <c r="G47" i="5" s="1"/>
</calcChain>
</file>

<file path=xl/sharedStrings.xml><?xml version="1.0" encoding="utf-8"?>
<sst xmlns="http://schemas.openxmlformats.org/spreadsheetml/2006/main" count="2689" uniqueCount="792">
  <si>
    <t>Suite 1</t>
  </si>
  <si>
    <t>Suite 5</t>
  </si>
  <si>
    <t>CSA Estimate</t>
  </si>
  <si>
    <t>2022 - 2025 CEIP Period</t>
  </si>
  <si>
    <t>Source</t>
  </si>
  <si>
    <t>Capacity (MW)</t>
  </si>
  <si>
    <t>Battery Energy Storage</t>
  </si>
  <si>
    <t>BCA Output</t>
  </si>
  <si>
    <t>Solar - Ground and Rooftop</t>
  </si>
  <si>
    <t>Demand Response</t>
  </si>
  <si>
    <t>2021 IRP Preferred Portfolio</t>
  </si>
  <si>
    <t>Capital Costs ($ M)</t>
  </si>
  <si>
    <t>$/kW</t>
  </si>
  <si>
    <t>$ M</t>
  </si>
  <si>
    <t>Estimate under review</t>
  </si>
  <si>
    <t>Total</t>
  </si>
  <si>
    <t>Additional Capex Costs ($ M)</t>
  </si>
  <si>
    <t>Estimate to continue current beta testing program</t>
  </si>
  <si>
    <t>Beta Testing</t>
  </si>
  <si>
    <t>Contingency @ 20%</t>
  </si>
  <si>
    <t>TOTAL CAPITAL ESTIMATE</t>
  </si>
  <si>
    <t>Opex (Power Cost) Estimates</t>
  </si>
  <si>
    <t>Resource Only Costs</t>
  </si>
  <si>
    <t>$/kW-year</t>
  </si>
  <si>
    <t>Fixed / variable O&amp;M associated with the resource</t>
  </si>
  <si>
    <t>Weighted Average of IRP Active DR Programs</t>
  </si>
  <si>
    <t>Additional Opex Costs - Program Startup</t>
  </si>
  <si>
    <t xml:space="preserve">Programmatic spending </t>
  </si>
  <si>
    <t>Estimate</t>
  </si>
  <si>
    <t>TOTAL OPEX ESTIMATE</t>
  </si>
  <si>
    <t>Exclusions Not Yet Estimated</t>
  </si>
  <si>
    <t>Impacts on 24/7 Operations</t>
  </si>
  <si>
    <t>Additional Customer Program Operations Costs for Fully Functional Programs (assumed to be included in Resource Only Costs)</t>
  </si>
  <si>
    <t>Annual Costs (from Connor) - Suite 6</t>
  </si>
  <si>
    <t>Annual Costs (from Connor) - Suite 5</t>
  </si>
  <si>
    <t>Customer Education, Community Outreach, and EAG Support Totals</t>
  </si>
  <si>
    <t>CEIP Customer Education and Information</t>
  </si>
  <si>
    <t>Community Outreach</t>
  </si>
  <si>
    <t>EAG Support</t>
  </si>
  <si>
    <t>Source:  6/30/21 Spreadsheet Summary</t>
  </si>
  <si>
    <t>INPUT</t>
  </si>
  <si>
    <t>CEIP DER Enablement Budget</t>
  </si>
  <si>
    <t>CEIP Enablement Milestone</t>
  </si>
  <si>
    <t>Swimlane</t>
  </si>
  <si>
    <t>Existing CSA?</t>
  </si>
  <si>
    <t>CSA</t>
  </si>
  <si>
    <t>CSA Status</t>
  </si>
  <si>
    <t>Notes / Source</t>
  </si>
  <si>
    <t>Budget Owner</t>
  </si>
  <si>
    <t>Enablement Allocation %</t>
  </si>
  <si>
    <t>DER Enablement Milestones</t>
  </si>
  <si>
    <t>Procurement &amp; Vendor Management Strategy</t>
  </si>
  <si>
    <t>Procurement</t>
  </si>
  <si>
    <t>N/A</t>
  </si>
  <si>
    <t>Incremental labor (see Incremental Staffing Needs)</t>
  </si>
  <si>
    <t>Ben Farrow</t>
  </si>
  <si>
    <t>Capital</t>
  </si>
  <si>
    <t>Labor</t>
  </si>
  <si>
    <t>Services</t>
  </si>
  <si>
    <t>Materials</t>
  </si>
  <si>
    <t>IT</t>
  </si>
  <si>
    <t>Expense</t>
  </si>
  <si>
    <t>Market Engagement &amp; Benchmarking</t>
  </si>
  <si>
    <t>No incremental expense needs if framework exists today. However, may involve vendors.</t>
  </si>
  <si>
    <t>Will Einstein</t>
  </si>
  <si>
    <t>Regulatory &amp; Stakeholder Engagement Strategy</t>
  </si>
  <si>
    <t>Strategy &amp; Planning</t>
  </si>
  <si>
    <t>No incremental headcount expected</t>
  </si>
  <si>
    <t>Portfolio Customer Care Strategy</t>
  </si>
  <si>
    <t>Customer</t>
  </si>
  <si>
    <t>Initial upfront strategy + potential incremental customer care FTE</t>
  </si>
  <si>
    <t>Carol Wallace</t>
  </si>
  <si>
    <t>Portfolio Marketing Strategy</t>
  </si>
  <si>
    <t>Any incremental labor need</t>
  </si>
  <si>
    <t>Christina Donegan</t>
  </si>
  <si>
    <t>DER Customer Experience Strategy</t>
  </si>
  <si>
    <t>Customer Relationship Management (CRM) Platform</t>
  </si>
  <si>
    <t>No</t>
  </si>
  <si>
    <t>SAP is developing cost prior to CSA. Get updates from next CSA update file</t>
  </si>
  <si>
    <t>Theresa Burch</t>
  </si>
  <si>
    <t>Customer Enrollment &amp; Education Portal</t>
  </si>
  <si>
    <t>No incremental staff necessary; incremental GRC marketing spend</t>
  </si>
  <si>
    <t>Customer Notification Platform</t>
  </si>
  <si>
    <t>TBD</t>
  </si>
  <si>
    <t>Existing notification platform exists; supposed to get in update</t>
  </si>
  <si>
    <t>Complex Billing Functionality</t>
  </si>
  <si>
    <t>Supposed to get in update CSA file</t>
  </si>
  <si>
    <t>Device Marketplace</t>
  </si>
  <si>
    <t>Potentially expand EE platform; currently 3rd party application</t>
  </si>
  <si>
    <t>Marketing Platform</t>
  </si>
  <si>
    <t>Portfolio &amp; Product Management Strategy</t>
  </si>
  <si>
    <t>Innovation Project / Emerging Technology Process</t>
  </si>
  <si>
    <t>Was in last year's CSA possibly, but not funded right now</t>
  </si>
  <si>
    <t>Asset Management Strategy &amp; Planning</t>
  </si>
  <si>
    <t>Operations</t>
  </si>
  <si>
    <t>Cathy Koch</t>
  </si>
  <si>
    <t>Dispatch &amp; Operations Strategy</t>
  </si>
  <si>
    <t>Paul Wetherbee</t>
  </si>
  <si>
    <t>DER IT/OT Strategy</t>
  </si>
  <si>
    <t>Brian Fellon</t>
  </si>
  <si>
    <t>Virtual Power Plant (VPP)</t>
  </si>
  <si>
    <t>Yes</t>
  </si>
  <si>
    <t>Elaine Markham</t>
  </si>
  <si>
    <t>Capital budget from CSA</t>
  </si>
  <si>
    <t>Total Enablement</t>
  </si>
  <si>
    <t>Grid Modernization</t>
  </si>
  <si>
    <t>NWA Evaluation Tool &amp; Methodology</t>
  </si>
  <si>
    <t>CSA Budget file notes: "very small tool to have its own CSA". Probably rolled into broader Grid Mod CSA. If including, figure out what allocation to use from larger Grid Mod CSA. May be zero.</t>
  </si>
  <si>
    <t>Feeder-level Forecasting Tool</t>
  </si>
  <si>
    <t xml:space="preserve">Existing CSA, in-flight project. Can talk about it in narrative, but not include in enabling budget. May lump grid mod milestones. </t>
  </si>
  <si>
    <t>Hosting Capacity Analysis</t>
  </si>
  <si>
    <t>Locational Pricing &amp; Valuation Tool</t>
  </si>
  <si>
    <t>Jens may be the decision maker; do not have b-case for it. That will be developed next year</t>
  </si>
  <si>
    <t>Advanced Distribution Management System (ADMS)</t>
  </si>
  <si>
    <t>Interconnection Portal Enhancements</t>
  </si>
  <si>
    <t>determine whether included in hosting capacity CSA</t>
  </si>
  <si>
    <t>Heather Mulligan</t>
  </si>
  <si>
    <t>ADMS-integrated DER Management System (DERMS)</t>
  </si>
  <si>
    <t>Have some prefunding for scoping and development but do not have funding for implementation. Prefunding from grid mod catch-all buckets</t>
  </si>
  <si>
    <t>From Shelly Hagerman, 7/9/21</t>
  </si>
  <si>
    <t>Summary of non-Grid Modernization Costs</t>
  </si>
  <si>
    <t>Staffing</t>
  </si>
  <si>
    <t>Outside Services</t>
  </si>
  <si>
    <t>Management</t>
  </si>
  <si>
    <t>Program Management</t>
  </si>
  <si>
    <t>CBI Data Collection</t>
  </si>
  <si>
    <t>Unit Cost</t>
  </si>
  <si>
    <t>Overhead</t>
  </si>
  <si>
    <t>Escalation</t>
  </si>
  <si>
    <t>Report Development</t>
  </si>
  <si>
    <t>Additional Resource Analytics</t>
  </si>
  <si>
    <t>Analysts</t>
  </si>
  <si>
    <t>TOTAL through 2030</t>
  </si>
  <si>
    <t>PSE 2019 Electric Sales to Customers (UE-200294 -2.01), escalated at 2.5%</t>
  </si>
  <si>
    <t>Added EE gross-up %, discounted by 50% for actual PSE Cost</t>
  </si>
  <si>
    <t>Electric Sales Grossed up by EE %</t>
  </si>
  <si>
    <t>Suite 6</t>
  </si>
  <si>
    <t>Estimated 2% Annual Increase ($000)</t>
  </si>
  <si>
    <t>Energy Efficiency Incremental Cost</t>
  </si>
  <si>
    <t>Demand Response Incremental Cost</t>
  </si>
  <si>
    <t>Generation Portfolio Incremental Cost</t>
  </si>
  <si>
    <t>No-CETA Portfolio</t>
  </si>
  <si>
    <t xml:space="preserve">Generation Portfolio </t>
  </si>
  <si>
    <t>Energy Efficency</t>
  </si>
  <si>
    <t>Res CPP-No Enablement</t>
  </si>
  <si>
    <t>Res CPP-With Enablement</t>
  </si>
  <si>
    <t>Res DLC Heat-Switch</t>
  </si>
  <si>
    <t>Res DLC Heat-BYOT</t>
  </si>
  <si>
    <t>Res DLC ERWH-Switch</t>
  </si>
  <si>
    <t>Res DLC ERWH-Grid-Enabled</t>
  </si>
  <si>
    <t>Res DLC HPWH-Switch</t>
  </si>
  <si>
    <t>Res DLC HPWH-Grid-Enabled</t>
  </si>
  <si>
    <t>Small Com DLC Heat-Switch</t>
  </si>
  <si>
    <t>Medium Com DLC Heat-Switch</t>
  </si>
  <si>
    <t>C&amp;I Curtailment-Manual</t>
  </si>
  <si>
    <t>C&amp;I Curtailment-AutoDR</t>
  </si>
  <si>
    <t>C&amp;I CPP-No Enablement</t>
  </si>
  <si>
    <t>C&amp;I CPP-With Enablement</t>
  </si>
  <si>
    <t>Res EV DLC-</t>
  </si>
  <si>
    <t>Res Behavior DR-Winter</t>
  </si>
  <si>
    <t>Estimated 2% Annual Increase ($)</t>
  </si>
  <si>
    <t>Enabling Costs - Distributed Resources</t>
  </si>
  <si>
    <t>Enabling Costs - Grid Modernization to support distributed resources</t>
  </si>
  <si>
    <t>Customer - Multilingual community engagement, Outreach, and communication</t>
  </si>
  <si>
    <t>Administration</t>
  </si>
  <si>
    <t>Capital Investment</t>
  </si>
  <si>
    <t>Rate Base:</t>
  </si>
  <si>
    <t>Economic Life</t>
  </si>
  <si>
    <t>Gross Plant</t>
  </si>
  <si>
    <t xml:space="preserve">After Tax WACC </t>
  </si>
  <si>
    <t>Accumulated Depreciation</t>
  </si>
  <si>
    <t>Federal Tax Rate</t>
  </si>
  <si>
    <t>Accumulated Deferred Tax</t>
  </si>
  <si>
    <t>Total Rate Base</t>
  </si>
  <si>
    <t>Average Rate Base</t>
  </si>
  <si>
    <t>After-Tax Return</t>
  </si>
  <si>
    <t>Gross up for Federal Tax</t>
  </si>
  <si>
    <t>Grossed-Up Return on Rate Base</t>
  </si>
  <si>
    <t>Expense:</t>
  </si>
  <si>
    <t>Depreciation</t>
  </si>
  <si>
    <t>Total Operating Expense</t>
  </si>
  <si>
    <t>Revenue Requirement</t>
  </si>
  <si>
    <t>Tax Depreciation</t>
  </si>
  <si>
    <t>MACRS depreciation</t>
  </si>
  <si>
    <t>Book Depreciation</t>
  </si>
  <si>
    <t>Difference (Book -Tax)</t>
  </si>
  <si>
    <t>Deferred Tax</t>
  </si>
  <si>
    <t>Total Estimated Incremental Cost</t>
  </si>
  <si>
    <t>Total - 2022-2025 CEIP Period</t>
  </si>
  <si>
    <t>Total - 2026-2029 CEIP Period</t>
  </si>
  <si>
    <t>Total 2% Estimate</t>
  </si>
  <si>
    <t>Suite 6 (Preferred)</t>
  </si>
  <si>
    <t>Suite 5 (Maximum Customer Benefit)</t>
  </si>
  <si>
    <t>comparison to 2%</t>
  </si>
  <si>
    <t>CEIP Period 1
(2022-2025)</t>
  </si>
  <si>
    <t>CEIP Period 2
(2026-2029)</t>
  </si>
  <si>
    <t>Total
Through 2030</t>
  </si>
  <si>
    <t>Suite1 (Lowest Cost)</t>
  </si>
  <si>
    <t>Alternative Compliance Cost</t>
  </si>
  <si>
    <t>$ 000</t>
  </si>
  <si>
    <t>Difference</t>
  </si>
  <si>
    <t>Allocated Grid Mod Total</t>
  </si>
  <si>
    <t>Allocated Grid Moderization Revenue Requirement $1000</t>
  </si>
  <si>
    <t>WA Revenue Tax (WAR)</t>
  </si>
  <si>
    <t>Gross up for WA Revenue Tax</t>
  </si>
  <si>
    <t>Portfolio S</t>
  </si>
  <si>
    <t>Low Income Weatherization</t>
  </si>
  <si>
    <t>Single Family Existing Subtotal</t>
  </si>
  <si>
    <t>Single Family New Construction</t>
  </si>
  <si>
    <t>Multifamily Retrofit</t>
  </si>
  <si>
    <t>Multifamily New Construction</t>
  </si>
  <si>
    <t>Commercial / Industrial Retrofit</t>
  </si>
  <si>
    <t>Commercial/Industrial New Construction</t>
  </si>
  <si>
    <t>Commercial Strategic Energy Management</t>
  </si>
  <si>
    <t>Large Power User - Self Directed Program - Subtotal</t>
  </si>
  <si>
    <t>Commercial Rebates</t>
  </si>
  <si>
    <t>Total Aurora Input</t>
  </si>
  <si>
    <t>Aurora Energy Output</t>
  </si>
  <si>
    <t xml:space="preserve"> </t>
  </si>
  <si>
    <t>Interconnection Portal Enhancements (grouped with Hosting Capacity Analysis)</t>
  </si>
  <si>
    <t>Substation SCADA</t>
  </si>
  <si>
    <t>Adj. 4.01</t>
  </si>
  <si>
    <t>Summary-2</t>
  </si>
  <si>
    <t>Summary-3</t>
  </si>
  <si>
    <t>Summary-1</t>
  </si>
  <si>
    <t>PUGET SOUND ENERGY-ELECTRIC</t>
  </si>
  <si>
    <t/>
  </si>
  <si>
    <t>TEMPERATURE NORMALIZATION</t>
  </si>
  <si>
    <t>REVENUE &amp; EXPENSE RESTATING</t>
  </si>
  <si>
    <t>FEDERAL INCOME TAX</t>
  </si>
  <si>
    <t>TAX BENEFIT OF RESTATED INTEREST</t>
  </si>
  <si>
    <t>PASS-THROUGH REVENUE &amp; EXPENSE</t>
  </si>
  <si>
    <t>RATE CASE EXPENSES</t>
  </si>
  <si>
    <t>BAD DEBTS</t>
  </si>
  <si>
    <t>INCENTIVE PLAN</t>
  </si>
  <si>
    <t>EXCISE TAX &amp; FILING FEE</t>
  </si>
  <si>
    <t>D&amp;O INSURANCE</t>
  </si>
  <si>
    <t>INTEREST ON CUSTOMER DEPOSITS</t>
  </si>
  <si>
    <t>PENSION PLAN</t>
  </si>
  <si>
    <t>INJURIES AND DAMAGES</t>
  </si>
  <si>
    <t>ASC 815</t>
  </si>
  <si>
    <t>STORM NORMALIZATION</t>
  </si>
  <si>
    <t>POWER COSTS</t>
  </si>
  <si>
    <t>MONTANA ENERGY TAX</t>
  </si>
  <si>
    <t>WILD HORSE SOLAR</t>
  </si>
  <si>
    <t>REMOVE AMI RATEBASE</t>
  </si>
  <si>
    <t>REMOVE COLSTRIP 3&amp;4 SMARTBURN</t>
  </si>
  <si>
    <t>CONVERSION FACTOR</t>
  </si>
  <si>
    <t>STATEMENT OF OPERATING INCOME AND ADJUSTMENTS</t>
  </si>
  <si>
    <t>FOR THE TWELVE MONTHS ENDED DECEMBER 31, 2020</t>
  </si>
  <si>
    <t>RESULTS OF OPERATIONS</t>
  </si>
  <si>
    <t>COMMISSION BASIS REPORT</t>
  </si>
  <si>
    <t>OTHER</t>
  </si>
  <si>
    <t xml:space="preserve">PERCENT </t>
  </si>
  <si>
    <t>LINE</t>
  </si>
  <si>
    <t>NET</t>
  </si>
  <si>
    <t>GROSS</t>
  </si>
  <si>
    <t>SALES FOR</t>
  </si>
  <si>
    <t>OPERATING</t>
  </si>
  <si>
    <t>WRITEOFFS</t>
  </si>
  <si>
    <t xml:space="preserve">LINE </t>
  </si>
  <si>
    <t>INCREASE</t>
  </si>
  <si>
    <t>&gt;</t>
  </si>
  <si>
    <t>NO.</t>
  </si>
  <si>
    <t>DESCRIPTION</t>
  </si>
  <si>
    <t>AMOUNT</t>
  </si>
  <si>
    <t>ADJUSTMENT</t>
  </si>
  <si>
    <t>YEAR</t>
  </si>
  <si>
    <t>WRITEOFF'S</t>
  </si>
  <si>
    <t>REVENUES</t>
  </si>
  <si>
    <t>RESALE OTHER</t>
  </si>
  <si>
    <t>REVENUE</t>
  </si>
  <si>
    <t>RESALE FIRM</t>
  </si>
  <si>
    <t>TO REVENUE</t>
  </si>
  <si>
    <t>ACTUAL</t>
  </si>
  <si>
    <t>RESTATED</t>
  </si>
  <si>
    <t>TEST YEAR</t>
  </si>
  <si>
    <t>Transmission</t>
  </si>
  <si>
    <t>Distribution</t>
  </si>
  <si>
    <t>Payroll Tax</t>
  </si>
  <si>
    <t>Benefits</t>
  </si>
  <si>
    <t>(DECREASE)</t>
  </si>
  <si>
    <t>RATE</t>
  </si>
  <si>
    <t>ACTUAL RESULTS</t>
  </si>
  <si>
    <t>TEMPERATURE</t>
  </si>
  <si>
    <t>FEDERAL</t>
  </si>
  <si>
    <t xml:space="preserve">TAX BENEFIT OF </t>
  </si>
  <si>
    <t>PASS-THROUGH</t>
  </si>
  <si>
    <t>RATE CASE</t>
  </si>
  <si>
    <t>BAD</t>
  </si>
  <si>
    <t>INCENTIVE</t>
  </si>
  <si>
    <t>EXCISE TAX &amp;</t>
  </si>
  <si>
    <t>D&amp;O</t>
  </si>
  <si>
    <t xml:space="preserve">INTEREST ON </t>
  </si>
  <si>
    <t xml:space="preserve">PENSION </t>
  </si>
  <si>
    <t>INJURIES &amp;</t>
  </si>
  <si>
    <t xml:space="preserve">STORM </t>
  </si>
  <si>
    <t>POWER</t>
  </si>
  <si>
    <t>MONTANA</t>
  </si>
  <si>
    <t>WILD HORSE</t>
  </si>
  <si>
    <t>REMOVE AMI</t>
  </si>
  <si>
    <t>REMOVE COLSTRIP</t>
  </si>
  <si>
    <t>TOTAL</t>
  </si>
  <si>
    <t>TEMPERATURE NORMALIZATION ADJUSTMENT:</t>
  </si>
  <si>
    <t>SALES TO CUSTOMERS:</t>
  </si>
  <si>
    <t>December</t>
  </si>
  <si>
    <t>August</t>
  </si>
  <si>
    <t>OF OPERATIONS</t>
  </si>
  <si>
    <t>NORMALIZATION</t>
  </si>
  <si>
    <t>&amp; EXPENSE</t>
  </si>
  <si>
    <t>INCOME TAX</t>
  </si>
  <si>
    <t>RESTATED INTEREST</t>
  </si>
  <si>
    <t>REV &amp; EXP</t>
  </si>
  <si>
    <t>EXPENSES</t>
  </si>
  <si>
    <t>DEBTS</t>
  </si>
  <si>
    <t>PAY</t>
  </si>
  <si>
    <t>FILING FEE</t>
  </si>
  <si>
    <t>INSURANCE</t>
  </si>
  <si>
    <t>CUST DEPOSITS</t>
  </si>
  <si>
    <t>PLAN</t>
  </si>
  <si>
    <t>DAMAGES</t>
  </si>
  <si>
    <t>COSTS</t>
  </si>
  <si>
    <t>ENERGY TAX</t>
  </si>
  <si>
    <t>SOLAR</t>
  </si>
  <si>
    <t>RATEBASE</t>
  </si>
  <si>
    <t>3&amp;4 SMARTBURN</t>
  </si>
  <si>
    <t>ADJUSTMENTS</t>
  </si>
  <si>
    <t>RESULTS OF</t>
  </si>
  <si>
    <t>TEMP ADJ</t>
  </si>
  <si>
    <t>KWH</t>
  </si>
  <si>
    <t>REMOVE MERGER RATE CREDIT SCH 132</t>
  </si>
  <si>
    <t xml:space="preserve">TAXABLE INCOME  </t>
  </si>
  <si>
    <t>RATE BASE</t>
  </si>
  <si>
    <t>REMOVE REVENUES ASSOCIATED WITH RIDERS:</t>
  </si>
  <si>
    <t>EXPENSES TO BE NORMALIZED</t>
  </si>
  <si>
    <t>12 ME 12/01/2016 AND 8/31/2016</t>
  </si>
  <si>
    <t>TOTAL INCENTIVE / MERIT PAY</t>
  </si>
  <si>
    <t>RESTATED EXCISE TAXES</t>
  </si>
  <si>
    <t>D &amp; O INS. CHG  EXPENSE</t>
  </si>
  <si>
    <t>1</t>
  </si>
  <si>
    <t>INTEREST EXPENSE FOR TEST YEAR</t>
  </si>
  <si>
    <t>QUALIFIED RETIREMENT FUND</t>
  </si>
  <si>
    <t>INJURIES &amp; DAMAGES ACCRUALS</t>
  </si>
  <si>
    <t>ASC 815 OPERATING EXPENSE</t>
  </si>
  <si>
    <t>ACTUAL O&amp;M:</t>
  </si>
  <si>
    <t>PRODUCTION EXPENSES:</t>
  </si>
  <si>
    <t>ACTUAL KWH</t>
  </si>
  <si>
    <t>WILD HORSE SOLAR RATEBASE (AMA)</t>
  </si>
  <si>
    <t>12 ME Dec 31, 2020</t>
  </si>
  <si>
    <t>OPERATIONS</t>
  </si>
  <si>
    <t>GPI KWH</t>
  </si>
  <si>
    <t>CHANGE</t>
  </si>
  <si>
    <t>REMOVE TEST YEAR EARNINGS SHARING ACCRUAL</t>
  </si>
  <si>
    <t>REMOVE CONSERVATION RIDER - SCHEDULE 120</t>
  </si>
  <si>
    <t>12 ME 12/01/2017 AND 8/31/2017</t>
  </si>
  <si>
    <t>CHARGED TO EXPENSE FOR TEST YEAR</t>
  </si>
  <si>
    <t>INJURIES &amp; DAMAGES PAYMENTS IN EXCESS OF ACCRUALS</t>
  </si>
  <si>
    <t xml:space="preserve">  TWELVE MONTHS ENDED 12/31/15</t>
  </si>
  <si>
    <t>FUEL (501, 547)</t>
  </si>
  <si>
    <t>TRANSMISSION LINE LOSS % FOR WECC</t>
  </si>
  <si>
    <t>UTILITY PLANT RATEBASE</t>
  </si>
  <si>
    <t>ANNUAL FILING FEE</t>
  </si>
  <si>
    <t>-</t>
  </si>
  <si>
    <t>REMOVE SCHEDULE 95A TREASURY GRANTS</t>
  </si>
  <si>
    <t>FEDERAL INCOME TAX @</t>
  </si>
  <si>
    <t>WEIGHTED COST OF DEBT</t>
  </si>
  <si>
    <t>REMOVE PROPERTY TAX TRACKER - SCHEDULE 140</t>
  </si>
  <si>
    <t>12 ME 12/01/2015 AND 8/31/2015</t>
  </si>
  <si>
    <t>PAYROLL TAXES ASSOCI WITH MERIT PAY</t>
  </si>
  <si>
    <t>INCREASE(DECREASE) EXCISE TAX</t>
  </si>
  <si>
    <t>INCREASE (DECREASE) IN EXPENSE</t>
  </si>
  <si>
    <t>INCREASE (DECREASE ) IN EXPENSE</t>
  </si>
  <si>
    <t>INCREASE/(DECREASE) IN EXPENSE</t>
  </si>
  <si>
    <t xml:space="preserve">  TWELVE MONTHS ENDED 12/31/16</t>
  </si>
  <si>
    <t>PURCH &amp; INT +ALL OTHER (555, 447)</t>
  </si>
  <si>
    <t>WETT TAX RATE</t>
  </si>
  <si>
    <t>PLANT BALANCE</t>
  </si>
  <si>
    <t>PLANT BALANCE (AMA)</t>
  </si>
  <si>
    <t>OPERATING REVENUES</t>
  </si>
  <si>
    <t>OPERATING REVENUES:</t>
  </si>
  <si>
    <t>REMOVE SCHEDULE 141X PROTECTED EDIT (OFFSET IN FIT %)</t>
  </si>
  <si>
    <t>CURRENTLY PAYABLE</t>
  </si>
  <si>
    <t>REMOVE MUNICIPAL TAXES - SCHEDULE 81</t>
  </si>
  <si>
    <t xml:space="preserve">      2017 AND 2019 GRC EXPENSES TO BE NORMALIZED</t>
  </si>
  <si>
    <t>INCREASE(DECREASE ) IN EXPENSE</t>
  </si>
  <si>
    <t>INCREASE (DECREASE) NOI</t>
  </si>
  <si>
    <t xml:space="preserve">  TWELVE MONTHS ENDED 12/31/17 </t>
  </si>
  <si>
    <t xml:space="preserve">OTHER PWR COSTS (557) </t>
  </si>
  <si>
    <t xml:space="preserve">     WETT TAX</t>
  </si>
  <si>
    <t xml:space="preserve">ACCUM DEPRECIATION </t>
  </si>
  <si>
    <t>ACCUM DEPRECIATION (AMA)</t>
  </si>
  <si>
    <t>SALES TO CUSTOMERS</t>
  </si>
  <si>
    <t>REMOVE SCHEDULE 141Z UNPROTECTED EDIT (OFFSET IN FIT %)</t>
  </si>
  <si>
    <t>REMOVE LOW INCOME RIDER - SCHEDULE 129</t>
  </si>
  <si>
    <t>3-YR AVERAGE OF NET WRITE OFF RATE</t>
  </si>
  <si>
    <t>RESTATED WUTC FILING FEE</t>
  </si>
  <si>
    <t>INCREASE (DECREASE) OPERATING INCOME</t>
  </si>
  <si>
    <t>INCREASE (DECREASE) INCOME</t>
  </si>
  <si>
    <t>INCREASE/(DECREASE) IN OPERATING EXPENSE (LINE 3)</t>
  </si>
  <si>
    <t xml:space="preserve">  TWELVE MONTHS ENDED 12/31/18</t>
  </si>
  <si>
    <t>WHEELING (565)</t>
  </si>
  <si>
    <t>DEFERRED INCOME TAX LIABILITY</t>
  </si>
  <si>
    <t>DEFERRED INCOME TAX LIABILITY (AMA)</t>
  </si>
  <si>
    <t>SUM OF TAXES OTHER</t>
  </si>
  <si>
    <t>SALES FROM RESALE-FIRM</t>
  </si>
  <si>
    <t>INCREASE (DECREASE) SALES TO CUSTOMERS</t>
  </si>
  <si>
    <t>DEFERRED FIT - DEBIT / (CREDIT)</t>
  </si>
  <si>
    <t>REMOVE RESIDENTIAL EXCHANGE - SCH 194</t>
  </si>
  <si>
    <t>INCREASE (DECREASE) FIT @</t>
  </si>
  <si>
    <t xml:space="preserve">  TWELVE MONTHS ENDED 12/31/19</t>
  </si>
  <si>
    <t>SALES TO OTHER UTILITIES (447)</t>
  </si>
  <si>
    <t>EEELT TAX RATE</t>
  </si>
  <si>
    <t>NET WH SOLAR PLANT RATEBASE</t>
  </si>
  <si>
    <t>NET  PLANT RATEBASE (AMA)</t>
  </si>
  <si>
    <t>NET  PLANT RATEBASE</t>
  </si>
  <si>
    <t>SALES TO OTHER UTILITIES</t>
  </si>
  <si>
    <t>DEFERRED FIT - OTHER</t>
  </si>
  <si>
    <t>REMOVE REC PROCEEDS - SCH 137</t>
  </si>
  <si>
    <t>LESS TEST YEAR EXPENSE</t>
  </si>
  <si>
    <t>REPORTING PERIOD REVENUES</t>
  </si>
  <si>
    <t>INCREASE(DECREASE) WUTC FILING FEE</t>
  </si>
  <si>
    <t xml:space="preserve">INCREASE (DECREASE) DEFERRED FIT @ </t>
  </si>
  <si>
    <t xml:space="preserve">  TWELVE MONTHS ENDED 12/31/20</t>
  </si>
  <si>
    <t>PURCH/SALES OF NON-CORE GAS (456)</t>
  </si>
  <si>
    <t xml:space="preserve">     EEELT TAX</t>
  </si>
  <si>
    <t>OTHER OPERATING REVENUES</t>
  </si>
  <si>
    <t>INCREASE (DECREASE) REVENUES</t>
  </si>
  <si>
    <t>TOTAL RESTATED FIT</t>
  </si>
  <si>
    <t>REMOVE EXPENSES ASSOCIATED WITH SCH 137 REC PROCEEDS</t>
  </si>
  <si>
    <t>INCREASE (DECREASE) EXPENSE</t>
  </si>
  <si>
    <t>TOTAL NORMAL STORMS</t>
  </si>
  <si>
    <t>SUBTOTAL - POWER COSTS TO BE ADJUSTED</t>
  </si>
  <si>
    <t>WILD HORSE SOLAR OPERATING EXPENSE</t>
  </si>
  <si>
    <t xml:space="preserve"> OPERATING EXPENSE</t>
  </si>
  <si>
    <t>TOTAL OPERATING REVENUES</t>
  </si>
  <si>
    <t>FIT PER BOOKS:</t>
  </si>
  <si>
    <t>REMOVE DECOUPLING SCH 142 REVENUE</t>
  </si>
  <si>
    <t>INCREASE(DECREASE) EXPENSE</t>
  </si>
  <si>
    <t>RESTATED ENERGY TAX</t>
  </si>
  <si>
    <t>DEPRECIATION EXPENSE</t>
  </si>
  <si>
    <t>UNCOLLECTIBLES @</t>
  </si>
  <si>
    <t>REMOVE DECOUPLING SCH 142 SURCHARGE AMORT EXPENSE</t>
  </si>
  <si>
    <t>2014 AND 2013 PCORC EXPENSES TO BE NORMALIZED</t>
  </si>
  <si>
    <t>PROFORMA BAD DEBT RATE</t>
  </si>
  <si>
    <t>SIX-YEAR AVERAGE STORM EXPENSE FOR RATE YEAR (LINE 9 ÷ 6 YEARS)</t>
  </si>
  <si>
    <t>INCREASE(DECREASE) INCOME</t>
  </si>
  <si>
    <t>CHARGED TO EXPENSE</t>
  </si>
  <si>
    <t>INCREASE (DECREASE ) EXPENSE</t>
  </si>
  <si>
    <t>OPERATING REVENUE DEDUCTIONS:</t>
  </si>
  <si>
    <t>ANNUAL FILING FEE @</t>
  </si>
  <si>
    <t>DEFERRED FIT - DEBIT</t>
  </si>
  <si>
    <t xml:space="preserve">INCREASE (DECREASE) FIT @ </t>
  </si>
  <si>
    <t>GREEN POWER - SCH 135/136</t>
  </si>
  <si>
    <t>PROFORMA BAD DEBTS</t>
  </si>
  <si>
    <t>INCREASE(DECREASE) OPERATING INCOME</t>
  </si>
  <si>
    <t>DEFERRED FIT - CREDIT</t>
  </si>
  <si>
    <t>GREEN POWER - SCH 135/136 ELIMINATE OVER EXPENSED</t>
  </si>
  <si>
    <t>CHARGED TO EXPENSE  12 MONTH ENDED 12/30/20</t>
  </si>
  <si>
    <t>INCREASE(DECREASE) FIT @</t>
  </si>
  <si>
    <t>POWER COSTS:</t>
  </si>
  <si>
    <t>DEFERRED FIT - INV TAX CREDIT, NET OF AMORT.</t>
  </si>
  <si>
    <t xml:space="preserve">INCREASE (DECREASE) NOI </t>
  </si>
  <si>
    <t>REMOVE JPUD GAIN ON SALE SCH 133</t>
  </si>
  <si>
    <t>UNCOLLECTIBLES CHARGED TO EXPENSE IN TEST YEAR</t>
  </si>
  <si>
    <t xml:space="preserve">  STORM DAMAGE EXPENSE</t>
  </si>
  <si>
    <t>INCREASE(DECREASE) NOI</t>
  </si>
  <si>
    <t xml:space="preserve"> FUEL</t>
  </si>
  <si>
    <t>FUEL</t>
  </si>
  <si>
    <t>STATE UTILITY TAX @</t>
  </si>
  <si>
    <t>TOTAL CHARGED TO EXPENSE</t>
  </si>
  <si>
    <t xml:space="preserve">REMOVE PCA Cust Rec UE200893 </t>
  </si>
  <si>
    <t xml:space="preserve"> PURCHASED AND INTERCHANGED</t>
  </si>
  <si>
    <t>PURCHASED AND INTERCHANGED</t>
  </si>
  <si>
    <t>INCREASE (DECREASE) TAXES OTHER</t>
  </si>
  <si>
    <t>REMOVE TRANSITION OF MICROSOFT LOAD TO SPECIAL CONTRACT</t>
  </si>
  <si>
    <t>INCREASE (DECREASE) OPERATING EXPENSE (LINE 11-LINE 14)</t>
  </si>
  <si>
    <t xml:space="preserve"> WHEELING</t>
  </si>
  <si>
    <t>WHEELING</t>
  </si>
  <si>
    <t>INCREASE(DECREASE) FIT</t>
  </si>
  <si>
    <t>TOTAL (INCREASE) DECREASE REVENUES</t>
  </si>
  <si>
    <t xml:space="preserve"> RESIDENTIAL EXCHANGE</t>
  </si>
  <si>
    <t>RESIDENTIAL EXCHANGE</t>
  </si>
  <si>
    <t>REVENUE ADJUSTMENT:</t>
  </si>
  <si>
    <t>Schedule 7</t>
  </si>
  <si>
    <t>INCREASE(DECREASE) DEFERRED FIT</t>
  </si>
  <si>
    <t>TOTAL INCREASE (DECREASE) EXPENSE</t>
  </si>
  <si>
    <t xml:space="preserve">INCREASE (DECREASE) FIT </t>
  </si>
  <si>
    <t>TOTAL PRODUCTION EXPENSES</t>
  </si>
  <si>
    <t>Schedule 24</t>
  </si>
  <si>
    <t xml:space="preserve">INCREASE(DECREASE) NOI </t>
  </si>
  <si>
    <t>DECREASE REVENUE SENSITIVE ITEMS FOR DECREASE IN REVENUES:</t>
  </si>
  <si>
    <t>POWER COSTS ADJUSTEMENT W/O NORMALIZATION FOR EARNINGS SHARING ONLY:</t>
  </si>
  <si>
    <t>Schedule 25</t>
  </si>
  <si>
    <t>OTHER OPERATING EXPENSES:</t>
  </si>
  <si>
    <t>OTHER POWER SUPPLY EXPENSES</t>
  </si>
  <si>
    <t>Schedule 26</t>
  </si>
  <si>
    <t>REMOVE SCHEDULE 95A TREASURY GRANTS AMORTIZATION OF INTEREST AND GRANTS</t>
  </si>
  <si>
    <t>TRANSMISSION EXPENSE</t>
  </si>
  <si>
    <t>Schedule 29</t>
  </si>
  <si>
    <t>REMOVE SCHEDULE 141Z UNPROTECTED EDIT AMORTIZATION</t>
  </si>
  <si>
    <t>STATE UTILITY TAX</t>
  </si>
  <si>
    <t>DISTRIBUTION EXPENSE</t>
  </si>
  <si>
    <t>Schedule 31</t>
  </si>
  <si>
    <t xml:space="preserve">REMOVE ACCRUAL FOR FUTURE PTC LIABILITY </t>
  </si>
  <si>
    <t xml:space="preserve">TOTAL </t>
  </si>
  <si>
    <t>CUSTOMER ACCTS EXPENSES</t>
  </si>
  <si>
    <t>CUSTOMER ACCOUNT EXPENSES</t>
  </si>
  <si>
    <t>Schedule 43</t>
  </si>
  <si>
    <t>(ACTUAL PTC'S REMOVED IN FIT ADJUSTMENT NO. 3.06)</t>
  </si>
  <si>
    <t>CUSTOMER SERVICE EXPENSES</t>
  </si>
  <si>
    <t>Schedule 40</t>
  </si>
  <si>
    <t>INCREASE (DECREASE) OPERATING EXPENSES</t>
  </si>
  <si>
    <t>REMOVE EXPENSES ASSOCIATED WITH RIDERS</t>
  </si>
  <si>
    <t>CONSERVATION AMORTIZATION</t>
  </si>
  <si>
    <t>Firm Resale</t>
  </si>
  <si>
    <t>REMOVE CONSERVATION AMORTIZATON - SCHEDULE 120</t>
  </si>
  <si>
    <t>ADMIN &amp; GENERAL EXPENSE</t>
  </si>
  <si>
    <t>INCREASE (DECREASE) OPERATING INCOME BEFORE FIT</t>
  </si>
  <si>
    <t>REMOVE PROPERTY TAX AMORTIZATION EXP - SCHEDULE 140</t>
  </si>
  <si>
    <t>DEPRECIATION</t>
  </si>
  <si>
    <t>AMORTIZATION</t>
  </si>
  <si>
    <t>REMOVE LOW INCOME AMORTIZATION - SCHEDULE 129</t>
  </si>
  <si>
    <t>AMORTIZ OF PROPERTY GAIN/LOSS</t>
  </si>
  <si>
    <t>OTHER OPERATING EXPENSES</t>
  </si>
  <si>
    <t>REMOVE AMORT ON INTEREST ON REC PROCEEDS SCH 137</t>
  </si>
  <si>
    <t>FAS 133</t>
  </si>
  <si>
    <t>GREEN POWER - SCH 135/136 TAGS CHARGED TO 557</t>
  </si>
  <si>
    <t>TAXES OTHER THAN F.I.T.</t>
  </si>
  <si>
    <t>GREEN POWER - SCH 135/136 CHARGED TO C.99999.03.37.01</t>
  </si>
  <si>
    <t>FEDERAL INCOME TAXES</t>
  </si>
  <si>
    <t>GREEN POWER - SCH 135/136 BENEFITS PORTION OF ADMIN</t>
  </si>
  <si>
    <t>Weather componentthat must be removed from NOI for earnings sharing</t>
  </si>
  <si>
    <t>DEFERRED INCOME TAXES</t>
  </si>
  <si>
    <t>GREEN POWER - SCH 135/136 TAXES PORTION OF ADMIN</t>
  </si>
  <si>
    <t>TOTAL OPERATING REV. DEDUCT.</t>
  </si>
  <si>
    <t>REMOVE PCA Cust Rec UE200893 (booked to 55700138)</t>
  </si>
  <si>
    <t>NET OPERATING INCOME</t>
  </si>
  <si>
    <t xml:space="preserve">RATE BASE </t>
  </si>
  <si>
    <t>RATE OF RETURN</t>
  </si>
  <si>
    <t>RATE BASE:</t>
  </si>
  <si>
    <t>GROSS UTILITY PLANT IN SERVICE</t>
  </si>
  <si>
    <t>ACCUMULATED DEPRECIATION</t>
  </si>
  <si>
    <t xml:space="preserve">  DEFERRED DEBITS</t>
  </si>
  <si>
    <t xml:space="preserve">  DEFERRED TAXES</t>
  </si>
  <si>
    <t xml:space="preserve">  ALLOWANCE FOR WORKING CAPITAL</t>
  </si>
  <si>
    <t xml:space="preserve">  OTHER</t>
  </si>
  <si>
    <t>TOTAL RATE BASE</t>
  </si>
  <si>
    <t>BEFORE CHANGES - COPY VALUES FROM EXCEL ABOVE ROWS NOI thru RATE BASE</t>
  </si>
  <si>
    <t>NOI - After</t>
  </si>
  <si>
    <t>RATEBASE - After</t>
  </si>
  <si>
    <t>AFTER CHANGES - LINKED!!!</t>
  </si>
  <si>
    <t>DIFFERENCE</t>
  </si>
  <si>
    <t>NOI</t>
  </si>
  <si>
    <t>ACTUAL RESULTS ADJUSTED FOR TEMPERATURE</t>
  </si>
  <si>
    <t>TEMPERATURE ADJUSTMENT</t>
  </si>
  <si>
    <t>2022-2025</t>
  </si>
  <si>
    <t>2022-2030</t>
  </si>
  <si>
    <t>%</t>
  </si>
  <si>
    <t>Operating Expense</t>
  </si>
  <si>
    <t>Inflation</t>
  </si>
  <si>
    <t>2% Incremental</t>
  </si>
  <si>
    <t>Aggregate 2% Incremental</t>
  </si>
  <si>
    <t>Incremental Portfolio Cost</t>
  </si>
  <si>
    <t>Aggregate Incrmental Portfolio Cost</t>
  </si>
  <si>
    <t>Aggregated 2%</t>
  </si>
  <si>
    <t>CEIP Period 1</t>
  </si>
  <si>
    <t>Total through 2030</t>
  </si>
  <si>
    <t>Current planning scenario</t>
  </si>
  <si>
    <t>$000</t>
  </si>
  <si>
    <t>No CETA Portfolio Cost</t>
  </si>
  <si>
    <t>CEIP Portfolio Cost</t>
  </si>
  <si>
    <t>Increase</t>
  </si>
  <si>
    <t>Annual Sales Forecast</t>
  </si>
  <si>
    <t>MWh</t>
  </si>
  <si>
    <t>IRP Baseline - F20 Load Forecast, includes Conservation</t>
  </si>
  <si>
    <t>Incremental Cost Tab</t>
  </si>
  <si>
    <t>Incremental Cost Summary</t>
  </si>
  <si>
    <t>$</t>
  </si>
  <si>
    <t>$/kWh</t>
  </si>
  <si>
    <t>Average Annual Use Per Residential Customer</t>
  </si>
  <si>
    <t>Average Annual Bill Increase without CETA</t>
  </si>
  <si>
    <t>Average Annual Bill Increase with CETA</t>
  </si>
  <si>
    <t>Running Total of Difference</t>
  </si>
  <si>
    <t>IRP Baseline - F20 Load Forecast Annual Use Per Customer, includes Conservation</t>
  </si>
  <si>
    <t>Running Total of Bill Increase Without CETA</t>
  </si>
  <si>
    <t>Notes:</t>
  </si>
  <si>
    <t>Assumes all other costs remain the same between scenarios, including existing contracts and other utility costs</t>
  </si>
  <si>
    <t>Average Power Rate Annual Increase without CETA</t>
  </si>
  <si>
    <t>Average Power Rate Annual Increase with CETA</t>
  </si>
  <si>
    <t>Difference in Portfolio Costs</t>
  </si>
  <si>
    <t>Monthly</t>
  </si>
  <si>
    <t>Average Annual Use Per Commercial Customer</t>
  </si>
  <si>
    <t>Allocated DER Enablers and Grid Mod IT Revenue Requirement $1000</t>
  </si>
  <si>
    <t>CEIP Cost - No Ceta ($)</t>
  </si>
  <si>
    <t>CEIP Cost - Ceta ($)</t>
  </si>
  <si>
    <t>Incremental Cost ($)</t>
  </si>
  <si>
    <t>MWh savings</t>
  </si>
  <si>
    <t>Electric Rider Budget</t>
  </si>
  <si>
    <t>$/MWh</t>
  </si>
  <si>
    <t>Portfolio W</t>
  </si>
  <si>
    <t>Residential Energy Management</t>
  </si>
  <si>
    <t>Residential lighting</t>
  </si>
  <si>
    <t>BCP 2022-2023</t>
  </si>
  <si>
    <t>Space heat</t>
  </si>
  <si>
    <t>Water heat</t>
  </si>
  <si>
    <t>Home Energy Assessment</t>
  </si>
  <si>
    <t>Home Appliances</t>
  </si>
  <si>
    <t>Smart Thermostats</t>
  </si>
  <si>
    <t>Weatherization</t>
  </si>
  <si>
    <t xml:space="preserve">Home Energy Reports </t>
  </si>
  <si>
    <t>Moderate Income Residences</t>
  </si>
  <si>
    <t>Total, Residential Programs</t>
  </si>
  <si>
    <t>Business Energy Management</t>
  </si>
  <si>
    <t>449 Customers</t>
  </si>
  <si>
    <t>Non-449 Customers</t>
  </si>
  <si>
    <t>Energy Efficient Technology Evaluation</t>
  </si>
  <si>
    <t>Subtotal, Business Programs</t>
  </si>
  <si>
    <t>Pilots With Uncertain Savings</t>
  </si>
  <si>
    <t>Residential</t>
  </si>
  <si>
    <t xml:space="preserve">Commercial </t>
  </si>
  <si>
    <t>Subtotal, Pilots</t>
  </si>
  <si>
    <t>Regional Efficiency Programs</t>
  </si>
  <si>
    <t>NW Energy Efficiency Alliance (NEEA)</t>
  </si>
  <si>
    <t>NEEA Natural Gas Market Transformation</t>
  </si>
  <si>
    <t>Targeted DSM Pilot</t>
  </si>
  <si>
    <t>Generation, Transmission and Distribution</t>
  </si>
  <si>
    <t>Subtotal, Regional Programs</t>
  </si>
  <si>
    <t>Start Year</t>
  </si>
  <si>
    <t>Product/Scenario</t>
  </si>
  <si>
    <t>End Year</t>
  </si>
  <si>
    <t>Setup Cost</t>
  </si>
  <si>
    <t>Ramped MW</t>
  </si>
  <si>
    <t>O&amp;M Cost</t>
  </si>
  <si>
    <t>$ per year</t>
  </si>
  <si>
    <t>Ramped Incremental Participants</t>
  </si>
  <si>
    <t>Marketing Cost</t>
  </si>
  <si>
    <t>$ per new participant</t>
  </si>
  <si>
    <t>Inflation Rate</t>
  </si>
  <si>
    <t>O&amp;M Cost (Inflation rate applied)</t>
  </si>
  <si>
    <t>Marketing Cost (Inflation rate applied)</t>
  </si>
  <si>
    <t>CPP requires that PSE first establish a TOU tariff; therefore, the study assumed zero CPP participation until 2025.</t>
  </si>
  <si>
    <t>Aurora Output (S)</t>
  </si>
  <si>
    <t>Aurora Output (W)</t>
  </si>
  <si>
    <t>Incremental Cost</t>
  </si>
  <si>
    <t>$ per participant per year</t>
  </si>
  <si>
    <t>Ramped Participants</t>
  </si>
  <si>
    <t>Equipment Cost</t>
  </si>
  <si>
    <t>Incentives (annual)</t>
  </si>
  <si>
    <t>Flex cost savings (annual)</t>
  </si>
  <si>
    <t>$ per mw-year</t>
  </si>
  <si>
    <t>Equipment Cost (Inflation rate applied)</t>
  </si>
  <si>
    <t>Incentives (annual) (Inflation rate applied)</t>
  </si>
  <si>
    <t>Flex Cost Savings (Inflation rate applied)</t>
  </si>
  <si>
    <t>Ramped Incremental MW</t>
  </si>
  <si>
    <t>Equipment  (Inflation rate applied)</t>
  </si>
  <si>
    <t>7</t>
  </si>
  <si>
    <t>Not reported by Aurora</t>
  </si>
  <si>
    <t>9</t>
  </si>
  <si>
    <t>$ per kW pledged per year</t>
  </si>
  <si>
    <t>Not reported in IRP</t>
  </si>
  <si>
    <t>Grand Total</t>
  </si>
  <si>
    <t>PSE 2020 Electric Sales to Customers (UE-200294 -2.01), escalated at 2.5%</t>
  </si>
  <si>
    <t>Water Use Reducers</t>
  </si>
  <si>
    <t>Midstream HVAC and Water Heat</t>
  </si>
  <si>
    <t>CEIP5 - Suite 6 Incremental Cost</t>
  </si>
  <si>
    <t>CEIP5 2021 IRP CETA Ramp Adjusted - Suite 6</t>
  </si>
  <si>
    <t>Energy Efficiency</t>
  </si>
  <si>
    <t>Without 2030 and 2045 Requirements</t>
  </si>
  <si>
    <t>With 2030 and 2045 Requirements</t>
  </si>
  <si>
    <t>Energy Supply Portfolio</t>
  </si>
  <si>
    <t>Customer Education and Outreach</t>
  </si>
  <si>
    <t>Administration and Reporting</t>
  </si>
  <si>
    <t>Total Cost</t>
  </si>
  <si>
    <t>Technology and Enabling Costs for Distributed Energy Resources</t>
  </si>
  <si>
    <t>PSE 2020 Retail Sales to Customers</t>
  </si>
  <si>
    <t>Escalated at 2.5% per year</t>
  </si>
  <si>
    <t>Compounding Effect for CETA Incremental Cost</t>
  </si>
  <si>
    <t>2% of Previous Year's Forecasted Weather Adjusted Retail Sales</t>
  </si>
  <si>
    <t>Estimated 2% Annual Increase in Weather-Adjusted Sales Revenue</t>
  </si>
  <si>
    <t>Cumulative Estimated 2% Annual Increase in Weather-Adjusted Sales Revenue</t>
  </si>
  <si>
    <t>Calculation of Estimated 2% in Weather Adjusted Sales Revenue</t>
  </si>
  <si>
    <t>Comparison of Forecast Incremental Cost and Estimated 2% Increase in Weather Adjusted Sales Revenue</t>
  </si>
  <si>
    <t>Estimated Incremental Cost Calculation</t>
  </si>
  <si>
    <t>Annual Comparison</t>
  </si>
  <si>
    <t>Cumulative</t>
  </si>
  <si>
    <t>General Education and Engagement</t>
  </si>
  <si>
    <t>Focused Education and Engagement</t>
  </si>
  <si>
    <t>Equity Advisory Group Support</t>
  </si>
  <si>
    <t>Grid Modernization - Added 26 September</t>
  </si>
  <si>
    <t>Volt-Var Optimization</t>
  </si>
  <si>
    <t>Data Lake And Analytics</t>
  </si>
  <si>
    <t>Circuit Enablement - DER and Microgrids</t>
  </si>
  <si>
    <t>Property Acquisition - DER</t>
  </si>
  <si>
    <t>Resilience Enhancement</t>
  </si>
  <si>
    <t>DER ENABLERS</t>
  </si>
  <si>
    <t>Grid Modernization - IT Related</t>
  </si>
  <si>
    <t>Capital (IT-related)</t>
  </si>
  <si>
    <t>Expense (IT-related)</t>
  </si>
  <si>
    <t>Grid Modernization - Asset Deployment</t>
  </si>
  <si>
    <t>Updated October 1</t>
  </si>
  <si>
    <t>Administration Costs</t>
  </si>
  <si>
    <t>Includes</t>
  </si>
  <si>
    <t>Cost Estimate Basis</t>
  </si>
  <si>
    <t>Internal Tracking, Preparation of External Reporting
Evaluation of Baseline Measurements of Energy Indicators
Evaluation of Non-Energy Indicators
Data Monitoring for Customer Benefit Indicators
Participation in Policy and Technical Forums
Communication with EAG and other Stakeholders on CBI baselines</t>
  </si>
  <si>
    <t>Estimated based on workload from similar efforts in other programs</t>
  </si>
  <si>
    <t>Monitoring Plan Updates</t>
  </si>
  <si>
    <t>2 Updates based on additional indicators and data</t>
  </si>
  <si>
    <t>Estimated based on 2021 Initial Planning</t>
  </si>
  <si>
    <t>Customer Benefit Indicator Baseline Measurement</t>
  </si>
  <si>
    <t>Assumes 2 comprehensive research efforts</t>
  </si>
  <si>
    <t>Estimated based on similar projects</t>
  </si>
  <si>
    <t>Documentation</t>
  </si>
  <si>
    <t>Editing and Publication</t>
  </si>
  <si>
    <t>Total 2022 Estimate</t>
  </si>
  <si>
    <t>CEIP5_EarlyAccel_Linear2030 - Suite 6</t>
  </si>
  <si>
    <t>Incremental Costs</t>
  </si>
  <si>
    <t>20% of 10-year</t>
  </si>
  <si>
    <t>CEIP5- Suite 6 Incremental Aggregated</t>
  </si>
  <si>
    <t>CEIP5 - Suite 6 Incremental</t>
  </si>
  <si>
    <t>CEIP5-Suite 6 2%</t>
  </si>
  <si>
    <t>CPP is not included in the incremental cost calculation</t>
  </si>
  <si>
    <t>MW (S)</t>
  </si>
  <si>
    <t>MW (W)</t>
  </si>
  <si>
    <t>Total $</t>
  </si>
  <si>
    <t>Total MW</t>
  </si>
  <si>
    <t>Forecast EE Targets - with CETA (MWh)</t>
  </si>
  <si>
    <t>Forecast EE Targets based on IRP - No CETA (MWh)</t>
  </si>
  <si>
    <t>Amount Incremental Demand Response</t>
  </si>
  <si>
    <t>MWh through 2025</t>
  </si>
  <si>
    <t>MW by 2025</t>
  </si>
  <si>
    <t>2022-2025 Incremental Cost</t>
  </si>
  <si>
    <t>aMW in 2025</t>
  </si>
  <si>
    <t>Estimated Incremental Cost Calculation ($000)</t>
  </si>
  <si>
    <t>Total 2% Increase Estimate, Including Compounding</t>
  </si>
  <si>
    <t>Estimated Incremental Cost</t>
  </si>
  <si>
    <t>Total Incremental Cost Forecast</t>
  </si>
  <si>
    <t>No CETA Cost Estimate (S)</t>
  </si>
  <si>
    <t>CEIP Cost Estimate (W)</t>
  </si>
  <si>
    <t>Difference Based on Aurora Output</t>
  </si>
  <si>
    <t>Incremental Cost - Based on Difference in Targets</t>
  </si>
  <si>
    <t>No CETA Cost Estimate (Portfolio S)</t>
  </si>
  <si>
    <t>CETA Cost Estimate (Portfolio W)</t>
  </si>
  <si>
    <t xml:space="preserve">Workbook Summary: </t>
  </si>
  <si>
    <t>This workbook shows the buildup of the forecast incremental costs of complying with CETA.   This is based on 6 categories of costs:
1. Energy Efficiency
2. Demand Response
3. Generation Portfolio Resource Costs
4. DER Enabling and Grid Modernization Costs
5. Communications and Customer Education Costs
6. Monitoring and Reporting Costs</t>
  </si>
  <si>
    <t>Version:  7 October 2021</t>
  </si>
  <si>
    <t>Tab Summary:</t>
  </si>
  <si>
    <t>1. Energy Efficiency</t>
  </si>
  <si>
    <t>Tab Name</t>
  </si>
  <si>
    <t>Tab Summary</t>
  </si>
  <si>
    <t>Data Source</t>
  </si>
  <si>
    <t>Detailed Data</t>
  </si>
  <si>
    <t>Draft 2021 Biennial Conservation Plan</t>
  </si>
  <si>
    <t>Estimated Target Calculation for Incremental Cost</t>
  </si>
  <si>
    <t>Estimates Costs of Energy Efficiency Portfolio based on forecast energy efficiency targets ( EIA target + 5% decoupling commitment) and current energy efficiency units costs ($/MWh saved used in most recent Biennial Conservation Plan).  Based on EIA target setting method (20% of 10-year savings), savings are assumed to be constant over the next 4 years, and then based on Aurora modeled outputs beyond 4 years.</t>
  </si>
  <si>
    <t xml:space="preserve">Appendix </t>
  </si>
  <si>
    <t>2. Demand Response</t>
  </si>
  <si>
    <t>3. Incremental Resource Cost</t>
  </si>
  <si>
    <t>2021 IRP Conservation Potential Assessment Demand Response Programs</t>
  </si>
  <si>
    <t>Estimates Costs of Demand Response based on forecast demand response targets (all active demand response programs from the 2021 IRP for CEIP versus demand response programs selected in Portfolio S (no-CETA)), using pro-ration of costs of CEIP Portfolio.</t>
  </si>
  <si>
    <t>Compares "Baseline Portfolio" costs to "CEIP Portfolio" costs for energy efficiency, demand response, and generation portfolio.  Generation portfolio costs based on comparing outputs of Aurora runs (Baseline portfolio with CEIP energy efficiency and demand response vs CEIP portfolio) to allow isolation of generating resource build and dispatch decisions.</t>
  </si>
  <si>
    <t>Aurora Outputs</t>
  </si>
  <si>
    <t>4A.  Supp-DER Enab+ITGM-RR</t>
  </si>
  <si>
    <t>4B.  Supp - Grid Mod RR</t>
  </si>
  <si>
    <t>4C.  Enablement and Grid Mod Bud</t>
  </si>
  <si>
    <t>Calculates Estimated Revenue Requirement for incremental DER enabling actions and IT-related Grid mod costs.</t>
  </si>
  <si>
    <t>Calculates Estimated Revenue Requirement for non-IT Grid Mod Costs</t>
  </si>
  <si>
    <t>Shows budgets and allocations to incremental costs for DER enablers and Grid Modernization Costs</t>
  </si>
  <si>
    <t>Forecast costs for delivering Communication and customer education costs, including public participation</t>
  </si>
  <si>
    <t>6. Admin Costs</t>
  </si>
  <si>
    <t>5. Comm and Education Costs</t>
  </si>
  <si>
    <t>Forecast costs for administration, including measurement and reporting</t>
  </si>
  <si>
    <t>7.  Incremental Cost</t>
  </si>
  <si>
    <t>Calculates forecast 2% increase in rates, compares to summary of incremental costs from tabs 1-6</t>
  </si>
  <si>
    <t>2020 Commission Basis Report, Tabs 1-6</t>
  </si>
  <si>
    <t>8. 2020 CBR</t>
  </si>
  <si>
    <t>9. Bill Impact Estimate</t>
  </si>
  <si>
    <t>Estimate of Impacts on Customer Bills from incremental costs</t>
  </si>
  <si>
    <t>Other tabs in this workbook</t>
  </si>
  <si>
    <t>Copy of 2020 Electric Commission Basis Report</t>
  </si>
  <si>
    <t>Docket UE -210212</t>
  </si>
  <si>
    <t>PSE Internal Forecast</t>
  </si>
  <si>
    <t>Appendix F7</t>
  </si>
  <si>
    <t>Appendix F6</t>
  </si>
  <si>
    <t>PSE Internal Forecast based on current vendor rates</t>
  </si>
  <si>
    <t>To be provided with final CEIP</t>
  </si>
  <si>
    <t>Tab 4C</t>
  </si>
  <si>
    <t>IRP Appendix XX</t>
  </si>
  <si>
    <t>Appendix F5</t>
  </si>
  <si>
    <t>2021 PSE Draft Clean Energy Implementation Plan - Appendix E</t>
  </si>
  <si>
    <r>
      <rPr>
        <b/>
        <sz val="10"/>
        <color rgb="FF0000FF"/>
        <rFont val="Arial"/>
        <family val="2"/>
      </rPr>
      <t xml:space="preserve">
</t>
    </r>
    <r>
      <rPr>
        <b/>
        <sz val="10"/>
        <rFont val="Arial"/>
        <family val="2"/>
      </rPr>
      <t>PSE Conservation Rider 
Savings Goals and Budgets</t>
    </r>
  </si>
  <si>
    <r>
      <t xml:space="preserve">ANNUAL NORMALIZATION (LINE 4 </t>
    </r>
    <r>
      <rPr>
        <sz val="11.5"/>
        <rFont val="Arial"/>
        <family val="2"/>
      </rPr>
      <t>¸</t>
    </r>
    <r>
      <rPr>
        <sz val="10"/>
        <rFont val="Arial"/>
        <family val="2"/>
      </rPr>
      <t xml:space="preserve"> 2 YEARS)</t>
    </r>
  </si>
  <si>
    <r>
      <t xml:space="preserve">ANNUAL NORMALIZATION (LINE 10 </t>
    </r>
    <r>
      <rPr>
        <sz val="11.5"/>
        <rFont val="Arial"/>
        <family val="2"/>
      </rPr>
      <t>¸</t>
    </r>
    <r>
      <rPr>
        <sz val="10"/>
        <rFont val="Arial"/>
        <family val="2"/>
      </rPr>
      <t xml:space="preserve"> 4 YEARS)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</si>
</sst>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2">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_(&quot;$&quot;* #,##0_);_(&quot;$&quot;* \(#,##0\);_(&quot;$&quot;* &quot;-&quot;??_);_(@_)"/>
    <numFmt numFmtId="166" formatCode="_(&quot;$&quot;* #,##0.0_);_(&quot;$&quot;* \(#,##0.0\);_(&quot;$&quot;* &quot;-&quot;??_);_(@_)"/>
    <numFmt numFmtId="167" formatCode="_(* #,##0_);_(* \(#,##0\);_(* &quot;-&quot;??_);_(@_)"/>
    <numFmt numFmtId="168" formatCode="0.0%"/>
    <numFmt numFmtId="169" formatCode="&quot;Adj.&quot;\ 0.00"/>
    <numFmt numFmtId="170" formatCode="#,##0;\(#,##0\)"/>
    <numFmt numFmtId="171" formatCode="&quot;PAGE&quot;\ 0.00"/>
    <numFmt numFmtId="172" formatCode="_(* #,##0.00000_);_(* \(#,##0.00000\);_(* &quot;-&quot;?????_);_(@_)"/>
    <numFmt numFmtId="173" formatCode="#,##0.00\ ;\(#,##0.00\)"/>
    <numFmt numFmtId="174" formatCode="yyyy"/>
    <numFmt numFmtId="175" formatCode="0.0000%"/>
    <numFmt numFmtId="176" formatCode="0.000000"/>
    <numFmt numFmtId="177" formatCode="_(&quot;$&quot;* #,##0.0000_);_(&quot;$&quot;* \(#,##0.0000\);_(&quot;$&quot;* &quot;-&quot;????_);_(@_)"/>
    <numFmt numFmtId="178" formatCode="0.0000000"/>
    <numFmt numFmtId="179" formatCode="_(&quot;$&quot;* #,##0.00000_);_(&quot;$&quot;* \(#,##0.00000\);_(&quot;$&quot;* &quot;-&quot;??_);_(@_)"/>
    <numFmt numFmtId="180" formatCode="0.00000%"/>
    <numFmt numFmtId="181" formatCode="#,##0.0000"/>
    <numFmt numFmtId="182" formatCode="_(* #,##0_);[Red]_(* \(#,##0\);_(* &quot;-&quot;_);_(@_)"/>
    <numFmt numFmtId="183" formatCode="_(&quot;$&quot;* #,##0_);[Red]_(&quot;$&quot;* \(#,##0\);_(&quot;$&quot;* &quot;-&quot;_);_(@_)"/>
    <numFmt numFmtId="184" formatCode="#,##0.0000000;\(#,##0.0000000\)"/>
    <numFmt numFmtId="185" formatCode="_(&quot;$&quot;* #,##0.000_);_(&quot;$&quot;* \(#,##0.000\);_(&quot;$&quot;* &quot;-&quot;??_);_(@_)"/>
    <numFmt numFmtId="186" formatCode="_(&quot;$&quot;* #,##0.0000_);_(&quot;$&quot;* \(#,##0.0000\);_(&quot;$&quot;* &quot;-&quot;??_);_(@_)"/>
    <numFmt numFmtId="187" formatCode="&quot;$&quot;#,##0"/>
    <numFmt numFmtId="188" formatCode="###.0\ &quot;aMW&quot;"/>
    <numFmt numFmtId="189" formatCode="_(* #,##0.0_);_(* \(#,##0.0\);_(* &quot;-&quot;??_);_(@_)"/>
    <numFmt numFmtId="190" formatCode="_(* #,##0.0000_);_(* \(#,##0.0000\);_(* &quot;-&quot;??_);_(@_)"/>
  </numFmts>
  <fonts count="47">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b/>
      <i/>
      <sz val="11"/>
      <color theme="1"/>
      <name val="Calibri"/>
      <family val="2"/>
      <scheme val="minor"/>
    </font>
    <font>
      <sz val="11"/>
      <color rgb="FF0000FF"/>
      <name val="Calibri"/>
      <family val="2"/>
      <scheme val="minor"/>
    </font>
    <font>
      <b/>
      <sz val="11"/>
      <name val="Calibri"/>
      <family val="2"/>
      <scheme val="minor"/>
    </font>
    <font>
      <b/>
      <sz val="11"/>
      <color rgb="FF0000FF"/>
      <name val="Calibri"/>
      <family val="2"/>
      <scheme val="minor"/>
    </font>
    <font>
      <sz val="11"/>
      <color theme="0" tint="-0.34998626667073579"/>
      <name val="Calibri"/>
      <family val="2"/>
      <scheme val="minor"/>
    </font>
    <font>
      <i/>
      <sz val="11"/>
      <color theme="1"/>
      <name val="Calibri"/>
      <family val="2"/>
      <scheme val="minor"/>
    </font>
    <font>
      <sz val="11"/>
      <color rgb="FF000000"/>
      <name val="Calibri"/>
      <family val="2"/>
      <scheme val="minor"/>
    </font>
    <font>
      <sz val="10"/>
      <name val="Arial"/>
      <family val="2"/>
    </font>
    <font>
      <sz val="11"/>
      <name val="univers (E1)"/>
    </font>
    <font>
      <i/>
      <sz val="10"/>
      <color rgb="FF0070C0"/>
      <name val="Arial"/>
      <family val="2"/>
    </font>
    <font>
      <b/>
      <sz val="10"/>
      <name val="Arial"/>
      <family val="2"/>
    </font>
    <font>
      <b/>
      <sz val="10"/>
      <color indexed="8"/>
      <name val="Arial"/>
      <family val="2"/>
    </font>
    <font>
      <i/>
      <sz val="10"/>
      <color indexed="10"/>
      <name val="Arial"/>
      <family val="2"/>
    </font>
    <font>
      <sz val="10"/>
      <color indexed="12"/>
      <name val="Arial"/>
      <family val="2"/>
    </font>
    <font>
      <sz val="10"/>
      <color indexed="8"/>
      <name val="Arial"/>
      <family val="2"/>
    </font>
    <font>
      <sz val="10"/>
      <color rgb="FF000000"/>
      <name val="Calibri"/>
      <family val="2"/>
    </font>
    <font>
      <sz val="10"/>
      <color theme="1"/>
      <name val="Arial"/>
      <family val="2"/>
    </font>
    <font>
      <b/>
      <u/>
      <sz val="10"/>
      <color theme="1"/>
      <name val="Arial"/>
      <family val="2"/>
    </font>
    <font>
      <sz val="10"/>
      <color theme="0" tint="-0.34998626667073579"/>
      <name val="Arial"/>
      <family val="2"/>
    </font>
    <font>
      <b/>
      <sz val="10"/>
      <color rgb="FF0000FF"/>
      <name val="Arial"/>
      <family val="2"/>
    </font>
    <font>
      <sz val="10"/>
      <color theme="0" tint="-0.499984740745262"/>
      <name val="Arial"/>
      <family val="2"/>
    </font>
    <font>
      <b/>
      <sz val="10"/>
      <color indexed="9"/>
      <name val="Arial"/>
      <family val="2"/>
    </font>
    <font>
      <sz val="10"/>
      <color theme="0" tint="-0.14999847407452621"/>
      <name val="Arial"/>
      <family val="2"/>
    </font>
    <font>
      <i/>
      <sz val="10"/>
      <name val="Arial"/>
      <family val="2"/>
    </font>
    <font>
      <b/>
      <sz val="10"/>
      <color theme="1"/>
      <name val="Arial"/>
      <family val="2"/>
    </font>
    <font>
      <sz val="11"/>
      <color theme="1"/>
      <name val="Arial"/>
      <family val="2"/>
    </font>
    <font>
      <b/>
      <sz val="10"/>
      <color rgb="FFFFFFFF"/>
      <name val="Arial"/>
      <family val="2"/>
    </font>
    <font>
      <sz val="10"/>
      <color rgb="FF000000"/>
      <name val="Arial"/>
      <family val="2"/>
    </font>
    <font>
      <sz val="10"/>
      <color theme="0" tint="-0.249977111117893"/>
      <name val="Arial"/>
      <family val="2"/>
    </font>
    <font>
      <i/>
      <sz val="10"/>
      <color theme="1"/>
      <name val="Arial"/>
      <family val="2"/>
    </font>
    <font>
      <b/>
      <i/>
      <sz val="10"/>
      <color theme="1"/>
      <name val="Arial"/>
      <family val="2"/>
    </font>
    <font>
      <sz val="10"/>
      <color rgb="FF0000FF"/>
      <name val="Arial"/>
      <family val="2"/>
    </font>
    <font>
      <sz val="8"/>
      <name val="Arial"/>
      <family val="2"/>
    </font>
    <font>
      <b/>
      <u/>
      <sz val="10"/>
      <name val="Arial"/>
      <family val="2"/>
    </font>
    <font>
      <b/>
      <sz val="8"/>
      <name val="Arial"/>
      <family val="2"/>
    </font>
    <font>
      <b/>
      <sz val="10"/>
      <color rgb="FFFF0000"/>
      <name val="Arial"/>
      <family val="2"/>
    </font>
    <font>
      <b/>
      <u/>
      <sz val="10"/>
      <color rgb="FFFF0000"/>
      <name val="Arial"/>
      <family val="2"/>
    </font>
    <font>
      <b/>
      <sz val="8"/>
      <color rgb="FFFF0000"/>
      <name val="Arial"/>
      <family val="2"/>
    </font>
    <font>
      <u/>
      <sz val="10"/>
      <name val="Arial"/>
      <family val="2"/>
    </font>
    <font>
      <b/>
      <sz val="11"/>
      <name val="Arial"/>
      <family val="2"/>
    </font>
    <font>
      <sz val="11"/>
      <name val="Arial"/>
      <family val="2"/>
    </font>
    <font>
      <sz val="11.5"/>
      <name val="Arial"/>
      <family val="2"/>
    </font>
    <font>
      <b/>
      <sz val="12"/>
      <name val="Arial"/>
      <family val="2"/>
    </font>
  </fonts>
  <fills count="26">
    <fill>
      <patternFill patternType="none"/>
    </fill>
    <fill>
      <patternFill patternType="gray125"/>
    </fill>
    <fill>
      <patternFill patternType="solid">
        <fgColor theme="7"/>
        <bgColor indexed="64"/>
      </patternFill>
    </fill>
    <fill>
      <patternFill patternType="solid">
        <fgColor theme="0" tint="-0.14996795556505021"/>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
      <patternFill patternType="solid">
        <fgColor theme="2"/>
        <bgColor indexed="64"/>
      </patternFill>
    </fill>
    <fill>
      <patternFill patternType="solid">
        <fgColor theme="9" tint="0.39997558519241921"/>
        <bgColor indexed="64"/>
      </patternFill>
    </fill>
    <fill>
      <patternFill patternType="solid">
        <fgColor rgb="FFFFC000"/>
        <bgColor indexed="64"/>
      </patternFill>
    </fill>
    <fill>
      <patternFill patternType="solid">
        <fgColor rgb="FFCC99FF"/>
        <bgColor indexed="64"/>
      </patternFill>
    </fill>
    <fill>
      <patternFill patternType="solid">
        <fgColor rgb="FFCCFF33"/>
        <bgColor indexed="64"/>
      </patternFill>
    </fill>
    <fill>
      <patternFill patternType="solid">
        <fgColor rgb="FF506DE8"/>
        <bgColor indexed="64"/>
      </patternFill>
    </fill>
    <fill>
      <patternFill patternType="solid">
        <fgColor rgb="FFFD6035"/>
        <bgColor indexed="64"/>
      </patternFill>
    </fill>
    <fill>
      <patternFill patternType="solid">
        <fgColor rgb="FFFFE811"/>
        <bgColor indexed="64"/>
      </patternFill>
    </fill>
    <fill>
      <patternFill patternType="solid">
        <fgColor rgb="FFABC785"/>
        <bgColor indexed="64"/>
      </patternFill>
    </fill>
    <fill>
      <patternFill patternType="solid">
        <fgColor rgb="FF005DAA"/>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5"/>
        <bgColor indexed="64"/>
      </patternFill>
    </fill>
    <fill>
      <patternFill patternType="solid">
        <fgColor theme="9" tint="0.59999389629810485"/>
        <bgColor indexed="64"/>
      </patternFill>
    </fill>
  </fills>
  <borders count="44">
    <border>
      <left/>
      <right/>
      <top/>
      <bottom/>
      <diagonal/>
    </border>
    <border>
      <left style="medium">
        <color auto="1"/>
      </left>
      <right/>
      <top/>
      <bottom/>
      <diagonal/>
    </border>
    <border>
      <left/>
      <right style="medium">
        <color auto="1"/>
      </right>
      <top/>
      <bottom/>
      <diagonal/>
    </border>
    <border>
      <left/>
      <right/>
      <top style="thin">
        <color auto="1"/>
      </top>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style="double">
        <color auto="1"/>
      </bottom>
      <diagonal/>
    </border>
    <border>
      <left/>
      <right/>
      <top/>
      <bottom style="double">
        <color auto="1"/>
      </bottom>
      <diagonal/>
    </border>
    <border>
      <left/>
      <right style="medium">
        <color auto="1"/>
      </right>
      <top/>
      <bottom style="double">
        <color auto="1"/>
      </bottom>
      <diagonal/>
    </border>
    <border>
      <left/>
      <right/>
      <top style="double">
        <color auto="1"/>
      </top>
      <bottom/>
      <diagonal/>
    </border>
    <border>
      <left style="medium">
        <color auto="1"/>
      </left>
      <right/>
      <top style="double">
        <color auto="1"/>
      </top>
      <bottom/>
      <diagonal/>
    </border>
    <border>
      <left/>
      <right style="medium">
        <color auto="1"/>
      </right>
      <top style="double">
        <color auto="1"/>
      </top>
      <bottom/>
      <diagonal/>
    </border>
    <border>
      <left/>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
      <left style="thin">
        <color indexed="64"/>
      </left>
      <right/>
      <top/>
      <bottom/>
      <diagonal/>
    </border>
    <border>
      <left/>
      <right/>
      <top style="medium">
        <color auto="1"/>
      </top>
      <bottom style="medium">
        <color auto="1"/>
      </bottom>
      <diagonal/>
    </border>
    <border>
      <left/>
      <right/>
      <top style="medium">
        <color auto="1"/>
      </top>
      <bottom/>
      <diagonal/>
    </border>
    <border>
      <left/>
      <right/>
      <top/>
      <bottom style="medium">
        <color auto="1"/>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diagonal/>
    </border>
    <border>
      <left style="medium">
        <color auto="1"/>
      </left>
      <right style="medium">
        <color auto="1"/>
      </right>
      <top/>
      <bottom/>
      <diagonal/>
    </border>
    <border>
      <left style="hair">
        <color auto="1"/>
      </left>
      <right style="hair">
        <color auto="1"/>
      </right>
      <top/>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bottom style="thin">
        <color indexed="64"/>
      </bottom>
      <diagonal/>
    </border>
    <border>
      <left/>
      <right style="medium">
        <color rgb="FFBFBFBF"/>
      </right>
      <top style="medium">
        <color rgb="FFBFBFBF"/>
      </top>
      <bottom style="medium">
        <color rgb="FFBFBFBF"/>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medium">
        <color rgb="FFBFBFBF"/>
      </left>
      <right style="medium">
        <color rgb="FFBFBFBF"/>
      </right>
      <top style="medium">
        <color rgb="FFBFBFBF"/>
      </top>
      <bottom style="medium">
        <color rgb="FFBFBFBF"/>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s>
  <cellStyleXfs count="9">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77" fontId="11" fillId="0" borderId="0">
      <alignment horizontal="left" wrapText="1"/>
    </xf>
    <xf numFmtId="0" fontId="11" fillId="0" borderId="0"/>
    <xf numFmtId="4" fontId="12" fillId="0" borderId="0" applyFont="0" applyFill="0" applyBorder="0" applyAlignment="0" applyProtection="0"/>
    <xf numFmtId="9" fontId="19" fillId="0" borderId="38">
      <alignment horizontal="right" vertical="center" wrapText="1" readingOrder="1"/>
    </xf>
    <xf numFmtId="49" fontId="19" fillId="0" borderId="39">
      <alignment horizontal="left" vertical="center" wrapText="1" readingOrder="1"/>
    </xf>
  </cellStyleXfs>
  <cellXfs count="770">
    <xf numFmtId="0" fontId="0" fillId="0" borderId="0" xfId="0"/>
    <xf numFmtId="0" fontId="3" fillId="0" borderId="0" xfId="0" applyFont="1"/>
    <xf numFmtId="15" fontId="0" fillId="0" borderId="0" xfId="0" applyNumberFormat="1"/>
    <xf numFmtId="0" fontId="0" fillId="0" borderId="1" xfId="0" applyBorder="1"/>
    <xf numFmtId="0" fontId="0" fillId="0" borderId="0" xfId="0" applyBorder="1"/>
    <xf numFmtId="0" fontId="0" fillId="0" borderId="2" xfId="0" applyBorder="1"/>
    <xf numFmtId="0" fontId="2" fillId="0" borderId="1" xfId="0" applyFont="1" applyBorder="1"/>
    <xf numFmtId="0" fontId="2" fillId="0" borderId="0" xfId="0" applyFont="1" applyBorder="1"/>
    <xf numFmtId="0" fontId="2" fillId="0" borderId="2" xfId="0" applyFont="1" applyBorder="1"/>
    <xf numFmtId="0" fontId="2" fillId="0" borderId="0" xfId="0" applyFont="1"/>
    <xf numFmtId="0" fontId="4" fillId="0" borderId="0" xfId="0" applyFont="1"/>
    <xf numFmtId="164" fontId="0" fillId="2" borderId="1" xfId="0" applyNumberFormat="1" applyFill="1" applyBorder="1"/>
    <xf numFmtId="164" fontId="0" fillId="2" borderId="0" xfId="0" applyNumberFormat="1" applyFill="1" applyBorder="1"/>
    <xf numFmtId="164" fontId="0" fillId="2" borderId="2" xfId="0" applyNumberFormat="1" applyFill="1" applyBorder="1"/>
    <xf numFmtId="0" fontId="0" fillId="2" borderId="0" xfId="0" applyFill="1"/>
    <xf numFmtId="0" fontId="4" fillId="3" borderId="0" xfId="0" applyFont="1" applyFill="1"/>
    <xf numFmtId="0" fontId="0" fillId="3" borderId="0" xfId="0" applyFill="1"/>
    <xf numFmtId="0" fontId="0" fillId="3" borderId="1" xfId="0" applyFill="1" applyBorder="1"/>
    <xf numFmtId="0" fontId="0" fillId="3" borderId="0" xfId="0" applyFill="1" applyBorder="1"/>
    <xf numFmtId="0" fontId="0" fillId="3" borderId="2" xfId="0" applyFill="1" applyBorder="1"/>
    <xf numFmtId="165" fontId="0" fillId="0" borderId="0" xfId="1" applyNumberFormat="1" applyFont="1"/>
    <xf numFmtId="165" fontId="0" fillId="2" borderId="1" xfId="1" applyNumberFormat="1" applyFont="1" applyFill="1" applyBorder="1"/>
    <xf numFmtId="165" fontId="0" fillId="2" borderId="0" xfId="1" applyNumberFormat="1" applyFont="1" applyFill="1" applyBorder="1"/>
    <xf numFmtId="165" fontId="0" fillId="2" borderId="2" xfId="1" applyNumberFormat="1" applyFont="1" applyFill="1" applyBorder="1"/>
    <xf numFmtId="165" fontId="0" fillId="2" borderId="0" xfId="1" applyNumberFormat="1" applyFont="1" applyFill="1"/>
    <xf numFmtId="165" fontId="0" fillId="0" borderId="1" xfId="1" applyNumberFormat="1" applyFont="1" applyBorder="1"/>
    <xf numFmtId="165" fontId="0" fillId="0" borderId="0" xfId="1" applyNumberFormat="1" applyFont="1" applyBorder="1"/>
    <xf numFmtId="165" fontId="0" fillId="0" borderId="2" xfId="1" applyNumberFormat="1" applyFont="1" applyBorder="1"/>
    <xf numFmtId="0" fontId="0" fillId="0" borderId="3" xfId="0" applyBorder="1"/>
    <xf numFmtId="165" fontId="0" fillId="0" borderId="3" xfId="1" applyNumberFormat="1" applyFont="1" applyBorder="1"/>
    <xf numFmtId="165" fontId="0" fillId="0" borderId="4" xfId="1" applyNumberFormat="1" applyFont="1" applyBorder="1"/>
    <xf numFmtId="165" fontId="0" fillId="0" borderId="5" xfId="1" applyNumberFormat="1" applyFont="1" applyBorder="1"/>
    <xf numFmtId="0" fontId="0" fillId="0" borderId="0" xfId="0" applyFont="1" applyFill="1" applyBorder="1"/>
    <xf numFmtId="166" fontId="0" fillId="0" borderId="6" xfId="0" applyNumberFormat="1" applyBorder="1"/>
    <xf numFmtId="166" fontId="0" fillId="0" borderId="7" xfId="0" applyNumberFormat="1" applyBorder="1"/>
    <xf numFmtId="166" fontId="0" fillId="0" borderId="8" xfId="0" applyNumberFormat="1" applyBorder="1"/>
    <xf numFmtId="166" fontId="0" fillId="0" borderId="1" xfId="0" applyNumberFormat="1" applyBorder="1"/>
    <xf numFmtId="0" fontId="4" fillId="0" borderId="9" xfId="0" applyFont="1" applyBorder="1"/>
    <xf numFmtId="0" fontId="0" fillId="0" borderId="9" xfId="0" applyBorder="1"/>
    <xf numFmtId="165" fontId="0" fillId="0" borderId="10" xfId="0" applyNumberFormat="1" applyBorder="1"/>
    <xf numFmtId="165" fontId="0" fillId="0" borderId="9" xfId="0" applyNumberFormat="1" applyBorder="1"/>
    <xf numFmtId="165" fontId="0" fillId="0" borderId="11" xfId="0" applyNumberFormat="1" applyBorder="1"/>
    <xf numFmtId="166" fontId="0" fillId="0" borderId="0" xfId="1" applyNumberFormat="1" applyFont="1"/>
    <xf numFmtId="166" fontId="0" fillId="2" borderId="1" xfId="1" applyNumberFormat="1" applyFont="1" applyFill="1" applyBorder="1"/>
    <xf numFmtId="166" fontId="0" fillId="2" borderId="0" xfId="1" applyNumberFormat="1" applyFont="1" applyFill="1" applyBorder="1"/>
    <xf numFmtId="166" fontId="0" fillId="2" borderId="2" xfId="1" applyNumberFormat="1" applyFont="1" applyFill="1" applyBorder="1"/>
    <xf numFmtId="166" fontId="0" fillId="0" borderId="1" xfId="1" applyNumberFormat="1" applyFont="1" applyBorder="1"/>
    <xf numFmtId="166" fontId="0" fillId="0" borderId="0" xfId="1" applyNumberFormat="1" applyFont="1" applyBorder="1"/>
    <xf numFmtId="166" fontId="0" fillId="0" borderId="2" xfId="1" applyNumberFormat="1" applyFont="1" applyBorder="1"/>
    <xf numFmtId="166" fontId="0" fillId="0" borderId="10" xfId="0" applyNumberFormat="1" applyBorder="1"/>
    <xf numFmtId="166" fontId="0" fillId="0" borderId="9" xfId="0" applyNumberFormat="1" applyBorder="1"/>
    <xf numFmtId="166" fontId="0" fillId="0" borderId="11" xfId="0" applyNumberFormat="1" applyBorder="1"/>
    <xf numFmtId="0" fontId="0" fillId="0" borderId="0" xfId="0" applyFont="1"/>
    <xf numFmtId="165" fontId="0" fillId="0" borderId="0" xfId="0" applyNumberFormat="1"/>
    <xf numFmtId="0" fontId="0" fillId="0" borderId="0" xfId="0"/>
    <xf numFmtId="165" fontId="0" fillId="0" borderId="0" xfId="1" applyNumberFormat="1" applyFont="1"/>
    <xf numFmtId="165" fontId="5" fillId="4" borderId="0" xfId="0" applyNumberFormat="1" applyFont="1" applyFill="1" applyAlignment="1">
      <alignment horizontal="center"/>
    </xf>
    <xf numFmtId="0" fontId="0" fillId="4" borderId="0" xfId="0" applyFill="1"/>
    <xf numFmtId="0" fontId="0" fillId="4" borderId="0" xfId="0" applyFill="1" applyAlignment="1">
      <alignment horizontal="center"/>
    </xf>
    <xf numFmtId="0" fontId="2" fillId="4" borderId="0" xfId="0" applyFont="1" applyFill="1" applyAlignment="1">
      <alignment horizontal="center"/>
    </xf>
    <xf numFmtId="0" fontId="2" fillId="4" borderId="0" xfId="0" applyFont="1" applyFill="1"/>
    <xf numFmtId="0" fontId="2" fillId="4" borderId="0" xfId="0" applyFont="1" applyFill="1" applyAlignment="1">
      <alignment horizontal="center" wrapText="1"/>
    </xf>
    <xf numFmtId="0" fontId="4" fillId="4" borderId="0" xfId="0" applyFont="1" applyFill="1" applyAlignment="1">
      <alignment horizontal="left"/>
    </xf>
    <xf numFmtId="0" fontId="0" fillId="4" borderId="0" xfId="0" applyFill="1" applyAlignment="1">
      <alignment horizontal="left"/>
    </xf>
    <xf numFmtId="165" fontId="2" fillId="4" borderId="0" xfId="1" applyNumberFormat="1" applyFont="1" applyFill="1" applyAlignment="1">
      <alignment horizontal="center"/>
    </xf>
    <xf numFmtId="165" fontId="2" fillId="4" borderId="0" xfId="0" applyNumberFormat="1" applyFont="1" applyFill="1"/>
    <xf numFmtId="165" fontId="0" fillId="4" borderId="0" xfId="1" applyNumberFormat="1" applyFont="1" applyFill="1" applyAlignment="1">
      <alignment horizontal="center"/>
    </xf>
    <xf numFmtId="165" fontId="0" fillId="4" borderId="0" xfId="0" applyNumberFormat="1" applyFill="1"/>
    <xf numFmtId="0" fontId="2" fillId="4" borderId="0" xfId="0" applyFont="1" applyFill="1" applyAlignment="1">
      <alignment horizontal="right"/>
    </xf>
    <xf numFmtId="0" fontId="0" fillId="4" borderId="0" xfId="0" applyFill="1" applyAlignment="1">
      <alignment horizontal="right"/>
    </xf>
    <xf numFmtId="165" fontId="0" fillId="4" borderId="0" xfId="0" applyNumberFormat="1" applyFill="1" applyAlignment="1">
      <alignment horizontal="center"/>
    </xf>
    <xf numFmtId="165" fontId="6" fillId="4" borderId="0" xfId="0" applyNumberFormat="1" applyFont="1" applyFill="1" applyAlignment="1">
      <alignment horizontal="center"/>
    </xf>
    <xf numFmtId="165" fontId="0" fillId="4" borderId="0" xfId="1" applyNumberFormat="1" applyFont="1" applyFill="1"/>
    <xf numFmtId="0" fontId="4" fillId="4" borderId="0" xfId="0" applyFont="1" applyFill="1"/>
    <xf numFmtId="9" fontId="5" fillId="4" borderId="0" xfId="0" applyNumberFormat="1" applyFont="1" applyFill="1" applyAlignment="1">
      <alignment horizontal="center"/>
    </xf>
    <xf numFmtId="165" fontId="2" fillId="4" borderId="0" xfId="0" applyNumberFormat="1" applyFont="1" applyFill="1" applyAlignment="1">
      <alignment horizontal="center"/>
    </xf>
    <xf numFmtId="165" fontId="7" fillId="4" borderId="0" xfId="0" applyNumberFormat="1" applyFont="1" applyFill="1" applyAlignment="1">
      <alignment horizontal="center"/>
    </xf>
    <xf numFmtId="165" fontId="7" fillId="4" borderId="0" xfId="1" applyNumberFormat="1" applyFont="1" applyFill="1" applyAlignment="1">
      <alignment horizontal="center"/>
    </xf>
    <xf numFmtId="0" fontId="2" fillId="4" borderId="12" xfId="0" applyFont="1" applyFill="1" applyBorder="1"/>
    <xf numFmtId="0" fontId="0" fillId="4" borderId="12" xfId="0" applyFill="1" applyBorder="1"/>
    <xf numFmtId="0" fontId="0" fillId="4" borderId="12" xfId="0" applyFill="1" applyBorder="1" applyAlignment="1">
      <alignment horizontal="center"/>
    </xf>
    <xf numFmtId="0" fontId="2" fillId="4" borderId="12" xfId="0" applyFont="1" applyFill="1" applyBorder="1" applyAlignment="1">
      <alignment horizontal="center"/>
    </xf>
    <xf numFmtId="165" fontId="6" fillId="4" borderId="12" xfId="0" applyNumberFormat="1" applyFont="1" applyFill="1" applyBorder="1" applyAlignment="1">
      <alignment horizontal="center"/>
    </xf>
    <xf numFmtId="0" fontId="0" fillId="4" borderId="12" xfId="0" applyFont="1" applyFill="1" applyBorder="1" applyAlignment="1">
      <alignment horizontal="center"/>
    </xf>
    <xf numFmtId="9" fontId="0" fillId="0" borderId="0" xfId="0" applyNumberFormat="1"/>
    <xf numFmtId="10" fontId="0" fillId="0" borderId="0" xfId="0" applyNumberFormat="1"/>
    <xf numFmtId="9" fontId="0" fillId="0" borderId="0" xfId="2" applyNumberFormat="1" applyFont="1"/>
    <xf numFmtId="44" fontId="0" fillId="0" borderId="0" xfId="0" applyNumberFormat="1"/>
    <xf numFmtId="0" fontId="0" fillId="6" borderId="0" xfId="0" applyFill="1"/>
    <xf numFmtId="167" fontId="0" fillId="0" borderId="0" xfId="3" applyNumberFormat="1" applyFont="1"/>
    <xf numFmtId="43" fontId="0" fillId="0" borderId="0" xfId="3" applyFont="1"/>
    <xf numFmtId="44" fontId="0" fillId="0" borderId="0" xfId="1" applyNumberFormat="1" applyFont="1"/>
    <xf numFmtId="165" fontId="8" fillId="0" borderId="0" xfId="0" applyNumberFormat="1" applyFont="1"/>
    <xf numFmtId="165" fontId="8" fillId="0" borderId="0" xfId="1" applyNumberFormat="1" applyFont="1"/>
    <xf numFmtId="9" fontId="0" fillId="0" borderId="0" xfId="2" applyFont="1"/>
    <xf numFmtId="0" fontId="9" fillId="0" borderId="0" xfId="0" applyFont="1" applyAlignment="1">
      <alignment horizontal="right"/>
    </xf>
    <xf numFmtId="0" fontId="2" fillId="0" borderId="0" xfId="0" applyFont="1" applyAlignment="1">
      <alignment horizontal="center" wrapText="1"/>
    </xf>
    <xf numFmtId="0" fontId="0" fillId="0" borderId="16" xfId="0" applyBorder="1"/>
    <xf numFmtId="165" fontId="0" fillId="0" borderId="16" xfId="0" applyNumberFormat="1" applyBorder="1"/>
    <xf numFmtId="0" fontId="0" fillId="0" borderId="17" xfId="0" applyBorder="1"/>
    <xf numFmtId="165" fontId="0" fillId="0" borderId="17" xfId="0" applyNumberFormat="1" applyBorder="1"/>
    <xf numFmtId="0" fontId="9" fillId="0" borderId="18" xfId="0" applyFont="1" applyBorder="1" applyAlignment="1">
      <alignment horizontal="right"/>
    </xf>
    <xf numFmtId="9" fontId="9" fillId="0" borderId="18" xfId="2" applyFont="1" applyBorder="1"/>
    <xf numFmtId="9" fontId="9" fillId="0" borderId="18" xfId="0" applyNumberFormat="1" applyFont="1" applyBorder="1"/>
    <xf numFmtId="0" fontId="3" fillId="6" borderId="0" xfId="0" applyFont="1" applyFill="1"/>
    <xf numFmtId="6" fontId="0" fillId="0" borderId="0" xfId="0" applyNumberFormat="1"/>
    <xf numFmtId="6" fontId="0" fillId="0" borderId="0" xfId="0" quotePrefix="1" applyNumberFormat="1"/>
    <xf numFmtId="167" fontId="0" fillId="0" borderId="0" xfId="0" applyNumberFormat="1"/>
    <xf numFmtId="3" fontId="0" fillId="0" borderId="0" xfId="0" applyNumberFormat="1"/>
    <xf numFmtId="3" fontId="10" fillId="0" borderId="0" xfId="0" applyNumberFormat="1" applyFont="1"/>
    <xf numFmtId="17" fontId="11" fillId="0" borderId="0" xfId="0" applyNumberFormat="1" applyFont="1" applyAlignment="1"/>
    <xf numFmtId="0" fontId="11" fillId="0" borderId="0" xfId="0" applyNumberFormat="1" applyFont="1" applyFill="1" applyAlignment="1"/>
    <xf numFmtId="0" fontId="13" fillId="0" borderId="27" xfId="0" applyFont="1" applyFill="1" applyBorder="1"/>
    <xf numFmtId="0" fontId="13" fillId="0" borderId="0" xfId="0" applyFont="1" applyFill="1" applyBorder="1"/>
    <xf numFmtId="167" fontId="11" fillId="0" borderId="0" xfId="3" applyNumberFormat="1" applyFont="1" applyFill="1" applyBorder="1" applyProtection="1"/>
    <xf numFmtId="0" fontId="13" fillId="0" borderId="31" xfId="0" applyFont="1" applyFill="1" applyBorder="1"/>
    <xf numFmtId="0" fontId="14" fillId="0" borderId="12" xfId="0" applyFont="1" applyBorder="1"/>
    <xf numFmtId="167" fontId="15" fillId="0" borderId="14" xfId="3" applyNumberFormat="1" applyFont="1" applyBorder="1" applyProtection="1"/>
    <xf numFmtId="42" fontId="14" fillId="4" borderId="12" xfId="0" applyNumberFormat="1" applyFont="1" applyFill="1" applyBorder="1" applyProtection="1"/>
    <xf numFmtId="0" fontId="16" fillId="0" borderId="0" xfId="0" applyFont="1" applyBorder="1"/>
    <xf numFmtId="188" fontId="15" fillId="0" borderId="0" xfId="1" applyNumberFormat="1" applyFont="1" applyFill="1" applyBorder="1" applyProtection="1"/>
    <xf numFmtId="42" fontId="16" fillId="0" borderId="0" xfId="0" applyNumberFormat="1" applyFont="1" applyBorder="1" applyProtection="1"/>
    <xf numFmtId="167" fontId="11" fillId="0" borderId="14" xfId="3" applyNumberFormat="1" applyFont="1" applyFill="1" applyBorder="1" applyProtection="1"/>
    <xf numFmtId="42" fontId="17" fillId="0" borderId="0" xfId="0" applyNumberFormat="1" applyFont="1" applyFill="1" applyBorder="1"/>
    <xf numFmtId="167" fontId="18" fillId="0" borderId="28" xfId="3" applyNumberFormat="1" applyFont="1" applyFill="1" applyBorder="1" applyProtection="1"/>
    <xf numFmtId="165" fontId="18" fillId="0" borderId="28" xfId="1" applyNumberFormat="1" applyFont="1" applyFill="1" applyBorder="1" applyProtection="1"/>
    <xf numFmtId="167" fontId="18" fillId="0" borderId="30" xfId="3" applyNumberFormat="1" applyFont="1" applyFill="1" applyBorder="1" applyProtection="1"/>
    <xf numFmtId="0" fontId="14" fillId="0" borderId="14" xfId="0" applyFont="1" applyBorder="1"/>
    <xf numFmtId="167" fontId="18" fillId="0" borderId="35" xfId="3" applyNumberFormat="1" applyFont="1" applyFill="1" applyBorder="1" applyProtection="1"/>
    <xf numFmtId="165" fontId="18" fillId="0" borderId="35" xfId="1" applyNumberFormat="1" applyFont="1" applyFill="1" applyBorder="1" applyProtection="1"/>
    <xf numFmtId="167" fontId="18" fillId="0" borderId="14" xfId="3" applyNumberFormat="1" applyFont="1" applyFill="1" applyBorder="1" applyProtection="1"/>
    <xf numFmtId="165" fontId="18" fillId="0" borderId="14" xfId="1" applyNumberFormat="1" applyFont="1" applyFill="1" applyBorder="1" applyProtection="1"/>
    <xf numFmtId="165" fontId="18" fillId="0" borderId="35" xfId="1" applyNumberFormat="1" applyFont="1" applyBorder="1" applyProtection="1"/>
    <xf numFmtId="167" fontId="18" fillId="0" borderId="32" xfId="3" applyNumberFormat="1" applyFont="1" applyBorder="1" applyProtection="1"/>
    <xf numFmtId="165" fontId="18" fillId="0" borderId="32" xfId="1" applyNumberFormat="1" applyFont="1" applyBorder="1" applyProtection="1"/>
    <xf numFmtId="167" fontId="18" fillId="0" borderId="14" xfId="3" applyNumberFormat="1" applyFont="1" applyBorder="1" applyProtection="1"/>
    <xf numFmtId="165" fontId="18" fillId="0" borderId="14" xfId="1" applyNumberFormat="1" applyFont="1" applyBorder="1" applyProtection="1"/>
    <xf numFmtId="167" fontId="15" fillId="0" borderId="12" xfId="3" applyNumberFormat="1" applyFont="1" applyFill="1" applyBorder="1" applyProtection="1"/>
    <xf numFmtId="43" fontId="18" fillId="0" borderId="35" xfId="3" applyNumberFormat="1" applyFont="1" applyBorder="1" applyProtection="1"/>
    <xf numFmtId="43" fontId="11" fillId="0" borderId="0" xfId="3" applyNumberFormat="1" applyFont="1" applyFill="1" applyBorder="1" applyProtection="1"/>
    <xf numFmtId="0" fontId="20" fillId="0" borderId="0" xfId="0" applyFont="1"/>
    <xf numFmtId="0" fontId="21" fillId="0" borderId="0" xfId="0" applyFont="1"/>
    <xf numFmtId="0" fontId="20" fillId="0" borderId="0" xfId="0" applyFont="1" applyAlignment="1">
      <alignment horizontal="left" wrapText="1"/>
    </xf>
    <xf numFmtId="0" fontId="20" fillId="25" borderId="0" xfId="0" applyFont="1" applyFill="1"/>
    <xf numFmtId="0" fontId="22" fillId="0" borderId="0" xfId="0" applyFont="1"/>
    <xf numFmtId="0" fontId="20" fillId="0" borderId="0" xfId="0" applyFont="1" applyBorder="1" applyAlignment="1">
      <alignment horizontal="center" wrapText="1"/>
    </xf>
    <xf numFmtId="0" fontId="20" fillId="0" borderId="0" xfId="0" applyFont="1" applyBorder="1" applyAlignment="1">
      <alignment horizontal="center"/>
    </xf>
    <xf numFmtId="167" fontId="20" fillId="0" borderId="14" xfId="3" applyNumberFormat="1" applyFont="1" applyBorder="1"/>
    <xf numFmtId="167" fontId="20" fillId="0" borderId="0" xfId="3" applyNumberFormat="1" applyFont="1" applyBorder="1"/>
    <xf numFmtId="167" fontId="24" fillId="0" borderId="0" xfId="3" applyNumberFormat="1" applyFont="1"/>
    <xf numFmtId="0" fontId="20" fillId="20" borderId="0" xfId="0" applyFont="1" applyFill="1"/>
    <xf numFmtId="167" fontId="20" fillId="0" borderId="0" xfId="3" applyNumberFormat="1" applyFont="1"/>
    <xf numFmtId="167" fontId="20" fillId="0" borderId="0" xfId="0" applyNumberFormat="1" applyFont="1"/>
    <xf numFmtId="0" fontId="25" fillId="14" borderId="26" xfId="0" applyFont="1" applyFill="1" applyBorder="1"/>
    <xf numFmtId="3" fontId="14" fillId="14" borderId="17" xfId="0" applyNumberFormat="1" applyFont="1" applyFill="1" applyBorder="1" applyProtection="1"/>
    <xf numFmtId="42" fontId="14" fillId="14" borderId="26" xfId="0" applyNumberFormat="1" applyFont="1" applyFill="1" applyBorder="1" applyProtection="1"/>
    <xf numFmtId="167" fontId="26" fillId="0" borderId="0" xfId="3" applyNumberFormat="1" applyFont="1" applyBorder="1"/>
    <xf numFmtId="0" fontId="20" fillId="0" borderId="27" xfId="0" applyFont="1" applyBorder="1"/>
    <xf numFmtId="0" fontId="20" fillId="0" borderId="28" xfId="0" applyFont="1" applyFill="1" applyBorder="1"/>
    <xf numFmtId="43" fontId="20" fillId="0" borderId="0" xfId="3" applyNumberFormat="1" applyFont="1" applyFill="1" applyBorder="1" applyProtection="1"/>
    <xf numFmtId="187" fontId="22" fillId="0" borderId="0" xfId="3" applyNumberFormat="1" applyFont="1"/>
    <xf numFmtId="43" fontId="20" fillId="0" borderId="0" xfId="0" applyNumberFormat="1" applyFont="1"/>
    <xf numFmtId="187" fontId="20" fillId="0" borderId="0" xfId="0" applyNumberFormat="1" applyFont="1"/>
    <xf numFmtId="0" fontId="20" fillId="0" borderId="29" xfId="0" applyFont="1" applyFill="1" applyBorder="1"/>
    <xf numFmtId="0" fontId="20" fillId="0" borderId="30" xfId="0" applyFont="1" applyFill="1" applyBorder="1"/>
    <xf numFmtId="167" fontId="20" fillId="0" borderId="14" xfId="3" applyNumberFormat="1" applyFont="1" applyFill="1" applyBorder="1" applyProtection="1"/>
    <xf numFmtId="165" fontId="20" fillId="0" borderId="14" xfId="1" applyNumberFormat="1" applyFont="1" applyFill="1" applyBorder="1" applyProtection="1"/>
    <xf numFmtId="167" fontId="20" fillId="0" borderId="14" xfId="0" applyNumberFormat="1" applyFont="1" applyBorder="1"/>
    <xf numFmtId="187" fontId="20" fillId="0" borderId="14" xfId="0" applyNumberFormat="1" applyFont="1" applyBorder="1"/>
    <xf numFmtId="187" fontId="20" fillId="0" borderId="0" xfId="0" applyNumberFormat="1" applyFont="1" applyBorder="1"/>
    <xf numFmtId="0" fontId="27" fillId="0" borderId="0" xfId="0" applyFont="1" applyFill="1" applyBorder="1"/>
    <xf numFmtId="165" fontId="20" fillId="0" borderId="28" xfId="1" applyNumberFormat="1" applyFont="1" applyFill="1" applyBorder="1" applyProtection="1"/>
    <xf numFmtId="0" fontId="20" fillId="0" borderId="27" xfId="0" applyFont="1" applyFill="1" applyBorder="1"/>
    <xf numFmtId="1" fontId="20" fillId="0" borderId="28" xfId="0" applyNumberFormat="1" applyFont="1" applyFill="1" applyBorder="1"/>
    <xf numFmtId="187" fontId="20" fillId="0" borderId="0" xfId="0" applyNumberFormat="1" applyFont="1" applyFill="1"/>
    <xf numFmtId="0" fontId="20" fillId="0" borderId="31" xfId="0" applyFont="1" applyFill="1" applyBorder="1"/>
    <xf numFmtId="0" fontId="20" fillId="0" borderId="32" xfId="0" applyFont="1" applyFill="1" applyBorder="1"/>
    <xf numFmtId="0" fontId="20" fillId="0" borderId="0" xfId="0" applyFont="1" applyFill="1" applyBorder="1"/>
    <xf numFmtId="42" fontId="20" fillId="0" borderId="30" xfId="3" applyNumberFormat="1" applyFont="1" applyFill="1" applyBorder="1" applyProtection="1"/>
    <xf numFmtId="167" fontId="20" fillId="0" borderId="12" xfId="0" applyNumberFormat="1" applyFont="1" applyBorder="1"/>
    <xf numFmtId="187" fontId="20" fillId="0" borderId="12" xfId="0" applyNumberFormat="1" applyFont="1" applyBorder="1"/>
    <xf numFmtId="0" fontId="20" fillId="0" borderId="0" xfId="0" applyFont="1" applyBorder="1"/>
    <xf numFmtId="0" fontId="25" fillId="15" borderId="12" xfId="0" applyFont="1" applyFill="1" applyBorder="1"/>
    <xf numFmtId="0" fontId="25" fillId="15" borderId="3" xfId="0" applyFont="1" applyFill="1" applyBorder="1"/>
    <xf numFmtId="3" fontId="15" fillId="15" borderId="12" xfId="0" applyNumberFormat="1" applyFont="1" applyFill="1" applyBorder="1" applyProtection="1"/>
    <xf numFmtId="0" fontId="20" fillId="0" borderId="14" xfId="0" applyFont="1" applyFill="1" applyBorder="1"/>
    <xf numFmtId="49" fontId="20" fillId="0" borderId="28" xfId="0" applyNumberFormat="1" applyFont="1" applyFill="1" applyBorder="1"/>
    <xf numFmtId="0" fontId="20" fillId="0" borderId="33" xfId="0" applyFont="1" applyFill="1" applyBorder="1"/>
    <xf numFmtId="0" fontId="14" fillId="16" borderId="12" xfId="0" applyFont="1" applyFill="1" applyBorder="1"/>
    <xf numFmtId="3" fontId="15" fillId="16" borderId="12" xfId="0" applyNumberFormat="1" applyFont="1" applyFill="1" applyBorder="1" applyProtection="1"/>
    <xf numFmtId="0" fontId="20" fillId="0" borderId="34" xfId="0" applyFont="1" applyBorder="1"/>
    <xf numFmtId="0" fontId="20" fillId="0" borderId="36" xfId="0" applyFont="1" applyBorder="1"/>
    <xf numFmtId="0" fontId="20" fillId="0" borderId="14" xfId="0" applyFont="1" applyBorder="1"/>
    <xf numFmtId="0" fontId="14" fillId="17" borderId="12" xfId="0" applyFont="1" applyFill="1" applyBorder="1"/>
    <xf numFmtId="3" fontId="15" fillId="17" borderId="12" xfId="0" applyNumberFormat="1" applyFont="1" applyFill="1" applyBorder="1" applyProtection="1"/>
    <xf numFmtId="0" fontId="20" fillId="0" borderId="34" xfId="0" applyFont="1" applyFill="1" applyBorder="1"/>
    <xf numFmtId="0" fontId="20" fillId="0" borderId="31" xfId="0" applyFont="1" applyBorder="1"/>
    <xf numFmtId="0" fontId="20" fillId="0" borderId="36" xfId="0" applyFont="1" applyFill="1" applyBorder="1"/>
    <xf numFmtId="165" fontId="22" fillId="0" borderId="0" xfId="1" applyNumberFormat="1" applyFont="1"/>
    <xf numFmtId="167" fontId="20" fillId="0" borderId="13" xfId="0" applyNumberFormat="1" applyFont="1" applyBorder="1"/>
    <xf numFmtId="189" fontId="22" fillId="0" borderId="0" xfId="3" applyNumberFormat="1" applyFont="1"/>
    <xf numFmtId="187" fontId="20" fillId="0" borderId="13" xfId="0" applyNumberFormat="1" applyFont="1" applyBorder="1"/>
    <xf numFmtId="0" fontId="26" fillId="0" borderId="0" xfId="0" applyFont="1"/>
    <xf numFmtId="187" fontId="26" fillId="0" borderId="0" xfId="0" applyNumberFormat="1" applyFont="1"/>
    <xf numFmtId="167" fontId="26" fillId="0" borderId="0" xfId="3" applyNumberFormat="1" applyFont="1"/>
    <xf numFmtId="0" fontId="14" fillId="0" borderId="0" xfId="0" applyFont="1" applyAlignment="1">
      <alignment vertical="top" wrapText="1"/>
    </xf>
    <xf numFmtId="0" fontId="20" fillId="0" borderId="0" xfId="0" applyFont="1" applyAlignment="1">
      <alignment horizontal="right"/>
    </xf>
    <xf numFmtId="0" fontId="22" fillId="0" borderId="0" xfId="0" applyFont="1" applyAlignment="1">
      <alignment horizontal="right"/>
    </xf>
    <xf numFmtId="0" fontId="20" fillId="0" borderId="0" xfId="0" applyFont="1" applyAlignment="1">
      <alignment horizontal="right" wrapText="1"/>
    </xf>
    <xf numFmtId="0" fontId="28" fillId="20" borderId="0" xfId="0" applyFont="1" applyFill="1"/>
    <xf numFmtId="0" fontId="30" fillId="18" borderId="37"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18" borderId="39" xfId="0" applyFont="1" applyFill="1" applyBorder="1" applyAlignment="1">
      <alignment horizontal="center" vertical="center" wrapText="1"/>
    </xf>
    <xf numFmtId="1" fontId="20" fillId="0" borderId="0" xfId="0" applyNumberFormat="1" applyFont="1"/>
    <xf numFmtId="0" fontId="20" fillId="10" borderId="0" xfId="0" applyFont="1" applyFill="1"/>
    <xf numFmtId="0" fontId="20" fillId="0" borderId="0" xfId="0" applyFont="1" applyFill="1"/>
    <xf numFmtId="165" fontId="20" fillId="0" borderId="0" xfId="1" applyNumberFormat="1" applyFont="1" applyFill="1" applyBorder="1"/>
    <xf numFmtId="0" fontId="20" fillId="20" borderId="0" xfId="0" applyFont="1" applyFill="1" applyBorder="1"/>
    <xf numFmtId="167" fontId="20" fillId="20" borderId="0" xfId="0" applyNumberFormat="1" applyFont="1" applyFill="1" applyBorder="1"/>
    <xf numFmtId="43" fontId="20" fillId="20" borderId="0" xfId="3" applyNumberFormat="1" applyFont="1" applyFill="1" applyBorder="1"/>
    <xf numFmtId="165" fontId="20" fillId="0" borderId="0" xfId="1" applyNumberFormat="1" applyFont="1" applyBorder="1"/>
    <xf numFmtId="167" fontId="20" fillId="20" borderId="0" xfId="3" applyNumberFormat="1" applyFont="1" applyFill="1" applyBorder="1"/>
    <xf numFmtId="165" fontId="20" fillId="0" borderId="0" xfId="0" applyNumberFormat="1" applyFont="1"/>
    <xf numFmtId="168" fontId="31" fillId="0" borderId="0" xfId="7" applyNumberFormat="1" applyFont="1" applyFill="1" applyBorder="1" applyAlignment="1">
      <alignment horizontal="right" vertical="center" wrapText="1" readingOrder="1"/>
    </xf>
    <xf numFmtId="165" fontId="20" fillId="0" borderId="14" xfId="0" applyNumberFormat="1" applyFont="1" applyBorder="1"/>
    <xf numFmtId="0" fontId="20" fillId="24" borderId="0" xfId="0" applyFont="1" applyFill="1"/>
    <xf numFmtId="0" fontId="20" fillId="24" borderId="0" xfId="0" applyFont="1" applyFill="1" applyBorder="1"/>
    <xf numFmtId="165" fontId="20" fillId="24" borderId="0" xfId="0" applyNumberFormat="1" applyFont="1" applyFill="1" applyBorder="1"/>
    <xf numFmtId="165" fontId="20" fillId="0" borderId="0" xfId="0" applyNumberFormat="1" applyFont="1" applyFill="1" applyBorder="1"/>
    <xf numFmtId="0" fontId="20" fillId="0" borderId="15" xfId="0" applyFont="1" applyFill="1" applyBorder="1"/>
    <xf numFmtId="165" fontId="32" fillId="0" borderId="0" xfId="0" applyNumberFormat="1" applyFont="1" applyFill="1" applyBorder="1"/>
    <xf numFmtId="167" fontId="20" fillId="0" borderId="0" xfId="3" applyNumberFormat="1" applyFont="1" applyFill="1" applyBorder="1"/>
    <xf numFmtId="165" fontId="32" fillId="0" borderId="14" xfId="3" applyNumberFormat="1" applyFont="1" applyFill="1" applyBorder="1"/>
    <xf numFmtId="165" fontId="20" fillId="0" borderId="14" xfId="3" applyNumberFormat="1" applyFont="1" applyFill="1" applyBorder="1"/>
    <xf numFmtId="165" fontId="20" fillId="0" borderId="0" xfId="0" applyNumberFormat="1" applyFont="1" applyFill="1"/>
    <xf numFmtId="0" fontId="20" fillId="6" borderId="0" xfId="0" applyFont="1" applyFill="1" applyBorder="1"/>
    <xf numFmtId="165" fontId="20" fillId="6" borderId="0" xfId="0" applyNumberFormat="1" applyFont="1" applyFill="1"/>
    <xf numFmtId="167" fontId="20" fillId="0" borderId="0" xfId="3" applyNumberFormat="1" applyFont="1" applyFill="1"/>
    <xf numFmtId="2" fontId="20" fillId="0" borderId="0" xfId="3" applyNumberFormat="1" applyFont="1" applyFill="1"/>
    <xf numFmtId="43" fontId="20" fillId="0" borderId="0" xfId="3" applyNumberFormat="1" applyFont="1" applyFill="1"/>
    <xf numFmtId="190" fontId="20" fillId="0" borderId="0" xfId="3" applyNumberFormat="1" applyFont="1" applyFill="1"/>
    <xf numFmtId="0" fontId="20" fillId="0" borderId="0" xfId="0" applyFont="1" applyAlignment="1">
      <alignment horizontal="left"/>
    </xf>
    <xf numFmtId="44" fontId="20" fillId="0" borderId="0" xfId="0" applyNumberFormat="1" applyFont="1"/>
    <xf numFmtId="165" fontId="20" fillId="0" borderId="0" xfId="1" applyNumberFormat="1" applyFont="1" applyFill="1"/>
    <xf numFmtId="165" fontId="20" fillId="0" borderId="0" xfId="1" applyNumberFormat="1" applyFont="1"/>
    <xf numFmtId="165" fontId="20" fillId="0" borderId="0" xfId="3" applyNumberFormat="1" applyFont="1"/>
    <xf numFmtId="0" fontId="20" fillId="0" borderId="0" xfId="0" applyFont="1" applyFill="1" applyAlignment="1">
      <alignment horizontal="left"/>
    </xf>
    <xf numFmtId="0" fontId="32" fillId="0" borderId="0" xfId="0" applyFont="1"/>
    <xf numFmtId="43" fontId="20" fillId="20" borderId="0" xfId="3" applyFont="1" applyFill="1"/>
    <xf numFmtId="165" fontId="20" fillId="0" borderId="0" xfId="0" applyNumberFormat="1" applyFont="1" applyBorder="1"/>
    <xf numFmtId="44" fontId="20" fillId="0" borderId="0" xfId="0" applyNumberFormat="1" applyFont="1" applyBorder="1"/>
    <xf numFmtId="165" fontId="32" fillId="0" borderId="14" xfId="3" applyNumberFormat="1" applyFont="1" applyBorder="1"/>
    <xf numFmtId="165" fontId="20" fillId="0" borderId="0" xfId="3" applyNumberFormat="1" applyFont="1" applyBorder="1"/>
    <xf numFmtId="2" fontId="20" fillId="0" borderId="0" xfId="3" applyNumberFormat="1" applyFont="1" applyBorder="1"/>
    <xf numFmtId="0" fontId="20" fillId="0" borderId="0" xfId="0" applyFont="1" applyAlignment="1">
      <alignment horizontal="left" vertical="top"/>
    </xf>
    <xf numFmtId="165" fontId="20" fillId="6" borderId="3" xfId="3" applyNumberFormat="1" applyFont="1" applyFill="1" applyBorder="1"/>
    <xf numFmtId="165" fontId="20" fillId="0" borderId="0" xfId="3" applyNumberFormat="1" applyFont="1" applyFill="1" applyBorder="1"/>
    <xf numFmtId="2" fontId="20" fillId="0" borderId="0" xfId="0" applyNumberFormat="1" applyFont="1"/>
    <xf numFmtId="2" fontId="20" fillId="0" borderId="0" xfId="0" applyNumberFormat="1" applyFont="1" applyFill="1" applyBorder="1"/>
    <xf numFmtId="165" fontId="20" fillId="0" borderId="3" xfId="0" applyNumberFormat="1" applyFont="1" applyBorder="1"/>
    <xf numFmtId="49" fontId="31" fillId="0" borderId="0" xfId="8" applyNumberFormat="1" applyFont="1" applyBorder="1">
      <alignment horizontal="left" vertical="center" wrapText="1" readingOrder="1"/>
    </xf>
    <xf numFmtId="165" fontId="32" fillId="0" borderId="0" xfId="3" applyNumberFormat="1" applyFont="1" applyBorder="1"/>
    <xf numFmtId="2" fontId="20" fillId="0" borderId="0" xfId="0" applyNumberFormat="1" applyFont="1" applyFill="1"/>
    <xf numFmtId="49" fontId="31" fillId="8" borderId="0" xfId="8" applyNumberFormat="1" applyFont="1" applyFill="1" applyBorder="1">
      <alignment horizontal="left" vertical="center" wrapText="1" readingOrder="1"/>
    </xf>
    <xf numFmtId="0" fontId="20" fillId="21" borderId="0" xfId="0" applyFont="1" applyFill="1"/>
    <xf numFmtId="44" fontId="20" fillId="0" borderId="14" xfId="0" applyNumberFormat="1" applyFont="1" applyBorder="1"/>
    <xf numFmtId="165" fontId="20" fillId="0" borderId="14" xfId="3" applyNumberFormat="1" applyFont="1" applyBorder="1"/>
    <xf numFmtId="165" fontId="20" fillId="0" borderId="3" xfId="3" applyNumberFormat="1" applyFont="1" applyBorder="1"/>
    <xf numFmtId="0" fontId="28" fillId="0" borderId="0" xfId="0" applyFont="1"/>
    <xf numFmtId="43" fontId="20" fillId="0" borderId="0" xfId="3" applyFont="1" applyFill="1"/>
    <xf numFmtId="165" fontId="20" fillId="0" borderId="14" xfId="0" applyNumberFormat="1" applyFont="1" applyFill="1" applyBorder="1"/>
    <xf numFmtId="165" fontId="20" fillId="0" borderId="3" xfId="0" applyNumberFormat="1" applyFont="1" applyFill="1" applyBorder="1"/>
    <xf numFmtId="44" fontId="20" fillId="0" borderId="14" xfId="0" applyNumberFormat="1" applyFont="1" applyFill="1" applyBorder="1"/>
    <xf numFmtId="187" fontId="20" fillId="0" borderId="14" xfId="0" applyNumberFormat="1" applyFont="1" applyFill="1" applyBorder="1"/>
    <xf numFmtId="165" fontId="20" fillId="0" borderId="3" xfId="3" applyNumberFormat="1" applyFont="1" applyFill="1" applyBorder="1"/>
    <xf numFmtId="2" fontId="20" fillId="0" borderId="0" xfId="3" applyNumberFormat="1" applyFont="1" applyFill="1" applyBorder="1"/>
    <xf numFmtId="0" fontId="20" fillId="7" borderId="0" xfId="0" applyFont="1" applyFill="1" applyBorder="1"/>
    <xf numFmtId="165" fontId="20" fillId="7" borderId="3" xfId="3" applyNumberFormat="1" applyFont="1" applyFill="1" applyBorder="1"/>
    <xf numFmtId="0" fontId="20" fillId="22" borderId="0" xfId="0" applyFont="1" applyFill="1" applyBorder="1"/>
    <xf numFmtId="187" fontId="28" fillId="0" borderId="13" xfId="0" applyNumberFormat="1" applyFont="1" applyBorder="1"/>
    <xf numFmtId="187" fontId="28" fillId="0" borderId="13" xfId="3" applyNumberFormat="1" applyFont="1" applyBorder="1"/>
    <xf numFmtId="2" fontId="28" fillId="0" borderId="0" xfId="3" applyNumberFormat="1" applyFont="1" applyBorder="1"/>
    <xf numFmtId="9" fontId="20" fillId="0" borderId="0" xfId="2" applyFont="1"/>
    <xf numFmtId="0" fontId="33" fillId="0" borderId="0" xfId="0" applyFont="1" applyAlignment="1">
      <alignment horizontal="right"/>
    </xf>
    <xf numFmtId="165" fontId="33" fillId="0" borderId="0" xfId="0" applyNumberFormat="1" applyFont="1"/>
    <xf numFmtId="0" fontId="20" fillId="19" borderId="0" xfId="0" applyFont="1" applyFill="1"/>
    <xf numFmtId="0" fontId="28" fillId="5" borderId="0" xfId="0" applyFont="1" applyFill="1" applyAlignment="1">
      <alignment horizontal="center" vertical="center" wrapText="1"/>
    </xf>
    <xf numFmtId="0" fontId="20" fillId="6" borderId="0" xfId="0" applyFont="1" applyFill="1"/>
    <xf numFmtId="0" fontId="20" fillId="0" borderId="13" xfId="0" applyFont="1" applyFill="1" applyBorder="1"/>
    <xf numFmtId="165" fontId="20" fillId="0" borderId="13" xfId="0" applyNumberFormat="1" applyFont="1" applyBorder="1"/>
    <xf numFmtId="165" fontId="20" fillId="6" borderId="13" xfId="0" applyNumberFormat="1" applyFont="1" applyFill="1" applyBorder="1"/>
    <xf numFmtId="0" fontId="28" fillId="0" borderId="0" xfId="0" applyFont="1" applyFill="1" applyBorder="1" applyAlignment="1">
      <alignment wrapText="1"/>
    </xf>
    <xf numFmtId="0" fontId="20" fillId="0" borderId="0" xfId="0" applyFont="1" applyFill="1" applyAlignment="1">
      <alignment horizontal="right"/>
    </xf>
    <xf numFmtId="43" fontId="20" fillId="0" borderId="0" xfId="3" applyFont="1"/>
    <xf numFmtId="44" fontId="20" fillId="0" borderId="0" xfId="0" applyNumberFormat="1" applyFont="1" applyFill="1"/>
    <xf numFmtId="0" fontId="20" fillId="0" borderId="0" xfId="0" applyFont="1" applyAlignment="1">
      <alignment horizontal="center"/>
    </xf>
    <xf numFmtId="10" fontId="20" fillId="0" borderId="0" xfId="0" applyNumberFormat="1" applyFont="1"/>
    <xf numFmtId="165" fontId="22" fillId="0" borderId="0" xfId="0" applyNumberFormat="1" applyFont="1"/>
    <xf numFmtId="0" fontId="20" fillId="6" borderId="0" xfId="0" applyFont="1" applyFill="1" applyAlignment="1">
      <alignment horizontal="left"/>
    </xf>
    <xf numFmtId="165" fontId="20" fillId="6" borderId="0" xfId="3" applyNumberFormat="1" applyFont="1" applyFill="1"/>
    <xf numFmtId="168" fontId="20" fillId="0" borderId="0" xfId="0" applyNumberFormat="1" applyFont="1"/>
    <xf numFmtId="168" fontId="20" fillId="0" borderId="0" xfId="0" applyNumberFormat="1" applyFont="1" applyFill="1"/>
    <xf numFmtId="0" fontId="20" fillId="4" borderId="0" xfId="0" applyFont="1" applyFill="1"/>
    <xf numFmtId="0" fontId="28" fillId="4" borderId="0" xfId="0" applyFont="1" applyFill="1" applyAlignment="1">
      <alignment horizontal="center"/>
    </xf>
    <xf numFmtId="0" fontId="28" fillId="4" borderId="0" xfId="0" applyFont="1" applyFill="1"/>
    <xf numFmtId="0" fontId="34" fillId="4" borderId="0" xfId="0" applyFont="1" applyFill="1" applyAlignment="1">
      <alignment horizontal="left"/>
    </xf>
    <xf numFmtId="44" fontId="20" fillId="4" borderId="0" xfId="1" applyFont="1" applyFill="1"/>
    <xf numFmtId="0" fontId="28" fillId="4" borderId="0" xfId="0" applyFont="1" applyFill="1" applyAlignment="1">
      <alignment horizontal="right"/>
    </xf>
    <xf numFmtId="0" fontId="20" fillId="4" borderId="0" xfId="0" applyFont="1" applyFill="1" applyAlignment="1">
      <alignment horizontal="center"/>
    </xf>
    <xf numFmtId="0" fontId="20" fillId="4" borderId="0" xfId="0" applyFont="1" applyFill="1" applyAlignment="1">
      <alignment horizontal="right"/>
    </xf>
    <xf numFmtId="0" fontId="20" fillId="2" borderId="0" xfId="0" applyFont="1" applyFill="1" applyAlignment="1">
      <alignment horizontal="right"/>
    </xf>
    <xf numFmtId="0" fontId="28" fillId="4" borderId="12" xfId="0" applyFont="1" applyFill="1" applyBorder="1"/>
    <xf numFmtId="0" fontId="20" fillId="4" borderId="12" xfId="0" applyFont="1" applyFill="1" applyBorder="1"/>
    <xf numFmtId="165" fontId="14" fillId="4" borderId="12" xfId="0" applyNumberFormat="1" applyFont="1" applyFill="1" applyBorder="1" applyAlignment="1">
      <alignment horizontal="center"/>
    </xf>
    <xf numFmtId="0" fontId="20" fillId="4" borderId="12" xfId="0" applyFont="1" applyFill="1" applyBorder="1" applyAlignment="1">
      <alignment horizontal="center"/>
    </xf>
    <xf numFmtId="0" fontId="34" fillId="4" borderId="0" xfId="0" applyFont="1" applyFill="1"/>
    <xf numFmtId="0" fontId="28" fillId="4" borderId="0" xfId="0" applyFont="1" applyFill="1" applyAlignment="1">
      <alignment wrapText="1"/>
    </xf>
    <xf numFmtId="0" fontId="20" fillId="4" borderId="14" xfId="0" applyFont="1" applyFill="1" applyBorder="1" applyAlignment="1">
      <alignment horizontal="right"/>
    </xf>
    <xf numFmtId="0" fontId="20" fillId="4" borderId="14" xfId="0" applyFont="1" applyFill="1" applyBorder="1"/>
    <xf numFmtId="0" fontId="20" fillId="4" borderId="14" xfId="0" applyFont="1" applyFill="1" applyBorder="1" applyAlignment="1">
      <alignment horizontal="center"/>
    </xf>
    <xf numFmtId="0" fontId="28" fillId="4" borderId="12" xfId="0" applyFont="1" applyFill="1" applyBorder="1" applyAlignment="1">
      <alignment horizontal="center"/>
    </xf>
    <xf numFmtId="0" fontId="28" fillId="4" borderId="12" xfId="0" applyFont="1" applyFill="1" applyBorder="1" applyAlignment="1">
      <alignment horizontal="center" wrapText="1"/>
    </xf>
    <xf numFmtId="165" fontId="28" fillId="4" borderId="12" xfId="1" applyNumberFormat="1" applyFont="1" applyFill="1" applyBorder="1" applyAlignment="1">
      <alignment horizontal="center"/>
    </xf>
    <xf numFmtId="165" fontId="28" fillId="4" borderId="12" xfId="0" applyNumberFormat="1" applyFont="1" applyFill="1" applyBorder="1"/>
    <xf numFmtId="9" fontId="35" fillId="4" borderId="12" xfId="0" applyNumberFormat="1" applyFont="1" applyFill="1" applyBorder="1" applyAlignment="1">
      <alignment horizontal="center"/>
    </xf>
    <xf numFmtId="165" fontId="20" fillId="4" borderId="12" xfId="1" applyNumberFormat="1" applyFont="1" applyFill="1" applyBorder="1" applyAlignment="1">
      <alignment horizontal="center"/>
    </xf>
    <xf numFmtId="165" fontId="20" fillId="4" borderId="12" xfId="0" applyNumberFormat="1" applyFont="1" applyFill="1" applyBorder="1"/>
    <xf numFmtId="165" fontId="35" fillId="4" borderId="12" xfId="0" applyNumberFormat="1" applyFont="1" applyFill="1" applyBorder="1" applyAlignment="1">
      <alignment horizontal="center"/>
    </xf>
    <xf numFmtId="165" fontId="20" fillId="4" borderId="12" xfId="0" applyNumberFormat="1" applyFont="1" applyFill="1" applyBorder="1" applyAlignment="1">
      <alignment horizontal="center"/>
    </xf>
    <xf numFmtId="9" fontId="35" fillId="23" borderId="12" xfId="0" applyNumberFormat="1" applyFont="1" applyFill="1" applyBorder="1" applyAlignment="1">
      <alignment horizontal="center"/>
    </xf>
    <xf numFmtId="165" fontId="23" fillId="4" borderId="12" xfId="1" applyNumberFormat="1" applyFont="1" applyFill="1" applyBorder="1" applyAlignment="1">
      <alignment horizontal="center"/>
    </xf>
    <xf numFmtId="9" fontId="35" fillId="0" borderId="12" xfId="0" applyNumberFormat="1" applyFont="1" applyFill="1" applyBorder="1" applyAlignment="1">
      <alignment horizontal="center"/>
    </xf>
    <xf numFmtId="165" fontId="23" fillId="4" borderId="12" xfId="0" applyNumberFormat="1" applyFont="1" applyFill="1" applyBorder="1" applyAlignment="1">
      <alignment horizontal="center"/>
    </xf>
    <xf numFmtId="165" fontId="20" fillId="4" borderId="12" xfId="1" applyNumberFormat="1" applyFont="1" applyFill="1" applyBorder="1"/>
    <xf numFmtId="9" fontId="23" fillId="4" borderId="12" xfId="0" applyNumberFormat="1" applyFont="1" applyFill="1" applyBorder="1" applyAlignment="1">
      <alignment horizontal="center"/>
    </xf>
    <xf numFmtId="165" fontId="28" fillId="4" borderId="12" xfId="0" applyNumberFormat="1" applyFont="1" applyFill="1" applyBorder="1" applyAlignment="1">
      <alignment horizontal="center"/>
    </xf>
    <xf numFmtId="9" fontId="23" fillId="0" borderId="12" xfId="0" applyNumberFormat="1" applyFont="1" applyFill="1" applyBorder="1" applyAlignment="1">
      <alignment horizontal="center"/>
    </xf>
    <xf numFmtId="9" fontId="35" fillId="11" borderId="12" xfId="0" applyNumberFormat="1" applyFont="1" applyFill="1" applyBorder="1" applyAlignment="1">
      <alignment horizontal="center"/>
    </xf>
    <xf numFmtId="165" fontId="28" fillId="0" borderId="12" xfId="1" applyNumberFormat="1" applyFont="1" applyFill="1" applyBorder="1" applyAlignment="1">
      <alignment horizontal="center"/>
    </xf>
    <xf numFmtId="165" fontId="28" fillId="0" borderId="12" xfId="0" applyNumberFormat="1" applyFont="1" applyFill="1" applyBorder="1"/>
    <xf numFmtId="0" fontId="20" fillId="4" borderId="0" xfId="0" applyFont="1" applyFill="1" applyBorder="1"/>
    <xf numFmtId="0" fontId="28" fillId="4" borderId="24" xfId="0" applyFont="1" applyFill="1" applyBorder="1" applyAlignment="1">
      <alignment horizontal="center"/>
    </xf>
    <xf numFmtId="0" fontId="20" fillId="4" borderId="24" xfId="0" applyFont="1" applyFill="1" applyBorder="1"/>
    <xf numFmtId="0" fontId="28" fillId="4" borderId="25" xfId="0" applyFont="1" applyFill="1" applyBorder="1"/>
    <xf numFmtId="165" fontId="20" fillId="4" borderId="25" xfId="0" applyNumberFormat="1" applyFont="1" applyFill="1" applyBorder="1"/>
    <xf numFmtId="165" fontId="14" fillId="4" borderId="25" xfId="0" applyNumberFormat="1" applyFont="1" applyFill="1" applyBorder="1" applyAlignment="1">
      <alignment horizontal="center"/>
    </xf>
    <xf numFmtId="0" fontId="20" fillId="4" borderId="25" xfId="0" applyFont="1" applyFill="1" applyBorder="1"/>
    <xf numFmtId="165" fontId="28" fillId="4" borderId="25" xfId="1" applyNumberFormat="1" applyFont="1" applyFill="1" applyBorder="1" applyAlignment="1">
      <alignment horizontal="center"/>
    </xf>
    <xf numFmtId="0" fontId="28" fillId="4" borderId="25" xfId="0" applyFont="1" applyFill="1" applyBorder="1" applyAlignment="1">
      <alignment horizontal="center"/>
    </xf>
    <xf numFmtId="0" fontId="20" fillId="4" borderId="3" xfId="0" applyFont="1" applyFill="1" applyBorder="1"/>
    <xf numFmtId="0" fontId="20" fillId="4" borderId="3" xfId="0" applyFont="1" applyFill="1" applyBorder="1" applyAlignment="1">
      <alignment horizontal="center"/>
    </xf>
    <xf numFmtId="0" fontId="20" fillId="4" borderId="0" xfId="0" applyFont="1" applyFill="1" applyBorder="1" applyAlignment="1">
      <alignment horizontal="center"/>
    </xf>
    <xf numFmtId="0" fontId="20" fillId="0" borderId="40" xfId="0" applyFont="1" applyBorder="1"/>
    <xf numFmtId="165" fontId="20" fillId="0" borderId="40" xfId="1" applyNumberFormat="1" applyFont="1" applyBorder="1"/>
    <xf numFmtId="0" fontId="20" fillId="0" borderId="40" xfId="0" applyFont="1" applyBorder="1" applyAlignment="1">
      <alignment wrapText="1"/>
    </xf>
    <xf numFmtId="0" fontId="21" fillId="6" borderId="0" xfId="0" applyFont="1" applyFill="1"/>
    <xf numFmtId="44" fontId="20" fillId="0" borderId="0" xfId="1" applyNumberFormat="1" applyFont="1"/>
    <xf numFmtId="6" fontId="20" fillId="0" borderId="0" xfId="0" quotePrefix="1" applyNumberFormat="1" applyFont="1"/>
    <xf numFmtId="0" fontId="34" fillId="0" borderId="0" xfId="0" applyFont="1"/>
    <xf numFmtId="0" fontId="21" fillId="0" borderId="0" xfId="0" applyFont="1" applyFill="1"/>
    <xf numFmtId="9" fontId="20" fillId="0" borderId="0" xfId="2" applyNumberFormat="1" applyFont="1"/>
    <xf numFmtId="165" fontId="22" fillId="0" borderId="0" xfId="0" applyNumberFormat="1" applyFont="1" applyFill="1"/>
    <xf numFmtId="165" fontId="22" fillId="0" borderId="0" xfId="1" applyNumberFormat="1" applyFont="1" applyFill="1"/>
    <xf numFmtId="6" fontId="20" fillId="0" borderId="0" xfId="0" quotePrefix="1" applyNumberFormat="1" applyFont="1" applyFill="1"/>
    <xf numFmtId="167" fontId="20" fillId="0" borderId="0" xfId="0" applyNumberFormat="1" applyFont="1" applyFill="1"/>
    <xf numFmtId="9" fontId="20" fillId="0" borderId="0" xfId="2" applyFont="1" applyFill="1"/>
    <xf numFmtId="44" fontId="20" fillId="0" borderId="0" xfId="1" applyNumberFormat="1" applyFont="1" applyFill="1"/>
    <xf numFmtId="9" fontId="20" fillId="0" borderId="0" xfId="2" applyNumberFormat="1" applyFont="1" applyFill="1"/>
    <xf numFmtId="0" fontId="34" fillId="0" borderId="0" xfId="0" applyFont="1" applyFill="1"/>
    <xf numFmtId="0" fontId="28" fillId="0" borderId="0" xfId="0" applyFont="1" applyFill="1" applyAlignment="1">
      <alignment horizontal="center" wrapText="1"/>
    </xf>
    <xf numFmtId="165" fontId="20" fillId="0" borderId="16" xfId="0" applyNumberFormat="1" applyFont="1" applyFill="1" applyBorder="1"/>
    <xf numFmtId="165" fontId="20" fillId="0" borderId="17" xfId="0" applyNumberFormat="1" applyFont="1" applyFill="1" applyBorder="1"/>
    <xf numFmtId="167" fontId="33" fillId="0" borderId="18" xfId="3" applyNumberFormat="1" applyFont="1" applyFill="1" applyBorder="1"/>
    <xf numFmtId="41" fontId="11" fillId="0" borderId="0" xfId="0" applyNumberFormat="1" applyFont="1" applyFill="1" applyAlignment="1"/>
    <xf numFmtId="41" fontId="11" fillId="12" borderId="0" xfId="0" applyNumberFormat="1" applyFont="1" applyFill="1" applyAlignment="1"/>
    <xf numFmtId="0" fontId="29" fillId="0" borderId="0" xfId="0" applyNumberFormat="1" applyFont="1" applyAlignment="1"/>
    <xf numFmtId="0" fontId="14" fillId="0" borderId="0" xfId="0" applyNumberFormat="1" applyFont="1" applyFill="1" applyAlignment="1"/>
    <xf numFmtId="0" fontId="14" fillId="0" borderId="0" xfId="0" applyNumberFormat="1" applyFont="1" applyFill="1" applyAlignment="1">
      <alignment horizontal="right"/>
    </xf>
    <xf numFmtId="3" fontId="11" fillId="0" borderId="0" xfId="0" applyNumberFormat="1" applyFont="1" applyFill="1" applyAlignment="1"/>
    <xf numFmtId="49" fontId="11" fillId="0" borderId="0" xfId="0" applyNumberFormat="1" applyFont="1" applyFill="1" applyAlignment="1"/>
    <xf numFmtId="0" fontId="36" fillId="0" borderId="0" xfId="0" applyNumberFormat="1" applyFont="1" applyFill="1" applyAlignment="1"/>
    <xf numFmtId="169" fontId="14" fillId="0" borderId="19" xfId="0" applyNumberFormat="1" applyFont="1" applyFill="1" applyBorder="1" applyAlignment="1"/>
    <xf numFmtId="0" fontId="14" fillId="0" borderId="0" xfId="0" applyNumberFormat="1" applyFont="1" applyFill="1" applyBorder="1" applyAlignment="1">
      <alignment horizontal="right"/>
    </xf>
    <xf numFmtId="37" fontId="36" fillId="0" borderId="0" xfId="0" applyNumberFormat="1" applyFont="1" applyFill="1" applyAlignment="1"/>
    <xf numFmtId="170" fontId="14" fillId="0" borderId="0" xfId="0" applyNumberFormat="1" applyFont="1" applyFill="1" applyAlignment="1"/>
    <xf numFmtId="0" fontId="14" fillId="0" borderId="0" xfId="0" applyNumberFormat="1" applyFont="1" applyFill="1" applyAlignment="1">
      <alignment horizontal="left"/>
    </xf>
    <xf numFmtId="171" fontId="14" fillId="0" borderId="0" xfId="0" applyNumberFormat="1" applyFont="1" applyFill="1" applyBorder="1" applyAlignment="1"/>
    <xf numFmtId="15" fontId="14" fillId="0" borderId="0" xfId="0" applyNumberFormat="1" applyFont="1" applyFill="1" applyAlignment="1"/>
    <xf numFmtId="0" fontId="14" fillId="0" borderId="0" xfId="0" applyNumberFormat="1" applyFont="1" applyFill="1" applyAlignment="1" applyProtection="1">
      <alignment horizontal="left"/>
      <protection locked="0"/>
    </xf>
    <xf numFmtId="169" fontId="14" fillId="0" borderId="19" xfId="0" applyNumberFormat="1" applyFont="1" applyFill="1" applyBorder="1" applyAlignment="1">
      <alignment horizontal="right"/>
    </xf>
    <xf numFmtId="0" fontId="14" fillId="0" borderId="19" xfId="0" quotePrefix="1" applyNumberFormat="1" applyFont="1" applyFill="1" applyBorder="1" applyAlignment="1">
      <alignment horizontal="center"/>
    </xf>
    <xf numFmtId="0" fontId="14" fillId="0" borderId="20" xfId="0" applyNumberFormat="1" applyFont="1" applyFill="1" applyBorder="1" applyAlignment="1">
      <alignment horizontal="center"/>
    </xf>
    <xf numFmtId="42" fontId="14" fillId="0" borderId="0" xfId="0" applyNumberFormat="1" applyFont="1" applyFill="1" applyAlignment="1">
      <alignment horizontal="centerContinuous"/>
    </xf>
    <xf numFmtId="0" fontId="14" fillId="0" borderId="0" xfId="0" applyNumberFormat="1" applyFont="1" applyFill="1" applyAlignment="1" applyProtection="1">
      <alignment horizontal="centerContinuous"/>
      <protection locked="0"/>
    </xf>
    <xf numFmtId="0" fontId="14" fillId="0" borderId="0" xfId="0" applyNumberFormat="1" applyFont="1" applyFill="1" applyAlignment="1">
      <alignment horizontal="centerContinuous"/>
    </xf>
    <xf numFmtId="15" fontId="37" fillId="0" borderId="0" xfId="0" applyNumberFormat="1" applyFont="1" applyFill="1" applyAlignment="1">
      <alignment horizontal="centerContinuous"/>
    </xf>
    <xf numFmtId="15" fontId="14" fillId="0" borderId="0" xfId="0" applyNumberFormat="1" applyFont="1" applyFill="1" applyAlignment="1">
      <alignment horizontal="centerContinuous"/>
    </xf>
    <xf numFmtId="3" fontId="14" fillId="0" borderId="0" xfId="0" applyNumberFormat="1" applyFont="1" applyFill="1" applyAlignment="1">
      <alignment horizontal="centerContinuous"/>
    </xf>
    <xf numFmtId="0" fontId="38" fillId="0" borderId="0" xfId="0" applyNumberFormat="1" applyFont="1" applyFill="1" applyAlignment="1">
      <alignment horizontal="centerContinuous"/>
    </xf>
    <xf numFmtId="170" fontId="14" fillId="0" borderId="0" xfId="0" applyNumberFormat="1" applyFont="1" applyFill="1" applyAlignment="1">
      <alignment horizontal="centerContinuous"/>
    </xf>
    <xf numFmtId="0" fontId="14" fillId="0" borderId="0" xfId="0" applyNumberFormat="1" applyFont="1" applyFill="1" applyAlignment="1" applyProtection="1">
      <alignment horizontal="centerContinuous" vertical="center"/>
      <protection locked="0"/>
    </xf>
    <xf numFmtId="0" fontId="14" fillId="0" borderId="0" xfId="0" applyNumberFormat="1" applyFont="1" applyFill="1" applyBorder="1" applyAlignment="1">
      <alignment horizontal="centerContinuous"/>
    </xf>
    <xf numFmtId="0" fontId="14" fillId="0" borderId="0" xfId="0" quotePrefix="1" applyNumberFormat="1" applyFont="1" applyFill="1" applyAlignment="1">
      <alignment horizontal="left"/>
    </xf>
    <xf numFmtId="42" fontId="39" fillId="0" borderId="0" xfId="0" applyNumberFormat="1" applyFont="1" applyFill="1" applyAlignment="1">
      <alignment horizontal="centerContinuous"/>
    </xf>
    <xf numFmtId="0" fontId="39" fillId="0" borderId="0" xfId="0" applyNumberFormat="1" applyFont="1" applyFill="1" applyAlignment="1" applyProtection="1">
      <alignment horizontal="centerContinuous"/>
      <protection locked="0"/>
    </xf>
    <xf numFmtId="0" fontId="39" fillId="0" borderId="0" xfId="0" applyNumberFormat="1" applyFont="1" applyFill="1" applyAlignment="1">
      <alignment horizontal="centerContinuous"/>
    </xf>
    <xf numFmtId="15" fontId="40" fillId="0" borderId="0" xfId="0" applyNumberFormat="1" applyFont="1" applyFill="1" applyAlignment="1">
      <alignment horizontal="centerContinuous"/>
    </xf>
    <xf numFmtId="15" fontId="39" fillId="0" borderId="0" xfId="0" applyNumberFormat="1" applyFont="1" applyFill="1" applyAlignment="1">
      <alignment horizontal="centerContinuous"/>
    </xf>
    <xf numFmtId="3" fontId="39" fillId="0" borderId="0" xfId="0" applyNumberFormat="1" applyFont="1" applyFill="1" applyAlignment="1">
      <alignment horizontal="centerContinuous"/>
    </xf>
    <xf numFmtId="0" fontId="41" fillId="0" borderId="0" xfId="0" applyNumberFormat="1" applyFont="1" applyFill="1" applyAlignment="1">
      <alignment horizontal="centerContinuous"/>
    </xf>
    <xf numFmtId="170" fontId="39" fillId="0" borderId="0" xfId="0" applyNumberFormat="1" applyFont="1" applyFill="1" applyAlignment="1">
      <alignment horizontal="centerContinuous"/>
    </xf>
    <xf numFmtId="0" fontId="39" fillId="0" borderId="0" xfId="0" applyNumberFormat="1" applyFont="1" applyFill="1" applyAlignment="1">
      <alignment horizontal="centerContinuous" vertical="center"/>
    </xf>
    <xf numFmtId="18" fontId="14" fillId="0" borderId="0" xfId="0" applyNumberFormat="1" applyFont="1" applyFill="1" applyAlignment="1">
      <alignment horizontal="centerContinuous"/>
    </xf>
    <xf numFmtId="0" fontId="14" fillId="0" borderId="0" xfId="0" applyNumberFormat="1" applyFont="1" applyFill="1" applyAlignment="1">
      <alignment horizontal="centerContinuous" vertical="center"/>
    </xf>
    <xf numFmtId="172" fontId="14" fillId="0" borderId="0" xfId="0" applyNumberFormat="1" applyFont="1" applyFill="1" applyAlignment="1"/>
    <xf numFmtId="0" fontId="14" fillId="0" borderId="0" xfId="0" applyNumberFormat="1" applyFont="1" applyFill="1" applyAlignment="1" applyProtection="1">
      <protection locked="0"/>
    </xf>
    <xf numFmtId="3" fontId="14" fillId="0" borderId="0" xfId="0" applyNumberFormat="1" applyFont="1" applyFill="1" applyAlignment="1"/>
    <xf numFmtId="0" fontId="14" fillId="0" borderId="0" xfId="0" applyNumberFormat="1" applyFont="1" applyFill="1" applyBorder="1" applyAlignment="1">
      <alignment horizontal="center"/>
    </xf>
    <xf numFmtId="0" fontId="14" fillId="0" borderId="0" xfId="0" applyNumberFormat="1" applyFont="1" applyFill="1" applyAlignment="1">
      <alignment horizontal="center"/>
    </xf>
    <xf numFmtId="2" fontId="14" fillId="0" borderId="0" xfId="0" applyNumberFormat="1" applyFont="1" applyFill="1" applyAlignment="1">
      <alignment horizontal="center"/>
    </xf>
    <xf numFmtId="43" fontId="14" fillId="0" borderId="0" xfId="0" applyNumberFormat="1" applyFont="1" applyFill="1" applyAlignment="1"/>
    <xf numFmtId="42" fontId="14" fillId="0" borderId="0" xfId="0" applyNumberFormat="1" applyFont="1" applyFill="1" applyAlignment="1"/>
    <xf numFmtId="2" fontId="14" fillId="0" borderId="0" xfId="0" applyNumberFormat="1" applyFont="1" applyFill="1" applyAlignment="1">
      <alignment horizontal="centerContinuous"/>
    </xf>
    <xf numFmtId="43" fontId="14" fillId="0" borderId="0" xfId="0" applyNumberFormat="1" applyFont="1" applyFill="1" applyAlignment="1">
      <alignment horizontal="centerContinuous"/>
    </xf>
    <xf numFmtId="49" fontId="14" fillId="0" borderId="0" xfId="0" applyNumberFormat="1" applyFont="1" applyFill="1" applyAlignment="1">
      <alignment horizontal="left"/>
    </xf>
    <xf numFmtId="0" fontId="38" fillId="0" borderId="0" xfId="0" applyNumberFormat="1" applyFont="1" applyFill="1" applyAlignment="1"/>
    <xf numFmtId="0" fontId="14" fillId="0" borderId="0" xfId="0" applyNumberFormat="1" applyFont="1" applyFill="1" applyAlignment="1" applyProtection="1">
      <alignment horizontal="center"/>
      <protection locked="0"/>
    </xf>
    <xf numFmtId="44" fontId="14" fillId="0" borderId="0" xfId="0" applyNumberFormat="1" applyFont="1" applyFill="1" applyAlignment="1"/>
    <xf numFmtId="3" fontId="14" fillId="0" borderId="0" xfId="0" applyNumberFormat="1" applyFont="1" applyFill="1" applyAlignment="1">
      <alignment horizontal="center"/>
    </xf>
    <xf numFmtId="170" fontId="39" fillId="0" borderId="0" xfId="0" applyNumberFormat="1" applyFont="1" applyFill="1" applyAlignment="1"/>
    <xf numFmtId="0" fontId="39" fillId="0" borderId="0" xfId="0" applyNumberFormat="1" applyFont="1" applyFill="1" applyAlignment="1" applyProtection="1">
      <alignment horizontal="center"/>
      <protection locked="0"/>
    </xf>
    <xf numFmtId="10" fontId="14" fillId="0" borderId="0" xfId="0" applyNumberFormat="1" applyFont="1" applyFill="1" applyAlignment="1">
      <alignment horizontal="center"/>
    </xf>
    <xf numFmtId="49" fontId="14" fillId="0" borderId="0" xfId="0" applyNumberFormat="1" applyFont="1" applyFill="1" applyAlignment="1"/>
    <xf numFmtId="0" fontId="14" fillId="0" borderId="0" xfId="0" applyNumberFormat="1" applyFont="1" applyFill="1" applyAlignment="1">
      <alignment horizontal="fill"/>
    </xf>
    <xf numFmtId="0" fontId="14" fillId="0" borderId="0" xfId="0" quotePrefix="1" applyNumberFormat="1" applyFont="1" applyFill="1" applyAlignment="1">
      <alignment horizontal="fill"/>
    </xf>
    <xf numFmtId="0" fontId="14" fillId="0" borderId="14" xfId="0" applyNumberFormat="1" applyFont="1" applyFill="1" applyBorder="1" applyAlignment="1" applyProtection="1">
      <alignment horizontal="center"/>
      <protection locked="0"/>
    </xf>
    <xf numFmtId="0" fontId="14" fillId="0" borderId="14" xfId="0" applyNumberFormat="1" applyFont="1" applyFill="1" applyBorder="1" applyAlignment="1"/>
    <xf numFmtId="0" fontId="14" fillId="0" borderId="14" xfId="0" applyNumberFormat="1" applyFont="1" applyFill="1" applyBorder="1" applyAlignment="1">
      <alignment horizontal="center"/>
    </xf>
    <xf numFmtId="0" fontId="14" fillId="0" borderId="14" xfId="0" applyNumberFormat="1" applyFont="1" applyFill="1" applyBorder="1" applyAlignment="1" applyProtection="1">
      <protection locked="0"/>
    </xf>
    <xf numFmtId="3" fontId="14" fillId="0" borderId="14" xfId="0" applyNumberFormat="1" applyFont="1" applyFill="1" applyBorder="1" applyAlignment="1">
      <alignment horizontal="center"/>
    </xf>
    <xf numFmtId="0" fontId="14" fillId="0" borderId="14" xfId="0" applyNumberFormat="1" applyFont="1" applyFill="1" applyBorder="1" applyAlignment="1">
      <alignment horizontal="left"/>
    </xf>
    <xf numFmtId="0" fontId="14" fillId="0" borderId="14" xfId="0" applyNumberFormat="1" applyFont="1" applyFill="1" applyBorder="1" applyAlignment="1">
      <alignment horizontal="right"/>
    </xf>
    <xf numFmtId="2" fontId="14" fillId="0" borderId="14" xfId="0" applyNumberFormat="1" applyFont="1" applyFill="1" applyBorder="1" applyAlignment="1">
      <alignment horizontal="center"/>
    </xf>
    <xf numFmtId="170" fontId="14" fillId="0" borderId="14" xfId="0" applyNumberFormat="1" applyFont="1" applyFill="1" applyBorder="1" applyAlignment="1">
      <alignment horizontal="center"/>
    </xf>
    <xf numFmtId="0" fontId="14" fillId="0" borderId="14" xfId="0" quotePrefix="1" applyNumberFormat="1" applyFont="1" applyFill="1" applyBorder="1" applyAlignment="1" applyProtection="1">
      <alignment horizontal="center"/>
      <protection locked="0"/>
    </xf>
    <xf numFmtId="0" fontId="14" fillId="0" borderId="14" xfId="0" applyNumberFormat="1" applyFont="1" applyFill="1" applyBorder="1" applyAlignment="1">
      <alignment horizontal="centerContinuous"/>
    </xf>
    <xf numFmtId="0" fontId="14" fillId="0" borderId="14" xfId="0" quotePrefix="1" applyNumberFormat="1" applyFont="1" applyFill="1" applyBorder="1" applyAlignment="1">
      <alignment horizontal="center"/>
    </xf>
    <xf numFmtId="0" fontId="14" fillId="0" borderId="0" xfId="0" applyFont="1" applyFill="1" applyAlignment="1">
      <alignment horizontal="center"/>
    </xf>
    <xf numFmtId="0" fontId="11" fillId="0" borderId="0" xfId="0" applyNumberFormat="1" applyFont="1" applyFill="1" applyAlignment="1">
      <alignment horizontal="center"/>
    </xf>
    <xf numFmtId="0" fontId="42" fillId="0" borderId="0" xfId="0" applyNumberFormat="1" applyFont="1" applyFill="1" applyBorder="1" applyAlignment="1"/>
    <xf numFmtId="0" fontId="11" fillId="0" borderId="0" xfId="0" applyNumberFormat="1" applyFont="1" applyFill="1" applyAlignment="1">
      <alignment horizontal="left"/>
    </xf>
    <xf numFmtId="37" fontId="11" fillId="0" borderId="0" xfId="0" applyNumberFormat="1" applyFont="1" applyFill="1" applyAlignment="1">
      <alignment horizontal="right"/>
    </xf>
    <xf numFmtId="17" fontId="11" fillId="0" borderId="0" xfId="0" applyNumberFormat="1" applyFont="1" applyFill="1" applyBorder="1" applyAlignment="1">
      <alignment horizontal="left"/>
    </xf>
    <xf numFmtId="170" fontId="11" fillId="0" borderId="0" xfId="0" applyNumberFormat="1" applyFont="1" applyFill="1" applyAlignment="1" applyProtection="1">
      <alignment horizontal="right"/>
      <protection locked="0"/>
    </xf>
    <xf numFmtId="170" fontId="11" fillId="0" borderId="0" xfId="0" applyNumberFormat="1" applyFont="1" applyFill="1" applyAlignment="1" applyProtection="1">
      <protection locked="0"/>
    </xf>
    <xf numFmtId="0" fontId="11" fillId="0" borderId="0" xfId="0" applyNumberFormat="1" applyFont="1" applyFill="1" applyBorder="1" applyAlignment="1">
      <alignment horizontal="center"/>
    </xf>
    <xf numFmtId="0" fontId="43" fillId="0" borderId="0" xfId="0" applyNumberFormat="1" applyFont="1" applyFill="1" applyBorder="1" applyAlignment="1">
      <alignment horizontal="center"/>
    </xf>
    <xf numFmtId="0" fontId="42" fillId="0" borderId="0" xfId="0" applyNumberFormat="1" applyFont="1" applyFill="1" applyBorder="1" applyAlignment="1">
      <alignment horizontal="left"/>
    </xf>
    <xf numFmtId="170" fontId="11" fillId="0" borderId="0" xfId="0" applyNumberFormat="1" applyFont="1" applyFill="1" applyAlignment="1"/>
    <xf numFmtId="0" fontId="14" fillId="0" borderId="0" xfId="0" applyNumberFormat="1" applyFont="1" applyFill="1" applyBorder="1" applyAlignment="1"/>
    <xf numFmtId="0" fontId="14" fillId="0" borderId="0" xfId="0" quotePrefix="1" applyNumberFormat="1" applyFont="1" applyFill="1" applyBorder="1" applyAlignment="1" applyProtection="1">
      <alignment horizontal="center"/>
      <protection locked="0"/>
    </xf>
    <xf numFmtId="0" fontId="14" fillId="0" borderId="0" xfId="0" applyNumberFormat="1" applyFont="1" applyFill="1" applyBorder="1" applyAlignment="1" applyProtection="1">
      <alignment horizontal="center"/>
      <protection locked="0"/>
    </xf>
    <xf numFmtId="41" fontId="11" fillId="0" borderId="0" xfId="0" applyNumberFormat="1" applyFont="1" applyFill="1" applyAlignment="1" applyProtection="1">
      <protection locked="0"/>
    </xf>
    <xf numFmtId="0" fontId="11" fillId="0" borderId="0" xfId="0" applyNumberFormat="1" applyFont="1" applyFill="1" applyAlignment="1">
      <alignment horizontal="fill"/>
    </xf>
    <xf numFmtId="0" fontId="11" fillId="0" borderId="0" xfId="0" applyNumberFormat="1" applyFont="1" applyFill="1" applyAlignment="1" applyProtection="1">
      <alignment horizontal="fill"/>
      <protection locked="0"/>
    </xf>
    <xf numFmtId="0" fontId="11" fillId="0" borderId="0" xfId="0" applyNumberFormat="1" applyFont="1" applyFill="1" applyBorder="1" applyAlignment="1"/>
    <xf numFmtId="0" fontId="11" fillId="0" borderId="0" xfId="0" applyNumberFormat="1" applyFont="1" applyFill="1" applyBorder="1" applyAlignment="1">
      <alignment horizontal="right"/>
    </xf>
    <xf numFmtId="49" fontId="14" fillId="0" borderId="0" xfId="0" applyNumberFormat="1" applyFont="1" applyFill="1" applyAlignment="1">
      <alignment horizontal="center"/>
    </xf>
    <xf numFmtId="0" fontId="14" fillId="0" borderId="0" xfId="0" applyNumberFormat="1" applyFont="1" applyFill="1" applyAlignment="1">
      <alignment horizontal="center" wrapText="1"/>
    </xf>
    <xf numFmtId="0" fontId="11" fillId="0" borderId="0" xfId="0" applyNumberFormat="1" applyFont="1" applyFill="1" applyAlignment="1" applyProtection="1">
      <alignment horizontal="center"/>
      <protection locked="0"/>
    </xf>
    <xf numFmtId="0" fontId="11" fillId="0" borderId="0" xfId="0" quotePrefix="1" applyNumberFormat="1" applyFont="1" applyFill="1" applyAlignment="1">
      <alignment horizontal="center"/>
    </xf>
    <xf numFmtId="37" fontId="11" fillId="0" borderId="0" xfId="0" applyNumberFormat="1" applyFont="1" applyFill="1" applyBorder="1" applyAlignment="1">
      <alignment horizontal="center"/>
    </xf>
    <xf numFmtId="0" fontId="11" fillId="0" borderId="0" xfId="0" applyNumberFormat="1" applyFont="1" applyFill="1" applyAlignment="1">
      <alignment horizontal="left" indent="2"/>
    </xf>
    <xf numFmtId="41" fontId="11" fillId="0" borderId="0" xfId="0" applyNumberFormat="1" applyFont="1" applyFill="1" applyBorder="1" applyAlignment="1">
      <alignment horizontal="right"/>
    </xf>
    <xf numFmtId="42" fontId="11" fillId="0" borderId="0" xfId="0" applyNumberFormat="1" applyFont="1" applyFill="1" applyBorder="1" applyAlignment="1"/>
    <xf numFmtId="173" fontId="11" fillId="0" borderId="0" xfId="0" applyNumberFormat="1" applyFont="1" applyFill="1" applyAlignment="1">
      <alignment horizontal="left"/>
    </xf>
    <xf numFmtId="42" fontId="11" fillId="0" borderId="0" xfId="0" applyNumberFormat="1" applyFont="1" applyFill="1" applyAlignment="1" applyProtection="1">
      <protection locked="0"/>
    </xf>
    <xf numFmtId="0" fontId="42" fillId="0" borderId="0" xfId="0" applyFont="1" applyFill="1" applyAlignment="1">
      <alignment horizontal="left"/>
    </xf>
    <xf numFmtId="0" fontId="11" fillId="0" borderId="0" xfId="0" applyFont="1" applyFill="1" applyBorder="1" applyAlignment="1">
      <alignment horizontal="right"/>
    </xf>
    <xf numFmtId="37" fontId="11" fillId="0" borderId="0" xfId="0" applyNumberFormat="1" applyFont="1" applyFill="1" applyBorder="1" applyAlignment="1"/>
    <xf numFmtId="174" fontId="11" fillId="0" borderId="0" xfId="0" quotePrefix="1" applyNumberFormat="1" applyFont="1" applyFill="1" applyBorder="1" applyAlignment="1">
      <alignment horizontal="left"/>
    </xf>
    <xf numFmtId="42" fontId="44" fillId="0" borderId="0" xfId="0" applyNumberFormat="1" applyFont="1" applyFill="1" applyAlignment="1">
      <alignment horizontal="right"/>
    </xf>
    <xf numFmtId="175" fontId="11" fillId="0" borderId="0" xfId="0" applyNumberFormat="1" applyFont="1" applyFill="1" applyBorder="1" applyAlignment="1"/>
    <xf numFmtId="0" fontId="11" fillId="0" borderId="0" xfId="0" applyFont="1" applyFill="1" applyBorder="1" applyAlignment="1">
      <alignment horizontal="left"/>
    </xf>
    <xf numFmtId="0" fontId="11" fillId="0" borderId="0" xfId="0" applyNumberFormat="1" applyFont="1" applyFill="1" applyAlignment="1" applyProtection="1">
      <protection locked="0"/>
    </xf>
    <xf numFmtId="42" fontId="11" fillId="0" borderId="0" xfId="0" applyNumberFormat="1" applyFont="1" applyFill="1" applyAlignment="1" applyProtection="1">
      <alignment horizontal="right"/>
      <protection locked="0"/>
    </xf>
    <xf numFmtId="42" fontId="11" fillId="0" borderId="0" xfId="0" applyNumberFormat="1" applyFont="1" applyFill="1" applyBorder="1" applyAlignment="1" applyProtection="1">
      <protection locked="0"/>
    </xf>
    <xf numFmtId="1" fontId="11" fillId="0" borderId="0" xfId="0" applyNumberFormat="1" applyFont="1" applyFill="1" applyAlignment="1">
      <alignment horizontal="center"/>
    </xf>
    <xf numFmtId="42" fontId="11" fillId="0" borderId="0" xfId="0" applyNumberFormat="1" applyFont="1" applyFill="1" applyAlignment="1"/>
    <xf numFmtId="170" fontId="11" fillId="0" borderId="0" xfId="0" applyNumberFormat="1" applyFont="1" applyFill="1" applyAlignment="1" applyProtection="1">
      <alignment horizontal="left"/>
      <protection locked="0"/>
    </xf>
    <xf numFmtId="0" fontId="11" fillId="0" borderId="0" xfId="0" applyNumberFormat="1" applyFont="1" applyFill="1" applyBorder="1" applyAlignment="1" applyProtection="1">
      <alignment horizontal="left"/>
      <protection locked="0"/>
    </xf>
    <xf numFmtId="0" fontId="11" fillId="0" borderId="0" xfId="0" applyNumberFormat="1" applyFont="1" applyFill="1" applyAlignment="1" applyProtection="1">
      <alignment horizontal="left"/>
      <protection locked="0"/>
    </xf>
    <xf numFmtId="167" fontId="11" fillId="0" borderId="0" xfId="3" applyNumberFormat="1" applyFont="1" applyFill="1" applyAlignment="1"/>
    <xf numFmtId="0" fontId="11" fillId="0" borderId="0" xfId="0" applyFont="1" applyBorder="1" applyAlignment="1">
      <alignment horizontal="left"/>
    </xf>
    <xf numFmtId="176" fontId="11" fillId="0" borderId="0" xfId="0" applyNumberFormat="1" applyFont="1" applyFill="1" applyAlignment="1"/>
    <xf numFmtId="2" fontId="14" fillId="0" borderId="0" xfId="0" applyNumberFormat="1" applyFont="1" applyFill="1" applyAlignment="1" applyProtection="1">
      <alignment horizontal="center"/>
      <protection locked="0"/>
    </xf>
    <xf numFmtId="0" fontId="11" fillId="0" borderId="14" xfId="0" applyNumberFormat="1" applyFont="1" applyFill="1" applyBorder="1" applyAlignment="1"/>
    <xf numFmtId="0" fontId="42" fillId="0" borderId="0" xfId="0" quotePrefix="1" applyNumberFormat="1" applyFont="1" applyFill="1" applyAlignment="1">
      <alignment horizontal="center"/>
    </xf>
    <xf numFmtId="0" fontId="42" fillId="0" borderId="0" xfId="0" applyNumberFormat="1" applyFont="1" applyFill="1" applyBorder="1" applyAlignment="1">
      <alignment horizontal="center"/>
    </xf>
    <xf numFmtId="37" fontId="42" fillId="0" borderId="0" xfId="0" applyNumberFormat="1" applyFont="1" applyFill="1" applyBorder="1" applyAlignment="1">
      <alignment horizontal="center"/>
    </xf>
    <xf numFmtId="37" fontId="11" fillId="0" borderId="0" xfId="0" applyNumberFormat="1" applyFont="1" applyFill="1" applyAlignment="1"/>
    <xf numFmtId="41" fontId="11" fillId="0" borderId="0" xfId="0" applyNumberFormat="1" applyFont="1" applyFill="1" applyBorder="1" applyAlignment="1" applyProtection="1">
      <protection locked="0"/>
    </xf>
    <xf numFmtId="170" fontId="11" fillId="0" borderId="0" xfId="0" applyNumberFormat="1" applyFont="1" applyFill="1" applyBorder="1" applyAlignment="1" applyProtection="1">
      <protection locked="0"/>
    </xf>
    <xf numFmtId="0" fontId="11" fillId="0" borderId="0" xfId="0" quotePrefix="1" applyFont="1" applyFill="1" applyBorder="1" applyAlignment="1">
      <alignment horizontal="left"/>
    </xf>
    <xf numFmtId="41" fontId="44" fillId="0" borderId="0" xfId="0" applyNumberFormat="1" applyFont="1" applyFill="1" applyAlignment="1">
      <alignment horizontal="right"/>
    </xf>
    <xf numFmtId="0" fontId="11" fillId="0" borderId="0" xfId="0" applyFont="1" applyFill="1" applyAlignment="1">
      <alignment horizontal="left" wrapText="1"/>
    </xf>
    <xf numFmtId="167" fontId="11" fillId="0" borderId="0" xfId="0" applyNumberFormat="1" applyFont="1" applyFill="1" applyAlignment="1"/>
    <xf numFmtId="165" fontId="11" fillId="0" borderId="14" xfId="0" applyNumberFormat="1" applyFont="1" applyFill="1" applyBorder="1" applyAlignment="1" applyProtection="1">
      <protection locked="0"/>
    </xf>
    <xf numFmtId="170" fontId="11" fillId="0" borderId="14" xfId="0" applyNumberFormat="1" applyFont="1" applyFill="1" applyBorder="1" applyAlignment="1" applyProtection="1">
      <alignment horizontal="right"/>
      <protection locked="0"/>
    </xf>
    <xf numFmtId="167" fontId="11" fillId="0" borderId="3" xfId="0" applyNumberFormat="1" applyFont="1" applyFill="1" applyBorder="1" applyAlignment="1"/>
    <xf numFmtId="41" fontId="11" fillId="0" borderId="14" xfId="0" applyNumberFormat="1" applyFont="1" applyFill="1" applyBorder="1" applyAlignment="1"/>
    <xf numFmtId="170" fontId="11" fillId="0" borderId="0" xfId="0" applyNumberFormat="1" applyFont="1" applyFill="1" applyBorder="1" applyAlignment="1" applyProtection="1">
      <alignment horizontal="right"/>
      <protection locked="0"/>
    </xf>
    <xf numFmtId="41" fontId="11" fillId="0" borderId="0" xfId="0" applyNumberFormat="1" applyFont="1" applyFill="1" applyAlignment="1" applyProtection="1">
      <alignment horizontal="right"/>
      <protection locked="0"/>
    </xf>
    <xf numFmtId="6" fontId="11" fillId="0" borderId="0" xfId="0" applyNumberFormat="1" applyFont="1" applyFill="1" applyAlignment="1" applyProtection="1">
      <alignment horizontal="right"/>
      <protection locked="0"/>
    </xf>
    <xf numFmtId="0" fontId="11" fillId="0" borderId="0" xfId="0" applyFont="1" applyAlignment="1"/>
    <xf numFmtId="49" fontId="11" fillId="0" borderId="0" xfId="0" applyNumberFormat="1" applyFont="1" applyFill="1" applyAlignment="1">
      <alignment horizontal="fill"/>
    </xf>
    <xf numFmtId="0" fontId="11" fillId="0" borderId="0" xfId="0" quotePrefix="1" applyNumberFormat="1" applyFont="1" applyFill="1" applyAlignment="1">
      <alignment horizontal="left"/>
    </xf>
    <xf numFmtId="41" fontId="11" fillId="0" borderId="14" xfId="0" applyNumberFormat="1" applyFont="1" applyFill="1" applyBorder="1" applyAlignment="1" applyProtection="1">
      <protection locked="0"/>
    </xf>
    <xf numFmtId="10" fontId="11" fillId="0" borderId="14" xfId="0" applyNumberFormat="1" applyFont="1" applyFill="1" applyBorder="1" applyAlignment="1">
      <alignment horizontal="right"/>
    </xf>
    <xf numFmtId="0" fontId="11" fillId="0" borderId="0" xfId="0" applyFont="1" applyFill="1" applyAlignment="1">
      <alignment horizontal="left"/>
    </xf>
    <xf numFmtId="42" fontId="11" fillId="0" borderId="14" xfId="0" applyNumberFormat="1" applyFont="1" applyFill="1" applyBorder="1" applyAlignment="1"/>
    <xf numFmtId="0" fontId="11" fillId="0" borderId="0" xfId="0" applyNumberFormat="1" applyFont="1" applyFill="1" applyBorder="1" applyAlignment="1" applyProtection="1">
      <protection locked="0"/>
    </xf>
    <xf numFmtId="42" fontId="11" fillId="0" borderId="0" xfId="0" applyNumberFormat="1" applyFont="1" applyFill="1" applyAlignment="1">
      <alignment horizontal="right"/>
    </xf>
    <xf numFmtId="42" fontId="11" fillId="0" borderId="3" xfId="0" applyNumberFormat="1" applyFont="1" applyFill="1" applyBorder="1" applyAlignment="1" applyProtection="1">
      <alignment horizontal="right"/>
      <protection locked="0"/>
    </xf>
    <xf numFmtId="41" fontId="11" fillId="0" borderId="3" xfId="0" applyNumberFormat="1" applyFont="1" applyFill="1" applyBorder="1" applyAlignment="1">
      <alignment horizontal="center"/>
    </xf>
    <xf numFmtId="42" fontId="11" fillId="0" borderId="3" xfId="0" applyNumberFormat="1" applyFont="1" applyFill="1" applyBorder="1" applyAlignment="1">
      <alignment horizontal="right"/>
    </xf>
    <xf numFmtId="0" fontId="11" fillId="0" borderId="0" xfId="0" applyFont="1" applyFill="1" applyAlignment="1">
      <alignment horizontal="left" indent="2"/>
    </xf>
    <xf numFmtId="175" fontId="11" fillId="0" borderId="0" xfId="0" applyNumberFormat="1" applyFont="1" applyFill="1" applyAlignment="1"/>
    <xf numFmtId="176" fontId="11" fillId="0" borderId="14" xfId="4" applyNumberFormat="1" applyFont="1" applyFill="1" applyBorder="1" applyAlignment="1"/>
    <xf numFmtId="49" fontId="11" fillId="0" borderId="0" xfId="0" applyNumberFormat="1" applyFont="1" applyFill="1" applyAlignment="1">
      <alignment horizontal="center"/>
    </xf>
    <xf numFmtId="42" fontId="11" fillId="0" borderId="0" xfId="0" applyNumberFormat="1" applyFont="1" applyFill="1" applyBorder="1" applyAlignment="1" applyProtection="1">
      <alignment horizontal="right"/>
      <protection locked="0"/>
    </xf>
    <xf numFmtId="42" fontId="11" fillId="0" borderId="7" xfId="0" applyNumberFormat="1" applyFont="1" applyFill="1" applyBorder="1" applyAlignment="1" applyProtection="1">
      <alignment horizontal="left" wrapText="1"/>
      <protection locked="0"/>
    </xf>
    <xf numFmtId="0" fontId="11" fillId="0" borderId="0" xfId="0" applyFont="1" applyFill="1" applyAlignment="1">
      <alignment vertical="center"/>
    </xf>
    <xf numFmtId="42" fontId="11" fillId="0" borderId="0" xfId="0" applyNumberFormat="1" applyFont="1" applyFill="1" applyAlignment="1">
      <alignment horizontal="left" wrapText="1"/>
    </xf>
    <xf numFmtId="42" fontId="11" fillId="0" borderId="3" xfId="0" applyNumberFormat="1" applyFont="1" applyFill="1" applyBorder="1" applyAlignment="1">
      <alignment horizontal="left" wrapText="1"/>
    </xf>
    <xf numFmtId="0" fontId="11" fillId="0" borderId="0" xfId="0" applyNumberFormat="1" applyFont="1" applyFill="1" applyAlignment="1">
      <alignment horizontal="right"/>
    </xf>
    <xf numFmtId="42" fontId="14" fillId="0" borderId="7" xfId="0" applyNumberFormat="1" applyFont="1" applyFill="1" applyBorder="1" applyAlignment="1"/>
    <xf numFmtId="49" fontId="11" fillId="0" borderId="0" xfId="0" applyNumberFormat="1" applyFont="1" applyFill="1" applyBorder="1" applyAlignment="1">
      <alignment horizontal="left"/>
    </xf>
    <xf numFmtId="41" fontId="11" fillId="0" borderId="0" xfId="0" applyNumberFormat="1" applyFont="1" applyFill="1" applyBorder="1" applyAlignment="1">
      <alignment horizontal="center"/>
    </xf>
    <xf numFmtId="42" fontId="11" fillId="0" borderId="3" xfId="0" applyNumberFormat="1" applyFont="1" applyFill="1" applyBorder="1" applyAlignment="1" applyProtection="1">
      <protection locked="0"/>
    </xf>
    <xf numFmtId="167" fontId="11" fillId="0" borderId="0" xfId="0" applyNumberFormat="1" applyFont="1" applyFill="1" applyBorder="1" applyAlignment="1"/>
    <xf numFmtId="176" fontId="11" fillId="0" borderId="0" xfId="0" applyNumberFormat="1" applyFont="1" applyFill="1" applyBorder="1" applyAlignment="1"/>
    <xf numFmtId="42" fontId="29" fillId="0" borderId="0" xfId="0" applyNumberFormat="1" applyFont="1" applyAlignment="1"/>
    <xf numFmtId="0" fontId="11" fillId="0" borderId="3" xfId="0" applyNumberFormat="1" applyFont="1" applyFill="1" applyBorder="1" applyAlignment="1"/>
    <xf numFmtId="0" fontId="14" fillId="0" borderId="0" xfId="0" quotePrefix="1" applyNumberFormat="1" applyFont="1" applyFill="1" applyAlignment="1" applyProtection="1">
      <protection locked="0"/>
    </xf>
    <xf numFmtId="0" fontId="11" fillId="0" borderId="0" xfId="0" quotePrefix="1" applyNumberFormat="1" applyFont="1" applyFill="1" applyAlignment="1" applyProtection="1">
      <protection locked="0"/>
    </xf>
    <xf numFmtId="41" fontId="11" fillId="0" borderId="0" xfId="0" applyNumberFormat="1" applyFont="1" applyFill="1" applyAlignment="1">
      <alignment horizontal="right"/>
    </xf>
    <xf numFmtId="165" fontId="11" fillId="0" borderId="0" xfId="0" applyNumberFormat="1" applyFont="1" applyFill="1" applyBorder="1" applyAlignment="1"/>
    <xf numFmtId="0" fontId="11" fillId="0" borderId="14" xfId="0" applyFont="1" applyFill="1" applyBorder="1" applyAlignment="1">
      <alignment horizontal="left" indent="2"/>
    </xf>
    <xf numFmtId="37" fontId="11" fillId="0" borderId="14" xfId="0" applyNumberFormat="1" applyFont="1" applyFill="1" applyBorder="1" applyAlignment="1"/>
    <xf numFmtId="167" fontId="11" fillId="0" borderId="14" xfId="0" applyNumberFormat="1" applyFont="1" applyFill="1" applyBorder="1" applyAlignment="1"/>
    <xf numFmtId="41" fontId="11" fillId="0" borderId="3" xfId="0" applyNumberFormat="1" applyFont="1" applyFill="1" applyBorder="1" applyAlignment="1"/>
    <xf numFmtId="0" fontId="11" fillId="0" borderId="0" xfId="0" applyFont="1" applyFill="1" applyBorder="1" applyAlignment="1"/>
    <xf numFmtId="0" fontId="11" fillId="0" borderId="0" xfId="0" applyNumberFormat="1" applyFont="1" applyFill="1" applyAlignment="1">
      <alignment horizontal="left" vertical="center" indent="2"/>
    </xf>
    <xf numFmtId="37" fontId="11" fillId="0" borderId="0" xfId="0" applyNumberFormat="1" applyFont="1" applyFill="1" applyBorder="1" applyAlignment="1">
      <alignment vertical="center"/>
    </xf>
    <xf numFmtId="41" fontId="11" fillId="0" borderId="0" xfId="0" applyNumberFormat="1" applyFont="1" applyFill="1" applyAlignment="1">
      <alignment horizontal="left" wrapText="1"/>
    </xf>
    <xf numFmtId="41" fontId="11" fillId="0" borderId="0" xfId="0" applyNumberFormat="1" applyFont="1" applyFill="1" applyAlignment="1">
      <alignment horizontal="fill"/>
    </xf>
    <xf numFmtId="0" fontId="11" fillId="0" borderId="0" xfId="0" quotePrefix="1" applyFont="1" applyFill="1" applyAlignment="1">
      <alignment horizontal="left"/>
    </xf>
    <xf numFmtId="9" fontId="11" fillId="0" borderId="0" xfId="0" applyNumberFormat="1" applyFont="1" applyFill="1" applyAlignment="1"/>
    <xf numFmtId="9" fontId="11" fillId="0" borderId="0" xfId="0" applyNumberFormat="1" applyFont="1" applyFill="1" applyAlignment="1">
      <alignment horizontal="right"/>
    </xf>
    <xf numFmtId="41" fontId="11" fillId="0" borderId="0" xfId="0" applyNumberFormat="1" applyFont="1" applyFill="1" applyBorder="1" applyAlignment="1"/>
    <xf numFmtId="42" fontId="11" fillId="0" borderId="14" xfId="0" applyNumberFormat="1" applyFont="1" applyFill="1" applyBorder="1" applyAlignment="1" applyProtection="1">
      <protection locked="0"/>
    </xf>
    <xf numFmtId="1" fontId="11" fillId="0" borderId="0" xfId="0" quotePrefix="1" applyNumberFormat="1" applyFont="1" applyFill="1" applyAlignment="1">
      <alignment horizontal="left"/>
    </xf>
    <xf numFmtId="37" fontId="11" fillId="0" borderId="0" xfId="0" applyNumberFormat="1" applyFont="1" applyFill="1" applyAlignment="1">
      <alignment horizontal="left" wrapText="1"/>
    </xf>
    <xf numFmtId="0" fontId="11" fillId="0" borderId="0" xfId="0" quotePrefix="1" applyNumberFormat="1" applyFont="1" applyFill="1" applyBorder="1" applyAlignment="1" applyProtection="1">
      <protection locked="0"/>
    </xf>
    <xf numFmtId="41" fontId="11" fillId="0" borderId="0" xfId="0" applyNumberFormat="1" applyFont="1" applyFill="1" applyBorder="1" applyAlignment="1" applyProtection="1">
      <alignment horizontal="right"/>
      <protection locked="0"/>
    </xf>
    <xf numFmtId="0" fontId="36" fillId="0" borderId="14" xfId="0" applyNumberFormat="1" applyFont="1" applyFill="1" applyBorder="1" applyAlignment="1"/>
    <xf numFmtId="41" fontId="11" fillId="0" borderId="14" xfId="0" applyNumberFormat="1" applyFont="1" applyFill="1" applyBorder="1" applyAlignment="1" applyProtection="1">
      <alignment horizontal="right"/>
      <protection locked="0"/>
    </xf>
    <xf numFmtId="165" fontId="11" fillId="0" borderId="13" xfId="0" applyNumberFormat="1" applyFont="1" applyFill="1" applyBorder="1" applyAlignment="1" applyProtection="1">
      <protection locked="0"/>
    </xf>
    <xf numFmtId="1" fontId="11" fillId="0" borderId="0" xfId="0" applyNumberFormat="1" applyFont="1" applyFill="1" applyAlignment="1"/>
    <xf numFmtId="0" fontId="36" fillId="0" borderId="0" xfId="0" applyFont="1" applyFill="1" applyAlignment="1">
      <alignment horizontal="left" wrapText="1"/>
    </xf>
    <xf numFmtId="42" fontId="11" fillId="0" borderId="7" xfId="0" applyNumberFormat="1" applyFont="1" applyFill="1" applyBorder="1" applyAlignment="1"/>
    <xf numFmtId="0" fontId="11" fillId="0" borderId="0" xfId="0" applyNumberFormat="1" applyFont="1" applyFill="1" applyAlignment="1">
      <alignment vertical="center"/>
    </xf>
    <xf numFmtId="43" fontId="11" fillId="0" borderId="0" xfId="0" applyNumberFormat="1" applyFont="1" applyFill="1" applyBorder="1" applyAlignment="1">
      <alignment horizontal="center"/>
    </xf>
    <xf numFmtId="1" fontId="11" fillId="0" borderId="0" xfId="0" applyNumberFormat="1" applyFont="1" applyFill="1" applyAlignment="1">
      <alignment horizontal="left"/>
    </xf>
    <xf numFmtId="176" fontId="11" fillId="0" borderId="14" xfId="0" applyNumberFormat="1" applyFont="1" applyFill="1" applyBorder="1" applyAlignment="1"/>
    <xf numFmtId="41" fontId="11" fillId="0" borderId="3" xfId="0" applyNumberFormat="1" applyFont="1" applyFill="1" applyBorder="1" applyAlignment="1" applyProtection="1">
      <protection locked="0"/>
    </xf>
    <xf numFmtId="42" fontId="11" fillId="0" borderId="7" xfId="0" applyNumberFormat="1" applyFont="1" applyFill="1" applyBorder="1" applyAlignment="1" applyProtection="1">
      <protection locked="0"/>
    </xf>
    <xf numFmtId="37" fontId="11" fillId="0" borderId="0" xfId="0" applyNumberFormat="1" applyFont="1" applyFill="1" applyBorder="1" applyAlignment="1" applyProtection="1">
      <alignment horizontal="left" wrapText="1"/>
      <protection locked="0"/>
    </xf>
    <xf numFmtId="42" fontId="14" fillId="0" borderId="13" xfId="0" applyNumberFormat="1" applyFont="1" applyFill="1" applyBorder="1" applyAlignment="1"/>
    <xf numFmtId="41" fontId="11" fillId="0" borderId="0" xfId="0" applyNumberFormat="1" applyFont="1" applyAlignment="1" applyProtection="1">
      <protection locked="0"/>
    </xf>
    <xf numFmtId="0" fontId="11" fillId="0" borderId="0" xfId="0" applyFont="1" applyFill="1" applyAlignment="1">
      <alignment horizontal="left" indent="1"/>
    </xf>
    <xf numFmtId="176" fontId="14" fillId="0" borderId="7" xfId="0" applyNumberFormat="1" applyFont="1" applyFill="1" applyBorder="1" applyAlignment="1" applyProtection="1">
      <protection locked="0"/>
    </xf>
    <xf numFmtId="178" fontId="11" fillId="0" borderId="0" xfId="0" applyNumberFormat="1" applyFont="1" applyFill="1" applyAlignment="1"/>
    <xf numFmtId="10" fontId="11" fillId="0" borderId="0" xfId="0" applyNumberFormat="1" applyFont="1" applyFill="1" applyAlignment="1"/>
    <xf numFmtId="175" fontId="14" fillId="0" borderId="14" xfId="0" applyNumberFormat="1" applyFont="1" applyFill="1" applyBorder="1" applyAlignment="1"/>
    <xf numFmtId="42" fontId="11" fillId="0" borderId="0" xfId="0" applyNumberFormat="1" applyFont="1" applyFill="1" applyBorder="1" applyAlignment="1">
      <alignment horizontal="right"/>
    </xf>
    <xf numFmtId="9" fontId="11" fillId="0" borderId="0" xfId="0" applyNumberFormat="1" applyFont="1" applyFill="1" applyBorder="1" applyAlignment="1"/>
    <xf numFmtId="170" fontId="11" fillId="0" borderId="0" xfId="0" applyNumberFormat="1" applyFont="1" applyFill="1" applyBorder="1" applyAlignment="1"/>
    <xf numFmtId="0" fontId="36" fillId="0" borderId="0" xfId="0" applyNumberFormat="1" applyFont="1" applyAlignment="1"/>
    <xf numFmtId="0" fontId="11" fillId="0" borderId="0" xfId="0" applyNumberFormat="1" applyFont="1" applyFill="1" applyBorder="1" applyAlignment="1">
      <alignment horizontal="left"/>
    </xf>
    <xf numFmtId="42" fontId="11" fillId="0" borderId="13" xfId="0" applyNumberFormat="1" applyFont="1" applyFill="1" applyBorder="1" applyAlignment="1"/>
    <xf numFmtId="41" fontId="11" fillId="0" borderId="14" xfId="0" applyNumberFormat="1" applyFont="1" applyFill="1" applyBorder="1" applyAlignment="1">
      <alignment horizontal="right"/>
    </xf>
    <xf numFmtId="0" fontId="14" fillId="0" borderId="0" xfId="0" applyFont="1" applyFill="1" applyAlignment="1">
      <alignment horizontal="right"/>
    </xf>
    <xf numFmtId="0" fontId="36" fillId="0" borderId="0" xfId="0" applyNumberFormat="1" applyFont="1" applyFill="1" applyBorder="1" applyAlignment="1"/>
    <xf numFmtId="42" fontId="14" fillId="0" borderId="14" xfId="0" applyNumberFormat="1" applyFont="1" applyFill="1" applyBorder="1" applyAlignment="1"/>
    <xf numFmtId="0" fontId="42" fillId="0" borderId="0" xfId="0" applyNumberFormat="1" applyFont="1" applyFill="1" applyAlignment="1">
      <alignment horizontal="left"/>
    </xf>
    <xf numFmtId="43" fontId="11" fillId="0" borderId="0" xfId="0" applyNumberFormat="1" applyFont="1" applyFill="1" applyAlignment="1"/>
    <xf numFmtId="178" fontId="11" fillId="0" borderId="0" xfId="0" applyNumberFormat="1" applyFont="1" applyFill="1" applyBorder="1" applyAlignment="1"/>
    <xf numFmtId="42" fontId="14" fillId="0" borderId="7" xfId="0" applyNumberFormat="1" applyFont="1" applyFill="1" applyBorder="1" applyAlignment="1" applyProtection="1">
      <protection locked="0"/>
    </xf>
    <xf numFmtId="42" fontId="44" fillId="0" borderId="0" xfId="5" applyNumberFormat="1" applyFont="1" applyFill="1" applyAlignment="1">
      <alignment horizontal="right"/>
    </xf>
    <xf numFmtId="0" fontId="11" fillId="0" borderId="0" xfId="0" quotePrefix="1" applyNumberFormat="1" applyFont="1" applyFill="1" applyAlignment="1"/>
    <xf numFmtId="165" fontId="11" fillId="0" borderId="0" xfId="0" applyNumberFormat="1" applyFont="1" applyFill="1" applyBorder="1" applyAlignment="1" applyProtection="1">
      <protection locked="0"/>
    </xf>
    <xf numFmtId="41" fontId="44" fillId="0" borderId="0" xfId="5" applyNumberFormat="1" applyFont="1" applyFill="1" applyAlignment="1"/>
    <xf numFmtId="9" fontId="11" fillId="0" borderId="0" xfId="0" applyNumberFormat="1" applyFont="1" applyFill="1" applyAlignment="1">
      <alignment horizontal="center"/>
    </xf>
    <xf numFmtId="176" fontId="11" fillId="0" borderId="0" xfId="0" applyNumberFormat="1" applyFont="1" applyFill="1" applyAlignment="1">
      <alignment horizontal="left"/>
    </xf>
    <xf numFmtId="176" fontId="14" fillId="0" borderId="0" xfId="0" applyNumberFormat="1" applyFont="1" applyFill="1" applyAlignment="1">
      <alignment horizontal="right"/>
    </xf>
    <xf numFmtId="167" fontId="11" fillId="0" borderId="3" xfId="0" applyNumberFormat="1" applyFont="1" applyFill="1" applyBorder="1" applyAlignment="1">
      <alignment horizontal="right" wrapText="1"/>
    </xf>
    <xf numFmtId="41" fontId="11" fillId="0" borderId="0" xfId="0" applyNumberFormat="1" applyFont="1" applyFill="1" applyBorder="1" applyAlignment="1">
      <alignment horizontal="left"/>
    </xf>
    <xf numFmtId="167" fontId="11" fillId="0" borderId="0" xfId="0" applyNumberFormat="1" applyFont="1" applyFill="1" applyBorder="1" applyAlignment="1">
      <alignment horizontal="right"/>
    </xf>
    <xf numFmtId="0" fontId="11" fillId="0" borderId="0" xfId="0" applyFont="1" applyFill="1" applyAlignment="1"/>
    <xf numFmtId="165" fontId="11" fillId="0" borderId="0" xfId="0" applyNumberFormat="1" applyFont="1" applyFill="1" applyAlignment="1"/>
    <xf numFmtId="179" fontId="11" fillId="0" borderId="0" xfId="0" applyNumberFormat="1" applyFont="1" applyFill="1" applyAlignment="1"/>
    <xf numFmtId="0" fontId="42" fillId="0" borderId="0" xfId="0" applyFont="1" applyFill="1" applyBorder="1" applyAlignment="1">
      <alignment horizontal="left"/>
    </xf>
    <xf numFmtId="165" fontId="11" fillId="0" borderId="0" xfId="0" applyNumberFormat="1" applyFont="1" applyFill="1" applyAlignment="1">
      <alignment horizontal="left" wrapText="1"/>
    </xf>
    <xf numFmtId="0" fontId="11" fillId="0" borderId="0" xfId="0" applyNumberFormat="1" applyFont="1" applyFill="1" applyAlignment="1">
      <alignment horizontal="left" wrapText="1"/>
    </xf>
    <xf numFmtId="37" fontId="11" fillId="0" borderId="0" xfId="0" applyNumberFormat="1" applyFont="1" applyFill="1" applyBorder="1" applyAlignment="1">
      <alignment horizontal="left" wrapText="1"/>
    </xf>
    <xf numFmtId="44" fontId="11" fillId="0" borderId="0" xfId="0" applyNumberFormat="1" applyFont="1" applyFill="1" applyAlignment="1"/>
    <xf numFmtId="0" fontId="39" fillId="9" borderId="0" xfId="0" applyNumberFormat="1" applyFont="1" applyFill="1" applyAlignment="1" applyProtection="1">
      <alignment horizontal="left"/>
      <protection locked="0"/>
    </xf>
    <xf numFmtId="0" fontId="29" fillId="9" borderId="0" xfId="0" applyNumberFormat="1" applyFont="1" applyFill="1" applyAlignment="1"/>
    <xf numFmtId="180" fontId="11" fillId="0" borderId="0" xfId="0" applyNumberFormat="1" applyFont="1" applyFill="1" applyBorder="1" applyAlignment="1">
      <alignment horizontal="center"/>
    </xf>
    <xf numFmtId="9" fontId="11" fillId="0" borderId="0" xfId="0" applyNumberFormat="1" applyFont="1" applyFill="1" applyBorder="1" applyAlignment="1">
      <alignment horizontal="left" wrapText="1"/>
    </xf>
    <xf numFmtId="0" fontId="11" fillId="9" borderId="0" xfId="0" applyNumberFormat="1" applyFont="1" applyFill="1" applyAlignment="1" applyProtection="1">
      <alignment horizontal="left"/>
      <protection locked="0"/>
    </xf>
    <xf numFmtId="0" fontId="11" fillId="9" borderId="0" xfId="0" applyNumberFormat="1" applyFont="1" applyFill="1" applyAlignment="1"/>
    <xf numFmtId="42" fontId="11" fillId="9" borderId="0" xfId="0" applyNumberFormat="1" applyFont="1" applyFill="1" applyBorder="1" applyAlignment="1"/>
    <xf numFmtId="41" fontId="11" fillId="0" borderId="0" xfId="0" applyNumberFormat="1" applyFont="1" applyFill="1" applyBorder="1" applyAlignment="1">
      <alignment vertical="center"/>
    </xf>
    <xf numFmtId="0" fontId="29" fillId="0" borderId="0" xfId="0" applyNumberFormat="1" applyFont="1" applyFill="1" applyAlignment="1"/>
    <xf numFmtId="181" fontId="11" fillId="0" borderId="0" xfId="0" applyNumberFormat="1" applyFont="1" applyFill="1" applyAlignment="1"/>
    <xf numFmtId="4" fontId="29" fillId="0" borderId="0" xfId="0" applyNumberFormat="1" applyFont="1" applyFill="1" applyAlignment="1"/>
    <xf numFmtId="41" fontId="11" fillId="9" borderId="0" xfId="0" applyNumberFormat="1" applyFont="1" applyFill="1" applyBorder="1" applyAlignment="1">
      <alignment horizontal="right"/>
    </xf>
    <xf numFmtId="0" fontId="11" fillId="0" borderId="0" xfId="0" applyFont="1" applyFill="1" applyBorder="1" applyAlignment="1">
      <alignment horizontal="left" wrapText="1"/>
    </xf>
    <xf numFmtId="165" fontId="11" fillId="0" borderId="12" xfId="0" applyNumberFormat="1" applyFont="1" applyFill="1" applyBorder="1" applyAlignment="1">
      <alignment horizontal="left" wrapText="1"/>
    </xf>
    <xf numFmtId="41" fontId="11" fillId="9" borderId="0" xfId="0" applyNumberFormat="1" applyFont="1" applyFill="1" applyBorder="1" applyAlignment="1" applyProtection="1">
      <protection locked="0"/>
    </xf>
    <xf numFmtId="37" fontId="11" fillId="0" borderId="3" xfId="0" applyNumberFormat="1" applyFont="1" applyFill="1" applyBorder="1" applyAlignment="1"/>
    <xf numFmtId="0" fontId="42" fillId="0" borderId="0" xfId="0" applyFont="1" applyFill="1" applyAlignment="1"/>
    <xf numFmtId="42" fontId="11" fillId="0" borderId="3" xfId="0" applyNumberFormat="1" applyFont="1" applyFill="1" applyBorder="1" applyAlignment="1"/>
    <xf numFmtId="42" fontId="36" fillId="0" borderId="0" xfId="0" applyNumberFormat="1" applyFont="1" applyFill="1" applyAlignment="1"/>
    <xf numFmtId="42" fontId="11" fillId="9" borderId="3" xfId="0" applyNumberFormat="1" applyFont="1" applyFill="1" applyBorder="1" applyAlignment="1" applyProtection="1">
      <protection locked="0"/>
    </xf>
    <xf numFmtId="167" fontId="39" fillId="0" borderId="0" xfId="0" applyNumberFormat="1" applyFont="1" applyFill="1" applyAlignment="1"/>
    <xf numFmtId="0" fontId="11" fillId="9" borderId="0" xfId="0" applyNumberFormat="1" applyFont="1" applyFill="1" applyAlignment="1">
      <alignment horizontal="left"/>
    </xf>
    <xf numFmtId="0" fontId="36" fillId="9" borderId="0" xfId="0" applyNumberFormat="1" applyFont="1" applyFill="1" applyAlignment="1"/>
    <xf numFmtId="170" fontId="11" fillId="9" borderId="0" xfId="0" applyNumberFormat="1" applyFont="1" applyFill="1" applyAlignment="1"/>
    <xf numFmtId="42" fontId="11" fillId="9" borderId="0" xfId="0" applyNumberFormat="1" applyFont="1" applyFill="1" applyBorder="1" applyAlignment="1" applyProtection="1">
      <protection locked="0"/>
    </xf>
    <xf numFmtId="3" fontId="36" fillId="0" borderId="0" xfId="0" applyNumberFormat="1" applyFont="1" applyFill="1" applyAlignment="1"/>
    <xf numFmtId="37" fontId="36" fillId="0" borderId="0" xfId="0" applyNumberFormat="1" applyFont="1" applyFill="1" applyBorder="1" applyAlignment="1" applyProtection="1">
      <alignment horizontal="left"/>
    </xf>
    <xf numFmtId="37" fontId="36" fillId="0" borderId="0" xfId="0" applyNumberFormat="1" applyFont="1" applyFill="1" applyAlignment="1" applyProtection="1">
      <alignment horizontal="left"/>
    </xf>
    <xf numFmtId="9" fontId="11" fillId="9" borderId="0" xfId="0" applyNumberFormat="1" applyFont="1" applyFill="1" applyAlignment="1"/>
    <xf numFmtId="43" fontId="11" fillId="9" borderId="0" xfId="0" applyNumberFormat="1" applyFont="1" applyFill="1" applyAlignment="1"/>
    <xf numFmtId="41" fontId="11" fillId="9" borderId="14" xfId="0" applyNumberFormat="1" applyFont="1" applyFill="1" applyBorder="1" applyAlignment="1" applyProtection="1">
      <protection locked="0"/>
    </xf>
    <xf numFmtId="10" fontId="36" fillId="0" borderId="0" xfId="0" applyNumberFormat="1" applyFont="1" applyFill="1" applyBorder="1" applyAlignment="1" applyProtection="1">
      <alignment horizontal="right"/>
    </xf>
    <xf numFmtId="37" fontId="36" fillId="0" borderId="0" xfId="0" applyNumberFormat="1" applyFont="1" applyFill="1" applyBorder="1" applyAlignment="1" applyProtection="1">
      <alignment horizontal="right"/>
    </xf>
    <xf numFmtId="42" fontId="14" fillId="9" borderId="7" xfId="0" applyNumberFormat="1" applyFont="1" applyFill="1" applyBorder="1" applyAlignment="1"/>
    <xf numFmtId="0" fontId="11" fillId="13" borderId="0" xfId="0" applyNumberFormat="1" applyFont="1" applyFill="1" applyAlignment="1"/>
    <xf numFmtId="0" fontId="11" fillId="13" borderId="0" xfId="0" applyNumberFormat="1" applyFont="1" applyFill="1" applyAlignment="1">
      <alignment horizontal="right"/>
    </xf>
    <xf numFmtId="42" fontId="14" fillId="13" borderId="0" xfId="0" applyNumberFormat="1" applyFont="1" applyFill="1" applyAlignment="1"/>
    <xf numFmtId="0" fontId="46" fillId="0" borderId="0" xfId="0" applyNumberFormat="1" applyFont="1" applyFill="1" applyBorder="1" applyAlignment="1">
      <alignment horizontal="centerContinuous"/>
    </xf>
    <xf numFmtId="0" fontId="11" fillId="0" borderId="0" xfId="0" applyNumberFormat="1" applyFont="1" applyFill="1" applyBorder="1" applyAlignment="1">
      <alignment horizontal="centerContinuous"/>
    </xf>
    <xf numFmtId="0" fontId="14" fillId="0" borderId="0" xfId="0" applyNumberFormat="1" applyFont="1" applyFill="1" applyBorder="1" applyAlignment="1" applyProtection="1">
      <alignment horizontal="centerContinuous"/>
      <protection locked="0"/>
    </xf>
    <xf numFmtId="18" fontId="11" fillId="0" borderId="0" xfId="0" applyNumberFormat="1" applyFont="1" applyFill="1" applyBorder="1" applyAlignment="1">
      <alignment horizontal="centerContinuous"/>
    </xf>
    <xf numFmtId="42" fontId="11" fillId="0" borderId="0" xfId="0" applyNumberFormat="1" applyFont="1" applyFill="1" applyAlignment="1">
      <alignment horizontal="left"/>
    </xf>
    <xf numFmtId="0" fontId="11" fillId="0" borderId="0" xfId="0" applyNumberFormat="1" applyFont="1" applyFill="1" applyBorder="1" applyAlignment="1" applyProtection="1">
      <alignment horizontal="centerContinuous"/>
      <protection locked="0"/>
    </xf>
    <xf numFmtId="182" fontId="36" fillId="0" borderId="0" xfId="0" applyNumberFormat="1" applyFont="1" applyFill="1" applyAlignment="1" applyProtection="1"/>
    <xf numFmtId="10" fontId="11" fillId="0" borderId="0" xfId="0" applyNumberFormat="1" applyFont="1" applyFill="1" applyAlignment="1" applyProtection="1">
      <protection locked="0"/>
    </xf>
    <xf numFmtId="0" fontId="14" fillId="0" borderId="0" xfId="0" applyNumberFormat="1" applyFont="1" applyFill="1" applyBorder="1" applyAlignment="1">
      <alignment horizontal="left"/>
    </xf>
    <xf numFmtId="170" fontId="11" fillId="0" borderId="0" xfId="0" applyNumberFormat="1" applyFont="1" applyFill="1" applyBorder="1" applyAlignment="1">
      <alignment horizontal="right"/>
    </xf>
    <xf numFmtId="183" fontId="11" fillId="0" borderId="0" xfId="0" applyNumberFormat="1" applyFont="1" applyFill="1" applyAlignment="1" applyProtection="1">
      <alignment horizontal="left"/>
    </xf>
    <xf numFmtId="42" fontId="11" fillId="9" borderId="0" xfId="0" applyNumberFormat="1" applyFont="1" applyFill="1" applyAlignment="1"/>
    <xf numFmtId="10" fontId="11" fillId="0" borderId="0" xfId="0" applyNumberFormat="1" applyFont="1" applyFill="1" applyBorder="1" applyAlignment="1"/>
    <xf numFmtId="41" fontId="11" fillId="9" borderId="0" xfId="0" applyNumberFormat="1" applyFont="1" applyFill="1" applyAlignment="1"/>
    <xf numFmtId="0" fontId="27" fillId="0" borderId="0" xfId="0" applyNumberFormat="1" applyFont="1" applyFill="1" applyAlignment="1"/>
    <xf numFmtId="41" fontId="11" fillId="9" borderId="14" xfId="0" applyNumberFormat="1" applyFont="1" applyFill="1" applyBorder="1" applyAlignment="1"/>
    <xf numFmtId="42" fontId="11" fillId="9" borderId="7" xfId="0" applyNumberFormat="1" applyFont="1" applyFill="1" applyBorder="1" applyAlignment="1" applyProtection="1"/>
    <xf numFmtId="42" fontId="11" fillId="0" borderId="7" xfId="0" applyNumberFormat="1" applyFont="1" applyFill="1" applyBorder="1" applyAlignment="1" applyProtection="1"/>
    <xf numFmtId="42" fontId="11" fillId="0" borderId="13" xfId="0" applyNumberFormat="1" applyFont="1" applyFill="1" applyBorder="1" applyAlignment="1" applyProtection="1"/>
    <xf numFmtId="184" fontId="11" fillId="0" borderId="0" xfId="0" applyNumberFormat="1" applyFont="1" applyFill="1" applyBorder="1" applyAlignment="1" applyProtection="1">
      <protection locked="0"/>
    </xf>
    <xf numFmtId="49" fontId="27" fillId="0" borderId="0" xfId="0" applyNumberFormat="1" applyFont="1" applyFill="1" applyAlignment="1"/>
    <xf numFmtId="41" fontId="11" fillId="0" borderId="0" xfId="6" applyNumberFormat="1" applyFont="1" applyFill="1" applyAlignment="1"/>
    <xf numFmtId="41" fontId="27" fillId="0" borderId="0" xfId="6" applyNumberFormat="1" applyFont="1" applyFill="1" applyAlignment="1"/>
    <xf numFmtId="42" fontId="27" fillId="0" borderId="0" xfId="0" applyNumberFormat="1" applyFont="1" applyFill="1" applyAlignment="1"/>
    <xf numFmtId="3" fontId="11" fillId="0" borderId="0" xfId="0" applyNumberFormat="1" applyFont="1" applyFill="1" applyBorder="1" applyAlignment="1"/>
    <xf numFmtId="0" fontId="11" fillId="13" borderId="12" xfId="0" applyNumberFormat="1" applyFont="1" applyFill="1" applyBorder="1" applyAlignment="1"/>
    <xf numFmtId="0" fontId="27" fillId="13" borderId="12" xfId="0" applyNumberFormat="1" applyFont="1" applyFill="1" applyBorder="1" applyAlignment="1"/>
    <xf numFmtId="0" fontId="11" fillId="13" borderId="12" xfId="0" applyNumberFormat="1" applyFont="1" applyFill="1" applyBorder="1" applyAlignment="1">
      <alignment horizontal="left"/>
    </xf>
    <xf numFmtId="0" fontId="11" fillId="1" borderId="21" xfId="0" applyFont="1" applyFill="1" applyBorder="1" applyAlignment="1">
      <alignment horizontal="left"/>
    </xf>
    <xf numFmtId="41" fontId="11" fillId="1" borderId="3" xfId="0" applyNumberFormat="1" applyFont="1" applyFill="1" applyBorder="1" applyAlignment="1" applyProtection="1">
      <protection locked="0"/>
    </xf>
    <xf numFmtId="0" fontId="11" fillId="1" borderId="15" xfId="0" applyNumberFormat="1" applyFont="1" applyFill="1" applyBorder="1" applyAlignment="1"/>
    <xf numFmtId="41" fontId="11" fillId="1" borderId="0" xfId="0" applyNumberFormat="1" applyFont="1" applyFill="1" applyBorder="1" applyAlignment="1"/>
    <xf numFmtId="0" fontId="11" fillId="8" borderId="21" xfId="0" applyNumberFormat="1" applyFont="1" applyFill="1" applyBorder="1" applyAlignment="1">
      <alignment horizontal="left"/>
    </xf>
    <xf numFmtId="41" fontId="11" fillId="8" borderId="3" xfId="0" applyNumberFormat="1" applyFont="1" applyFill="1" applyBorder="1" applyAlignment="1"/>
    <xf numFmtId="41" fontId="11" fillId="8" borderId="0" xfId="0" applyNumberFormat="1" applyFont="1" applyFill="1" applyBorder="1" applyAlignment="1"/>
    <xf numFmtId="0" fontId="11" fillId="8" borderId="15" xfId="0" applyNumberFormat="1" applyFont="1" applyFill="1" applyBorder="1" applyAlignment="1"/>
    <xf numFmtId="3" fontId="29" fillId="0" borderId="0" xfId="0" applyNumberFormat="1" applyFont="1" applyAlignment="1"/>
    <xf numFmtId="0" fontId="14" fillId="0" borderId="0" xfId="0" applyNumberFormat="1" applyFont="1" applyFill="1" applyAlignment="1">
      <alignment horizontal="left" vertical="top"/>
    </xf>
    <xf numFmtId="0" fontId="29" fillId="0" borderId="0" xfId="0" applyNumberFormat="1" applyFont="1" applyAlignment="1">
      <alignment horizontal="left" vertical="top"/>
    </xf>
    <xf numFmtId="3" fontId="20" fillId="0" borderId="23" xfId="0" applyNumberFormat="1" applyFont="1" applyFill="1" applyBorder="1"/>
    <xf numFmtId="185" fontId="20" fillId="0" borderId="0" xfId="0" applyNumberFormat="1" applyFont="1"/>
    <xf numFmtId="44" fontId="20" fillId="0" borderId="0" xfId="1" applyFont="1"/>
    <xf numFmtId="185" fontId="20" fillId="0" borderId="0" xfId="1" applyNumberFormat="1" applyFont="1"/>
    <xf numFmtId="186" fontId="20" fillId="0" borderId="0" xfId="0" applyNumberFormat="1" applyFont="1"/>
    <xf numFmtId="0" fontId="28" fillId="0" borderId="0" xfId="0" applyFont="1" applyAlignment="1">
      <alignment horizontal="right"/>
    </xf>
    <xf numFmtId="6" fontId="20" fillId="0" borderId="0" xfId="0" applyNumberFormat="1" applyFont="1"/>
    <xf numFmtId="9" fontId="20" fillId="0" borderId="0" xfId="0" applyNumberFormat="1" applyFont="1"/>
    <xf numFmtId="0" fontId="20" fillId="0" borderId="0" xfId="0" quotePrefix="1" applyFont="1"/>
    <xf numFmtId="0" fontId="28" fillId="0" borderId="22" xfId="0" applyFont="1" applyBorder="1" applyAlignment="1">
      <alignment horizontal="center"/>
    </xf>
    <xf numFmtId="0" fontId="28" fillId="0" borderId="22" xfId="0" applyFont="1" applyBorder="1"/>
    <xf numFmtId="9" fontId="28" fillId="0" borderId="16" xfId="0" applyNumberFormat="1" applyFont="1" applyBorder="1"/>
    <xf numFmtId="6" fontId="20" fillId="0" borderId="19" xfId="0" applyNumberFormat="1" applyFont="1" applyBorder="1"/>
    <xf numFmtId="0" fontId="28" fillId="0" borderId="16" xfId="0" applyFont="1" applyBorder="1"/>
    <xf numFmtId="6" fontId="20" fillId="0" borderId="22" xfId="0" applyNumberFormat="1" applyFont="1" applyBorder="1"/>
    <xf numFmtId="9" fontId="20" fillId="0" borderId="22" xfId="2" applyFont="1" applyBorder="1"/>
    <xf numFmtId="0" fontId="28" fillId="0" borderId="14" xfId="0" applyFont="1" applyBorder="1"/>
    <xf numFmtId="0" fontId="28" fillId="0" borderId="14" xfId="0" applyFont="1" applyBorder="1" applyAlignment="1">
      <alignment horizontal="right"/>
    </xf>
    <xf numFmtId="165" fontId="28" fillId="0" borderId="0" xfId="1" applyNumberFormat="1" applyFont="1"/>
    <xf numFmtId="10" fontId="28" fillId="0" borderId="0" xfId="0" applyNumberFormat="1" applyFont="1"/>
    <xf numFmtId="0" fontId="28" fillId="0" borderId="40" xfId="0" applyFont="1" applyBorder="1"/>
    <xf numFmtId="0" fontId="20" fillId="0" borderId="24" xfId="0" applyFont="1" applyBorder="1"/>
    <xf numFmtId="0" fontId="20" fillId="0" borderId="25" xfId="0" applyFont="1" applyBorder="1"/>
    <xf numFmtId="0" fontId="28" fillId="0" borderId="0" xfId="0" applyFont="1" applyAlignment="1">
      <alignment horizontal="left"/>
    </xf>
    <xf numFmtId="0" fontId="20" fillId="0" borderId="21" xfId="0" applyFont="1" applyBorder="1"/>
    <xf numFmtId="0" fontId="20" fillId="0" borderId="3" xfId="0" applyFont="1" applyBorder="1"/>
    <xf numFmtId="0" fontId="28" fillId="0" borderId="3" xfId="0" applyFont="1" applyBorder="1"/>
    <xf numFmtId="0" fontId="28" fillId="0" borderId="3" xfId="0" applyFont="1" applyBorder="1" applyAlignment="1">
      <alignment horizontal="right" wrapText="1"/>
    </xf>
    <xf numFmtId="0" fontId="28" fillId="0" borderId="41" xfId="0" applyFont="1" applyBorder="1" applyAlignment="1">
      <alignment horizontal="right"/>
    </xf>
    <xf numFmtId="0" fontId="20" fillId="0" borderId="15" xfId="0" applyFont="1" applyBorder="1"/>
    <xf numFmtId="0" fontId="20" fillId="0" borderId="42" xfId="0" applyFont="1" applyBorder="1"/>
    <xf numFmtId="0" fontId="21" fillId="0" borderId="15" xfId="0" applyFont="1" applyBorder="1"/>
    <xf numFmtId="0" fontId="28" fillId="0" borderId="15" xfId="0" applyFont="1" applyBorder="1"/>
    <xf numFmtId="0" fontId="28" fillId="0" borderId="0" xfId="0" applyFont="1" applyBorder="1"/>
    <xf numFmtId="0" fontId="33" fillId="0" borderId="15" xfId="0" applyFont="1" applyBorder="1" applyAlignment="1">
      <alignment horizontal="right" indent="1"/>
    </xf>
    <xf numFmtId="167" fontId="33" fillId="0" borderId="0" xfId="3" applyNumberFormat="1" applyFont="1" applyBorder="1" applyAlignment="1">
      <alignment horizontal="right" indent="1"/>
    </xf>
    <xf numFmtId="0" fontId="33" fillId="0" borderId="0" xfId="0" applyFont="1" applyBorder="1" applyAlignment="1">
      <alignment horizontal="right" indent="1"/>
    </xf>
    <xf numFmtId="9" fontId="20" fillId="0" borderId="42" xfId="2" applyFont="1" applyBorder="1"/>
    <xf numFmtId="1" fontId="33" fillId="0" borderId="0" xfId="0" applyNumberFormat="1" applyFont="1" applyBorder="1" applyAlignment="1">
      <alignment horizontal="right" indent="1"/>
    </xf>
    <xf numFmtId="0" fontId="34" fillId="0" borderId="15" xfId="0" applyFont="1" applyBorder="1" applyAlignment="1">
      <alignment horizontal="right" indent="1"/>
    </xf>
    <xf numFmtId="0" fontId="34" fillId="0" borderId="0" xfId="0" applyFont="1" applyBorder="1" applyAlignment="1">
      <alignment horizontal="right" indent="1"/>
    </xf>
    <xf numFmtId="165" fontId="28" fillId="0" borderId="0" xfId="1" applyNumberFormat="1" applyFont="1" applyBorder="1"/>
    <xf numFmtId="0" fontId="34" fillId="0" borderId="36" xfId="0" applyFont="1" applyBorder="1" applyAlignment="1">
      <alignment horizontal="right" indent="1"/>
    </xf>
    <xf numFmtId="0" fontId="34" fillId="0" borderId="14" xfId="0" applyFont="1" applyBorder="1" applyAlignment="1">
      <alignment horizontal="right" indent="1"/>
    </xf>
    <xf numFmtId="165" fontId="28" fillId="0" borderId="14" xfId="1" applyNumberFormat="1" applyFont="1" applyBorder="1"/>
    <xf numFmtId="9" fontId="20" fillId="0" borderId="43" xfId="2" applyFont="1" applyBorder="1"/>
    <xf numFmtId="0" fontId="21" fillId="0" borderId="21" xfId="0" applyFont="1" applyBorder="1"/>
    <xf numFmtId="0" fontId="28" fillId="0" borderId="41" xfId="0" applyFont="1" applyBorder="1"/>
    <xf numFmtId="42" fontId="20" fillId="0" borderId="0" xfId="0" applyNumberFormat="1" applyFont="1" applyBorder="1"/>
    <xf numFmtId="165" fontId="20" fillId="0" borderId="42" xfId="1" applyNumberFormat="1" applyFont="1" applyBorder="1"/>
    <xf numFmtId="0" fontId="33" fillId="0" borderId="15" xfId="0" applyFont="1" applyBorder="1" applyAlignment="1">
      <alignment horizontal="right"/>
    </xf>
    <xf numFmtId="168" fontId="20" fillId="0" borderId="0" xfId="2" applyNumberFormat="1" applyFont="1" applyBorder="1"/>
    <xf numFmtId="165" fontId="20" fillId="0" borderId="0" xfId="2" applyNumberFormat="1" applyFont="1" applyBorder="1"/>
    <xf numFmtId="9" fontId="20" fillId="0" borderId="0" xfId="0" applyNumberFormat="1" applyFont="1" applyBorder="1"/>
    <xf numFmtId="0" fontId="34" fillId="0" borderId="15" xfId="0" applyFont="1" applyBorder="1"/>
    <xf numFmtId="0" fontId="28" fillId="0" borderId="15" xfId="0" applyFont="1" applyBorder="1" applyAlignment="1">
      <alignment horizontal="right"/>
    </xf>
    <xf numFmtId="165" fontId="28" fillId="0" borderId="42" xfId="1" applyNumberFormat="1" applyFont="1" applyBorder="1"/>
    <xf numFmtId="0" fontId="28" fillId="0" borderId="36" xfId="0" applyFont="1" applyBorder="1" applyAlignment="1">
      <alignment horizontal="right"/>
    </xf>
    <xf numFmtId="165" fontId="28" fillId="0" borderId="43" xfId="1" applyNumberFormat="1" applyFont="1" applyBorder="1"/>
    <xf numFmtId="0" fontId="20" fillId="0" borderId="0" xfId="0" applyFont="1" applyAlignment="1">
      <alignment horizontal="left" wrapText="1"/>
    </xf>
    <xf numFmtId="0" fontId="28" fillId="0" borderId="24" xfId="0" applyFont="1" applyBorder="1" applyAlignment="1">
      <alignment horizontal="center"/>
    </xf>
    <xf numFmtId="0" fontId="28" fillId="0" borderId="12" xfId="0" applyFont="1" applyBorder="1" applyAlignment="1">
      <alignment horizontal="center"/>
    </xf>
    <xf numFmtId="0" fontId="28" fillId="0" borderId="25" xfId="0" applyFont="1" applyBorder="1" applyAlignment="1">
      <alignment horizontal="center"/>
    </xf>
    <xf numFmtId="0" fontId="28" fillId="0" borderId="24" xfId="0" applyFont="1" applyBorder="1" applyAlignment="1">
      <alignment horizontal="center" wrapText="1"/>
    </xf>
    <xf numFmtId="0" fontId="28" fillId="0" borderId="12" xfId="0" applyFont="1" applyBorder="1" applyAlignment="1">
      <alignment horizontal="center" wrapText="1"/>
    </xf>
    <xf numFmtId="0" fontId="28" fillId="0" borderId="25" xfId="0" applyFont="1" applyBorder="1" applyAlignment="1">
      <alignment horizontal="center" wrapText="1"/>
    </xf>
    <xf numFmtId="0" fontId="28" fillId="7" borderId="15" xfId="0" applyFont="1" applyFill="1" applyBorder="1" applyAlignment="1">
      <alignment horizontal="center" wrapText="1"/>
    </xf>
    <xf numFmtId="0" fontId="28" fillId="7" borderId="0" xfId="0" applyFont="1" applyFill="1" applyBorder="1" applyAlignment="1">
      <alignment horizontal="center" wrapText="1"/>
    </xf>
    <xf numFmtId="0" fontId="28" fillId="5" borderId="0" xfId="0" applyFont="1" applyFill="1" applyAlignment="1">
      <alignment horizontal="center" vertical="center" wrapText="1"/>
    </xf>
    <xf numFmtId="0" fontId="4" fillId="0" borderId="1" xfId="0" applyFont="1" applyBorder="1" applyAlignment="1">
      <alignment horizontal="center"/>
    </xf>
    <xf numFmtId="0" fontId="4" fillId="0" borderId="0" xfId="0" applyFont="1" applyBorder="1" applyAlignment="1">
      <alignment horizontal="center"/>
    </xf>
    <xf numFmtId="0" fontId="4" fillId="0" borderId="2" xfId="0" applyFont="1" applyBorder="1" applyAlignment="1">
      <alignment horizontal="center"/>
    </xf>
    <xf numFmtId="0" fontId="28" fillId="0" borderId="0" xfId="0" applyFont="1" applyAlignment="1">
      <alignment horizontal="center" vertical="center" wrapText="1"/>
    </xf>
    <xf numFmtId="0" fontId="2" fillId="4" borderId="0" xfId="0" applyFont="1" applyFill="1" applyAlignment="1">
      <alignment horizontal="center"/>
    </xf>
    <xf numFmtId="0" fontId="28" fillId="4" borderId="12" xfId="0" applyFont="1" applyFill="1" applyBorder="1" applyAlignment="1">
      <alignment horizontal="center"/>
    </xf>
    <xf numFmtId="0" fontId="28" fillId="4" borderId="25" xfId="0" applyFont="1" applyFill="1" applyBorder="1" applyAlignment="1">
      <alignment horizontal="center"/>
    </xf>
  </cellXfs>
  <cellStyles count="9">
    <cellStyle name="3_RowTitle" xfId="8"/>
    <cellStyle name="4_Percent" xfId="7"/>
    <cellStyle name="Comma" xfId="3" builtinId="3"/>
    <cellStyle name="Comma 2" xfId="6"/>
    <cellStyle name="Currency" xfId="1" builtinId="4"/>
    <cellStyle name="Normal" xfId="0" builtinId="0"/>
    <cellStyle name="Normal 3" xfId="5"/>
    <cellStyle name="Normal 8" xfId="4"/>
    <cellStyle name="Percent" xfId="2" builtinId="5"/>
  </cellStyles>
  <dxfs count="18">
    <dxf>
      <fill>
        <patternFill>
          <bgColor indexed="10"/>
        </patternFill>
      </fill>
    </dxf>
    <dxf>
      <fill>
        <patternFill>
          <bgColor indexed="50"/>
        </patternFill>
      </fill>
    </dxf>
    <dxf>
      <fill>
        <patternFill>
          <bgColor indexed="10"/>
        </patternFill>
      </fill>
    </dxf>
    <dxf>
      <fill>
        <patternFill>
          <bgColor indexed="50"/>
        </patternFill>
      </fill>
    </dxf>
    <dxf>
      <fill>
        <patternFill>
          <bgColor indexed="10"/>
        </patternFill>
      </fill>
    </dxf>
    <dxf>
      <fill>
        <patternFill>
          <bgColor indexed="50"/>
        </patternFill>
      </fill>
    </dxf>
    <dxf>
      <fill>
        <patternFill>
          <bgColor indexed="10"/>
        </patternFill>
      </fill>
    </dxf>
    <dxf>
      <fill>
        <patternFill>
          <bgColor indexed="50"/>
        </patternFill>
      </fill>
    </dxf>
    <dxf>
      <fill>
        <patternFill>
          <bgColor indexed="10"/>
        </patternFill>
      </fill>
    </dxf>
    <dxf>
      <fill>
        <patternFill>
          <bgColor indexed="50"/>
        </patternFill>
      </fill>
    </dxf>
    <dxf>
      <font>
        <b/>
        <i val="0"/>
      </font>
      <numFmt numFmtId="32" formatCode="_(&quot;$&quot;* #,##0_);_(&quot;$&quot;* \(#,##0\);_(&quot;$&quot;* &quot;-&quot;_);_(@_)"/>
      <fill>
        <patternFill>
          <bgColor rgb="FFFF0000"/>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2800" b="1"/>
              <a:t>Incremental Cost Estimate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9361653910126344E-2"/>
          <c:y val="0.10146067415730337"/>
          <c:w val="0.60375524378270273"/>
          <c:h val="0.85509687693532688"/>
        </c:manualLayout>
      </c:layout>
      <c:lineChart>
        <c:grouping val="standard"/>
        <c:varyColors val="0"/>
        <c:ser>
          <c:idx val="0"/>
          <c:order val="0"/>
          <c:tx>
            <c:v>Estimated 2% Rate Increase</c:v>
          </c:tx>
          <c:spPr>
            <a:ln w="28575" cap="rnd">
              <a:solidFill>
                <a:schemeClr val="accent1"/>
              </a:solidFill>
              <a:round/>
            </a:ln>
            <a:effectLst/>
          </c:spPr>
          <c:marker>
            <c:symbol val="none"/>
          </c:marker>
          <c:cat>
            <c:numRef>
              <c:f>'7. Incremental Cost'!$E$3:$M$3</c:f>
              <c:numCache>
                <c:formatCode>General</c:formatCode>
                <c:ptCount val="9"/>
                <c:pt idx="0">
                  <c:v>2022</c:v>
                </c:pt>
                <c:pt idx="1">
                  <c:v>2023</c:v>
                </c:pt>
                <c:pt idx="2">
                  <c:v>2024</c:v>
                </c:pt>
                <c:pt idx="3">
                  <c:v>2025</c:v>
                </c:pt>
                <c:pt idx="4">
                  <c:v>2026</c:v>
                </c:pt>
                <c:pt idx="5">
                  <c:v>2027</c:v>
                </c:pt>
                <c:pt idx="6">
                  <c:v>2028</c:v>
                </c:pt>
                <c:pt idx="7">
                  <c:v>2029</c:v>
                </c:pt>
                <c:pt idx="8">
                  <c:v>2030</c:v>
                </c:pt>
              </c:numCache>
            </c:numRef>
          </c:cat>
          <c:val>
            <c:numRef>
              <c:f>'7. Incremental Cost'!$E$10:$M$10</c:f>
              <c:numCache>
                <c:formatCode>_(* #,##0_);_(* \(#,##0\);_(* "-"??_);_(@_)</c:formatCode>
                <c:ptCount val="9"/>
              </c:numCache>
            </c:numRef>
          </c:val>
          <c:smooth val="0"/>
          <c:extLst>
            <c:ext xmlns:c16="http://schemas.microsoft.com/office/drawing/2014/chart" uri="{C3380CC4-5D6E-409C-BE32-E72D297353CC}">
              <c16:uniqueId val="{00000000-0EE4-444F-9E1A-8D632D700D9D}"/>
            </c:ext>
          </c:extLst>
        </c:ser>
        <c:ser>
          <c:idx val="1"/>
          <c:order val="1"/>
          <c:tx>
            <c:v>Balanced Distributed Energy Resources</c:v>
          </c:tx>
          <c:spPr>
            <a:ln w="28575" cap="rnd">
              <a:solidFill>
                <a:schemeClr val="accent2"/>
              </a:solidFill>
              <a:round/>
            </a:ln>
            <a:effectLst/>
          </c:spPr>
          <c:marker>
            <c:symbol val="none"/>
          </c:marker>
          <c:cat>
            <c:numRef>
              <c:f>'7. Incremental Cost'!$E$3:$M$3</c:f>
              <c:numCache>
                <c:formatCode>General</c:formatCode>
                <c:ptCount val="9"/>
                <c:pt idx="0">
                  <c:v>2022</c:v>
                </c:pt>
                <c:pt idx="1">
                  <c:v>2023</c:v>
                </c:pt>
                <c:pt idx="2">
                  <c:v>2024</c:v>
                </c:pt>
                <c:pt idx="3">
                  <c:v>2025</c:v>
                </c:pt>
                <c:pt idx="4">
                  <c:v>2026</c:v>
                </c:pt>
                <c:pt idx="5">
                  <c:v>2027</c:v>
                </c:pt>
                <c:pt idx="6">
                  <c:v>2028</c:v>
                </c:pt>
                <c:pt idx="7">
                  <c:v>2029</c:v>
                </c:pt>
                <c:pt idx="8">
                  <c:v>2030</c:v>
                </c:pt>
              </c:numCache>
            </c:numRef>
          </c:cat>
          <c:val>
            <c:numRef>
              <c:f>'7. Incremental Cost'!$E$57:$M$57</c:f>
              <c:numCache>
                <c:formatCode>_(* #,##0_);_(* \(#,##0\);_(* "-"??_);_(@_)</c:formatCode>
                <c:ptCount val="9"/>
              </c:numCache>
            </c:numRef>
          </c:val>
          <c:smooth val="0"/>
          <c:extLst>
            <c:ext xmlns:c16="http://schemas.microsoft.com/office/drawing/2014/chart" uri="{C3380CC4-5D6E-409C-BE32-E72D297353CC}">
              <c16:uniqueId val="{00000001-0EE4-444F-9E1A-8D632D700D9D}"/>
            </c:ext>
          </c:extLst>
        </c:ser>
        <c:ser>
          <c:idx val="2"/>
          <c:order val="2"/>
          <c:tx>
            <c:v>Maximum Customer Benefit Distributed Energy Resources</c:v>
          </c:tx>
          <c:spPr>
            <a:ln w="28575" cap="rnd">
              <a:solidFill>
                <a:schemeClr val="accent3"/>
              </a:solidFill>
              <a:round/>
            </a:ln>
            <a:effectLst/>
          </c:spPr>
          <c:marker>
            <c:symbol val="none"/>
          </c:marker>
          <c:cat>
            <c:numRef>
              <c:f>'7. Incremental Cost'!$E$3:$M$3</c:f>
              <c:numCache>
                <c:formatCode>General</c:formatCode>
                <c:ptCount val="9"/>
                <c:pt idx="0">
                  <c:v>2022</c:v>
                </c:pt>
                <c:pt idx="1">
                  <c:v>2023</c:v>
                </c:pt>
                <c:pt idx="2">
                  <c:v>2024</c:v>
                </c:pt>
                <c:pt idx="3">
                  <c:v>2025</c:v>
                </c:pt>
                <c:pt idx="4">
                  <c:v>2026</c:v>
                </c:pt>
                <c:pt idx="5">
                  <c:v>2027</c:v>
                </c:pt>
                <c:pt idx="6">
                  <c:v>2028</c:v>
                </c:pt>
                <c:pt idx="7">
                  <c:v>2029</c:v>
                </c:pt>
                <c:pt idx="8">
                  <c:v>2030</c:v>
                </c:pt>
              </c:numCache>
            </c:numRef>
          </c:cat>
          <c:val>
            <c:numRef>
              <c:f>'7. Incremental Cost'!$E$86:$M$86</c:f>
              <c:numCache>
                <c:formatCode>_(* #,##0_);_(* \(#,##0\);_(* "-"??_);_(@_)</c:formatCode>
                <c:ptCount val="9"/>
              </c:numCache>
            </c:numRef>
          </c:val>
          <c:smooth val="0"/>
          <c:extLst>
            <c:ext xmlns:c16="http://schemas.microsoft.com/office/drawing/2014/chart" uri="{C3380CC4-5D6E-409C-BE32-E72D297353CC}">
              <c16:uniqueId val="{00000002-0EE4-444F-9E1A-8D632D700D9D}"/>
            </c:ext>
          </c:extLst>
        </c:ser>
        <c:ser>
          <c:idx val="3"/>
          <c:order val="3"/>
          <c:tx>
            <c:v>Lowest Cost Distributed Energy Resources</c:v>
          </c:tx>
          <c:spPr>
            <a:ln w="28575" cap="rnd">
              <a:solidFill>
                <a:schemeClr val="accent4"/>
              </a:solidFill>
              <a:round/>
            </a:ln>
            <a:effectLst/>
          </c:spPr>
          <c:marker>
            <c:symbol val="none"/>
          </c:marker>
          <c:cat>
            <c:numRef>
              <c:f>'7. Incremental Cost'!$E$3:$M$3</c:f>
              <c:numCache>
                <c:formatCode>General</c:formatCode>
                <c:ptCount val="9"/>
                <c:pt idx="0">
                  <c:v>2022</c:v>
                </c:pt>
                <c:pt idx="1">
                  <c:v>2023</c:v>
                </c:pt>
                <c:pt idx="2">
                  <c:v>2024</c:v>
                </c:pt>
                <c:pt idx="3">
                  <c:v>2025</c:v>
                </c:pt>
                <c:pt idx="4">
                  <c:v>2026</c:v>
                </c:pt>
                <c:pt idx="5">
                  <c:v>2027</c:v>
                </c:pt>
                <c:pt idx="6">
                  <c:v>2028</c:v>
                </c:pt>
                <c:pt idx="7">
                  <c:v>2029</c:v>
                </c:pt>
                <c:pt idx="8">
                  <c:v>2030</c:v>
                </c:pt>
              </c:numCache>
            </c:numRef>
          </c:cat>
          <c:val>
            <c:numRef>
              <c:f>'7. Incremental Cost'!$E$23:$M$23</c:f>
              <c:numCache>
                <c:formatCode>_("$"* #,##0_);_("$"* \(#,##0\);_("$"* "-"??_);_(@_)</c:formatCode>
                <c:ptCount val="9"/>
                <c:pt idx="0" formatCode="_(&quot;$&quot;* #,##0.00_);_(&quot;$&quot;* \(#,##0.00\);_(&quot;$&quot;* &quot;-&quot;??_);_(@_)">
                  <c:v>38322.979908338493</c:v>
                </c:pt>
                <c:pt idx="1">
                  <c:v>71189.797677214359</c:v>
                </c:pt>
                <c:pt idx="2">
                  <c:v>171223.07424882957</c:v>
                </c:pt>
                <c:pt idx="3">
                  <c:v>164758.77410791843</c:v>
                </c:pt>
                <c:pt idx="4">
                  <c:v>203664.84843947942</c:v>
                </c:pt>
                <c:pt idx="5">
                  <c:v>392024.69684177957</c:v>
                </c:pt>
                <c:pt idx="6">
                  <c:v>464282.00435861881</c:v>
                </c:pt>
                <c:pt idx="7">
                  <c:v>528064.69840945792</c:v>
                </c:pt>
                <c:pt idx="8">
                  <c:v>539435.61319518473</c:v>
                </c:pt>
              </c:numCache>
            </c:numRef>
          </c:val>
          <c:smooth val="0"/>
          <c:extLst>
            <c:ext xmlns:c16="http://schemas.microsoft.com/office/drawing/2014/chart" uri="{C3380CC4-5D6E-409C-BE32-E72D297353CC}">
              <c16:uniqueId val="{00000003-0EE4-444F-9E1A-8D632D700D9D}"/>
            </c:ext>
          </c:extLst>
        </c:ser>
        <c:dLbls>
          <c:showLegendKey val="0"/>
          <c:showVal val="0"/>
          <c:showCatName val="0"/>
          <c:showSerName val="0"/>
          <c:showPercent val="0"/>
          <c:showBubbleSize val="0"/>
        </c:dLbls>
        <c:smooth val="0"/>
        <c:axId val="1329977488"/>
        <c:axId val="1329977160"/>
      </c:lineChart>
      <c:catAx>
        <c:axId val="13299774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9977160"/>
        <c:crosses val="autoZero"/>
        <c:auto val="1"/>
        <c:lblAlgn val="ctr"/>
        <c:lblOffset val="100"/>
        <c:noMultiLvlLbl val="0"/>
      </c:catAx>
      <c:valAx>
        <c:axId val="13299771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400" b="1"/>
                  <a:t>Annual</a:t>
                </a:r>
                <a:r>
                  <a:rPr lang="en-US" sz="1400" b="1" baseline="0"/>
                  <a:t> Incremental Cost ($000)</a:t>
                </a:r>
                <a:endParaRPr lang="en-US" sz="1400" b="1"/>
              </a:p>
            </c:rich>
          </c:tx>
          <c:layout>
            <c:manualLayout>
              <c:xMode val="edge"/>
              <c:yMode val="edge"/>
              <c:x val="9.2439103466524803E-3"/>
              <c:y val="0.3016209337469180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9977488"/>
        <c:crosses val="autoZero"/>
        <c:crossBetween val="between"/>
      </c:valAx>
      <c:spPr>
        <a:noFill/>
        <a:ln>
          <a:noFill/>
        </a:ln>
        <a:effectLst/>
      </c:spPr>
    </c:plotArea>
    <c:legend>
      <c:legendPos val="r"/>
      <c:layout>
        <c:manualLayout>
          <c:xMode val="edge"/>
          <c:yMode val="edge"/>
          <c:x val="0.74628956771969768"/>
          <c:y val="0.33947064201244509"/>
          <c:w val="0.23463412705941877"/>
          <c:h val="0.30641452121855556"/>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2800" b="1"/>
              <a:t>Aggregate Incremental Cost Estimate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9361653910126344E-2"/>
          <c:y val="0.10146067415730337"/>
          <c:w val="0.60375524378270273"/>
          <c:h val="0.85509687693532688"/>
        </c:manualLayout>
      </c:layout>
      <c:lineChart>
        <c:grouping val="standard"/>
        <c:varyColors val="0"/>
        <c:ser>
          <c:idx val="0"/>
          <c:order val="0"/>
          <c:tx>
            <c:v>Aggregate 2%</c:v>
          </c:tx>
          <c:spPr>
            <a:ln w="28575" cap="rnd">
              <a:solidFill>
                <a:schemeClr val="accent1"/>
              </a:solidFill>
              <a:round/>
            </a:ln>
            <a:effectLst/>
          </c:spPr>
          <c:marker>
            <c:symbol val="none"/>
          </c:marker>
          <c:cat>
            <c:numRef>
              <c:f>'7. Incremental Cost'!$E$3:$M$3</c:f>
              <c:numCache>
                <c:formatCode>General</c:formatCode>
                <c:ptCount val="9"/>
                <c:pt idx="0">
                  <c:v>2022</c:v>
                </c:pt>
                <c:pt idx="1">
                  <c:v>2023</c:v>
                </c:pt>
                <c:pt idx="2">
                  <c:v>2024</c:v>
                </c:pt>
                <c:pt idx="3">
                  <c:v>2025</c:v>
                </c:pt>
                <c:pt idx="4">
                  <c:v>2026</c:v>
                </c:pt>
                <c:pt idx="5">
                  <c:v>2027</c:v>
                </c:pt>
                <c:pt idx="6">
                  <c:v>2028</c:v>
                </c:pt>
                <c:pt idx="7">
                  <c:v>2029</c:v>
                </c:pt>
                <c:pt idx="8">
                  <c:v>2030</c:v>
                </c:pt>
              </c:numCache>
            </c:numRef>
          </c:cat>
          <c:val>
            <c:numRef>
              <c:f>'2% Inc Cost Sum Charts'!$B$14:$J$14</c:f>
              <c:numCache>
                <c:formatCode>"$"#,##0_);[Red]\("$"#,##0\)</c:formatCode>
                <c:ptCount val="9"/>
                <c:pt idx="0">
                  <c:v>40761.000476842033</c:v>
                </c:pt>
                <c:pt idx="1">
                  <c:v>124117.24645198399</c:v>
                </c:pt>
                <c:pt idx="2">
                  <c:v>251965.14347261091</c:v>
                </c:pt>
                <c:pt idx="3">
                  <c:v>426265.13771278207</c:v>
                </c:pt>
                <c:pt idx="4">
                  <c:v>649043.6495988667</c:v>
                </c:pt>
                <c:pt idx="5">
                  <c:v>922395.06242781063</c:v>
                </c:pt>
                <c:pt idx="6">
                  <c:v>1248483.7674860996</c:v>
                </c:pt>
                <c:pt idx="7">
                  <c:v>1629546.2672176398</c:v>
                </c:pt>
                <c:pt idx="8">
                  <c:v>2067893.3380301981</c:v>
                </c:pt>
              </c:numCache>
            </c:numRef>
          </c:val>
          <c:smooth val="0"/>
          <c:extLst>
            <c:ext xmlns:c16="http://schemas.microsoft.com/office/drawing/2014/chart" uri="{C3380CC4-5D6E-409C-BE32-E72D297353CC}">
              <c16:uniqueId val="{00000000-2D1E-4CD5-991B-6E731D4AD2D0}"/>
            </c:ext>
          </c:extLst>
        </c:ser>
        <c:ser>
          <c:idx val="1"/>
          <c:order val="1"/>
          <c:tx>
            <c:v>Portfolio Aggregate</c:v>
          </c:tx>
          <c:spPr>
            <a:ln w="28575" cap="rnd">
              <a:solidFill>
                <a:schemeClr val="accent2"/>
              </a:solidFill>
              <a:round/>
            </a:ln>
            <a:effectLst/>
          </c:spPr>
          <c:marker>
            <c:symbol val="none"/>
          </c:marker>
          <c:cat>
            <c:numRef>
              <c:f>'7. Incremental Cost'!$E$3:$M$3</c:f>
              <c:numCache>
                <c:formatCode>General</c:formatCode>
                <c:ptCount val="9"/>
                <c:pt idx="0">
                  <c:v>2022</c:v>
                </c:pt>
                <c:pt idx="1">
                  <c:v>2023</c:v>
                </c:pt>
                <c:pt idx="2">
                  <c:v>2024</c:v>
                </c:pt>
                <c:pt idx="3">
                  <c:v>2025</c:v>
                </c:pt>
                <c:pt idx="4">
                  <c:v>2026</c:v>
                </c:pt>
                <c:pt idx="5">
                  <c:v>2027</c:v>
                </c:pt>
                <c:pt idx="6">
                  <c:v>2028</c:v>
                </c:pt>
                <c:pt idx="7">
                  <c:v>2029</c:v>
                </c:pt>
                <c:pt idx="8">
                  <c:v>2030</c:v>
                </c:pt>
              </c:numCache>
              <c:extLst xmlns:c15="http://schemas.microsoft.com/office/drawing/2012/chart"/>
            </c:numRef>
          </c:cat>
          <c:val>
            <c:numRef>
              <c:f>'2% Inc Cost Sum Charts'!$B$16:$J$16</c:f>
              <c:numCache>
                <c:formatCode>"$"#,##0_);[Red]\("$"#,##0\)</c:formatCode>
                <c:ptCount val="9"/>
                <c:pt idx="0">
                  <c:v>38322.979908338493</c:v>
                </c:pt>
                <c:pt idx="1">
                  <c:v>109512.77758555286</c:v>
                </c:pt>
                <c:pt idx="2">
                  <c:v>280735.8518343824</c:v>
                </c:pt>
                <c:pt idx="3">
                  <c:v>445494.62594230083</c:v>
                </c:pt>
                <c:pt idx="4">
                  <c:v>649159.47438178025</c:v>
                </c:pt>
                <c:pt idx="5">
                  <c:v>1041184.1712235599</c:v>
                </c:pt>
                <c:pt idx="6">
                  <c:v>1505466.1755821786</c:v>
                </c:pt>
                <c:pt idx="7">
                  <c:v>2033530.8739916366</c:v>
                </c:pt>
                <c:pt idx="8">
                  <c:v>2572966.4871868212</c:v>
                </c:pt>
              </c:numCache>
            </c:numRef>
          </c:val>
          <c:smooth val="0"/>
          <c:extLst xmlns:c15="http://schemas.microsoft.com/office/drawing/2012/chart">
            <c:ext xmlns:c16="http://schemas.microsoft.com/office/drawing/2014/chart" uri="{C3380CC4-5D6E-409C-BE32-E72D297353CC}">
              <c16:uniqueId val="{0000000A-2D1E-4CD5-991B-6E731D4AD2D0}"/>
            </c:ext>
          </c:extLst>
        </c:ser>
        <c:dLbls>
          <c:showLegendKey val="0"/>
          <c:showVal val="0"/>
          <c:showCatName val="0"/>
          <c:showSerName val="0"/>
          <c:showPercent val="0"/>
          <c:showBubbleSize val="0"/>
        </c:dLbls>
        <c:smooth val="0"/>
        <c:axId val="1329977488"/>
        <c:axId val="1329977160"/>
        <c:extLst/>
      </c:lineChart>
      <c:catAx>
        <c:axId val="13299774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9977160"/>
        <c:crossesAt val="0"/>
        <c:auto val="1"/>
        <c:lblAlgn val="ctr"/>
        <c:lblOffset val="100"/>
        <c:noMultiLvlLbl val="0"/>
      </c:catAx>
      <c:valAx>
        <c:axId val="1329977160"/>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400" b="1"/>
                  <a:t>Annual</a:t>
                </a:r>
                <a:r>
                  <a:rPr lang="en-US" sz="1400" b="1" baseline="0"/>
                  <a:t> Incremental Cost ($000)</a:t>
                </a:r>
                <a:endParaRPr lang="en-US" sz="1400" b="1"/>
              </a:p>
            </c:rich>
          </c:tx>
          <c:layout>
            <c:manualLayout>
              <c:xMode val="edge"/>
              <c:yMode val="edge"/>
              <c:x val="9.2439103466524803E-3"/>
              <c:y val="0.3016209337469180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9977488"/>
        <c:crosses val="autoZero"/>
        <c:crossBetween val="between"/>
      </c:valAx>
      <c:spPr>
        <a:noFill/>
        <a:ln>
          <a:noFill/>
        </a:ln>
        <a:effectLst/>
      </c:spPr>
    </c:plotArea>
    <c:legend>
      <c:legendPos val="r"/>
      <c:layout>
        <c:manualLayout>
          <c:xMode val="edge"/>
          <c:yMode val="edge"/>
          <c:x val="0.73729851932722201"/>
          <c:y val="0.40905655281835757"/>
          <c:w val="0.10675010317745914"/>
          <c:h val="0.41171818956714007"/>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2800" b="1"/>
              <a:t>Incremental Cost Estimate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9361653910126344E-2"/>
          <c:y val="0.10146067415730337"/>
          <c:w val="0.60375524378270273"/>
          <c:h val="0.85509687693532688"/>
        </c:manualLayout>
      </c:layout>
      <c:lineChart>
        <c:grouping val="standard"/>
        <c:varyColors val="0"/>
        <c:ser>
          <c:idx val="0"/>
          <c:order val="0"/>
          <c:tx>
            <c:v>Estimated 2% Rate Increase</c:v>
          </c:tx>
          <c:spPr>
            <a:ln w="28575" cap="rnd">
              <a:solidFill>
                <a:schemeClr val="accent1"/>
              </a:solidFill>
              <a:round/>
            </a:ln>
            <a:effectLst/>
          </c:spPr>
          <c:marker>
            <c:symbol val="none"/>
          </c:marker>
          <c:cat>
            <c:numRef>
              <c:f>'7. Incremental Cost'!$E$3:$M$3</c:f>
              <c:numCache>
                <c:formatCode>General</c:formatCode>
                <c:ptCount val="9"/>
                <c:pt idx="0">
                  <c:v>2022</c:v>
                </c:pt>
                <c:pt idx="1">
                  <c:v>2023</c:v>
                </c:pt>
                <c:pt idx="2">
                  <c:v>2024</c:v>
                </c:pt>
                <c:pt idx="3">
                  <c:v>2025</c:v>
                </c:pt>
                <c:pt idx="4">
                  <c:v>2026</c:v>
                </c:pt>
                <c:pt idx="5">
                  <c:v>2027</c:v>
                </c:pt>
                <c:pt idx="6">
                  <c:v>2028</c:v>
                </c:pt>
                <c:pt idx="7">
                  <c:v>2029</c:v>
                </c:pt>
                <c:pt idx="8">
                  <c:v>2030</c:v>
                </c:pt>
              </c:numCache>
            </c:numRef>
          </c:cat>
          <c:val>
            <c:numRef>
              <c:f>'7. Incremental Cost'!$E$8:$M$8</c:f>
              <c:numCache>
                <c:formatCode>_("$"* #,##0_);_("$"* \(#,##0\);_("$"* "-"??_);_(@_)</c:formatCode>
                <c:ptCount val="9"/>
                <c:pt idx="0">
                  <c:v>40761.000476842033</c:v>
                </c:pt>
                <c:pt idx="1">
                  <c:v>83356.245975141952</c:v>
                </c:pt>
                <c:pt idx="2">
                  <c:v>127847.89702062693</c:v>
                </c:pt>
                <c:pt idx="3">
                  <c:v>174299.99424017116</c:v>
                </c:pt>
                <c:pt idx="4">
                  <c:v>222778.51188608457</c:v>
                </c:pt>
                <c:pt idx="5">
                  <c:v>273351.41282894398</c:v>
                </c:pt>
                <c:pt idx="6">
                  <c:v>326088.70505828905</c:v>
                </c:pt>
                <c:pt idx="7">
                  <c:v>381062.49973154016</c:v>
                </c:pt>
                <c:pt idx="8">
                  <c:v>438347.07081255841</c:v>
                </c:pt>
              </c:numCache>
            </c:numRef>
          </c:val>
          <c:smooth val="0"/>
          <c:extLst>
            <c:ext xmlns:c16="http://schemas.microsoft.com/office/drawing/2014/chart" uri="{C3380CC4-5D6E-409C-BE32-E72D297353CC}">
              <c16:uniqueId val="{00000000-C2CD-44D3-B130-45AA13A6579D}"/>
            </c:ext>
          </c:extLst>
        </c:ser>
        <c:ser>
          <c:idx val="1"/>
          <c:order val="1"/>
          <c:tx>
            <c:strRef>
              <c:f>'7. Incremental Cost'!$A$1</c:f>
              <c:strCache>
                <c:ptCount val="1"/>
                <c:pt idx="0">
                  <c:v>CEIP5 - Suite 6 Incremental Cost</c:v>
                </c:pt>
              </c:strCache>
              <c:extLst xmlns:c15="http://schemas.microsoft.com/office/drawing/2012/chart"/>
            </c:strRef>
          </c:tx>
          <c:spPr>
            <a:ln w="28575" cap="rnd">
              <a:solidFill>
                <a:schemeClr val="accent2"/>
              </a:solidFill>
              <a:round/>
            </a:ln>
            <a:effectLst/>
          </c:spPr>
          <c:marker>
            <c:symbol val="none"/>
          </c:marker>
          <c:cat>
            <c:numRef>
              <c:f>'7. Incremental Cost'!$E$3:$M$3</c:f>
              <c:numCache>
                <c:formatCode>General</c:formatCode>
                <c:ptCount val="9"/>
                <c:pt idx="0">
                  <c:v>2022</c:v>
                </c:pt>
                <c:pt idx="1">
                  <c:v>2023</c:v>
                </c:pt>
                <c:pt idx="2">
                  <c:v>2024</c:v>
                </c:pt>
                <c:pt idx="3">
                  <c:v>2025</c:v>
                </c:pt>
                <c:pt idx="4">
                  <c:v>2026</c:v>
                </c:pt>
                <c:pt idx="5">
                  <c:v>2027</c:v>
                </c:pt>
                <c:pt idx="6">
                  <c:v>2028</c:v>
                </c:pt>
                <c:pt idx="7">
                  <c:v>2029</c:v>
                </c:pt>
                <c:pt idx="8">
                  <c:v>2030</c:v>
                </c:pt>
              </c:numCache>
              <c:extLst xmlns:c15="http://schemas.microsoft.com/office/drawing/2012/chart"/>
            </c:numRef>
          </c:cat>
          <c:val>
            <c:numRef>
              <c:f>'7. Incremental Cost'!$E$23:$M$23</c:f>
              <c:numCache>
                <c:formatCode>_("$"* #,##0_);_("$"* \(#,##0\);_("$"* "-"??_);_(@_)</c:formatCode>
                <c:ptCount val="9"/>
                <c:pt idx="0" formatCode="_(&quot;$&quot;* #,##0.00_);_(&quot;$&quot;* \(#,##0.00\);_(&quot;$&quot;* &quot;-&quot;??_);_(@_)">
                  <c:v>38322.979908338493</c:v>
                </c:pt>
                <c:pt idx="1">
                  <c:v>71189.797677214359</c:v>
                </c:pt>
                <c:pt idx="2">
                  <c:v>171223.07424882957</c:v>
                </c:pt>
                <c:pt idx="3">
                  <c:v>164758.77410791843</c:v>
                </c:pt>
                <c:pt idx="4">
                  <c:v>203664.84843947942</c:v>
                </c:pt>
                <c:pt idx="5">
                  <c:v>392024.69684177957</c:v>
                </c:pt>
                <c:pt idx="6">
                  <c:v>464282.00435861881</c:v>
                </c:pt>
                <c:pt idx="7">
                  <c:v>528064.69840945792</c:v>
                </c:pt>
                <c:pt idx="8">
                  <c:v>539435.61319518473</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01-C2CD-44D3-B130-45AA13A6579D}"/>
            </c:ext>
          </c:extLst>
        </c:ser>
        <c:dLbls>
          <c:showLegendKey val="0"/>
          <c:showVal val="0"/>
          <c:showCatName val="0"/>
          <c:showSerName val="0"/>
          <c:showPercent val="0"/>
          <c:showBubbleSize val="0"/>
        </c:dLbls>
        <c:smooth val="0"/>
        <c:axId val="1329977488"/>
        <c:axId val="1329977160"/>
        <c:extLst/>
      </c:lineChart>
      <c:catAx>
        <c:axId val="13299774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9977160"/>
        <c:crosses val="autoZero"/>
        <c:auto val="1"/>
        <c:lblAlgn val="ctr"/>
        <c:lblOffset val="100"/>
        <c:noMultiLvlLbl val="0"/>
      </c:catAx>
      <c:valAx>
        <c:axId val="13299771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400" b="1"/>
                  <a:t>Annual</a:t>
                </a:r>
                <a:r>
                  <a:rPr lang="en-US" sz="1400" b="1" baseline="0"/>
                  <a:t> Incremental Cost ($000)</a:t>
                </a:r>
                <a:endParaRPr lang="en-US" sz="1400" b="1"/>
              </a:p>
            </c:rich>
          </c:tx>
          <c:layout>
            <c:manualLayout>
              <c:xMode val="edge"/>
              <c:yMode val="edge"/>
              <c:x val="9.2439103466524803E-3"/>
              <c:y val="0.3016209337469180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9977488"/>
        <c:crosses val="autoZero"/>
        <c:crossBetween val="between"/>
      </c:valAx>
      <c:spPr>
        <a:noFill/>
        <a:ln>
          <a:noFill/>
        </a:ln>
        <a:effectLst/>
      </c:spPr>
    </c:plotArea>
    <c:legend>
      <c:legendPos val="r"/>
      <c:layout>
        <c:manualLayout>
          <c:xMode val="edge"/>
          <c:yMode val="edge"/>
          <c:x val="0.74246242606770929"/>
          <c:y val="0.39498751680430189"/>
          <c:w val="0.23428210577660094"/>
          <c:h val="0.18093928719436383"/>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889001</xdr:colOff>
      <xdr:row>95</xdr:row>
      <xdr:rowOff>155575</xdr:rowOff>
    </xdr:from>
    <xdr:to>
      <xdr:col>8</xdr:col>
      <xdr:colOff>946150</xdr:colOff>
      <xdr:row>131</xdr:row>
      <xdr:rowOff>85725</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51</xdr:row>
      <xdr:rowOff>0</xdr:rowOff>
    </xdr:from>
    <xdr:to>
      <xdr:col>12</xdr:col>
      <xdr:colOff>57150</xdr:colOff>
      <xdr:row>82</xdr:row>
      <xdr:rowOff>19050</xdr:rowOff>
    </xdr:to>
    <xdr:graphicFrame macro="">
      <xdr:nvGraphicFramePr>
        <xdr:cNvPr id="3" name="Chart 2">
          <a:extLst>
            <a:ext uri="{FF2B5EF4-FFF2-40B4-BE49-F238E27FC236}">
              <a16:creationId xmlns:a16="http://schemas.microsoft.com/office/drawing/2014/main" id="{00000000-0008-0000-1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88900</xdr:colOff>
      <xdr:row>17</xdr:row>
      <xdr:rowOff>25400</xdr:rowOff>
    </xdr:from>
    <xdr:to>
      <xdr:col>9</xdr:col>
      <xdr:colOff>793750</xdr:colOff>
      <xdr:row>43</xdr:row>
      <xdr:rowOff>63500</xdr:rowOff>
    </xdr:to>
    <xdr:graphicFrame macro="">
      <xdr:nvGraphicFramePr>
        <xdr:cNvPr id="4" name="Chart 3">
          <a:extLst>
            <a:ext uri="{FF2B5EF4-FFF2-40B4-BE49-F238E27FC236}">
              <a16:creationId xmlns:a16="http://schemas.microsoft.com/office/drawing/2014/main" id="{00000000-0008-0000-1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team/CEIP/W2%20Outpu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team/Users/jdoole/Downloads/PSE%20Resources_Aurora%20Inputs_2021%20IRP_01242021_Fin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team/Documents%20and%20Settings/nsarru/My%20Documents/PriceEstFor20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team/2019%20IRP/Aurora/LTCE/2019%20IRP%20Final%20Portfolio/2019%20IRP%20Base%20Offshore%20Test/old%20Files/PSM%20III%2025.8_2018%20RFP_Base%20No%20CO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team/2011IRP%20-%20Post%20Analysis/Aurora/Model%20Runs/RFP%20Phase%20II/Rev12_Base_Oct2011Gasprice/XMP_DB_2010-02_2011RFP_PhaseII_Oct2011GasPrice_111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Summary=&gt;"/>
      <sheetName val="Evaluation Summary"/>
      <sheetName val="Resource Additions Table"/>
      <sheetName val="Metrics"/>
      <sheetName val="Yearly Breakdown Tables"/>
      <sheetName val="LTCE Summary_Capacity"/>
      <sheetName val="LTCE Summary_Unit"/>
      <sheetName val="Alternative Compliance"/>
      <sheetName val="Charts for Slides=&gt;"/>
      <sheetName val="Energy by Resource Type Aggv2"/>
      <sheetName val="Energy by Resource Type Aggr"/>
      <sheetName val="ExistingEnergy_No Generics"/>
      <sheetName val="Peak Capacity Need"/>
      <sheetName val="CETA Need Chart_MWh Agg"/>
      <sheetName val="Emissions Chart by Resource"/>
      <sheetName val="Existing GFG CF"/>
      <sheetName val="Data Check=&gt;"/>
      <sheetName val="Planning Margin"/>
      <sheetName val="Constraint Check"/>
      <sheetName val="DSM"/>
      <sheetName val="LTCE New Build_Units Data"/>
      <sheetName val="LTCE New Build_Capacity Data"/>
      <sheetName val="LTCE Nameplate_for Cummulative"/>
      <sheetName val="Emissions=&gt;"/>
      <sheetName val="Emissions Costs_Calc"/>
      <sheetName val="Emissions Amount"/>
      <sheetName val="Emissions Amount_no Upstream"/>
      <sheetName val="Emissions Costs_Aurora"/>
      <sheetName val="Tables=&gt;"/>
      <sheetName val="Assumptions"/>
      <sheetName val="CETA Analysis"/>
      <sheetName val="Load Check"/>
      <sheetName val="Energy Summary"/>
      <sheetName val="Costs Summary"/>
      <sheetName val="GFG Capacity Factor"/>
      <sheetName val="GFG Detail"/>
      <sheetName val="Resource Peak Capacity"/>
      <sheetName val="NG Plants"/>
      <sheetName val="Aurora Output=&gt;"/>
      <sheetName val="Energy"/>
      <sheetName val="Costs"/>
      <sheetName val="$ per MWh"/>
      <sheetName val="Emissions"/>
      <sheetName val="AllEmissions"/>
      <sheetName val="Emissions_Costs"/>
      <sheetName val="Capacity Factor"/>
      <sheetName val="Aurora Peak Capacity"/>
      <sheetName val="Portfolio Summary"/>
      <sheetName val="Mapping"/>
      <sheetName val="Other Charts Not used=&gt;"/>
      <sheetName val="Existing GFG CF (2)"/>
      <sheetName val="Energy by Resource Type"/>
      <sheetName val="Energy by Resource Type No Sale"/>
      <sheetName val="Cummulative Build Capacity"/>
      <sheetName val="New Build Capacity"/>
      <sheetName val="New Build Count"/>
      <sheetName val="Existing Resources"/>
      <sheetName val="Peak Cap by resource"/>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7">
          <cell r="B7">
            <v>43830</v>
          </cell>
        </row>
        <row r="18">
          <cell r="E18">
            <v>6.9699999999999998E-2</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 Jennifer"/>
      <sheetName val="Change_Log"/>
      <sheetName val="To do"/>
      <sheetName val="Aurora_TSAnnual"/>
      <sheetName val="Existing Contracts"/>
      <sheetName val="To Aurora _Ancillary Services"/>
      <sheetName val="To Aurora_Resources"/>
      <sheetName val="Existing Thermal_21IRP"/>
      <sheetName val="21IRP Reliable Capacity"/>
      <sheetName val="Reliable Capacity"/>
      <sheetName val="New ELCC Sheet"/>
      <sheetName val="Aurora_New Resources"/>
      <sheetName val="Aurora_Portfolio Resources"/>
      <sheetName val="Aurora_Portfolio Contracts"/>
      <sheetName val="To Aurora_Fuel"/>
      <sheetName val="CETA"/>
      <sheetName val="To Aurora_TS Monthly"/>
      <sheetName val="To Aurora_TS Weekly"/>
      <sheetName val="To Aurora_DemandMo"/>
      <sheetName val="To Aurora_Storage"/>
      <sheetName val="To Aurora_Esc Demand"/>
      <sheetName val="To Aurora_General Info"/>
      <sheetName val="To Aurora_Hydro Vectors"/>
      <sheetName val="To Aurora_Emission Rate"/>
      <sheetName val="To Aurora_Constraint"/>
      <sheetName val="Ancillary Services"/>
      <sheetName val="Generic Fuel Adder"/>
      <sheetName val="Existing Thermal"/>
      <sheetName val="Existing Gas Transport &amp; TX"/>
      <sheetName val="Existing Fixed O&amp;M"/>
      <sheetName val="Colstrip Dispatch Costs"/>
      <sheetName val="Chart - Cost curve"/>
      <sheetName val="Thermal Options"/>
      <sheetName val="Energy Storage Summary"/>
      <sheetName val="Renewable Resource Summary"/>
      <sheetName val="Combo Resource Summary"/>
      <sheetName val="CC_HR"/>
      <sheetName val="P_HR"/>
      <sheetName val="Saturation Curves"/>
      <sheetName val="Aero Peaker"/>
      <sheetName val="Gas Transport Costs"/>
      <sheetName val="PTC"/>
      <sheetName val="Cost curves"/>
      <sheetName val="Assumptions"/>
      <sheetName val="CCCT"/>
      <sheetName val="Frame Peaker"/>
      <sheetName val="Recip Peaker"/>
      <sheetName val="WA Wind"/>
      <sheetName val="WA Wind + 2 Hr Li-Ion"/>
      <sheetName val="MT Wind + PHES"/>
      <sheetName val="ID Wind"/>
      <sheetName val="WY West Wind"/>
      <sheetName val="WY East Wind"/>
      <sheetName val="MT Wind"/>
      <sheetName val="Offshore Wind"/>
      <sheetName val="Solar with ITC Levelized Costs"/>
      <sheetName val="Solar + Battery w ITC Lev Costs"/>
      <sheetName val="Solar_No ITC"/>
      <sheetName val="ID Solar ITC 2020-2023 30%"/>
      <sheetName val="AntiWY Solar ITC 2020-2023 30%"/>
      <sheetName val="WWY Solar ITC 2020-2023 30%"/>
      <sheetName val="Solar ITC 2020-2023 30%"/>
      <sheetName val="ID Solar ITC 2024 26%"/>
      <sheetName val="AntiWY Solar ITC 2024 26%"/>
      <sheetName val="WWY Solar ITC 2024 26%"/>
      <sheetName val="Solar ITC 2024 26%"/>
      <sheetName val="ID Solar ITC 2025 22%"/>
      <sheetName val="AntiWY Solar ITC 2025 22%"/>
      <sheetName val="WWY Solar ITC 2025 22%"/>
      <sheetName val="Solar ITC 2025 22%"/>
      <sheetName val="ID Solar ITC  &gt;2025 10%"/>
      <sheetName val="AntiWY Solar ITC  &gt;2025 10%"/>
      <sheetName val="WWY Solar ITC  &gt;2025 10%"/>
      <sheetName val="Solar ITC  &gt;2025 10%"/>
      <sheetName val="Ground DER Solar, ITC 10%"/>
      <sheetName val="Roof DER Solar, ITC 10%"/>
      <sheetName val="Battery ITC 2020-2023 30%"/>
      <sheetName val="Battery ITC 2024 24%"/>
      <sheetName val="Battery ITC 2025 19%"/>
      <sheetName val="Battery ITC  &gt;2025 10%"/>
      <sheetName val="Biomass"/>
      <sheetName val="2hr Li-Ion Battery"/>
      <sheetName val="4hr Li-Ion Battery"/>
      <sheetName val="4hr Flow Battery"/>
      <sheetName val="6hr Flow Battery"/>
      <sheetName val="Pumped Storage Hydro"/>
      <sheetName val="Test Calc"/>
      <sheetName val="Transmission"/>
      <sheetName val="TX Updates"/>
      <sheetName val="DSM"/>
      <sheetName val="Electron"/>
      <sheetName val="Oil Backup"/>
      <sheetName val="Decomissioning Costs"/>
      <sheetName val="Demand Response"/>
      <sheetName val="Mid C Capacity"/>
      <sheetName val="Mid-C Hydro Monthly"/>
      <sheetName val="Wells Extension"/>
      <sheetName val="Market emissions rate"/>
      <sheetName val="Flex cost savings"/>
      <sheetName val="SCC Adder_Base no CETA"/>
      <sheetName val="SCC Adder_Base"/>
      <sheetName val="SCC"/>
      <sheetName val="DER Potential"/>
      <sheetName val="Sheet2"/>
    </sheetNames>
    <sheetDataSet>
      <sheetData sheetId="0"/>
      <sheetData sheetId="1"/>
      <sheetData sheetId="2"/>
      <sheetData sheetId="3"/>
      <sheetData sheetId="4"/>
      <sheetData sheetId="5"/>
      <sheetData sheetId="6"/>
      <sheetData sheetId="7"/>
      <sheetData sheetId="8"/>
      <sheetData sheetId="9"/>
      <sheetData sheetId="10"/>
      <sheetData sheetId="11">
        <row r="2">
          <cell r="C2">
            <v>2012</v>
          </cell>
        </row>
        <row r="4">
          <cell r="C4">
            <v>2.5000000000000001E-2</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ow r="2">
          <cell r="H2">
            <v>2020</v>
          </cell>
        </row>
      </sheetData>
      <sheetData sheetId="33"/>
      <sheetData sheetId="34"/>
      <sheetData sheetId="35"/>
      <sheetData sheetId="36"/>
      <sheetData sheetId="37"/>
      <sheetData sheetId="38"/>
      <sheetData sheetId="39"/>
      <sheetData sheetId="40"/>
      <sheetData sheetId="41"/>
      <sheetData sheetId="42"/>
      <sheetData sheetId="43">
        <row r="10">
          <cell r="B10">
            <v>1.1429999999999999E-2</v>
          </cell>
        </row>
        <row r="11">
          <cell r="B11">
            <v>0.39771400000000001</v>
          </cell>
        </row>
        <row r="12">
          <cell r="B12">
            <v>4.7899999999999999E-4</v>
          </cell>
        </row>
        <row r="13">
          <cell r="B13">
            <v>0.79</v>
          </cell>
        </row>
        <row r="15">
          <cell r="B15">
            <v>0.21</v>
          </cell>
        </row>
        <row r="17">
          <cell r="B17">
            <v>5.1469999999999999E-4</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ma_Kulshan"/>
      <sheetName val="March Point1"/>
      <sheetName val="March Point2"/>
      <sheetName val="GDP Forecast"/>
    </sheetNames>
    <sheetDataSet>
      <sheetData sheetId="0" refreshError="1"/>
      <sheetData sheetId="1" refreshError="1"/>
      <sheetData sheetId="2" refreshError="1">
        <row r="4">
          <cell r="E4">
            <v>8</v>
          </cell>
        </row>
        <row r="9">
          <cell r="M9">
            <v>86.7</v>
          </cell>
        </row>
        <row r="10">
          <cell r="M10">
            <v>80.959999999999994</v>
          </cell>
        </row>
        <row r="11">
          <cell r="M11">
            <v>80.709999999999994</v>
          </cell>
        </row>
      </sheetData>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_DATA_"/>
      <sheetName val="Metrics"/>
      <sheetName val="Evaluation Summary"/>
      <sheetName val="Comments"/>
      <sheetName val="LPProblem"/>
      <sheetName val="Peak Capacity Need"/>
      <sheetName val="Assumptions"/>
      <sheetName val="Aurora_LTBuildReport"/>
      <sheetName val="AuroraEnergyAll"/>
      <sheetName val="AuroraCostAll"/>
      <sheetName val="AuroraRevenueAll"/>
      <sheetName val="AuroraCO2EmissionsAll"/>
      <sheetName val="Peak Inputs"/>
      <sheetName val="CO2_Emissions"/>
      <sheetName val="Load_Market_DSM"/>
      <sheetName val="REC Credit"/>
      <sheetName val="Thermal Acq Inputs"/>
      <sheetName val="Renewable Acq Inputs"/>
      <sheetName val="Renewable PPA Inputs"/>
      <sheetName val="Fixed Price PPA Inputs"/>
      <sheetName val="Toll PPA Inputs"/>
      <sheetName val="AURORAenergy"/>
      <sheetName val="AURORAcost"/>
      <sheetName val="AURORArevenue"/>
      <sheetName val="Results Summary"/>
      <sheetName val="AcqTherm 1"/>
      <sheetName val="AcqTherm 2"/>
      <sheetName val="AcqTherm 3"/>
      <sheetName val="AcqTherm 4"/>
      <sheetName val="AcqTherm 5"/>
      <sheetName val="AcqWind 1"/>
      <sheetName val="AcqWind 2"/>
      <sheetName val="AcqWind 3"/>
      <sheetName val="AcqWind 4"/>
      <sheetName val="AcqWind 5"/>
      <sheetName val="CCGT"/>
      <sheetName val="Peaker Aero"/>
      <sheetName val="Self Build Peaker"/>
      <sheetName val="Peaker Recip"/>
      <sheetName val="Peaker Frame"/>
      <sheetName val="Biomass"/>
      <sheetName val="Batteries_1"/>
      <sheetName val="Batteries_1 (2)"/>
      <sheetName val="Batteries_2"/>
      <sheetName val="Batteries_3"/>
      <sheetName val="Batteries_3 (2)"/>
      <sheetName val="Batteries_4"/>
      <sheetName val="Pumped Storage"/>
      <sheetName val="Wind"/>
      <sheetName val="MT Wind"/>
      <sheetName val="Solar"/>
      <sheetName val="Solar (2)"/>
      <sheetName val="PPA Rollup"/>
      <sheetName val="Equity Equalization - PPA"/>
      <sheetName val="Net Cost Calc"/>
      <sheetName val="Book Life"/>
      <sheetName val="Replacement Cost Rollup"/>
      <sheetName val="CCGT Replacement Rev Req"/>
      <sheetName val="Peaker Frame Replace Rev Req"/>
      <sheetName val="Peaker Aero Replacement Rev Req"/>
      <sheetName val="Peaker Recip Replace Rev Req"/>
      <sheetName val="Wind Replacement Rev Req"/>
      <sheetName val="MT Wind Replacement Rev Req"/>
      <sheetName val="Biomass Replacement Rev Req"/>
      <sheetName val="Solar Replacement Rev Req"/>
      <sheetName val="Battery Replacement Rev Req"/>
      <sheetName val="Battery_2 Replacement Rev Req"/>
      <sheetName val="Battery_3 Replacement Rev Req"/>
      <sheetName val="Battery_4 Replacement Rev Req"/>
      <sheetName val="PSH Replacement Rev Req"/>
      <sheetName val="WACC"/>
      <sheetName val="Colstrip Inputs"/>
      <sheetName val="Colstrip 1&amp;2"/>
      <sheetName val="Colstrip 3&amp;4"/>
      <sheetName val="Colstrip 3&amp;4 Add'l Share"/>
      <sheetName val="Colstrip Transmission"/>
    </sheetNames>
    <sheetDataSet>
      <sheetData sheetId="0" refreshError="1"/>
      <sheetData sheetId="1" refreshError="1"/>
      <sheetData sheetId="2" refreshError="1"/>
      <sheetData sheetId="3" refreshError="1"/>
      <sheetData sheetId="4">
        <row r="32">
          <cell r="AA32">
            <v>685.00945895990515</v>
          </cell>
        </row>
      </sheetData>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RORA_Input_Databases_Follow"/>
      <sheetName val="Annual_Vectors_11GRC_060111"/>
      <sheetName val="Mo_Vectors_11GRC_060111"/>
      <sheetName val="Weekly_Vectors_11GRC_060111"/>
      <sheetName val="Gas_Price_Data_Follow"/>
      <sheetName val="Gas Price Nominal Input"/>
      <sheetName val="Stanfield_Convert_Real"/>
      <sheetName val="Kingsgate_Convert_Real"/>
      <sheetName val="PGECityG_Convert_Real"/>
      <sheetName val="HH_Convert_Real"/>
      <sheetName val="Rockies_Convert_Real"/>
      <sheetName val="San_Juan_Convert_Real"/>
      <sheetName val="Topock_Convert_Real"/>
      <sheetName val="Klamath_Convert_Real "/>
      <sheetName val="Malin_Convert_Real"/>
      <sheetName val="AECO_Convert_Real"/>
      <sheetName val="Sumas_Convert_Real"/>
      <sheetName val="WNP3_Return_Convert_Real"/>
      <sheetName val="Encogen_Convert_Real"/>
      <sheetName val="Whitehorn_23_Convert_Real"/>
      <sheetName val="Fredonia_34_Convert_Real"/>
      <sheetName val="Fredonia_12_Convert_Real"/>
      <sheetName val="Fred_12_Convert_Real"/>
      <sheetName val="Sumas_Full_NWP_Con_Real"/>
      <sheetName val="Sumas_Cogen_Con_Real"/>
      <sheetName val="Frederickson_CC_Con_Real"/>
      <sheetName val="Mint_Farm_Con_Real "/>
      <sheetName val="Mint_Farm_ DFiring_C_Real"/>
      <sheetName val="Goldendale_Con_Real"/>
      <sheetName val="Goldendale DFiring_C_Real"/>
      <sheetName val="Sumas_Var_NWP_Con_Real"/>
      <sheetName val="Emission_Charges"/>
      <sheetName val="Coal_Price_Data"/>
      <sheetName val="Coal_Price_Data_IRP2009"/>
      <sheetName val="Contract_Data_Follow"/>
      <sheetName val="Baker_Replacement"/>
      <sheetName val="BC_Hydro_Point_Roberts"/>
      <sheetName val="CEAEA"/>
      <sheetName val="Nooksack_Hydro"/>
      <sheetName val="North_Wasco"/>
      <sheetName val="PG_E_Exchange_in"/>
      <sheetName val="PG_E_Exchange_out"/>
      <sheetName val="Qualco"/>
      <sheetName val="QF_Koma_Kulshan"/>
      <sheetName val="QF_Port_Townsend_Hydro"/>
      <sheetName val="QF_Spokane_MSW"/>
      <sheetName val="QF_Sygitowicz"/>
      <sheetName val="QF_Twin_Falls"/>
      <sheetName val="QF_Weeks_Falls"/>
      <sheetName val="Short Term Contracts"/>
      <sheetName val="Klondike III PPA"/>
      <sheetName val="WNP3_BPA_Exchange"/>
      <sheetName val="Priest_Rapids_Displacement_Prod"/>
      <sheetName val="Sch91"/>
      <sheetName val="Resource_Data_Follow"/>
      <sheetName val="Resource_Data"/>
      <sheetName val="NUG_Contract_Data"/>
      <sheetName val="Klamath"/>
      <sheetName val="WildHorse"/>
      <sheetName val="Hopkins"/>
      <sheetName val="KlondikeWind"/>
      <sheetName val="LSR1"/>
      <sheetName val="NewGenericResourceFOM"/>
      <sheetName val="RPS"/>
      <sheetName val="PTCs"/>
      <sheetName val="Regional Deman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ow r="90">
          <cell r="E90">
            <v>39814</v>
          </cell>
        </row>
      </sheetData>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ow r="75">
          <cell r="E75">
            <v>39814</v>
          </cell>
          <cell r="F75">
            <v>39845</v>
          </cell>
          <cell r="G75">
            <v>39873</v>
          </cell>
          <cell r="H75">
            <v>39904</v>
          </cell>
          <cell r="I75">
            <v>39934</v>
          </cell>
          <cell r="J75">
            <v>39965</v>
          </cell>
          <cell r="K75">
            <v>39995</v>
          </cell>
          <cell r="L75">
            <v>40026</v>
          </cell>
          <cell r="M75">
            <v>40057</v>
          </cell>
          <cell r="N75">
            <v>40087</v>
          </cell>
          <cell r="O75">
            <v>40118</v>
          </cell>
          <cell r="P75">
            <v>40148</v>
          </cell>
          <cell r="Q75">
            <v>40179</v>
          </cell>
          <cell r="R75">
            <v>40210</v>
          </cell>
          <cell r="S75">
            <v>40238</v>
          </cell>
          <cell r="T75">
            <v>40269</v>
          </cell>
          <cell r="U75">
            <v>40299</v>
          </cell>
          <cell r="V75">
            <v>40330</v>
          </cell>
          <cell r="W75">
            <v>40360</v>
          </cell>
          <cell r="X75">
            <v>40391</v>
          </cell>
          <cell r="Y75">
            <v>40422</v>
          </cell>
          <cell r="Z75">
            <v>40452</v>
          </cell>
          <cell r="AA75">
            <v>40483</v>
          </cell>
          <cell r="AB75">
            <v>40513</v>
          </cell>
          <cell r="AC75">
            <v>40544</v>
          </cell>
          <cell r="AD75">
            <v>40575</v>
          </cell>
          <cell r="AE75">
            <v>40603</v>
          </cell>
          <cell r="AF75">
            <v>40634</v>
          </cell>
          <cell r="AG75">
            <v>40664</v>
          </cell>
          <cell r="AH75">
            <v>40695</v>
          </cell>
          <cell r="AI75">
            <v>40725</v>
          </cell>
          <cell r="AJ75">
            <v>40756</v>
          </cell>
          <cell r="AK75">
            <v>40787</v>
          </cell>
          <cell r="AL75">
            <v>40817</v>
          </cell>
          <cell r="AM75">
            <v>40848</v>
          </cell>
          <cell r="AN75">
            <v>40878</v>
          </cell>
          <cell r="AO75">
            <v>40909</v>
          </cell>
          <cell r="AP75">
            <v>40940</v>
          </cell>
          <cell r="AQ75">
            <v>40969</v>
          </cell>
          <cell r="AR75">
            <v>41000</v>
          </cell>
        </row>
        <row r="76">
          <cell r="D76">
            <v>1</v>
          </cell>
          <cell r="E76">
            <v>1.3076224702099486</v>
          </cell>
          <cell r="F76">
            <v>1.3080472602102526</v>
          </cell>
          <cell r="G76">
            <v>1.2945368171021376</v>
          </cell>
          <cell r="H76">
            <v>1.295358649789029</v>
          </cell>
          <cell r="O76">
            <v>1.3672896699269002</v>
          </cell>
          <cell r="P76">
            <v>1.3671607753705823</v>
          </cell>
          <cell r="Q76">
            <v>1.3671607753705823</v>
          </cell>
          <cell r="R76">
            <v>1.3675622622991039</v>
          </cell>
          <cell r="S76">
            <v>1.3548412965725196</v>
          </cell>
          <cell r="T76">
            <v>1.3555908850026503</v>
          </cell>
          <cell r="AA76">
            <v>1.3672896699269002</v>
          </cell>
          <cell r="AB76">
            <v>1.3671607753705823</v>
          </cell>
          <cell r="AC76">
            <v>1.3076224702099486</v>
          </cell>
          <cell r="AD76">
            <v>1.3080472602102526</v>
          </cell>
          <cell r="AE76">
            <v>1.2945368171021376</v>
          </cell>
          <cell r="AF76">
            <v>1.295358649789029</v>
          </cell>
          <cell r="AM76">
            <v>1.3610733723620612</v>
          </cell>
          <cell r="AN76">
            <v>1.3609470756528876</v>
          </cell>
          <cell r="AO76">
            <v>1.3609470756528876</v>
          </cell>
          <cell r="AP76">
            <v>1.3266393261895317</v>
          </cell>
          <cell r="AQ76">
            <v>1.3485391444713466</v>
          </cell>
          <cell r="AR76">
            <v>1.3493087327183177</v>
          </cell>
        </row>
        <row r="77">
          <cell r="D77">
            <v>2</v>
          </cell>
          <cell r="E77">
            <v>1.3076224702099486</v>
          </cell>
          <cell r="F77">
            <v>1.3080472602102526</v>
          </cell>
          <cell r="G77">
            <v>1.2945368171021376</v>
          </cell>
          <cell r="H77">
            <v>1.295358649789029</v>
          </cell>
          <cell r="O77">
            <v>1.3672896699269002</v>
          </cell>
          <cell r="P77">
            <v>1.3671607753705823</v>
          </cell>
          <cell r="Q77">
            <v>1.3671607753705823</v>
          </cell>
          <cell r="R77">
            <v>1.3675622622991039</v>
          </cell>
          <cell r="S77">
            <v>1.3548412965725196</v>
          </cell>
          <cell r="T77">
            <v>1.3555908850026503</v>
          </cell>
          <cell r="AA77">
            <v>1.3672896699269002</v>
          </cell>
          <cell r="AB77">
            <v>1.3671607753705823</v>
          </cell>
          <cell r="AC77">
            <v>1.3076224702099486</v>
          </cell>
          <cell r="AD77">
            <v>1.3080472602102526</v>
          </cell>
          <cell r="AE77">
            <v>1.2945368171021376</v>
          </cell>
          <cell r="AF77">
            <v>1.295358649789029</v>
          </cell>
          <cell r="AM77">
            <v>1.3610733723620612</v>
          </cell>
          <cell r="AN77">
            <v>1.3609470756528876</v>
          </cell>
          <cell r="AO77">
            <v>1.3609470756528876</v>
          </cell>
          <cell r="AP77">
            <v>1.3266393261895317</v>
          </cell>
          <cell r="AQ77">
            <v>1.3485391444713466</v>
          </cell>
          <cell r="AR77">
            <v>1.3493087327183177</v>
          </cell>
        </row>
        <row r="78">
          <cell r="D78">
            <v>3</v>
          </cell>
          <cell r="E78">
            <v>1.3076224702099486</v>
          </cell>
          <cell r="F78">
            <v>1.3080472602102526</v>
          </cell>
          <cell r="G78">
            <v>1.2945368171021376</v>
          </cell>
          <cell r="H78">
            <v>1.295358649789029</v>
          </cell>
          <cell r="O78">
            <v>1.3672896699269002</v>
          </cell>
          <cell r="P78">
            <v>1.3671607753705823</v>
          </cell>
          <cell r="Q78">
            <v>1.3671607753705823</v>
          </cell>
          <cell r="R78">
            <v>1.3675622622991039</v>
          </cell>
          <cell r="S78">
            <v>1.3548412965725196</v>
          </cell>
          <cell r="T78">
            <v>1.3555908850026503</v>
          </cell>
          <cell r="AA78">
            <v>1.3672896699269002</v>
          </cell>
          <cell r="AB78">
            <v>1.3671607753705823</v>
          </cell>
          <cell r="AC78">
            <v>1.3076224702099486</v>
          </cell>
          <cell r="AD78">
            <v>1.3080472602102526</v>
          </cell>
          <cell r="AE78">
            <v>1.2945368171021376</v>
          </cell>
          <cell r="AF78">
            <v>1.295358649789029</v>
          </cell>
          <cell r="AM78">
            <v>1.3610733723620612</v>
          </cell>
          <cell r="AN78">
            <v>1.3609470756528876</v>
          </cell>
          <cell r="AO78">
            <v>1.3609470756528876</v>
          </cell>
          <cell r="AP78">
            <v>1.3266393261895317</v>
          </cell>
          <cell r="AQ78">
            <v>1.3485391444713466</v>
          </cell>
          <cell r="AR78">
            <v>1.3493087327183177</v>
          </cell>
        </row>
        <row r="79">
          <cell r="D79">
            <v>4</v>
          </cell>
          <cell r="E79">
            <v>1.3076224702099486</v>
          </cell>
          <cell r="F79">
            <v>1.3080472602102526</v>
          </cell>
          <cell r="G79">
            <v>1.2945368171021376</v>
          </cell>
          <cell r="H79">
            <v>1.295358649789029</v>
          </cell>
          <cell r="O79">
            <v>1.3672896699269002</v>
          </cell>
          <cell r="P79">
            <v>1.3671607753705823</v>
          </cell>
          <cell r="Q79">
            <v>1.3671607753705823</v>
          </cell>
          <cell r="R79">
            <v>1.3675622622991039</v>
          </cell>
          <cell r="S79">
            <v>1.3548412965725196</v>
          </cell>
          <cell r="T79">
            <v>1.3555908850026503</v>
          </cell>
          <cell r="AA79">
            <v>1.3672896699269002</v>
          </cell>
          <cell r="AB79">
            <v>1.3671607753705823</v>
          </cell>
          <cell r="AC79">
            <v>1.3076224702099486</v>
          </cell>
          <cell r="AD79">
            <v>1.3080472602102526</v>
          </cell>
          <cell r="AE79">
            <v>1.2945368171021376</v>
          </cell>
          <cell r="AF79">
            <v>1.295358649789029</v>
          </cell>
          <cell r="AM79">
            <v>1.3610733723620612</v>
          </cell>
          <cell r="AN79">
            <v>1.3609470756528876</v>
          </cell>
          <cell r="AO79">
            <v>1.3609470756528876</v>
          </cell>
          <cell r="AP79">
            <v>1.3266393261895317</v>
          </cell>
          <cell r="AQ79">
            <v>1.3485391444713466</v>
          </cell>
          <cell r="AR79">
            <v>1.3493087327183177</v>
          </cell>
        </row>
        <row r="80">
          <cell r="D80">
            <v>5</v>
          </cell>
          <cell r="E80">
            <v>1.3076224702099486</v>
          </cell>
          <cell r="F80">
            <v>1.3080472602102526</v>
          </cell>
          <cell r="G80">
            <v>1.2945368171021376</v>
          </cell>
          <cell r="H80">
            <v>1.295358649789029</v>
          </cell>
          <cell r="O80">
            <v>1.3672896699269002</v>
          </cell>
          <cell r="P80">
            <v>1.3671607753705823</v>
          </cell>
          <cell r="Q80">
            <v>1.3671607753705823</v>
          </cell>
          <cell r="R80">
            <v>1.3675622622991039</v>
          </cell>
          <cell r="S80">
            <v>1.3548412965725196</v>
          </cell>
          <cell r="T80">
            <v>1.3555908850026503</v>
          </cell>
          <cell r="AA80">
            <v>1.3672896699269002</v>
          </cell>
          <cell r="AB80">
            <v>1.3671607753705823</v>
          </cell>
          <cell r="AC80">
            <v>1.3076224702099486</v>
          </cell>
          <cell r="AD80">
            <v>1.3080472602102526</v>
          </cell>
          <cell r="AE80">
            <v>1.2945368171021376</v>
          </cell>
          <cell r="AF80">
            <v>1.295358649789029</v>
          </cell>
          <cell r="AM80">
            <v>1.3610733723620612</v>
          </cell>
          <cell r="AN80">
            <v>1.3609470756528876</v>
          </cell>
          <cell r="AO80">
            <v>1.3609470756528876</v>
          </cell>
          <cell r="AP80">
            <v>1.3266393261895317</v>
          </cell>
          <cell r="AQ80">
            <v>1.3485391444713466</v>
          </cell>
          <cell r="AR80">
            <v>1.3493087327183177</v>
          </cell>
        </row>
        <row r="81">
          <cell r="D81">
            <v>6</v>
          </cell>
          <cell r="E81">
            <v>1.3076224702099486</v>
          </cell>
          <cell r="F81">
            <v>1.3080472602102526</v>
          </cell>
          <cell r="G81">
            <v>1.2945368171021376</v>
          </cell>
          <cell r="H81">
            <v>1.295358649789029</v>
          </cell>
          <cell r="O81">
            <v>1.3672896699269002</v>
          </cell>
          <cell r="P81">
            <v>1.3671607753705823</v>
          </cell>
          <cell r="Q81">
            <v>1.3671607753705823</v>
          </cell>
          <cell r="R81">
            <v>1.3675622622991039</v>
          </cell>
          <cell r="S81">
            <v>1.3548412965725196</v>
          </cell>
          <cell r="T81">
            <v>1.3555908850026503</v>
          </cell>
          <cell r="AA81">
            <v>1.3672896699269002</v>
          </cell>
          <cell r="AB81">
            <v>1.3671607753705823</v>
          </cell>
          <cell r="AC81">
            <v>1.3076224702099486</v>
          </cell>
          <cell r="AD81">
            <v>1.3080472602102526</v>
          </cell>
          <cell r="AE81">
            <v>1.2945368171021376</v>
          </cell>
          <cell r="AF81">
            <v>1.295358649789029</v>
          </cell>
          <cell r="AM81">
            <v>1.3610733723620612</v>
          </cell>
          <cell r="AN81">
            <v>1.3609470756528876</v>
          </cell>
          <cell r="AO81">
            <v>1.3609470756528876</v>
          </cell>
          <cell r="AP81">
            <v>1.3266393261895317</v>
          </cell>
          <cell r="AQ81">
            <v>1.3485391444713466</v>
          </cell>
          <cell r="AR81">
            <v>1.3493087327183177</v>
          </cell>
        </row>
        <row r="82">
          <cell r="D82">
            <v>7</v>
          </cell>
          <cell r="E82">
            <v>0.76928314734253833</v>
          </cell>
          <cell r="F82">
            <v>0.76896455484231097</v>
          </cell>
          <cell r="G82">
            <v>0.77909738717339672</v>
          </cell>
          <cell r="H82">
            <v>0.77848101265822789</v>
          </cell>
          <cell r="O82">
            <v>0.72453274755482466</v>
          </cell>
          <cell r="P82">
            <v>0.72462941847206386</v>
          </cell>
          <cell r="Q82">
            <v>0.72462941847206386</v>
          </cell>
          <cell r="R82">
            <v>0.72432830327567177</v>
          </cell>
          <cell r="S82">
            <v>0.73386902757061057</v>
          </cell>
          <cell r="T82">
            <v>0.73330683624801274</v>
          </cell>
          <cell r="AA82">
            <v>0.72453274755482466</v>
          </cell>
          <cell r="AB82">
            <v>0.72462941847206386</v>
          </cell>
          <cell r="AC82">
            <v>0.76928314734253833</v>
          </cell>
          <cell r="AD82">
            <v>0.76896455484231097</v>
          </cell>
          <cell r="AE82">
            <v>0.77909738717339672</v>
          </cell>
          <cell r="AF82">
            <v>0.77848101265822789</v>
          </cell>
          <cell r="AM82">
            <v>0.72919497072845385</v>
          </cell>
          <cell r="AN82">
            <v>0.72928969326033422</v>
          </cell>
          <cell r="AO82">
            <v>0.72928969326033422</v>
          </cell>
          <cell r="AP82">
            <v>0.75502050535785148</v>
          </cell>
          <cell r="AQ82">
            <v>0.73859564164648916</v>
          </cell>
          <cell r="AR82">
            <v>0.73801845046126158</v>
          </cell>
        </row>
        <row r="83">
          <cell r="D83">
            <v>8</v>
          </cell>
          <cell r="E83">
            <v>0.76928314734253833</v>
          </cell>
          <cell r="F83">
            <v>0.76896455484231097</v>
          </cell>
          <cell r="G83">
            <v>0.77909738717339672</v>
          </cell>
          <cell r="H83">
            <v>0.77848101265822789</v>
          </cell>
          <cell r="O83">
            <v>0.72453274755482466</v>
          </cell>
          <cell r="P83">
            <v>0.72462941847206386</v>
          </cell>
          <cell r="Q83">
            <v>0.72462941847206386</v>
          </cell>
          <cell r="R83">
            <v>0.72432830327567177</v>
          </cell>
          <cell r="S83">
            <v>0.73386902757061057</v>
          </cell>
          <cell r="T83">
            <v>0.73330683624801274</v>
          </cell>
          <cell r="AA83">
            <v>0.72453274755482466</v>
          </cell>
          <cell r="AB83">
            <v>0.72462941847206386</v>
          </cell>
          <cell r="AC83">
            <v>0.76928314734253833</v>
          </cell>
          <cell r="AD83">
            <v>0.76896455484231097</v>
          </cell>
          <cell r="AE83">
            <v>0.77909738717339672</v>
          </cell>
          <cell r="AF83">
            <v>0.77848101265822789</v>
          </cell>
          <cell r="AM83">
            <v>0.72919497072845385</v>
          </cell>
          <cell r="AN83">
            <v>0.72928969326033422</v>
          </cell>
          <cell r="AO83">
            <v>0.72928969326033422</v>
          </cell>
          <cell r="AP83">
            <v>0.75502050535785148</v>
          </cell>
          <cell r="AQ83">
            <v>0.73859564164648916</v>
          </cell>
          <cell r="AR83">
            <v>0.73801845046126158</v>
          </cell>
        </row>
        <row r="84">
          <cell r="D84">
            <v>9</v>
          </cell>
          <cell r="E84">
            <v>0.76928314734253833</v>
          </cell>
          <cell r="F84">
            <v>0.76896455484231097</v>
          </cell>
          <cell r="G84">
            <v>0.77909738717339672</v>
          </cell>
          <cell r="H84">
            <v>0.77848101265822789</v>
          </cell>
          <cell r="O84">
            <v>0.72453274755482466</v>
          </cell>
          <cell r="P84">
            <v>0.72462941847206386</v>
          </cell>
          <cell r="Q84">
            <v>0.72462941847206386</v>
          </cell>
          <cell r="R84">
            <v>0.72432830327567177</v>
          </cell>
          <cell r="S84">
            <v>0.73386902757061057</v>
          </cell>
          <cell r="T84">
            <v>0.73330683624801274</v>
          </cell>
          <cell r="AA84">
            <v>0.72453274755482466</v>
          </cell>
          <cell r="AB84">
            <v>0.72462941847206386</v>
          </cell>
          <cell r="AC84">
            <v>0.76928314734253833</v>
          </cell>
          <cell r="AD84">
            <v>0.76896455484231097</v>
          </cell>
          <cell r="AE84">
            <v>0.77909738717339672</v>
          </cell>
          <cell r="AF84">
            <v>0.77848101265822789</v>
          </cell>
          <cell r="AM84">
            <v>0.72919497072845385</v>
          </cell>
          <cell r="AN84">
            <v>0.72928969326033422</v>
          </cell>
          <cell r="AO84">
            <v>0.72928969326033422</v>
          </cell>
          <cell r="AP84">
            <v>0.75502050535785148</v>
          </cell>
          <cell r="AQ84">
            <v>0.73859564164648916</v>
          </cell>
          <cell r="AR84">
            <v>0.73801845046126158</v>
          </cell>
        </row>
        <row r="85">
          <cell r="D85">
            <v>10</v>
          </cell>
          <cell r="E85">
            <v>0.76928314734253833</v>
          </cell>
          <cell r="F85">
            <v>0.76896455484231097</v>
          </cell>
          <cell r="G85">
            <v>0.77909738717339672</v>
          </cell>
          <cell r="H85">
            <v>0.77848101265822789</v>
          </cell>
          <cell r="O85">
            <v>0.72453274755482466</v>
          </cell>
          <cell r="P85">
            <v>0.72462941847206386</v>
          </cell>
          <cell r="Q85">
            <v>0.72462941847206386</v>
          </cell>
          <cell r="R85">
            <v>0.72432830327567177</v>
          </cell>
          <cell r="S85">
            <v>0.73386902757061057</v>
          </cell>
          <cell r="T85">
            <v>0.73330683624801274</v>
          </cell>
          <cell r="AA85">
            <v>0.72453274755482466</v>
          </cell>
          <cell r="AB85">
            <v>0.72462941847206386</v>
          </cell>
          <cell r="AC85">
            <v>0.76928314734253833</v>
          </cell>
          <cell r="AD85">
            <v>0.76896455484231097</v>
          </cell>
          <cell r="AE85">
            <v>0.77909738717339672</v>
          </cell>
          <cell r="AF85">
            <v>0.77848101265822789</v>
          </cell>
          <cell r="AM85">
            <v>0.72919497072845385</v>
          </cell>
          <cell r="AN85">
            <v>0.72928969326033422</v>
          </cell>
          <cell r="AO85">
            <v>0.72928969326033422</v>
          </cell>
          <cell r="AP85">
            <v>0.75502050535785148</v>
          </cell>
          <cell r="AQ85">
            <v>0.73859564164648916</v>
          </cell>
          <cell r="AR85">
            <v>0.73801845046126158</v>
          </cell>
        </row>
        <row r="86">
          <cell r="D86">
            <v>11</v>
          </cell>
          <cell r="E86">
            <v>0.76928314734253833</v>
          </cell>
          <cell r="F86">
            <v>0.76896455484231097</v>
          </cell>
          <cell r="G86">
            <v>0.77909738717339672</v>
          </cell>
          <cell r="H86">
            <v>0.77848101265822789</v>
          </cell>
          <cell r="O86">
            <v>0.72453274755482466</v>
          </cell>
          <cell r="P86">
            <v>0.72462941847206386</v>
          </cell>
          <cell r="Q86">
            <v>0.72462941847206386</v>
          </cell>
          <cell r="R86">
            <v>0.72432830327567177</v>
          </cell>
          <cell r="S86">
            <v>0.73386902757061057</v>
          </cell>
          <cell r="T86">
            <v>0.73330683624801274</v>
          </cell>
          <cell r="AA86">
            <v>0.72453274755482466</v>
          </cell>
          <cell r="AB86">
            <v>0.72462941847206386</v>
          </cell>
          <cell r="AC86">
            <v>0.76928314734253833</v>
          </cell>
          <cell r="AD86">
            <v>0.76896455484231097</v>
          </cell>
          <cell r="AE86">
            <v>0.77909738717339672</v>
          </cell>
          <cell r="AF86">
            <v>0.77848101265822789</v>
          </cell>
          <cell r="AM86">
            <v>0.72919497072845385</v>
          </cell>
          <cell r="AN86">
            <v>0.72928969326033422</v>
          </cell>
          <cell r="AO86">
            <v>0.72928969326033422</v>
          </cell>
          <cell r="AP86">
            <v>0.75502050535785148</v>
          </cell>
          <cell r="AQ86">
            <v>0.73859564164648916</v>
          </cell>
          <cell r="AR86">
            <v>0.73801845046126158</v>
          </cell>
        </row>
        <row r="87">
          <cell r="D87">
            <v>12</v>
          </cell>
          <cell r="E87">
            <v>0.76928314734253833</v>
          </cell>
          <cell r="F87">
            <v>0.76896455484231097</v>
          </cell>
          <cell r="G87">
            <v>0.77909738717339672</v>
          </cell>
          <cell r="H87">
            <v>0.77848101265822789</v>
          </cell>
          <cell r="O87">
            <v>0.72453274755482466</v>
          </cell>
          <cell r="P87">
            <v>0.72462941847206386</v>
          </cell>
          <cell r="Q87">
            <v>0.72462941847206386</v>
          </cell>
          <cell r="R87">
            <v>0.72432830327567177</v>
          </cell>
          <cell r="S87">
            <v>0.73386902757061057</v>
          </cell>
          <cell r="T87">
            <v>0.73330683624801274</v>
          </cell>
          <cell r="AA87">
            <v>0.72453274755482466</v>
          </cell>
          <cell r="AB87">
            <v>0.72462941847206386</v>
          </cell>
          <cell r="AC87">
            <v>0.76928314734253833</v>
          </cell>
          <cell r="AD87">
            <v>0.76896455484231097</v>
          </cell>
          <cell r="AE87">
            <v>0.77909738717339672</v>
          </cell>
          <cell r="AF87">
            <v>0.77848101265822789</v>
          </cell>
          <cell r="AM87">
            <v>0.72919497072845385</v>
          </cell>
          <cell r="AN87">
            <v>0.72928969326033422</v>
          </cell>
          <cell r="AO87">
            <v>0.72928969326033422</v>
          </cell>
          <cell r="AP87">
            <v>0.75502050535785148</v>
          </cell>
          <cell r="AQ87">
            <v>0.73859564164648916</v>
          </cell>
          <cell r="AR87">
            <v>0.73801845046126158</v>
          </cell>
        </row>
        <row r="88">
          <cell r="D88">
            <v>13</v>
          </cell>
          <cell r="E88">
            <v>0.76928314734253833</v>
          </cell>
          <cell r="F88">
            <v>0.76896455484231097</v>
          </cell>
          <cell r="G88">
            <v>0.77909738717339672</v>
          </cell>
          <cell r="H88">
            <v>0.77848101265822789</v>
          </cell>
          <cell r="O88">
            <v>0.72453274755482466</v>
          </cell>
          <cell r="P88">
            <v>0.72462941847206386</v>
          </cell>
          <cell r="Q88">
            <v>0.72462941847206386</v>
          </cell>
          <cell r="R88">
            <v>0.72432830327567177</v>
          </cell>
          <cell r="S88">
            <v>0.73386902757061057</v>
          </cell>
          <cell r="T88">
            <v>0.73330683624801274</v>
          </cell>
          <cell r="AA88">
            <v>0.72453274755482466</v>
          </cell>
          <cell r="AB88">
            <v>0.72462941847206386</v>
          </cell>
          <cell r="AC88">
            <v>0.76928314734253833</v>
          </cell>
          <cell r="AD88">
            <v>0.76896455484231097</v>
          </cell>
          <cell r="AE88">
            <v>0.77909738717339672</v>
          </cell>
          <cell r="AF88">
            <v>0.77848101265822789</v>
          </cell>
          <cell r="AM88">
            <v>0.72919497072845385</v>
          </cell>
          <cell r="AN88">
            <v>0.72928969326033422</v>
          </cell>
          <cell r="AO88">
            <v>0.72928969326033422</v>
          </cell>
          <cell r="AP88">
            <v>0.75502050535785148</v>
          </cell>
          <cell r="AQ88">
            <v>0.73859564164648916</v>
          </cell>
          <cell r="AR88">
            <v>0.73801845046126158</v>
          </cell>
        </row>
        <row r="89">
          <cell r="D89">
            <v>14</v>
          </cell>
          <cell r="E89">
            <v>0.76928314734253833</v>
          </cell>
          <cell r="F89">
            <v>0.76896455484231097</v>
          </cell>
          <cell r="G89">
            <v>0.77909738717339672</v>
          </cell>
          <cell r="H89">
            <v>0.77848101265822789</v>
          </cell>
          <cell r="O89">
            <v>0.72453274755482466</v>
          </cell>
          <cell r="P89">
            <v>0.72462941847206386</v>
          </cell>
          <cell r="Q89">
            <v>0.72462941847206386</v>
          </cell>
          <cell r="R89">
            <v>0.72432830327567177</v>
          </cell>
          <cell r="S89">
            <v>0.73386902757061057</v>
          </cell>
          <cell r="T89">
            <v>0.73330683624801274</v>
          </cell>
          <cell r="AA89">
            <v>0.72453274755482466</v>
          </cell>
          <cell r="AB89">
            <v>0.72462941847206386</v>
          </cell>
          <cell r="AC89">
            <v>0.76928314734253833</v>
          </cell>
          <cell r="AD89">
            <v>0.76896455484231097</v>
          </cell>
          <cell r="AE89">
            <v>0.77909738717339672</v>
          </cell>
          <cell r="AF89">
            <v>0.77848101265822789</v>
          </cell>
          <cell r="AM89">
            <v>0.72919497072845385</v>
          </cell>
          <cell r="AN89">
            <v>0.72928969326033422</v>
          </cell>
          <cell r="AO89">
            <v>0.72928969326033422</v>
          </cell>
          <cell r="AP89">
            <v>0.75502050535785148</v>
          </cell>
          <cell r="AQ89">
            <v>0.73859564164648916</v>
          </cell>
          <cell r="AR89">
            <v>0.73801845046126158</v>
          </cell>
        </row>
        <row r="90">
          <cell r="D90">
            <v>15</v>
          </cell>
          <cell r="E90">
            <v>0.76928314734253833</v>
          </cell>
          <cell r="F90">
            <v>0.76896455484231097</v>
          </cell>
          <cell r="G90">
            <v>0.77909738717339672</v>
          </cell>
          <cell r="H90">
            <v>0.77848101265822789</v>
          </cell>
          <cell r="O90">
            <v>0.72453274755482466</v>
          </cell>
          <cell r="P90">
            <v>0.72462941847206386</v>
          </cell>
          <cell r="Q90">
            <v>0.72462941847206386</v>
          </cell>
          <cell r="R90">
            <v>0.72432830327567177</v>
          </cell>
          <cell r="S90">
            <v>0.73386902757061057</v>
          </cell>
          <cell r="T90">
            <v>0.73330683624801274</v>
          </cell>
          <cell r="AA90">
            <v>0.72453274755482466</v>
          </cell>
          <cell r="AB90">
            <v>0.72462941847206386</v>
          </cell>
          <cell r="AC90">
            <v>0.76928314734253833</v>
          </cell>
          <cell r="AD90">
            <v>0.76896455484231097</v>
          </cell>
          <cell r="AE90">
            <v>0.77909738717339672</v>
          </cell>
          <cell r="AF90">
            <v>0.77848101265822789</v>
          </cell>
          <cell r="AM90">
            <v>0.72919497072845385</v>
          </cell>
          <cell r="AN90">
            <v>0.72928969326033422</v>
          </cell>
          <cell r="AO90">
            <v>0.72928969326033422</v>
          </cell>
          <cell r="AP90">
            <v>0.75502050535785148</v>
          </cell>
          <cell r="AQ90">
            <v>0.73859564164648916</v>
          </cell>
          <cell r="AR90">
            <v>0.73801845046126158</v>
          </cell>
        </row>
        <row r="91">
          <cell r="D91">
            <v>16</v>
          </cell>
          <cell r="E91">
            <v>0.76928314734253833</v>
          </cell>
          <cell r="F91">
            <v>0.76896455484231097</v>
          </cell>
          <cell r="G91">
            <v>0.77909738717339672</v>
          </cell>
          <cell r="H91">
            <v>0.77848101265822789</v>
          </cell>
          <cell r="O91">
            <v>0.72453274755482466</v>
          </cell>
          <cell r="P91">
            <v>0.72462941847206386</v>
          </cell>
          <cell r="Q91">
            <v>0.72462941847206386</v>
          </cell>
          <cell r="R91">
            <v>0.72432830327567177</v>
          </cell>
          <cell r="S91">
            <v>0.73386902757061057</v>
          </cell>
          <cell r="T91">
            <v>0.73330683624801274</v>
          </cell>
          <cell r="AA91">
            <v>0.72453274755482466</v>
          </cell>
          <cell r="AB91">
            <v>0.72462941847206386</v>
          </cell>
          <cell r="AC91">
            <v>0.76928314734253833</v>
          </cell>
          <cell r="AD91">
            <v>0.76896455484231097</v>
          </cell>
          <cell r="AE91">
            <v>0.77909738717339672</v>
          </cell>
          <cell r="AF91">
            <v>0.77848101265822789</v>
          </cell>
          <cell r="AM91">
            <v>0.72919497072845385</v>
          </cell>
          <cell r="AN91">
            <v>0.72928969326033422</v>
          </cell>
          <cell r="AO91">
            <v>0.72928969326033422</v>
          </cell>
          <cell r="AP91">
            <v>0.75502050535785148</v>
          </cell>
          <cell r="AQ91">
            <v>0.73859564164648916</v>
          </cell>
          <cell r="AR91">
            <v>0.73801845046126158</v>
          </cell>
        </row>
        <row r="92">
          <cell r="D92">
            <v>17</v>
          </cell>
          <cell r="E92">
            <v>0.76928314734253833</v>
          </cell>
          <cell r="F92">
            <v>0.76896455484231097</v>
          </cell>
          <cell r="G92">
            <v>0.77909738717339672</v>
          </cell>
          <cell r="H92">
            <v>0.77848101265822789</v>
          </cell>
          <cell r="O92">
            <v>0.72453274755482466</v>
          </cell>
          <cell r="P92">
            <v>0.72462941847206386</v>
          </cell>
          <cell r="Q92">
            <v>0.72462941847206386</v>
          </cell>
          <cell r="R92">
            <v>0.72432830327567177</v>
          </cell>
          <cell r="S92">
            <v>0.73386902757061057</v>
          </cell>
          <cell r="T92">
            <v>0.73330683624801274</v>
          </cell>
          <cell r="AA92">
            <v>0.72453274755482466</v>
          </cell>
          <cell r="AB92">
            <v>0.72462941847206386</v>
          </cell>
          <cell r="AC92">
            <v>0.76928314734253833</v>
          </cell>
          <cell r="AD92">
            <v>0.76896455484231097</v>
          </cell>
          <cell r="AE92">
            <v>0.77909738717339672</v>
          </cell>
          <cell r="AF92">
            <v>0.77848101265822789</v>
          </cell>
          <cell r="AM92">
            <v>0.72919497072845385</v>
          </cell>
          <cell r="AN92">
            <v>0.72928969326033422</v>
          </cell>
          <cell r="AO92">
            <v>0.72928969326033422</v>
          </cell>
          <cell r="AP92">
            <v>0.75502050535785148</v>
          </cell>
          <cell r="AQ92">
            <v>0.73859564164648916</v>
          </cell>
          <cell r="AR92">
            <v>0.73801845046126158</v>
          </cell>
        </row>
        <row r="93">
          <cell r="D93">
            <v>18</v>
          </cell>
          <cell r="E93">
            <v>0.76928314734253833</v>
          </cell>
          <cell r="F93">
            <v>0.76896455484231097</v>
          </cell>
          <cell r="G93">
            <v>0.77909738717339672</v>
          </cell>
          <cell r="H93">
            <v>0.77848101265822789</v>
          </cell>
          <cell r="O93">
            <v>0.72453274755482466</v>
          </cell>
          <cell r="P93">
            <v>0.72462941847206386</v>
          </cell>
          <cell r="Q93">
            <v>0.72462941847206386</v>
          </cell>
          <cell r="R93">
            <v>0.72432830327567177</v>
          </cell>
          <cell r="S93">
            <v>0.73386902757061057</v>
          </cell>
          <cell r="T93">
            <v>0.73330683624801274</v>
          </cell>
          <cell r="AA93">
            <v>0.72453274755482466</v>
          </cell>
          <cell r="AB93">
            <v>0.72462941847206386</v>
          </cell>
          <cell r="AC93">
            <v>0.76928314734253833</v>
          </cell>
          <cell r="AD93">
            <v>0.76896455484231097</v>
          </cell>
          <cell r="AE93">
            <v>0.77909738717339672</v>
          </cell>
          <cell r="AF93">
            <v>0.77848101265822789</v>
          </cell>
          <cell r="AM93">
            <v>0.72919497072845385</v>
          </cell>
          <cell r="AN93">
            <v>0.72928969326033422</v>
          </cell>
          <cell r="AO93">
            <v>0.72928969326033422</v>
          </cell>
          <cell r="AP93">
            <v>0.75502050535785148</v>
          </cell>
          <cell r="AQ93">
            <v>0.73859564164648916</v>
          </cell>
          <cell r="AR93">
            <v>0.73801845046126158</v>
          </cell>
        </row>
        <row r="94">
          <cell r="D94">
            <v>19</v>
          </cell>
          <cell r="E94">
            <v>0.76928314734253833</v>
          </cell>
          <cell r="F94">
            <v>0.76896455484231097</v>
          </cell>
          <cell r="G94">
            <v>0.77909738717339672</v>
          </cell>
          <cell r="H94">
            <v>0.77848101265822789</v>
          </cell>
          <cell r="O94">
            <v>0.72453274755482466</v>
          </cell>
          <cell r="P94">
            <v>0.72462941847206386</v>
          </cell>
          <cell r="Q94">
            <v>0.72462941847206386</v>
          </cell>
          <cell r="R94">
            <v>0.72432830327567177</v>
          </cell>
          <cell r="S94">
            <v>0.73386902757061057</v>
          </cell>
          <cell r="T94">
            <v>0.73330683624801274</v>
          </cell>
          <cell r="AA94">
            <v>0.72453274755482466</v>
          </cell>
          <cell r="AB94">
            <v>0.72462941847206386</v>
          </cell>
          <cell r="AC94">
            <v>0.76928314734253833</v>
          </cell>
          <cell r="AD94">
            <v>0.76896455484231097</v>
          </cell>
          <cell r="AE94">
            <v>0.77909738717339672</v>
          </cell>
          <cell r="AF94">
            <v>0.77848101265822789</v>
          </cell>
          <cell r="AM94">
            <v>0.72919497072845385</v>
          </cell>
          <cell r="AN94">
            <v>0.72928969326033422</v>
          </cell>
          <cell r="AO94">
            <v>0.72928969326033422</v>
          </cell>
          <cell r="AP94">
            <v>0.75502050535785148</v>
          </cell>
          <cell r="AQ94">
            <v>0.73859564164648916</v>
          </cell>
          <cell r="AR94">
            <v>0.73801845046126158</v>
          </cell>
        </row>
        <row r="95">
          <cell r="D95">
            <v>20</v>
          </cell>
          <cell r="E95">
            <v>0.76928314734253833</v>
          </cell>
          <cell r="F95">
            <v>0.76896455484231097</v>
          </cell>
          <cell r="G95">
            <v>0.77909738717339672</v>
          </cell>
          <cell r="H95">
            <v>0.77848101265822789</v>
          </cell>
          <cell r="O95">
            <v>0.72453274755482466</v>
          </cell>
          <cell r="P95">
            <v>0.72462941847206386</v>
          </cell>
          <cell r="Q95">
            <v>0.72462941847206386</v>
          </cell>
          <cell r="R95">
            <v>0.72432830327567177</v>
          </cell>
          <cell r="S95">
            <v>0.73386902757061057</v>
          </cell>
          <cell r="T95">
            <v>0.73330683624801274</v>
          </cell>
          <cell r="AA95">
            <v>0.72453274755482466</v>
          </cell>
          <cell r="AB95">
            <v>0.72462941847206386</v>
          </cell>
          <cell r="AC95">
            <v>0.76928314734253833</v>
          </cell>
          <cell r="AD95">
            <v>0.76896455484231097</v>
          </cell>
          <cell r="AE95">
            <v>0.77909738717339672</v>
          </cell>
          <cell r="AF95">
            <v>0.77848101265822789</v>
          </cell>
          <cell r="AM95">
            <v>0.72919497072845385</v>
          </cell>
          <cell r="AN95">
            <v>0.72928969326033422</v>
          </cell>
          <cell r="AO95">
            <v>0.72928969326033422</v>
          </cell>
          <cell r="AP95">
            <v>0.75502050535785148</v>
          </cell>
          <cell r="AQ95">
            <v>0.73859564164648916</v>
          </cell>
          <cell r="AR95">
            <v>0.73801845046126158</v>
          </cell>
        </row>
        <row r="96">
          <cell r="D96">
            <v>21</v>
          </cell>
          <cell r="E96">
            <v>0.76928314734253833</v>
          </cell>
          <cell r="F96">
            <v>0.76896455484231097</v>
          </cell>
          <cell r="G96">
            <v>0.77909738717339672</v>
          </cell>
          <cell r="H96">
            <v>0.77848101265822789</v>
          </cell>
          <cell r="O96">
            <v>0.72453274755482466</v>
          </cell>
          <cell r="P96">
            <v>0.72462941847206386</v>
          </cell>
          <cell r="Q96">
            <v>0.72462941847206386</v>
          </cell>
          <cell r="R96">
            <v>0.72432830327567177</v>
          </cell>
          <cell r="S96">
            <v>0.73386902757061057</v>
          </cell>
          <cell r="T96">
            <v>0.73330683624801274</v>
          </cell>
          <cell r="AA96">
            <v>0.72453274755482466</v>
          </cell>
          <cell r="AB96">
            <v>0.72462941847206386</v>
          </cell>
          <cell r="AC96">
            <v>0.76928314734253833</v>
          </cell>
          <cell r="AD96">
            <v>0.76896455484231097</v>
          </cell>
          <cell r="AE96">
            <v>0.77909738717339672</v>
          </cell>
          <cell r="AF96">
            <v>0.77848101265822789</v>
          </cell>
          <cell r="AM96">
            <v>0.72919497072845385</v>
          </cell>
          <cell r="AN96">
            <v>0.72928969326033422</v>
          </cell>
          <cell r="AO96">
            <v>0.72928969326033422</v>
          </cell>
          <cell r="AP96">
            <v>0.75502050535785148</v>
          </cell>
          <cell r="AQ96">
            <v>0.73859564164648916</v>
          </cell>
          <cell r="AR96">
            <v>0.73801845046126158</v>
          </cell>
        </row>
        <row r="97">
          <cell r="D97">
            <v>22</v>
          </cell>
          <cell r="E97">
            <v>0.76928314734253833</v>
          </cell>
          <cell r="F97">
            <v>0.76896455484231097</v>
          </cell>
          <cell r="G97">
            <v>0.77909738717339672</v>
          </cell>
          <cell r="H97">
            <v>0.77848101265822789</v>
          </cell>
          <cell r="O97">
            <v>0.72453274755482466</v>
          </cell>
          <cell r="P97">
            <v>0.72462941847206386</v>
          </cell>
          <cell r="Q97">
            <v>0.72462941847206386</v>
          </cell>
          <cell r="R97">
            <v>0.72432830327567177</v>
          </cell>
          <cell r="S97">
            <v>0.73386902757061057</v>
          </cell>
          <cell r="T97">
            <v>0.73330683624801274</v>
          </cell>
          <cell r="AA97">
            <v>0.72453274755482466</v>
          </cell>
          <cell r="AB97">
            <v>0.72462941847206386</v>
          </cell>
          <cell r="AC97">
            <v>0.76928314734253833</v>
          </cell>
          <cell r="AD97">
            <v>0.76896455484231097</v>
          </cell>
          <cell r="AE97">
            <v>0.77909738717339672</v>
          </cell>
          <cell r="AF97">
            <v>0.77848101265822789</v>
          </cell>
          <cell r="AM97">
            <v>0.72919497072845385</v>
          </cell>
          <cell r="AN97">
            <v>0.72928969326033422</v>
          </cell>
          <cell r="AO97">
            <v>0.72928969326033422</v>
          </cell>
          <cell r="AP97">
            <v>0.75502050535785148</v>
          </cell>
          <cell r="AQ97">
            <v>0.73859564164648916</v>
          </cell>
          <cell r="AR97">
            <v>0.73801845046126158</v>
          </cell>
        </row>
        <row r="98">
          <cell r="D98">
            <v>23</v>
          </cell>
          <cell r="E98">
            <v>1.3076224702099486</v>
          </cell>
          <cell r="F98">
            <v>1.3080472602102526</v>
          </cell>
          <cell r="G98">
            <v>1.2945368171021376</v>
          </cell>
          <cell r="H98">
            <v>1.295358649789029</v>
          </cell>
          <cell r="O98">
            <v>1.3672896699269002</v>
          </cell>
          <cell r="P98">
            <v>1.3671607753705823</v>
          </cell>
          <cell r="Q98">
            <v>1.3671607753705823</v>
          </cell>
          <cell r="R98">
            <v>1.3675622622991039</v>
          </cell>
          <cell r="S98">
            <v>1.3548412965725196</v>
          </cell>
          <cell r="T98">
            <v>1.3555908850026503</v>
          </cell>
          <cell r="AA98">
            <v>1.3672896699269002</v>
          </cell>
          <cell r="AB98">
            <v>1.3671607753705823</v>
          </cell>
          <cell r="AC98">
            <v>1.3076224702099486</v>
          </cell>
          <cell r="AD98">
            <v>1.3080472602102526</v>
          </cell>
          <cell r="AE98">
            <v>1.2945368171021376</v>
          </cell>
          <cell r="AF98">
            <v>1.295358649789029</v>
          </cell>
          <cell r="AM98">
            <v>1.3610733723620612</v>
          </cell>
          <cell r="AN98">
            <v>1.3609470756528876</v>
          </cell>
          <cell r="AO98">
            <v>1.3609470756528876</v>
          </cell>
          <cell r="AP98">
            <v>1.3266393261895317</v>
          </cell>
          <cell r="AQ98">
            <v>1.3485391444713466</v>
          </cell>
          <cell r="AR98">
            <v>1.3493087327183177</v>
          </cell>
        </row>
        <row r="99">
          <cell r="D99">
            <v>24</v>
          </cell>
          <cell r="E99">
            <v>1.3076224702099486</v>
          </cell>
          <cell r="F99">
            <v>1.3080472602102526</v>
          </cell>
          <cell r="G99">
            <v>1.2945368171021376</v>
          </cell>
          <cell r="H99">
            <v>1.295358649789029</v>
          </cell>
          <cell r="O99">
            <v>1.3672896699269002</v>
          </cell>
          <cell r="P99">
            <v>1.3671607753705823</v>
          </cell>
          <cell r="Q99">
            <v>1.3671607753705823</v>
          </cell>
          <cell r="R99">
            <v>1.3675622622991039</v>
          </cell>
          <cell r="S99">
            <v>1.3548412965725196</v>
          </cell>
          <cell r="T99">
            <v>1.3555908850026503</v>
          </cell>
          <cell r="AA99">
            <v>1.3672896699269002</v>
          </cell>
          <cell r="AB99">
            <v>1.3671607753705823</v>
          </cell>
          <cell r="AC99">
            <v>1.3076224702099486</v>
          </cell>
          <cell r="AD99">
            <v>1.3080472602102526</v>
          </cell>
          <cell r="AE99">
            <v>1.2945368171021376</v>
          </cell>
          <cell r="AF99">
            <v>1.295358649789029</v>
          </cell>
          <cell r="AM99">
            <v>1.3610733723620612</v>
          </cell>
          <cell r="AN99">
            <v>1.3609470756528876</v>
          </cell>
          <cell r="AO99">
            <v>1.3609470756528876</v>
          </cell>
          <cell r="AP99">
            <v>1.3266393261895317</v>
          </cell>
          <cell r="AQ99">
            <v>1.3485391444713466</v>
          </cell>
          <cell r="AR99">
            <v>1.3493087327183177</v>
          </cell>
        </row>
        <row r="100">
          <cell r="D100">
            <v>25</v>
          </cell>
          <cell r="E100">
            <v>1.3076224702099486</v>
          </cell>
          <cell r="F100">
            <v>1.3080472602102526</v>
          </cell>
          <cell r="G100">
            <v>1.2945368171021376</v>
          </cell>
          <cell r="H100">
            <v>1.295358649789029</v>
          </cell>
          <cell r="O100">
            <v>1.3672896699269002</v>
          </cell>
          <cell r="P100">
            <v>1.3671607753705823</v>
          </cell>
          <cell r="Q100">
            <v>1.3671607753705823</v>
          </cell>
          <cell r="R100">
            <v>1.3675622622991039</v>
          </cell>
          <cell r="S100">
            <v>1.3548412965725196</v>
          </cell>
          <cell r="T100">
            <v>1.3555908850026503</v>
          </cell>
          <cell r="AA100">
            <v>1.3672896699269002</v>
          </cell>
          <cell r="AB100">
            <v>1.3671607753705823</v>
          </cell>
          <cell r="AC100">
            <v>1.3076224702099486</v>
          </cell>
          <cell r="AD100">
            <v>1.3080472602102526</v>
          </cell>
          <cell r="AE100">
            <v>1.2945368171021376</v>
          </cell>
          <cell r="AF100">
            <v>1.295358649789029</v>
          </cell>
          <cell r="AM100">
            <v>1.3610733723620612</v>
          </cell>
          <cell r="AN100">
            <v>1.3609470756528876</v>
          </cell>
          <cell r="AO100">
            <v>1.3609470756528876</v>
          </cell>
          <cell r="AP100">
            <v>1.3266393261895317</v>
          </cell>
          <cell r="AQ100">
            <v>1.3485391444713466</v>
          </cell>
          <cell r="AR100">
            <v>1.3493087327183177</v>
          </cell>
        </row>
        <row r="101">
          <cell r="D101">
            <v>26</v>
          </cell>
          <cell r="E101">
            <v>1.3076224702099486</v>
          </cell>
          <cell r="F101">
            <v>1.3080472602102526</v>
          </cell>
          <cell r="G101">
            <v>1.2945368171021376</v>
          </cell>
          <cell r="H101">
            <v>1.295358649789029</v>
          </cell>
          <cell r="O101">
            <v>1.3672896699269002</v>
          </cell>
          <cell r="P101">
            <v>1.3671607753705823</v>
          </cell>
          <cell r="Q101">
            <v>1.3671607753705823</v>
          </cell>
          <cell r="R101">
            <v>1.3675622622991039</v>
          </cell>
          <cell r="S101">
            <v>1.3548412965725196</v>
          </cell>
          <cell r="T101">
            <v>1.3555908850026503</v>
          </cell>
          <cell r="AA101">
            <v>1.3672896699269002</v>
          </cell>
          <cell r="AB101">
            <v>1.3671607753705823</v>
          </cell>
          <cell r="AC101">
            <v>1.3076224702099486</v>
          </cell>
          <cell r="AD101">
            <v>1.3080472602102526</v>
          </cell>
          <cell r="AE101">
            <v>1.2945368171021376</v>
          </cell>
          <cell r="AF101">
            <v>1.295358649789029</v>
          </cell>
          <cell r="AM101">
            <v>1.3610733723620612</v>
          </cell>
          <cell r="AN101">
            <v>1.3609470756528876</v>
          </cell>
          <cell r="AO101">
            <v>1.3609470756528876</v>
          </cell>
          <cell r="AP101">
            <v>1.3266393261895317</v>
          </cell>
          <cell r="AQ101">
            <v>1.3485391444713466</v>
          </cell>
          <cell r="AR101">
            <v>1.3493087327183177</v>
          </cell>
        </row>
        <row r="102">
          <cell r="D102">
            <v>27</v>
          </cell>
          <cell r="E102">
            <v>1.3076224702099486</v>
          </cell>
          <cell r="F102">
            <v>1.3080472602102526</v>
          </cell>
          <cell r="G102">
            <v>1.2945368171021376</v>
          </cell>
          <cell r="H102">
            <v>1.295358649789029</v>
          </cell>
          <cell r="O102">
            <v>1.3672896699269002</v>
          </cell>
          <cell r="P102">
            <v>1.3671607753705823</v>
          </cell>
          <cell r="Q102">
            <v>1.3671607753705823</v>
          </cell>
          <cell r="R102">
            <v>1.3675622622991039</v>
          </cell>
          <cell r="S102">
            <v>1.3548412965725196</v>
          </cell>
          <cell r="T102">
            <v>1.3555908850026503</v>
          </cell>
          <cell r="AA102">
            <v>1.3672896699269002</v>
          </cell>
          <cell r="AB102">
            <v>1.3671607753705823</v>
          </cell>
          <cell r="AC102">
            <v>1.3076224702099486</v>
          </cell>
          <cell r="AD102">
            <v>1.3080472602102526</v>
          </cell>
          <cell r="AE102">
            <v>1.2945368171021376</v>
          </cell>
          <cell r="AF102">
            <v>1.295358649789029</v>
          </cell>
          <cell r="AM102">
            <v>1.3610733723620612</v>
          </cell>
          <cell r="AN102">
            <v>1.3609470756528876</v>
          </cell>
          <cell r="AO102">
            <v>1.3609470756528876</v>
          </cell>
          <cell r="AP102">
            <v>1.3266393261895317</v>
          </cell>
          <cell r="AQ102">
            <v>1.3485391444713466</v>
          </cell>
          <cell r="AR102">
            <v>1.3493087327183177</v>
          </cell>
        </row>
        <row r="103">
          <cell r="D103">
            <v>28</v>
          </cell>
          <cell r="E103">
            <v>1.3076224702099486</v>
          </cell>
          <cell r="F103">
            <v>1.3080472602102526</v>
          </cell>
          <cell r="G103">
            <v>1.2945368171021376</v>
          </cell>
          <cell r="H103">
            <v>1.295358649789029</v>
          </cell>
          <cell r="O103">
            <v>1.3672896699269002</v>
          </cell>
          <cell r="P103">
            <v>1.3671607753705823</v>
          </cell>
          <cell r="Q103">
            <v>1.3671607753705823</v>
          </cell>
          <cell r="R103">
            <v>1.3675622622991039</v>
          </cell>
          <cell r="S103">
            <v>1.3548412965725196</v>
          </cell>
          <cell r="T103">
            <v>1.3555908850026503</v>
          </cell>
          <cell r="AA103">
            <v>1.3672896699269002</v>
          </cell>
          <cell r="AB103">
            <v>1.3671607753705823</v>
          </cell>
          <cell r="AC103">
            <v>1.3076224702099486</v>
          </cell>
          <cell r="AD103">
            <v>1.3080472602102526</v>
          </cell>
          <cell r="AE103">
            <v>1.2945368171021376</v>
          </cell>
          <cell r="AF103">
            <v>1.295358649789029</v>
          </cell>
          <cell r="AM103">
            <v>1.3610733723620612</v>
          </cell>
          <cell r="AN103">
            <v>1.3609470756528876</v>
          </cell>
          <cell r="AO103">
            <v>1.3609470756528876</v>
          </cell>
          <cell r="AP103">
            <v>1.3266393261895317</v>
          </cell>
          <cell r="AQ103">
            <v>1.3485391444713466</v>
          </cell>
          <cell r="AR103">
            <v>1.3493087327183177</v>
          </cell>
        </row>
        <row r="104">
          <cell r="D104">
            <v>29</v>
          </cell>
          <cell r="E104">
            <v>1.3076224702099486</v>
          </cell>
          <cell r="F104">
            <v>1.3080472602102526</v>
          </cell>
          <cell r="G104">
            <v>1.2945368171021376</v>
          </cell>
          <cell r="H104">
            <v>1.295358649789029</v>
          </cell>
          <cell r="O104">
            <v>1.3672896699269002</v>
          </cell>
          <cell r="P104">
            <v>1.3671607753705823</v>
          </cell>
          <cell r="Q104">
            <v>1.3671607753705823</v>
          </cell>
          <cell r="R104">
            <v>1.3675622622991039</v>
          </cell>
          <cell r="S104">
            <v>1.3548412965725196</v>
          </cell>
          <cell r="T104">
            <v>1.3555908850026503</v>
          </cell>
          <cell r="AA104">
            <v>1.3672896699269002</v>
          </cell>
          <cell r="AB104">
            <v>1.3671607753705823</v>
          </cell>
          <cell r="AC104">
            <v>1.3076224702099486</v>
          </cell>
          <cell r="AD104">
            <v>1.3080472602102526</v>
          </cell>
          <cell r="AE104">
            <v>1.2945368171021376</v>
          </cell>
          <cell r="AF104">
            <v>1.295358649789029</v>
          </cell>
          <cell r="AM104">
            <v>1.3610733723620612</v>
          </cell>
          <cell r="AN104">
            <v>1.3609470756528876</v>
          </cell>
          <cell r="AO104">
            <v>1.3609470756528876</v>
          </cell>
          <cell r="AP104">
            <v>1.3266393261895317</v>
          </cell>
          <cell r="AQ104">
            <v>1.3485391444713466</v>
          </cell>
          <cell r="AR104">
            <v>1.3493087327183177</v>
          </cell>
        </row>
        <row r="105">
          <cell r="D105">
            <v>30</v>
          </cell>
          <cell r="E105">
            <v>1.3076224702099486</v>
          </cell>
          <cell r="F105">
            <v>1.3080472602102526</v>
          </cell>
          <cell r="G105">
            <v>1.2945368171021376</v>
          </cell>
          <cell r="H105">
            <v>1.295358649789029</v>
          </cell>
          <cell r="O105">
            <v>1.3672896699269002</v>
          </cell>
          <cell r="P105">
            <v>1.3671607753705823</v>
          </cell>
          <cell r="Q105">
            <v>1.3671607753705823</v>
          </cell>
          <cell r="R105">
            <v>1.3675622622991039</v>
          </cell>
          <cell r="S105">
            <v>1.3548412965725196</v>
          </cell>
          <cell r="T105">
            <v>1.3555908850026503</v>
          </cell>
          <cell r="AA105">
            <v>1.3672896699269002</v>
          </cell>
          <cell r="AB105">
            <v>1.3671607753705823</v>
          </cell>
          <cell r="AC105">
            <v>1.3076224702099486</v>
          </cell>
          <cell r="AD105">
            <v>1.3080472602102526</v>
          </cell>
          <cell r="AE105">
            <v>1.2945368171021376</v>
          </cell>
          <cell r="AF105">
            <v>1.295358649789029</v>
          </cell>
          <cell r="AM105">
            <v>1.3610733723620612</v>
          </cell>
          <cell r="AN105">
            <v>1.3609470756528876</v>
          </cell>
          <cell r="AO105">
            <v>1.3609470756528876</v>
          </cell>
          <cell r="AP105">
            <v>1.3266393261895317</v>
          </cell>
          <cell r="AQ105">
            <v>1.3485391444713466</v>
          </cell>
          <cell r="AR105">
            <v>1.3493087327183177</v>
          </cell>
        </row>
        <row r="106">
          <cell r="D106">
            <v>31</v>
          </cell>
          <cell r="E106">
            <v>0.76928314734253833</v>
          </cell>
          <cell r="F106">
            <v>0.76896455484231097</v>
          </cell>
          <cell r="G106">
            <v>0.77909738717339672</v>
          </cell>
          <cell r="H106">
            <v>0.77848101265822789</v>
          </cell>
          <cell r="O106">
            <v>0.72453274755482466</v>
          </cell>
          <cell r="P106">
            <v>0.72462941847206386</v>
          </cell>
          <cell r="Q106">
            <v>0.72462941847206386</v>
          </cell>
          <cell r="R106">
            <v>0.72432830327567177</v>
          </cell>
          <cell r="S106">
            <v>0.73386902757061057</v>
          </cell>
          <cell r="T106">
            <v>0.73330683624801274</v>
          </cell>
          <cell r="AA106">
            <v>0.72453274755482466</v>
          </cell>
          <cell r="AB106">
            <v>0.72462941847206386</v>
          </cell>
          <cell r="AC106">
            <v>0.76928314734253833</v>
          </cell>
          <cell r="AD106">
            <v>0.76896455484231097</v>
          </cell>
          <cell r="AE106">
            <v>0.77909738717339672</v>
          </cell>
          <cell r="AF106">
            <v>0.77848101265822789</v>
          </cell>
          <cell r="AM106">
            <v>0.72919497072845385</v>
          </cell>
          <cell r="AN106">
            <v>0.72928969326033422</v>
          </cell>
          <cell r="AO106">
            <v>0.72928969326033422</v>
          </cell>
          <cell r="AP106">
            <v>0.75502050535785148</v>
          </cell>
          <cell r="AQ106">
            <v>0.73859564164648916</v>
          </cell>
          <cell r="AR106">
            <v>0.73801845046126158</v>
          </cell>
        </row>
        <row r="107">
          <cell r="D107">
            <v>32</v>
          </cell>
          <cell r="E107">
            <v>0.76928314734253833</v>
          </cell>
          <cell r="F107">
            <v>0.76896455484231097</v>
          </cell>
          <cell r="G107">
            <v>0.77909738717339672</v>
          </cell>
          <cell r="H107">
            <v>0.77848101265822789</v>
          </cell>
          <cell r="O107">
            <v>0.72453274755482466</v>
          </cell>
          <cell r="P107">
            <v>0.72462941847206386</v>
          </cell>
          <cell r="Q107">
            <v>0.72462941847206386</v>
          </cell>
          <cell r="R107">
            <v>0.72432830327567177</v>
          </cell>
          <cell r="S107">
            <v>0.73386902757061057</v>
          </cell>
          <cell r="T107">
            <v>0.73330683624801274</v>
          </cell>
          <cell r="AA107">
            <v>0.72453274755482466</v>
          </cell>
          <cell r="AB107">
            <v>0.72462941847206386</v>
          </cell>
          <cell r="AC107">
            <v>0.76928314734253833</v>
          </cell>
          <cell r="AD107">
            <v>0.76896455484231097</v>
          </cell>
          <cell r="AE107">
            <v>0.77909738717339672</v>
          </cell>
          <cell r="AF107">
            <v>0.77848101265822789</v>
          </cell>
          <cell r="AM107">
            <v>0.72919497072845385</v>
          </cell>
          <cell r="AN107">
            <v>0.72928969326033422</v>
          </cell>
          <cell r="AO107">
            <v>0.72928969326033422</v>
          </cell>
          <cell r="AP107">
            <v>0.75502050535785148</v>
          </cell>
          <cell r="AQ107">
            <v>0.73859564164648916</v>
          </cell>
          <cell r="AR107">
            <v>0.73801845046126158</v>
          </cell>
        </row>
        <row r="108">
          <cell r="D108">
            <v>33</v>
          </cell>
          <cell r="E108">
            <v>0.76928314734253833</v>
          </cell>
          <cell r="F108">
            <v>0.76896455484231097</v>
          </cell>
          <cell r="G108">
            <v>0.77909738717339672</v>
          </cell>
          <cell r="H108">
            <v>0.77848101265822789</v>
          </cell>
          <cell r="O108">
            <v>0.72453274755482466</v>
          </cell>
          <cell r="P108">
            <v>0.72462941847206386</v>
          </cell>
          <cell r="Q108">
            <v>0.72462941847206386</v>
          </cell>
          <cell r="R108">
            <v>0.72432830327567177</v>
          </cell>
          <cell r="S108">
            <v>0.73386902757061057</v>
          </cell>
          <cell r="T108">
            <v>0.73330683624801274</v>
          </cell>
          <cell r="AA108">
            <v>0.72453274755482466</v>
          </cell>
          <cell r="AB108">
            <v>0.72462941847206386</v>
          </cell>
          <cell r="AC108">
            <v>0.76928314734253833</v>
          </cell>
          <cell r="AD108">
            <v>0.76896455484231097</v>
          </cell>
          <cell r="AE108">
            <v>0.77909738717339672</v>
          </cell>
          <cell r="AF108">
            <v>0.77848101265822789</v>
          </cell>
          <cell r="AM108">
            <v>0.72919497072845385</v>
          </cell>
          <cell r="AN108">
            <v>0.72928969326033422</v>
          </cell>
          <cell r="AO108">
            <v>0.72928969326033422</v>
          </cell>
          <cell r="AP108">
            <v>0.75502050535785148</v>
          </cell>
          <cell r="AQ108">
            <v>0.73859564164648916</v>
          </cell>
          <cell r="AR108">
            <v>0.73801845046126158</v>
          </cell>
        </row>
        <row r="109">
          <cell r="D109">
            <v>34</v>
          </cell>
          <cell r="E109">
            <v>0.76928314734253833</v>
          </cell>
          <cell r="F109">
            <v>0.76896455484231097</v>
          </cell>
          <cell r="G109">
            <v>0.77909738717339672</v>
          </cell>
          <cell r="H109">
            <v>0.77848101265822789</v>
          </cell>
          <cell r="O109">
            <v>0.72453274755482466</v>
          </cell>
          <cell r="P109">
            <v>0.72462941847206386</v>
          </cell>
          <cell r="Q109">
            <v>0.72462941847206386</v>
          </cell>
          <cell r="R109">
            <v>0.72432830327567177</v>
          </cell>
          <cell r="S109">
            <v>0.73386902757061057</v>
          </cell>
          <cell r="T109">
            <v>0.73330683624801274</v>
          </cell>
          <cell r="AA109">
            <v>0.72453274755482466</v>
          </cell>
          <cell r="AB109">
            <v>0.72462941847206386</v>
          </cell>
          <cell r="AC109">
            <v>0.76928314734253833</v>
          </cell>
          <cell r="AD109">
            <v>0.76896455484231097</v>
          </cell>
          <cell r="AE109">
            <v>0.77909738717339672</v>
          </cell>
          <cell r="AF109">
            <v>0.77848101265822789</v>
          </cell>
          <cell r="AM109">
            <v>0.72919497072845385</v>
          </cell>
          <cell r="AN109">
            <v>0.72928969326033422</v>
          </cell>
          <cell r="AO109">
            <v>0.72928969326033422</v>
          </cell>
          <cell r="AP109">
            <v>0.75502050535785148</v>
          </cell>
          <cell r="AQ109">
            <v>0.73859564164648916</v>
          </cell>
          <cell r="AR109">
            <v>0.73801845046126158</v>
          </cell>
        </row>
        <row r="110">
          <cell r="D110">
            <v>35</v>
          </cell>
          <cell r="E110">
            <v>0.76928314734253833</v>
          </cell>
          <cell r="F110">
            <v>0.76896455484231097</v>
          </cell>
          <cell r="G110">
            <v>0.77909738717339672</v>
          </cell>
          <cell r="H110">
            <v>0.77848101265822789</v>
          </cell>
          <cell r="O110">
            <v>0.72453274755482466</v>
          </cell>
          <cell r="P110">
            <v>0.72462941847206386</v>
          </cell>
          <cell r="Q110">
            <v>0.72462941847206386</v>
          </cell>
          <cell r="R110">
            <v>0.72432830327567177</v>
          </cell>
          <cell r="S110">
            <v>0.73386902757061057</v>
          </cell>
          <cell r="T110">
            <v>0.73330683624801274</v>
          </cell>
          <cell r="AA110">
            <v>0.72453274755482466</v>
          </cell>
          <cell r="AB110">
            <v>0.72462941847206386</v>
          </cell>
          <cell r="AC110">
            <v>0.76928314734253833</v>
          </cell>
          <cell r="AD110">
            <v>0.76896455484231097</v>
          </cell>
          <cell r="AE110">
            <v>0.77909738717339672</v>
          </cell>
          <cell r="AF110">
            <v>0.77848101265822789</v>
          </cell>
          <cell r="AM110">
            <v>0.72919497072845385</v>
          </cell>
          <cell r="AN110">
            <v>0.72928969326033422</v>
          </cell>
          <cell r="AO110">
            <v>0.72928969326033422</v>
          </cell>
          <cell r="AP110">
            <v>0.75502050535785148</v>
          </cell>
          <cell r="AQ110">
            <v>0.73859564164648916</v>
          </cell>
          <cell r="AR110">
            <v>0.73801845046126158</v>
          </cell>
        </row>
        <row r="111">
          <cell r="D111">
            <v>36</v>
          </cell>
          <cell r="E111">
            <v>0.76928314734253833</v>
          </cell>
          <cell r="F111">
            <v>0.76896455484231097</v>
          </cell>
          <cell r="G111">
            <v>0.77909738717339672</v>
          </cell>
          <cell r="H111">
            <v>0.77848101265822789</v>
          </cell>
          <cell r="O111">
            <v>0.72453274755482466</v>
          </cell>
          <cell r="P111">
            <v>0.72462941847206386</v>
          </cell>
          <cell r="Q111">
            <v>0.72462941847206386</v>
          </cell>
          <cell r="R111">
            <v>0.72432830327567177</v>
          </cell>
          <cell r="S111">
            <v>0.73386902757061057</v>
          </cell>
          <cell r="T111">
            <v>0.73330683624801274</v>
          </cell>
          <cell r="AA111">
            <v>0.72453274755482466</v>
          </cell>
          <cell r="AB111">
            <v>0.72462941847206386</v>
          </cell>
          <cell r="AC111">
            <v>0.76928314734253833</v>
          </cell>
          <cell r="AD111">
            <v>0.76896455484231097</v>
          </cell>
          <cell r="AE111">
            <v>0.77909738717339672</v>
          </cell>
          <cell r="AF111">
            <v>0.77848101265822789</v>
          </cell>
          <cell r="AM111">
            <v>0.72919497072845385</v>
          </cell>
          <cell r="AN111">
            <v>0.72928969326033422</v>
          </cell>
          <cell r="AO111">
            <v>0.72928969326033422</v>
          </cell>
          <cell r="AP111">
            <v>0.75502050535785148</v>
          </cell>
          <cell r="AQ111">
            <v>0.73859564164648916</v>
          </cell>
          <cell r="AR111">
            <v>0.73801845046126158</v>
          </cell>
        </row>
        <row r="112">
          <cell r="D112">
            <v>37</v>
          </cell>
          <cell r="E112">
            <v>0.76928314734253833</v>
          </cell>
          <cell r="F112">
            <v>0.76896455484231097</v>
          </cell>
          <cell r="G112">
            <v>0.77909738717339672</v>
          </cell>
          <cell r="H112">
            <v>0.77848101265822789</v>
          </cell>
          <cell r="O112">
            <v>0.72453274755482466</v>
          </cell>
          <cell r="P112">
            <v>0.72462941847206386</v>
          </cell>
          <cell r="Q112">
            <v>0.72462941847206386</v>
          </cell>
          <cell r="R112">
            <v>0.72432830327567177</v>
          </cell>
          <cell r="S112">
            <v>0.73386902757061057</v>
          </cell>
          <cell r="T112">
            <v>0.73330683624801274</v>
          </cell>
          <cell r="AA112">
            <v>0.72453274755482466</v>
          </cell>
          <cell r="AB112">
            <v>0.72462941847206386</v>
          </cell>
          <cell r="AC112">
            <v>0.76928314734253833</v>
          </cell>
          <cell r="AD112">
            <v>0.76896455484231097</v>
          </cell>
          <cell r="AE112">
            <v>0.77909738717339672</v>
          </cell>
          <cell r="AF112">
            <v>0.77848101265822789</v>
          </cell>
          <cell r="AM112">
            <v>0.72919497072845385</v>
          </cell>
          <cell r="AN112">
            <v>0.72928969326033422</v>
          </cell>
          <cell r="AO112">
            <v>0.72928969326033422</v>
          </cell>
          <cell r="AP112">
            <v>0.75502050535785148</v>
          </cell>
          <cell r="AQ112">
            <v>0.73859564164648916</v>
          </cell>
          <cell r="AR112">
            <v>0.73801845046126158</v>
          </cell>
        </row>
        <row r="113">
          <cell r="D113">
            <v>38</v>
          </cell>
          <cell r="E113">
            <v>0.76928314734253833</v>
          </cell>
          <cell r="F113">
            <v>0.76896455484231097</v>
          </cell>
          <cell r="G113">
            <v>0.77909738717339672</v>
          </cell>
          <cell r="H113">
            <v>0.77848101265822789</v>
          </cell>
          <cell r="O113">
            <v>0.72453274755482466</v>
          </cell>
          <cell r="P113">
            <v>0.72462941847206386</v>
          </cell>
          <cell r="Q113">
            <v>0.72462941847206386</v>
          </cell>
          <cell r="R113">
            <v>0.72432830327567177</v>
          </cell>
          <cell r="S113">
            <v>0.73386902757061057</v>
          </cell>
          <cell r="T113">
            <v>0.73330683624801274</v>
          </cell>
          <cell r="AA113">
            <v>0.72453274755482466</v>
          </cell>
          <cell r="AB113">
            <v>0.72462941847206386</v>
          </cell>
          <cell r="AC113">
            <v>0.76928314734253833</v>
          </cell>
          <cell r="AD113">
            <v>0.76896455484231097</v>
          </cell>
          <cell r="AE113">
            <v>0.77909738717339672</v>
          </cell>
          <cell r="AF113">
            <v>0.77848101265822789</v>
          </cell>
          <cell r="AM113">
            <v>0.72919497072845385</v>
          </cell>
          <cell r="AN113">
            <v>0.72928969326033422</v>
          </cell>
          <cell r="AO113">
            <v>0.72928969326033422</v>
          </cell>
          <cell r="AP113">
            <v>0.75502050535785148</v>
          </cell>
          <cell r="AQ113">
            <v>0.73859564164648916</v>
          </cell>
          <cell r="AR113">
            <v>0.73801845046126158</v>
          </cell>
        </row>
        <row r="114">
          <cell r="D114">
            <v>39</v>
          </cell>
          <cell r="E114">
            <v>0.76928314734253833</v>
          </cell>
          <cell r="F114">
            <v>0.76896455484231097</v>
          </cell>
          <cell r="G114">
            <v>0.77909738717339672</v>
          </cell>
          <cell r="H114">
            <v>0.77848101265822789</v>
          </cell>
          <cell r="O114">
            <v>0.72453274755482466</v>
          </cell>
          <cell r="P114">
            <v>0.72462941847206386</v>
          </cell>
          <cell r="Q114">
            <v>0.72462941847206386</v>
          </cell>
          <cell r="R114">
            <v>0.72432830327567177</v>
          </cell>
          <cell r="S114">
            <v>0.73386902757061057</v>
          </cell>
          <cell r="T114">
            <v>0.73330683624801274</v>
          </cell>
          <cell r="AA114">
            <v>0.72453274755482466</v>
          </cell>
          <cell r="AB114">
            <v>0.72462941847206386</v>
          </cell>
          <cell r="AC114">
            <v>0.76928314734253833</v>
          </cell>
          <cell r="AD114">
            <v>0.76896455484231097</v>
          </cell>
          <cell r="AE114">
            <v>0.77909738717339672</v>
          </cell>
          <cell r="AF114">
            <v>0.77848101265822789</v>
          </cell>
          <cell r="AM114">
            <v>0.72919497072845385</v>
          </cell>
          <cell r="AN114">
            <v>0.72928969326033422</v>
          </cell>
          <cell r="AO114">
            <v>0.72928969326033422</v>
          </cell>
          <cell r="AP114">
            <v>0.75502050535785148</v>
          </cell>
          <cell r="AQ114">
            <v>0.73859564164648916</v>
          </cell>
          <cell r="AR114">
            <v>0.73801845046126158</v>
          </cell>
        </row>
        <row r="115">
          <cell r="D115">
            <v>40</v>
          </cell>
          <cell r="E115">
            <v>0.76928314734253833</v>
          </cell>
          <cell r="F115">
            <v>0.76896455484231097</v>
          </cell>
          <cell r="G115">
            <v>0.77909738717339672</v>
          </cell>
          <cell r="H115">
            <v>0.77848101265822789</v>
          </cell>
          <cell r="O115">
            <v>0.72453274755482466</v>
          </cell>
          <cell r="P115">
            <v>0.72462941847206386</v>
          </cell>
          <cell r="Q115">
            <v>0.72462941847206386</v>
          </cell>
          <cell r="R115">
            <v>0.72432830327567177</v>
          </cell>
          <cell r="S115">
            <v>0.73386902757061057</v>
          </cell>
          <cell r="T115">
            <v>0.73330683624801274</v>
          </cell>
          <cell r="AA115">
            <v>0.72453274755482466</v>
          </cell>
          <cell r="AB115">
            <v>0.72462941847206386</v>
          </cell>
          <cell r="AC115">
            <v>0.76928314734253833</v>
          </cell>
          <cell r="AD115">
            <v>0.76896455484231097</v>
          </cell>
          <cell r="AE115">
            <v>0.77909738717339672</v>
          </cell>
          <cell r="AF115">
            <v>0.77848101265822789</v>
          </cell>
          <cell r="AM115">
            <v>0.72919497072845385</v>
          </cell>
          <cell r="AN115">
            <v>0.72928969326033422</v>
          </cell>
          <cell r="AO115">
            <v>0.72928969326033422</v>
          </cell>
          <cell r="AP115">
            <v>0.75502050535785148</v>
          </cell>
          <cell r="AQ115">
            <v>0.73859564164648916</v>
          </cell>
          <cell r="AR115">
            <v>0.73801845046126158</v>
          </cell>
        </row>
        <row r="116">
          <cell r="D116">
            <v>41</v>
          </cell>
          <cell r="E116">
            <v>0.76928314734253833</v>
          </cell>
          <cell r="F116">
            <v>0.76896455484231097</v>
          </cell>
          <cell r="G116">
            <v>0.77909738717339672</v>
          </cell>
          <cell r="H116">
            <v>0.77848101265822789</v>
          </cell>
          <cell r="O116">
            <v>0.72453274755482466</v>
          </cell>
          <cell r="P116">
            <v>0.72462941847206386</v>
          </cell>
          <cell r="Q116">
            <v>0.72462941847206386</v>
          </cell>
          <cell r="R116">
            <v>0.72432830327567177</v>
          </cell>
          <cell r="S116">
            <v>0.73386902757061057</v>
          </cell>
          <cell r="T116">
            <v>0.73330683624801274</v>
          </cell>
          <cell r="AA116">
            <v>0.72453274755482466</v>
          </cell>
          <cell r="AB116">
            <v>0.72462941847206386</v>
          </cell>
          <cell r="AC116">
            <v>0.76928314734253833</v>
          </cell>
          <cell r="AD116">
            <v>0.76896455484231097</v>
          </cell>
          <cell r="AE116">
            <v>0.77909738717339672</v>
          </cell>
          <cell r="AF116">
            <v>0.77848101265822789</v>
          </cell>
          <cell r="AM116">
            <v>0.72919497072845385</v>
          </cell>
          <cell r="AN116">
            <v>0.72928969326033422</v>
          </cell>
          <cell r="AO116">
            <v>0.72928969326033422</v>
          </cell>
          <cell r="AP116">
            <v>0.75502050535785148</v>
          </cell>
          <cell r="AQ116">
            <v>0.73859564164648916</v>
          </cell>
          <cell r="AR116">
            <v>0.73801845046126158</v>
          </cell>
        </row>
        <row r="117">
          <cell r="D117">
            <v>42</v>
          </cell>
          <cell r="E117">
            <v>0.76928314734253833</v>
          </cell>
          <cell r="F117">
            <v>0.76896455484231097</v>
          </cell>
          <cell r="G117">
            <v>0.77909738717339672</v>
          </cell>
          <cell r="H117">
            <v>0.77848101265822789</v>
          </cell>
          <cell r="O117">
            <v>0.72453274755482466</v>
          </cell>
          <cell r="P117">
            <v>0.72462941847206386</v>
          </cell>
          <cell r="Q117">
            <v>0.72462941847206386</v>
          </cell>
          <cell r="R117">
            <v>0.72432830327567177</v>
          </cell>
          <cell r="S117">
            <v>0.73386902757061057</v>
          </cell>
          <cell r="T117">
            <v>0.73330683624801274</v>
          </cell>
          <cell r="AA117">
            <v>0.72453274755482466</v>
          </cell>
          <cell r="AB117">
            <v>0.72462941847206386</v>
          </cell>
          <cell r="AC117">
            <v>0.76928314734253833</v>
          </cell>
          <cell r="AD117">
            <v>0.76896455484231097</v>
          </cell>
          <cell r="AE117">
            <v>0.77909738717339672</v>
          </cell>
          <cell r="AF117">
            <v>0.77848101265822789</v>
          </cell>
          <cell r="AM117">
            <v>0.72919497072845385</v>
          </cell>
          <cell r="AN117">
            <v>0.72928969326033422</v>
          </cell>
          <cell r="AO117">
            <v>0.72928969326033422</v>
          </cell>
          <cell r="AP117">
            <v>0.75502050535785148</v>
          </cell>
          <cell r="AQ117">
            <v>0.73859564164648916</v>
          </cell>
          <cell r="AR117">
            <v>0.73801845046126158</v>
          </cell>
        </row>
        <row r="118">
          <cell r="D118">
            <v>43</v>
          </cell>
          <cell r="E118">
            <v>0.76928314734253833</v>
          </cell>
          <cell r="F118">
            <v>0.76896455484231097</v>
          </cell>
          <cell r="G118">
            <v>0.77909738717339672</v>
          </cell>
          <cell r="H118">
            <v>0.77848101265822789</v>
          </cell>
          <cell r="O118">
            <v>0.72453274755482466</v>
          </cell>
          <cell r="P118">
            <v>0.72462941847206386</v>
          </cell>
          <cell r="Q118">
            <v>0.72462941847206386</v>
          </cell>
          <cell r="R118">
            <v>0.72432830327567177</v>
          </cell>
          <cell r="S118">
            <v>0.73386902757061057</v>
          </cell>
          <cell r="T118">
            <v>0.73330683624801274</v>
          </cell>
          <cell r="AA118">
            <v>0.72453274755482466</v>
          </cell>
          <cell r="AB118">
            <v>0.72462941847206386</v>
          </cell>
          <cell r="AC118">
            <v>0.76928314734253833</v>
          </cell>
          <cell r="AD118">
            <v>0.76896455484231097</v>
          </cell>
          <cell r="AE118">
            <v>0.77909738717339672</v>
          </cell>
          <cell r="AF118">
            <v>0.77848101265822789</v>
          </cell>
          <cell r="AM118">
            <v>0.72919497072845385</v>
          </cell>
          <cell r="AN118">
            <v>0.72928969326033422</v>
          </cell>
          <cell r="AO118">
            <v>0.72928969326033422</v>
          </cell>
          <cell r="AP118">
            <v>0.75502050535785148</v>
          </cell>
          <cell r="AQ118">
            <v>0.73859564164648916</v>
          </cell>
          <cell r="AR118">
            <v>0.73801845046126158</v>
          </cell>
        </row>
        <row r="119">
          <cell r="D119">
            <v>44</v>
          </cell>
          <cell r="E119">
            <v>0.76928314734253833</v>
          </cell>
          <cell r="F119">
            <v>0.76896455484231097</v>
          </cell>
          <cell r="G119">
            <v>0.77909738717339672</v>
          </cell>
          <cell r="H119">
            <v>0.77848101265822789</v>
          </cell>
          <cell r="O119">
            <v>0.72453274755482466</v>
          </cell>
          <cell r="P119">
            <v>0.72462941847206386</v>
          </cell>
          <cell r="Q119">
            <v>0.72462941847206386</v>
          </cell>
          <cell r="R119">
            <v>0.72432830327567177</v>
          </cell>
          <cell r="S119">
            <v>0.73386902757061057</v>
          </cell>
          <cell r="T119">
            <v>0.73330683624801274</v>
          </cell>
          <cell r="AA119">
            <v>0.72453274755482466</v>
          </cell>
          <cell r="AB119">
            <v>0.72462941847206386</v>
          </cell>
          <cell r="AC119">
            <v>0.76928314734253833</v>
          </cell>
          <cell r="AD119">
            <v>0.76896455484231097</v>
          </cell>
          <cell r="AE119">
            <v>0.77909738717339672</v>
          </cell>
          <cell r="AF119">
            <v>0.77848101265822789</v>
          </cell>
          <cell r="AM119">
            <v>0.72919497072845385</v>
          </cell>
          <cell r="AN119">
            <v>0.72928969326033422</v>
          </cell>
          <cell r="AO119">
            <v>0.72928969326033422</v>
          </cell>
          <cell r="AP119">
            <v>0.75502050535785148</v>
          </cell>
          <cell r="AQ119">
            <v>0.73859564164648916</v>
          </cell>
          <cell r="AR119">
            <v>0.73801845046126158</v>
          </cell>
        </row>
        <row r="120">
          <cell r="D120">
            <v>45</v>
          </cell>
          <cell r="E120">
            <v>0.76928314734253833</v>
          </cell>
          <cell r="F120">
            <v>0.76896455484231097</v>
          </cell>
          <cell r="G120">
            <v>0.77909738717339672</v>
          </cell>
          <cell r="H120">
            <v>0.77848101265822789</v>
          </cell>
          <cell r="O120">
            <v>0.72453274755482466</v>
          </cell>
          <cell r="P120">
            <v>0.72462941847206386</v>
          </cell>
          <cell r="Q120">
            <v>0.72462941847206386</v>
          </cell>
          <cell r="R120">
            <v>0.72432830327567177</v>
          </cell>
          <cell r="S120">
            <v>0.73386902757061057</v>
          </cell>
          <cell r="T120">
            <v>0.73330683624801274</v>
          </cell>
          <cell r="AA120">
            <v>0.72453274755482466</v>
          </cell>
          <cell r="AB120">
            <v>0.72462941847206386</v>
          </cell>
          <cell r="AC120">
            <v>0.76928314734253833</v>
          </cell>
          <cell r="AD120">
            <v>0.76896455484231097</v>
          </cell>
          <cell r="AE120">
            <v>0.77909738717339672</v>
          </cell>
          <cell r="AF120">
            <v>0.77848101265822789</v>
          </cell>
          <cell r="AM120">
            <v>0.72919497072845385</v>
          </cell>
          <cell r="AN120">
            <v>0.72928969326033422</v>
          </cell>
          <cell r="AO120">
            <v>0.72928969326033422</v>
          </cell>
          <cell r="AP120">
            <v>0.75502050535785148</v>
          </cell>
          <cell r="AQ120">
            <v>0.73859564164648916</v>
          </cell>
          <cell r="AR120">
            <v>0.73801845046126158</v>
          </cell>
        </row>
        <row r="121">
          <cell r="D121">
            <v>46</v>
          </cell>
          <cell r="E121">
            <v>0.76928314734253833</v>
          </cell>
          <cell r="F121">
            <v>0.76896455484231097</v>
          </cell>
          <cell r="G121">
            <v>0.77909738717339672</v>
          </cell>
          <cell r="H121">
            <v>0.77848101265822789</v>
          </cell>
          <cell r="O121">
            <v>0.72453274755482466</v>
          </cell>
          <cell r="P121">
            <v>0.72462941847206386</v>
          </cell>
          <cell r="Q121">
            <v>0.72462941847206386</v>
          </cell>
          <cell r="R121">
            <v>0.72432830327567177</v>
          </cell>
          <cell r="S121">
            <v>0.73386902757061057</v>
          </cell>
          <cell r="T121">
            <v>0.73330683624801274</v>
          </cell>
          <cell r="AA121">
            <v>0.72453274755482466</v>
          </cell>
          <cell r="AB121">
            <v>0.72462941847206386</v>
          </cell>
          <cell r="AC121">
            <v>0.76928314734253833</v>
          </cell>
          <cell r="AD121">
            <v>0.76896455484231097</v>
          </cell>
          <cell r="AE121">
            <v>0.77909738717339672</v>
          </cell>
          <cell r="AF121">
            <v>0.77848101265822789</v>
          </cell>
          <cell r="AM121">
            <v>0.72919497072845385</v>
          </cell>
          <cell r="AN121">
            <v>0.72928969326033422</v>
          </cell>
          <cell r="AO121">
            <v>0.72928969326033422</v>
          </cell>
          <cell r="AP121">
            <v>0.75502050535785148</v>
          </cell>
          <cell r="AQ121">
            <v>0.73859564164648916</v>
          </cell>
          <cell r="AR121">
            <v>0.73801845046126158</v>
          </cell>
        </row>
        <row r="122">
          <cell r="D122">
            <v>47</v>
          </cell>
          <cell r="E122">
            <v>1.3076224702099486</v>
          </cell>
          <cell r="F122">
            <v>1.3080472602102526</v>
          </cell>
          <cell r="G122">
            <v>1.2945368171021376</v>
          </cell>
          <cell r="H122">
            <v>1.295358649789029</v>
          </cell>
          <cell r="O122">
            <v>1.3672896699269002</v>
          </cell>
          <cell r="P122">
            <v>1.3671607753705823</v>
          </cell>
          <cell r="Q122">
            <v>1.3671607753705823</v>
          </cell>
          <cell r="R122">
            <v>1.3675622622991039</v>
          </cell>
          <cell r="S122">
            <v>1.3548412965725196</v>
          </cell>
          <cell r="T122">
            <v>1.3555908850026503</v>
          </cell>
          <cell r="AA122">
            <v>1.3672896699269002</v>
          </cell>
          <cell r="AB122">
            <v>1.3671607753705823</v>
          </cell>
          <cell r="AC122">
            <v>1.3076224702099486</v>
          </cell>
          <cell r="AD122">
            <v>1.3080472602102526</v>
          </cell>
          <cell r="AE122">
            <v>1.2945368171021376</v>
          </cell>
          <cell r="AF122">
            <v>1.295358649789029</v>
          </cell>
          <cell r="AM122">
            <v>1.3610733723620612</v>
          </cell>
          <cell r="AN122">
            <v>1.3609470756528876</v>
          </cell>
          <cell r="AO122">
            <v>1.3609470756528876</v>
          </cell>
          <cell r="AP122">
            <v>1.3266393261895317</v>
          </cell>
          <cell r="AQ122">
            <v>1.3485391444713466</v>
          </cell>
          <cell r="AR122">
            <v>1.3493087327183177</v>
          </cell>
        </row>
        <row r="123">
          <cell r="D123">
            <v>48</v>
          </cell>
          <cell r="E123">
            <v>1.3076224702099486</v>
          </cell>
          <cell r="F123">
            <v>1.3080472602102526</v>
          </cell>
          <cell r="G123">
            <v>1.2945368171021376</v>
          </cell>
          <cell r="H123">
            <v>1.295358649789029</v>
          </cell>
          <cell r="O123">
            <v>1.3672896699269002</v>
          </cell>
          <cell r="P123">
            <v>1.3671607753705823</v>
          </cell>
          <cell r="Q123">
            <v>1.3671607753705823</v>
          </cell>
          <cell r="R123">
            <v>1.3675622622991039</v>
          </cell>
          <cell r="S123">
            <v>1.3548412965725196</v>
          </cell>
          <cell r="T123">
            <v>1.3555908850026503</v>
          </cell>
          <cell r="AA123">
            <v>1.3672896699269002</v>
          </cell>
          <cell r="AB123">
            <v>1.3671607753705823</v>
          </cell>
          <cell r="AC123">
            <v>1.3076224702099486</v>
          </cell>
          <cell r="AD123">
            <v>1.3080472602102526</v>
          </cell>
          <cell r="AE123">
            <v>1.2945368171021376</v>
          </cell>
          <cell r="AF123">
            <v>1.295358649789029</v>
          </cell>
          <cell r="AM123">
            <v>1.3610733723620612</v>
          </cell>
          <cell r="AN123">
            <v>1.3609470756528876</v>
          </cell>
          <cell r="AO123">
            <v>1.3609470756528876</v>
          </cell>
          <cell r="AP123">
            <v>1.3266393261895317</v>
          </cell>
          <cell r="AQ123">
            <v>1.3485391444713466</v>
          </cell>
          <cell r="AR123">
            <v>1.3493087327183177</v>
          </cell>
        </row>
        <row r="124">
          <cell r="D124">
            <v>49</v>
          </cell>
          <cell r="E124">
            <v>1.3076224702099486</v>
          </cell>
          <cell r="F124">
            <v>1.3080472602102526</v>
          </cell>
          <cell r="G124">
            <v>1.2945368171021376</v>
          </cell>
          <cell r="H124">
            <v>1.295358649789029</v>
          </cell>
          <cell r="O124">
            <v>1.3672896699269002</v>
          </cell>
          <cell r="P124">
            <v>1.3671607753705823</v>
          </cell>
          <cell r="Q124">
            <v>1.3671607753705823</v>
          </cell>
          <cell r="R124">
            <v>1.3675622622991039</v>
          </cell>
          <cell r="S124">
            <v>1.3548412965725196</v>
          </cell>
          <cell r="T124">
            <v>1.3555908850026503</v>
          </cell>
          <cell r="AA124">
            <v>1.3672896699269002</v>
          </cell>
          <cell r="AB124">
            <v>1.3671607753705823</v>
          </cell>
          <cell r="AC124">
            <v>1.3076224702099486</v>
          </cell>
          <cell r="AD124">
            <v>1.3080472602102526</v>
          </cell>
          <cell r="AE124">
            <v>1.2945368171021376</v>
          </cell>
          <cell r="AF124">
            <v>1.295358649789029</v>
          </cell>
          <cell r="AM124">
            <v>1.3610733723620612</v>
          </cell>
          <cell r="AN124">
            <v>1.3609470756528876</v>
          </cell>
          <cell r="AO124">
            <v>1.3609470756528876</v>
          </cell>
          <cell r="AP124">
            <v>1.3266393261895317</v>
          </cell>
          <cell r="AQ124">
            <v>1.3485391444713466</v>
          </cell>
          <cell r="AR124">
            <v>1.3493087327183177</v>
          </cell>
        </row>
        <row r="125">
          <cell r="D125">
            <v>50</v>
          </cell>
          <cell r="E125">
            <v>1.3076224702099486</v>
          </cell>
          <cell r="F125">
            <v>1.3080472602102526</v>
          </cell>
          <cell r="G125">
            <v>1.2945368171021376</v>
          </cell>
          <cell r="H125">
            <v>1.295358649789029</v>
          </cell>
          <cell r="O125">
            <v>1.3672896699269002</v>
          </cell>
          <cell r="P125">
            <v>1.3671607753705823</v>
          </cell>
          <cell r="Q125">
            <v>1.3671607753705823</v>
          </cell>
          <cell r="R125">
            <v>1.3675622622991039</v>
          </cell>
          <cell r="S125">
            <v>1.3548412965725196</v>
          </cell>
          <cell r="T125">
            <v>1.3555908850026503</v>
          </cell>
          <cell r="AA125">
            <v>1.3672896699269002</v>
          </cell>
          <cell r="AB125">
            <v>1.3671607753705823</v>
          </cell>
          <cell r="AC125">
            <v>1.3076224702099486</v>
          </cell>
          <cell r="AD125">
            <v>1.3080472602102526</v>
          </cell>
          <cell r="AE125">
            <v>1.2945368171021376</v>
          </cell>
          <cell r="AF125">
            <v>1.295358649789029</v>
          </cell>
          <cell r="AM125">
            <v>1.3610733723620612</v>
          </cell>
          <cell r="AN125">
            <v>1.3609470756528876</v>
          </cell>
          <cell r="AO125">
            <v>1.3609470756528876</v>
          </cell>
          <cell r="AP125">
            <v>1.3266393261895317</v>
          </cell>
          <cell r="AQ125">
            <v>1.3485391444713466</v>
          </cell>
          <cell r="AR125">
            <v>1.3493087327183177</v>
          </cell>
        </row>
        <row r="126">
          <cell r="D126">
            <v>51</v>
          </cell>
          <cell r="E126">
            <v>1.3076224702099486</v>
          </cell>
          <cell r="F126">
            <v>1.3080472602102526</v>
          </cell>
          <cell r="G126">
            <v>1.2945368171021376</v>
          </cell>
          <cell r="H126">
            <v>1.295358649789029</v>
          </cell>
          <cell r="O126">
            <v>1.3672896699269002</v>
          </cell>
          <cell r="P126">
            <v>1.3671607753705823</v>
          </cell>
          <cell r="Q126">
            <v>1.3671607753705823</v>
          </cell>
          <cell r="R126">
            <v>1.3675622622991039</v>
          </cell>
          <cell r="S126">
            <v>1.3548412965725196</v>
          </cell>
          <cell r="T126">
            <v>1.3555908850026503</v>
          </cell>
          <cell r="AA126">
            <v>1.3672896699269002</v>
          </cell>
          <cell r="AB126">
            <v>1.3671607753705823</v>
          </cell>
          <cell r="AC126">
            <v>1.3076224702099486</v>
          </cell>
          <cell r="AD126">
            <v>1.3080472602102526</v>
          </cell>
          <cell r="AE126">
            <v>1.2945368171021376</v>
          </cell>
          <cell r="AF126">
            <v>1.295358649789029</v>
          </cell>
          <cell r="AM126">
            <v>1.3610733723620612</v>
          </cell>
          <cell r="AN126">
            <v>1.3609470756528876</v>
          </cell>
          <cell r="AO126">
            <v>1.3609470756528876</v>
          </cell>
          <cell r="AP126">
            <v>1.3266393261895317</v>
          </cell>
          <cell r="AQ126">
            <v>1.3485391444713466</v>
          </cell>
          <cell r="AR126">
            <v>1.3493087327183177</v>
          </cell>
        </row>
        <row r="127">
          <cell r="D127">
            <v>52</v>
          </cell>
          <cell r="E127">
            <v>1.3076224702099486</v>
          </cell>
          <cell r="F127">
            <v>1.3080472602102526</v>
          </cell>
          <cell r="G127">
            <v>1.2945368171021376</v>
          </cell>
          <cell r="H127">
            <v>1.295358649789029</v>
          </cell>
          <cell r="O127">
            <v>1.3672896699269002</v>
          </cell>
          <cell r="P127">
            <v>1.3671607753705823</v>
          </cell>
          <cell r="Q127">
            <v>1.3671607753705823</v>
          </cell>
          <cell r="R127">
            <v>1.3675622622991039</v>
          </cell>
          <cell r="S127">
            <v>1.3548412965725196</v>
          </cell>
          <cell r="T127">
            <v>1.3555908850026503</v>
          </cell>
          <cell r="AA127">
            <v>1.3672896699269002</v>
          </cell>
          <cell r="AB127">
            <v>1.3671607753705823</v>
          </cell>
          <cell r="AC127">
            <v>1.3076224702099486</v>
          </cell>
          <cell r="AD127">
            <v>1.3080472602102526</v>
          </cell>
          <cell r="AE127">
            <v>1.2945368171021376</v>
          </cell>
          <cell r="AF127">
            <v>1.295358649789029</v>
          </cell>
          <cell r="AM127">
            <v>1.3610733723620612</v>
          </cell>
          <cell r="AN127">
            <v>1.3609470756528876</v>
          </cell>
          <cell r="AO127">
            <v>1.3609470756528876</v>
          </cell>
          <cell r="AP127">
            <v>1.3266393261895317</v>
          </cell>
          <cell r="AQ127">
            <v>1.3485391444713466</v>
          </cell>
          <cell r="AR127">
            <v>1.3493087327183177</v>
          </cell>
        </row>
        <row r="128">
          <cell r="D128">
            <v>53</v>
          </cell>
          <cell r="E128">
            <v>1.3076224702099486</v>
          </cell>
          <cell r="F128">
            <v>1.3080472602102526</v>
          </cell>
          <cell r="G128">
            <v>1.2945368171021376</v>
          </cell>
          <cell r="H128">
            <v>1.295358649789029</v>
          </cell>
          <cell r="O128">
            <v>1.3672896699269002</v>
          </cell>
          <cell r="P128">
            <v>1.3671607753705823</v>
          </cell>
          <cell r="Q128">
            <v>1.3671607753705823</v>
          </cell>
          <cell r="R128">
            <v>1.3675622622991039</v>
          </cell>
          <cell r="S128">
            <v>1.3548412965725196</v>
          </cell>
          <cell r="T128">
            <v>1.3555908850026503</v>
          </cell>
          <cell r="AA128">
            <v>1.3672896699269002</v>
          </cell>
          <cell r="AB128">
            <v>1.3671607753705823</v>
          </cell>
          <cell r="AC128">
            <v>1.3076224702099486</v>
          </cell>
          <cell r="AD128">
            <v>1.3080472602102526</v>
          </cell>
          <cell r="AE128">
            <v>1.2945368171021376</v>
          </cell>
          <cell r="AF128">
            <v>1.295358649789029</v>
          </cell>
          <cell r="AM128">
            <v>1.3610733723620612</v>
          </cell>
          <cell r="AN128">
            <v>1.3609470756528876</v>
          </cell>
          <cell r="AO128">
            <v>1.3609470756528876</v>
          </cell>
          <cell r="AP128">
            <v>1.3266393261895317</v>
          </cell>
          <cell r="AQ128">
            <v>1.3485391444713466</v>
          </cell>
          <cell r="AR128">
            <v>1.3493087327183177</v>
          </cell>
        </row>
        <row r="129">
          <cell r="D129">
            <v>54</v>
          </cell>
          <cell r="E129">
            <v>1.3076224702099486</v>
          </cell>
          <cell r="F129">
            <v>1.3080472602102526</v>
          </cell>
          <cell r="G129">
            <v>1.2945368171021376</v>
          </cell>
          <cell r="H129">
            <v>1.295358649789029</v>
          </cell>
          <cell r="O129">
            <v>1.3672896699269002</v>
          </cell>
          <cell r="P129">
            <v>1.3671607753705823</v>
          </cell>
          <cell r="Q129">
            <v>1.3671607753705823</v>
          </cell>
          <cell r="R129">
            <v>1.3675622622991039</v>
          </cell>
          <cell r="S129">
            <v>1.3548412965725196</v>
          </cell>
          <cell r="T129">
            <v>1.3555908850026503</v>
          </cell>
          <cell r="AA129">
            <v>1.3672896699269002</v>
          </cell>
          <cell r="AB129">
            <v>1.3671607753705823</v>
          </cell>
          <cell r="AC129">
            <v>1.3076224702099486</v>
          </cell>
          <cell r="AD129">
            <v>1.3080472602102526</v>
          </cell>
          <cell r="AE129">
            <v>1.2945368171021376</v>
          </cell>
          <cell r="AF129">
            <v>1.295358649789029</v>
          </cell>
          <cell r="AM129">
            <v>1.3610733723620612</v>
          </cell>
          <cell r="AN129">
            <v>1.3609470756528876</v>
          </cell>
          <cell r="AO129">
            <v>1.3609470756528876</v>
          </cell>
          <cell r="AP129">
            <v>1.3266393261895317</v>
          </cell>
          <cell r="AQ129">
            <v>1.3485391444713466</v>
          </cell>
          <cell r="AR129">
            <v>1.3493087327183177</v>
          </cell>
        </row>
        <row r="130">
          <cell r="D130">
            <v>55</v>
          </cell>
          <cell r="E130">
            <v>0.76928314734253833</v>
          </cell>
          <cell r="F130">
            <v>0.76896455484231097</v>
          </cell>
          <cell r="G130">
            <v>0.77909738717339672</v>
          </cell>
          <cell r="H130">
            <v>0.77848101265822789</v>
          </cell>
          <cell r="O130">
            <v>0.72453274755482466</v>
          </cell>
          <cell r="P130">
            <v>0.72462941847206386</v>
          </cell>
          <cell r="Q130">
            <v>0.72462941847206386</v>
          </cell>
          <cell r="R130">
            <v>0.72432830327567177</v>
          </cell>
          <cell r="S130">
            <v>0.73386902757061057</v>
          </cell>
          <cell r="T130">
            <v>0.73330683624801274</v>
          </cell>
          <cell r="AA130">
            <v>0.72453274755482466</v>
          </cell>
          <cell r="AB130">
            <v>0.72462941847206386</v>
          </cell>
          <cell r="AC130">
            <v>0.76928314734253833</v>
          </cell>
          <cell r="AD130">
            <v>0.76896455484231097</v>
          </cell>
          <cell r="AE130">
            <v>0.77909738717339672</v>
          </cell>
          <cell r="AF130">
            <v>0.77848101265822789</v>
          </cell>
          <cell r="AM130">
            <v>0.72919497072845385</v>
          </cell>
          <cell r="AN130">
            <v>0.72928969326033422</v>
          </cell>
          <cell r="AO130">
            <v>0.72928969326033422</v>
          </cell>
          <cell r="AP130">
            <v>0.75502050535785148</v>
          </cell>
          <cell r="AQ130">
            <v>0.73859564164648916</v>
          </cell>
          <cell r="AR130">
            <v>0.73801845046126158</v>
          </cell>
        </row>
        <row r="131">
          <cell r="D131">
            <v>56</v>
          </cell>
          <cell r="E131">
            <v>0.76928314734253833</v>
          </cell>
          <cell r="F131">
            <v>0.76896455484231097</v>
          </cell>
          <cell r="G131">
            <v>0.77909738717339672</v>
          </cell>
          <cell r="H131">
            <v>0.77848101265822789</v>
          </cell>
          <cell r="O131">
            <v>0.72453274755482466</v>
          </cell>
          <cell r="P131">
            <v>0.72462941847206386</v>
          </cell>
          <cell r="Q131">
            <v>0.72462941847206386</v>
          </cell>
          <cell r="R131">
            <v>0.72432830327567177</v>
          </cell>
          <cell r="S131">
            <v>0.73386902757061057</v>
          </cell>
          <cell r="T131">
            <v>0.73330683624801274</v>
          </cell>
          <cell r="AA131">
            <v>0.72453274755482466</v>
          </cell>
          <cell r="AB131">
            <v>0.72462941847206386</v>
          </cell>
          <cell r="AC131">
            <v>0.76928314734253833</v>
          </cell>
          <cell r="AD131">
            <v>0.76896455484231097</v>
          </cell>
          <cell r="AE131">
            <v>0.77909738717339672</v>
          </cell>
          <cell r="AF131">
            <v>0.77848101265822789</v>
          </cell>
          <cell r="AM131">
            <v>0.72919497072845385</v>
          </cell>
          <cell r="AN131">
            <v>0.72928969326033422</v>
          </cell>
          <cell r="AO131">
            <v>0.72928969326033422</v>
          </cell>
          <cell r="AP131">
            <v>0.75502050535785148</v>
          </cell>
          <cell r="AQ131">
            <v>0.73859564164648916</v>
          </cell>
          <cell r="AR131">
            <v>0.73801845046126158</v>
          </cell>
        </row>
        <row r="132">
          <cell r="D132">
            <v>57</v>
          </cell>
          <cell r="E132">
            <v>0.76928314734253833</v>
          </cell>
          <cell r="F132">
            <v>0.76896455484231097</v>
          </cell>
          <cell r="G132">
            <v>0.77909738717339672</v>
          </cell>
          <cell r="H132">
            <v>0.77848101265822789</v>
          </cell>
          <cell r="O132">
            <v>0.72453274755482466</v>
          </cell>
          <cell r="P132">
            <v>0.72462941847206386</v>
          </cell>
          <cell r="Q132">
            <v>0.72462941847206386</v>
          </cell>
          <cell r="R132">
            <v>0.72432830327567177</v>
          </cell>
          <cell r="S132">
            <v>0.73386902757061057</v>
          </cell>
          <cell r="T132">
            <v>0.73330683624801274</v>
          </cell>
          <cell r="AA132">
            <v>0.72453274755482466</v>
          </cell>
          <cell r="AB132">
            <v>0.72462941847206386</v>
          </cell>
          <cell r="AC132">
            <v>0.76928314734253833</v>
          </cell>
          <cell r="AD132">
            <v>0.76896455484231097</v>
          </cell>
          <cell r="AE132">
            <v>0.77909738717339672</v>
          </cell>
          <cell r="AF132">
            <v>0.77848101265822789</v>
          </cell>
          <cell r="AM132">
            <v>0.72919497072845385</v>
          </cell>
          <cell r="AN132">
            <v>0.72928969326033422</v>
          </cell>
          <cell r="AO132">
            <v>0.72928969326033422</v>
          </cell>
          <cell r="AP132">
            <v>0.75502050535785148</v>
          </cell>
          <cell r="AQ132">
            <v>0.73859564164648916</v>
          </cell>
          <cell r="AR132">
            <v>0.73801845046126158</v>
          </cell>
        </row>
        <row r="133">
          <cell r="D133">
            <v>58</v>
          </cell>
          <cell r="E133">
            <v>0.76928314734253833</v>
          </cell>
          <cell r="F133">
            <v>0.76896455484231097</v>
          </cell>
          <cell r="G133">
            <v>0.77909738717339672</v>
          </cell>
          <cell r="H133">
            <v>0.77848101265822789</v>
          </cell>
          <cell r="O133">
            <v>0.72453274755482466</v>
          </cell>
          <cell r="P133">
            <v>0.72462941847206386</v>
          </cell>
          <cell r="Q133">
            <v>0.72462941847206386</v>
          </cell>
          <cell r="R133">
            <v>0.72432830327567177</v>
          </cell>
          <cell r="S133">
            <v>0.73386902757061057</v>
          </cell>
          <cell r="T133">
            <v>0.73330683624801274</v>
          </cell>
          <cell r="AA133">
            <v>0.72453274755482466</v>
          </cell>
          <cell r="AB133">
            <v>0.72462941847206386</v>
          </cell>
          <cell r="AC133">
            <v>0.76928314734253833</v>
          </cell>
          <cell r="AD133">
            <v>0.76896455484231097</v>
          </cell>
          <cell r="AE133">
            <v>0.77909738717339672</v>
          </cell>
          <cell r="AF133">
            <v>0.77848101265822789</v>
          </cell>
          <cell r="AM133">
            <v>0.72919497072845385</v>
          </cell>
          <cell r="AN133">
            <v>0.72928969326033422</v>
          </cell>
          <cell r="AO133">
            <v>0.72928969326033422</v>
          </cell>
          <cell r="AP133">
            <v>0.75502050535785148</v>
          </cell>
          <cell r="AQ133">
            <v>0.73859564164648916</v>
          </cell>
          <cell r="AR133">
            <v>0.73801845046126158</v>
          </cell>
        </row>
        <row r="134">
          <cell r="D134">
            <v>59</v>
          </cell>
          <cell r="E134">
            <v>0.76928314734253833</v>
          </cell>
          <cell r="F134">
            <v>0.76896455484231097</v>
          </cell>
          <cell r="G134">
            <v>0.77909738717339672</v>
          </cell>
          <cell r="H134">
            <v>0.77848101265822789</v>
          </cell>
          <cell r="O134">
            <v>0.72453274755482466</v>
          </cell>
          <cell r="P134">
            <v>0.72462941847206386</v>
          </cell>
          <cell r="Q134">
            <v>0.72462941847206386</v>
          </cell>
          <cell r="R134">
            <v>0.72432830327567177</v>
          </cell>
          <cell r="S134">
            <v>0.73386902757061057</v>
          </cell>
          <cell r="T134">
            <v>0.73330683624801274</v>
          </cell>
          <cell r="AA134">
            <v>0.72453274755482466</v>
          </cell>
          <cell r="AB134">
            <v>0.72462941847206386</v>
          </cell>
          <cell r="AC134">
            <v>0.76928314734253833</v>
          </cell>
          <cell r="AD134">
            <v>0.76896455484231097</v>
          </cell>
          <cell r="AE134">
            <v>0.77909738717339672</v>
          </cell>
          <cell r="AF134">
            <v>0.77848101265822789</v>
          </cell>
          <cell r="AM134">
            <v>0.72919497072845385</v>
          </cell>
          <cell r="AN134">
            <v>0.72928969326033422</v>
          </cell>
          <cell r="AO134">
            <v>0.72928969326033422</v>
          </cell>
          <cell r="AP134">
            <v>0.75502050535785148</v>
          </cell>
          <cell r="AQ134">
            <v>0.73859564164648916</v>
          </cell>
          <cell r="AR134">
            <v>0.73801845046126158</v>
          </cell>
        </row>
        <row r="135">
          <cell r="D135">
            <v>60</v>
          </cell>
          <cell r="E135">
            <v>0.76928314734253833</v>
          </cell>
          <cell r="F135">
            <v>0.76896455484231097</v>
          </cell>
          <cell r="G135">
            <v>0.77909738717339672</v>
          </cell>
          <cell r="H135">
            <v>0.77848101265822789</v>
          </cell>
          <cell r="O135">
            <v>0.72453274755482466</v>
          </cell>
          <cell r="P135">
            <v>0.72462941847206386</v>
          </cell>
          <cell r="Q135">
            <v>0.72462941847206386</v>
          </cell>
          <cell r="R135">
            <v>0.72432830327567177</v>
          </cell>
          <cell r="S135">
            <v>0.73386902757061057</v>
          </cell>
          <cell r="T135">
            <v>0.73330683624801274</v>
          </cell>
          <cell r="AA135">
            <v>0.72453274755482466</v>
          </cell>
          <cell r="AB135">
            <v>0.72462941847206386</v>
          </cell>
          <cell r="AC135">
            <v>0.76928314734253833</v>
          </cell>
          <cell r="AD135">
            <v>0.76896455484231097</v>
          </cell>
          <cell r="AE135">
            <v>0.77909738717339672</v>
          </cell>
          <cell r="AF135">
            <v>0.77848101265822789</v>
          </cell>
          <cell r="AM135">
            <v>0.72919497072845385</v>
          </cell>
          <cell r="AN135">
            <v>0.72928969326033422</v>
          </cell>
          <cell r="AO135">
            <v>0.72928969326033422</v>
          </cell>
          <cell r="AP135">
            <v>0.75502050535785148</v>
          </cell>
          <cell r="AQ135">
            <v>0.73859564164648916</v>
          </cell>
          <cell r="AR135">
            <v>0.73801845046126158</v>
          </cell>
        </row>
        <row r="136">
          <cell r="D136">
            <v>61</v>
          </cell>
          <cell r="E136">
            <v>0.76928314734253833</v>
          </cell>
          <cell r="F136">
            <v>0.76896455484231097</v>
          </cell>
          <cell r="G136">
            <v>0.77909738717339672</v>
          </cell>
          <cell r="H136">
            <v>0.77848101265822789</v>
          </cell>
          <cell r="O136">
            <v>0.72453274755482466</v>
          </cell>
          <cell r="P136">
            <v>0.72462941847206386</v>
          </cell>
          <cell r="Q136">
            <v>0.72462941847206386</v>
          </cell>
          <cell r="R136">
            <v>0.72432830327567177</v>
          </cell>
          <cell r="S136">
            <v>0.73386902757061057</v>
          </cell>
          <cell r="T136">
            <v>0.73330683624801274</v>
          </cell>
          <cell r="AA136">
            <v>0.72453274755482466</v>
          </cell>
          <cell r="AB136">
            <v>0.72462941847206386</v>
          </cell>
          <cell r="AC136">
            <v>0.76928314734253833</v>
          </cell>
          <cell r="AD136">
            <v>0.76896455484231097</v>
          </cell>
          <cell r="AE136">
            <v>0.77909738717339672</v>
          </cell>
          <cell r="AF136">
            <v>0.77848101265822789</v>
          </cell>
          <cell r="AM136">
            <v>0.72919497072845385</v>
          </cell>
          <cell r="AN136">
            <v>0.72928969326033422</v>
          </cell>
          <cell r="AO136">
            <v>0.72928969326033422</v>
          </cell>
          <cell r="AP136">
            <v>0.75502050535785148</v>
          </cell>
          <cell r="AQ136">
            <v>0.73859564164648916</v>
          </cell>
          <cell r="AR136">
            <v>0.73801845046126158</v>
          </cell>
        </row>
        <row r="137">
          <cell r="D137">
            <v>62</v>
          </cell>
          <cell r="E137">
            <v>0.76928314734253833</v>
          </cell>
          <cell r="F137">
            <v>0.76896455484231097</v>
          </cell>
          <cell r="G137">
            <v>0.77909738717339672</v>
          </cell>
          <cell r="H137">
            <v>0.77848101265822789</v>
          </cell>
          <cell r="O137">
            <v>0.72453274755482466</v>
          </cell>
          <cell r="P137">
            <v>0.72462941847206386</v>
          </cell>
          <cell r="Q137">
            <v>0.72462941847206386</v>
          </cell>
          <cell r="R137">
            <v>0.72432830327567177</v>
          </cell>
          <cell r="S137">
            <v>0.73386902757061057</v>
          </cell>
          <cell r="T137">
            <v>0.73330683624801274</v>
          </cell>
          <cell r="AA137">
            <v>0.72453274755482466</v>
          </cell>
          <cell r="AB137">
            <v>0.72462941847206386</v>
          </cell>
          <cell r="AC137">
            <v>0.76928314734253833</v>
          </cell>
          <cell r="AD137">
            <v>0.76896455484231097</v>
          </cell>
          <cell r="AE137">
            <v>0.77909738717339672</v>
          </cell>
          <cell r="AF137">
            <v>0.77848101265822789</v>
          </cell>
          <cell r="AM137">
            <v>0.72919497072845385</v>
          </cell>
          <cell r="AN137">
            <v>0.72928969326033422</v>
          </cell>
          <cell r="AO137">
            <v>0.72928969326033422</v>
          </cell>
          <cell r="AP137">
            <v>0.75502050535785148</v>
          </cell>
          <cell r="AQ137">
            <v>0.73859564164648916</v>
          </cell>
          <cell r="AR137">
            <v>0.73801845046126158</v>
          </cell>
        </row>
        <row r="138">
          <cell r="D138">
            <v>63</v>
          </cell>
          <cell r="E138">
            <v>0.76928314734253833</v>
          </cell>
          <cell r="F138">
            <v>0.76896455484231097</v>
          </cell>
          <cell r="G138">
            <v>0.77909738717339672</v>
          </cell>
          <cell r="H138">
            <v>0.77848101265822789</v>
          </cell>
          <cell r="O138">
            <v>0.72453274755482466</v>
          </cell>
          <cell r="P138">
            <v>0.72462941847206386</v>
          </cell>
          <cell r="Q138">
            <v>0.72462941847206386</v>
          </cell>
          <cell r="R138">
            <v>0.72432830327567177</v>
          </cell>
          <cell r="S138">
            <v>0.73386902757061057</v>
          </cell>
          <cell r="T138">
            <v>0.73330683624801274</v>
          </cell>
          <cell r="AA138">
            <v>0.72453274755482466</v>
          </cell>
          <cell r="AB138">
            <v>0.72462941847206386</v>
          </cell>
          <cell r="AC138">
            <v>0.76928314734253833</v>
          </cell>
          <cell r="AD138">
            <v>0.76896455484231097</v>
          </cell>
          <cell r="AE138">
            <v>0.77909738717339672</v>
          </cell>
          <cell r="AF138">
            <v>0.77848101265822789</v>
          </cell>
          <cell r="AM138">
            <v>0.72919497072845385</v>
          </cell>
          <cell r="AN138">
            <v>0.72928969326033422</v>
          </cell>
          <cell r="AO138">
            <v>0.72928969326033422</v>
          </cell>
          <cell r="AP138">
            <v>0.75502050535785148</v>
          </cell>
          <cell r="AQ138">
            <v>0.73859564164648916</v>
          </cell>
          <cell r="AR138">
            <v>0.73801845046126158</v>
          </cell>
        </row>
        <row r="139">
          <cell r="D139">
            <v>64</v>
          </cell>
          <cell r="E139">
            <v>0.76928314734253833</v>
          </cell>
          <cell r="F139">
            <v>0.76896455484231097</v>
          </cell>
          <cell r="G139">
            <v>0.77909738717339672</v>
          </cell>
          <cell r="H139">
            <v>0.77848101265822789</v>
          </cell>
          <cell r="O139">
            <v>0.72453274755482466</v>
          </cell>
          <cell r="P139">
            <v>0.72462941847206386</v>
          </cell>
          <cell r="Q139">
            <v>0.72462941847206386</v>
          </cell>
          <cell r="R139">
            <v>0.72432830327567177</v>
          </cell>
          <cell r="S139">
            <v>0.73386902757061057</v>
          </cell>
          <cell r="T139">
            <v>0.73330683624801274</v>
          </cell>
          <cell r="AA139">
            <v>0.72453274755482466</v>
          </cell>
          <cell r="AB139">
            <v>0.72462941847206386</v>
          </cell>
          <cell r="AC139">
            <v>0.76928314734253833</v>
          </cell>
          <cell r="AD139">
            <v>0.76896455484231097</v>
          </cell>
          <cell r="AE139">
            <v>0.77909738717339672</v>
          </cell>
          <cell r="AF139">
            <v>0.77848101265822789</v>
          </cell>
          <cell r="AM139">
            <v>0.72919497072845385</v>
          </cell>
          <cell r="AN139">
            <v>0.72928969326033422</v>
          </cell>
          <cell r="AO139">
            <v>0.72928969326033422</v>
          </cell>
          <cell r="AP139">
            <v>0.75502050535785148</v>
          </cell>
          <cell r="AQ139">
            <v>0.73859564164648916</v>
          </cell>
          <cell r="AR139">
            <v>0.73801845046126158</v>
          </cell>
        </row>
        <row r="140">
          <cell r="D140">
            <v>65</v>
          </cell>
          <cell r="E140">
            <v>0.76928314734253833</v>
          </cell>
          <cell r="F140">
            <v>0.76896455484231097</v>
          </cell>
          <cell r="G140">
            <v>0.77909738717339672</v>
          </cell>
          <cell r="H140">
            <v>0.77848101265822789</v>
          </cell>
          <cell r="O140">
            <v>0.72453274755482466</v>
          </cell>
          <cell r="P140">
            <v>0.72462941847206386</v>
          </cell>
          <cell r="Q140">
            <v>0.72462941847206386</v>
          </cell>
          <cell r="R140">
            <v>0.72432830327567177</v>
          </cell>
          <cell r="S140">
            <v>0.73386902757061057</v>
          </cell>
          <cell r="T140">
            <v>0.73330683624801274</v>
          </cell>
          <cell r="AA140">
            <v>0.72453274755482466</v>
          </cell>
          <cell r="AB140">
            <v>0.72462941847206386</v>
          </cell>
          <cell r="AC140">
            <v>0.76928314734253833</v>
          </cell>
          <cell r="AD140">
            <v>0.76896455484231097</v>
          </cell>
          <cell r="AE140">
            <v>0.77909738717339672</v>
          </cell>
          <cell r="AF140">
            <v>0.77848101265822789</v>
          </cell>
          <cell r="AM140">
            <v>0.72919497072845385</v>
          </cell>
          <cell r="AN140">
            <v>0.72928969326033422</v>
          </cell>
          <cell r="AO140">
            <v>0.72928969326033422</v>
          </cell>
          <cell r="AP140">
            <v>0.75502050535785148</v>
          </cell>
          <cell r="AQ140">
            <v>0.73859564164648916</v>
          </cell>
          <cell r="AR140">
            <v>0.73801845046126158</v>
          </cell>
        </row>
        <row r="141">
          <cell r="D141">
            <v>66</v>
          </cell>
          <cell r="E141">
            <v>0.76928314734253833</v>
          </cell>
          <cell r="F141">
            <v>0.76896455484231097</v>
          </cell>
          <cell r="G141">
            <v>0.77909738717339672</v>
          </cell>
          <cell r="H141">
            <v>0.77848101265822789</v>
          </cell>
          <cell r="O141">
            <v>0.72453274755482466</v>
          </cell>
          <cell r="P141">
            <v>0.72462941847206386</v>
          </cell>
          <cell r="Q141">
            <v>0.72462941847206386</v>
          </cell>
          <cell r="R141">
            <v>0.72432830327567177</v>
          </cell>
          <cell r="S141">
            <v>0.73386902757061057</v>
          </cell>
          <cell r="T141">
            <v>0.73330683624801274</v>
          </cell>
          <cell r="AA141">
            <v>0.72453274755482466</v>
          </cell>
          <cell r="AB141">
            <v>0.72462941847206386</v>
          </cell>
          <cell r="AC141">
            <v>0.76928314734253833</v>
          </cell>
          <cell r="AD141">
            <v>0.76896455484231097</v>
          </cell>
          <cell r="AE141">
            <v>0.77909738717339672</v>
          </cell>
          <cell r="AF141">
            <v>0.77848101265822789</v>
          </cell>
          <cell r="AM141">
            <v>0.72919497072845385</v>
          </cell>
          <cell r="AN141">
            <v>0.72928969326033422</v>
          </cell>
          <cell r="AO141">
            <v>0.72928969326033422</v>
          </cell>
          <cell r="AP141">
            <v>0.75502050535785148</v>
          </cell>
          <cell r="AQ141">
            <v>0.73859564164648916</v>
          </cell>
          <cell r="AR141">
            <v>0.73801845046126158</v>
          </cell>
        </row>
        <row r="142">
          <cell r="D142">
            <v>67</v>
          </cell>
          <cell r="E142">
            <v>0.76928314734253833</v>
          </cell>
          <cell r="F142">
            <v>0.76896455484231097</v>
          </cell>
          <cell r="G142">
            <v>0.77909738717339672</v>
          </cell>
          <cell r="H142">
            <v>0.77848101265822789</v>
          </cell>
          <cell r="O142">
            <v>0.72453274755482466</v>
          </cell>
          <cell r="P142">
            <v>0.72462941847206386</v>
          </cell>
          <cell r="Q142">
            <v>0.72462941847206386</v>
          </cell>
          <cell r="R142">
            <v>0.72432830327567177</v>
          </cell>
          <cell r="S142">
            <v>0.73386902757061057</v>
          </cell>
          <cell r="T142">
            <v>0.73330683624801274</v>
          </cell>
          <cell r="AA142">
            <v>0.72453274755482466</v>
          </cell>
          <cell r="AB142">
            <v>0.72462941847206386</v>
          </cell>
          <cell r="AC142">
            <v>0.76928314734253833</v>
          </cell>
          <cell r="AD142">
            <v>0.76896455484231097</v>
          </cell>
          <cell r="AE142">
            <v>0.77909738717339672</v>
          </cell>
          <cell r="AF142">
            <v>0.77848101265822789</v>
          </cell>
          <cell r="AM142">
            <v>0.72919497072845385</v>
          </cell>
          <cell r="AN142">
            <v>0.72928969326033422</v>
          </cell>
          <cell r="AO142">
            <v>0.72928969326033422</v>
          </cell>
          <cell r="AP142">
            <v>0.75502050535785148</v>
          </cell>
          <cell r="AQ142">
            <v>0.73859564164648916</v>
          </cell>
          <cell r="AR142">
            <v>0.73801845046126158</v>
          </cell>
        </row>
        <row r="143">
          <cell r="D143">
            <v>68</v>
          </cell>
          <cell r="E143">
            <v>0.76928314734253833</v>
          </cell>
          <cell r="F143">
            <v>0.76896455484231097</v>
          </cell>
          <cell r="G143">
            <v>0.77909738717339672</v>
          </cell>
          <cell r="H143">
            <v>0.77848101265822789</v>
          </cell>
          <cell r="O143">
            <v>0.72453274755482466</v>
          </cell>
          <cell r="P143">
            <v>0.72462941847206386</v>
          </cell>
          <cell r="Q143">
            <v>0.72462941847206386</v>
          </cell>
          <cell r="R143">
            <v>0.72432830327567177</v>
          </cell>
          <cell r="S143">
            <v>0.73386902757061057</v>
          </cell>
          <cell r="T143">
            <v>0.73330683624801274</v>
          </cell>
          <cell r="AA143">
            <v>0.72453274755482466</v>
          </cell>
          <cell r="AB143">
            <v>0.72462941847206386</v>
          </cell>
          <cell r="AC143">
            <v>0.76928314734253833</v>
          </cell>
          <cell r="AD143">
            <v>0.76896455484231097</v>
          </cell>
          <cell r="AE143">
            <v>0.77909738717339672</v>
          </cell>
          <cell r="AF143">
            <v>0.77848101265822789</v>
          </cell>
          <cell r="AM143">
            <v>0.72919497072845385</v>
          </cell>
          <cell r="AN143">
            <v>0.72928969326033422</v>
          </cell>
          <cell r="AO143">
            <v>0.72928969326033422</v>
          </cell>
          <cell r="AP143">
            <v>0.75502050535785148</v>
          </cell>
          <cell r="AQ143">
            <v>0.73859564164648916</v>
          </cell>
          <cell r="AR143">
            <v>0.73801845046126158</v>
          </cell>
        </row>
        <row r="144">
          <cell r="D144">
            <v>69</v>
          </cell>
          <cell r="E144">
            <v>0.76928314734253833</v>
          </cell>
          <cell r="F144">
            <v>0.76896455484231097</v>
          </cell>
          <cell r="G144">
            <v>0.77909738717339672</v>
          </cell>
          <cell r="H144">
            <v>0.77848101265822789</v>
          </cell>
          <cell r="O144">
            <v>0.72453274755482466</v>
          </cell>
          <cell r="P144">
            <v>0.72462941847206386</v>
          </cell>
          <cell r="Q144">
            <v>0.72462941847206386</v>
          </cell>
          <cell r="R144">
            <v>0.72432830327567177</v>
          </cell>
          <cell r="S144">
            <v>0.73386902757061057</v>
          </cell>
          <cell r="T144">
            <v>0.73330683624801274</v>
          </cell>
          <cell r="AA144">
            <v>0.72453274755482466</v>
          </cell>
          <cell r="AB144">
            <v>0.72462941847206386</v>
          </cell>
          <cell r="AC144">
            <v>0.76928314734253833</v>
          </cell>
          <cell r="AD144">
            <v>0.76896455484231097</v>
          </cell>
          <cell r="AE144">
            <v>0.77909738717339672</v>
          </cell>
          <cell r="AF144">
            <v>0.77848101265822789</v>
          </cell>
          <cell r="AM144">
            <v>0.72919497072845385</v>
          </cell>
          <cell r="AN144">
            <v>0.72928969326033422</v>
          </cell>
          <cell r="AO144">
            <v>0.72928969326033422</v>
          </cell>
          <cell r="AP144">
            <v>0.75502050535785148</v>
          </cell>
          <cell r="AQ144">
            <v>0.73859564164648916</v>
          </cell>
          <cell r="AR144">
            <v>0.73801845046126158</v>
          </cell>
        </row>
        <row r="145">
          <cell r="D145">
            <v>70</v>
          </cell>
          <cell r="E145">
            <v>0.76928314734253833</v>
          </cell>
          <cell r="F145">
            <v>0.76896455484231097</v>
          </cell>
          <cell r="G145">
            <v>0.77909738717339672</v>
          </cell>
          <cell r="H145">
            <v>0.77848101265822789</v>
          </cell>
          <cell r="O145">
            <v>0.72453274755482466</v>
          </cell>
          <cell r="P145">
            <v>0.72462941847206386</v>
          </cell>
          <cell r="Q145">
            <v>0.72462941847206386</v>
          </cell>
          <cell r="R145">
            <v>0.72432830327567177</v>
          </cell>
          <cell r="S145">
            <v>0.73386902757061057</v>
          </cell>
          <cell r="T145">
            <v>0.73330683624801274</v>
          </cell>
          <cell r="AA145">
            <v>0.72453274755482466</v>
          </cell>
          <cell r="AB145">
            <v>0.72462941847206386</v>
          </cell>
          <cell r="AC145">
            <v>0.76928314734253833</v>
          </cell>
          <cell r="AD145">
            <v>0.76896455484231097</v>
          </cell>
          <cell r="AE145">
            <v>0.77909738717339672</v>
          </cell>
          <cell r="AF145">
            <v>0.77848101265822789</v>
          </cell>
          <cell r="AM145">
            <v>0.72919497072845385</v>
          </cell>
          <cell r="AN145">
            <v>0.72928969326033422</v>
          </cell>
          <cell r="AO145">
            <v>0.72928969326033422</v>
          </cell>
          <cell r="AP145">
            <v>0.75502050535785148</v>
          </cell>
          <cell r="AQ145">
            <v>0.73859564164648916</v>
          </cell>
          <cell r="AR145">
            <v>0.73801845046126158</v>
          </cell>
        </row>
        <row r="146">
          <cell r="D146">
            <v>71</v>
          </cell>
          <cell r="E146">
            <v>1.3076224702099486</v>
          </cell>
          <cell r="F146">
            <v>1.3080472602102526</v>
          </cell>
          <cell r="G146">
            <v>1.2945368171021376</v>
          </cell>
          <cell r="H146">
            <v>1.295358649789029</v>
          </cell>
          <cell r="O146">
            <v>1.3672896699269002</v>
          </cell>
          <cell r="P146">
            <v>1.3671607753705823</v>
          </cell>
          <cell r="Q146">
            <v>1.3671607753705823</v>
          </cell>
          <cell r="R146">
            <v>1.3675622622991039</v>
          </cell>
          <cell r="S146">
            <v>1.3548412965725196</v>
          </cell>
          <cell r="T146">
            <v>1.3555908850026503</v>
          </cell>
          <cell r="AA146">
            <v>1.3672896699269002</v>
          </cell>
          <cell r="AB146">
            <v>1.3671607753705823</v>
          </cell>
          <cell r="AC146">
            <v>1.3076224702099486</v>
          </cell>
          <cell r="AD146">
            <v>1.3080472602102526</v>
          </cell>
          <cell r="AE146">
            <v>1.2945368171021376</v>
          </cell>
          <cell r="AF146">
            <v>1.295358649789029</v>
          </cell>
          <cell r="AM146">
            <v>1.3610733723620612</v>
          </cell>
          <cell r="AN146">
            <v>1.3609470756528876</v>
          </cell>
          <cell r="AO146">
            <v>1.3609470756528876</v>
          </cell>
          <cell r="AP146">
            <v>1.3266393261895317</v>
          </cell>
          <cell r="AQ146">
            <v>1.3485391444713466</v>
          </cell>
          <cell r="AR146">
            <v>1.3493087327183177</v>
          </cell>
        </row>
        <row r="147">
          <cell r="D147">
            <v>72</v>
          </cell>
          <cell r="E147">
            <v>1.3076224702099486</v>
          </cell>
          <cell r="F147">
            <v>1.3080472602102526</v>
          </cell>
          <cell r="G147">
            <v>1.2945368171021376</v>
          </cell>
          <cell r="H147">
            <v>1.295358649789029</v>
          </cell>
          <cell r="O147">
            <v>1.3672896699269002</v>
          </cell>
          <cell r="P147">
            <v>1.3671607753705823</v>
          </cell>
          <cell r="Q147">
            <v>1.3671607753705823</v>
          </cell>
          <cell r="R147">
            <v>1.3675622622991039</v>
          </cell>
          <cell r="S147">
            <v>1.3548412965725196</v>
          </cell>
          <cell r="T147">
            <v>1.3555908850026503</v>
          </cell>
          <cell r="AA147">
            <v>1.3672896699269002</v>
          </cell>
          <cell r="AB147">
            <v>1.3671607753705823</v>
          </cell>
          <cell r="AC147">
            <v>1.3076224702099486</v>
          </cell>
          <cell r="AD147">
            <v>1.3080472602102526</v>
          </cell>
          <cell r="AE147">
            <v>1.2945368171021376</v>
          </cell>
          <cell r="AF147">
            <v>1.295358649789029</v>
          </cell>
          <cell r="AM147">
            <v>1.3610733723620612</v>
          </cell>
          <cell r="AN147">
            <v>1.3609470756528876</v>
          </cell>
          <cell r="AO147">
            <v>1.3609470756528876</v>
          </cell>
          <cell r="AP147">
            <v>1.3266393261895317</v>
          </cell>
          <cell r="AQ147">
            <v>1.3485391444713466</v>
          </cell>
          <cell r="AR147">
            <v>1.3493087327183177</v>
          </cell>
        </row>
        <row r="148">
          <cell r="D148">
            <v>73</v>
          </cell>
          <cell r="E148">
            <v>1.3076224702099486</v>
          </cell>
          <cell r="F148">
            <v>1.3080472602102526</v>
          </cell>
          <cell r="G148">
            <v>1.2945368171021376</v>
          </cell>
          <cell r="H148">
            <v>1.295358649789029</v>
          </cell>
          <cell r="O148">
            <v>1.3672896699269002</v>
          </cell>
          <cell r="P148">
            <v>1.3671607753705823</v>
          </cell>
          <cell r="Q148">
            <v>1.3671607753705823</v>
          </cell>
          <cell r="R148">
            <v>1.3675622622991039</v>
          </cell>
          <cell r="S148">
            <v>1.3548412965725196</v>
          </cell>
          <cell r="T148">
            <v>1.3555908850026503</v>
          </cell>
          <cell r="AA148">
            <v>1.3672896699269002</v>
          </cell>
          <cell r="AB148">
            <v>1.3671607753705823</v>
          </cell>
          <cell r="AC148">
            <v>1.3076224702099486</v>
          </cell>
          <cell r="AD148">
            <v>1.3080472602102526</v>
          </cell>
          <cell r="AE148">
            <v>1.2945368171021376</v>
          </cell>
          <cell r="AF148">
            <v>1.295358649789029</v>
          </cell>
          <cell r="AM148">
            <v>1.3610733723620612</v>
          </cell>
          <cell r="AN148">
            <v>1.3609470756528876</v>
          </cell>
          <cell r="AO148">
            <v>1.3609470756528876</v>
          </cell>
          <cell r="AP148">
            <v>1.3266393261895317</v>
          </cell>
          <cell r="AQ148">
            <v>1.3485391444713466</v>
          </cell>
          <cell r="AR148">
            <v>1.3493087327183177</v>
          </cell>
        </row>
        <row r="149">
          <cell r="D149">
            <v>74</v>
          </cell>
          <cell r="E149">
            <v>1.3076224702099486</v>
          </cell>
          <cell r="F149">
            <v>1.3080472602102526</v>
          </cell>
          <cell r="G149">
            <v>1.2945368171021376</v>
          </cell>
          <cell r="H149">
            <v>1.295358649789029</v>
          </cell>
          <cell r="O149">
            <v>1.3672896699269002</v>
          </cell>
          <cell r="P149">
            <v>1.3671607753705823</v>
          </cell>
          <cell r="Q149">
            <v>1.3671607753705823</v>
          </cell>
          <cell r="R149">
            <v>1.3675622622991039</v>
          </cell>
          <cell r="S149">
            <v>1.3548412965725196</v>
          </cell>
          <cell r="T149">
            <v>1.3555908850026503</v>
          </cell>
          <cell r="AA149">
            <v>1.3672896699269002</v>
          </cell>
          <cell r="AB149">
            <v>1.3671607753705823</v>
          </cell>
          <cell r="AC149">
            <v>1.3076224702099486</v>
          </cell>
          <cell r="AD149">
            <v>1.3080472602102526</v>
          </cell>
          <cell r="AE149">
            <v>1.2945368171021376</v>
          </cell>
          <cell r="AF149">
            <v>1.295358649789029</v>
          </cell>
          <cell r="AM149">
            <v>1.3610733723620612</v>
          </cell>
          <cell r="AN149">
            <v>1.3609470756528876</v>
          </cell>
          <cell r="AO149">
            <v>1.3609470756528876</v>
          </cell>
          <cell r="AP149">
            <v>1.3266393261895317</v>
          </cell>
          <cell r="AQ149">
            <v>1.3485391444713466</v>
          </cell>
          <cell r="AR149">
            <v>1.3493087327183177</v>
          </cell>
        </row>
        <row r="150">
          <cell r="D150">
            <v>75</v>
          </cell>
          <cell r="E150">
            <v>1.3076224702099486</v>
          </cell>
          <cell r="F150">
            <v>1.3080472602102526</v>
          </cell>
          <cell r="G150">
            <v>1.2945368171021376</v>
          </cell>
          <cell r="H150">
            <v>1.295358649789029</v>
          </cell>
          <cell r="O150">
            <v>1.3672896699269002</v>
          </cell>
          <cell r="P150">
            <v>1.3671607753705823</v>
          </cell>
          <cell r="Q150">
            <v>1.3671607753705823</v>
          </cell>
          <cell r="R150">
            <v>1.3675622622991039</v>
          </cell>
          <cell r="S150">
            <v>1.3548412965725196</v>
          </cell>
          <cell r="T150">
            <v>1.3555908850026503</v>
          </cell>
          <cell r="AA150">
            <v>1.3672896699269002</v>
          </cell>
          <cell r="AB150">
            <v>1.3671607753705823</v>
          </cell>
          <cell r="AC150">
            <v>1.3076224702099486</v>
          </cell>
          <cell r="AD150">
            <v>1.3080472602102526</v>
          </cell>
          <cell r="AE150">
            <v>1.2945368171021376</v>
          </cell>
          <cell r="AF150">
            <v>1.295358649789029</v>
          </cell>
          <cell r="AM150">
            <v>1.3610733723620612</v>
          </cell>
          <cell r="AN150">
            <v>1.3609470756528876</v>
          </cell>
          <cell r="AO150">
            <v>1.3609470756528876</v>
          </cell>
          <cell r="AP150">
            <v>1.3266393261895317</v>
          </cell>
          <cell r="AQ150">
            <v>1.3485391444713466</v>
          </cell>
          <cell r="AR150">
            <v>1.3493087327183177</v>
          </cell>
        </row>
        <row r="151">
          <cell r="D151">
            <v>76</v>
          </cell>
          <cell r="E151">
            <v>1.3076224702099486</v>
          </cell>
          <cell r="F151">
            <v>1.3080472602102526</v>
          </cell>
          <cell r="G151">
            <v>1.2945368171021376</v>
          </cell>
          <cell r="H151">
            <v>1.295358649789029</v>
          </cell>
          <cell r="O151">
            <v>1.3672896699269002</v>
          </cell>
          <cell r="P151">
            <v>1.3671607753705823</v>
          </cell>
          <cell r="Q151">
            <v>1.3671607753705823</v>
          </cell>
          <cell r="R151">
            <v>1.3675622622991039</v>
          </cell>
          <cell r="S151">
            <v>1.3548412965725196</v>
          </cell>
          <cell r="T151">
            <v>1.3555908850026503</v>
          </cell>
          <cell r="AA151">
            <v>1.3672896699269002</v>
          </cell>
          <cell r="AB151">
            <v>1.3671607753705823</v>
          </cell>
          <cell r="AC151">
            <v>1.3076224702099486</v>
          </cell>
          <cell r="AD151">
            <v>1.3080472602102526</v>
          </cell>
          <cell r="AE151">
            <v>1.2945368171021376</v>
          </cell>
          <cell r="AF151">
            <v>1.295358649789029</v>
          </cell>
          <cell r="AM151">
            <v>1.3610733723620612</v>
          </cell>
          <cell r="AN151">
            <v>1.3609470756528876</v>
          </cell>
          <cell r="AO151">
            <v>1.3609470756528876</v>
          </cell>
          <cell r="AP151">
            <v>1.3266393261895317</v>
          </cell>
          <cell r="AQ151">
            <v>1.3485391444713466</v>
          </cell>
          <cell r="AR151">
            <v>1.3493087327183177</v>
          </cell>
        </row>
        <row r="152">
          <cell r="D152">
            <v>77</v>
          </cell>
          <cell r="E152">
            <v>1.3076224702099486</v>
          </cell>
          <cell r="F152">
            <v>1.3080472602102526</v>
          </cell>
          <cell r="G152">
            <v>1.2945368171021376</v>
          </cell>
          <cell r="H152">
            <v>1.295358649789029</v>
          </cell>
          <cell r="O152">
            <v>1.3672896699269002</v>
          </cell>
          <cell r="P152">
            <v>1.3671607753705823</v>
          </cell>
          <cell r="Q152">
            <v>1.3671607753705823</v>
          </cell>
          <cell r="R152">
            <v>1.3675622622991039</v>
          </cell>
          <cell r="S152">
            <v>1.3548412965725196</v>
          </cell>
          <cell r="T152">
            <v>1.3555908850026503</v>
          </cell>
          <cell r="AA152">
            <v>1.3672896699269002</v>
          </cell>
          <cell r="AB152">
            <v>1.3671607753705823</v>
          </cell>
          <cell r="AC152">
            <v>1.3076224702099486</v>
          </cell>
          <cell r="AD152">
            <v>1.3080472602102526</v>
          </cell>
          <cell r="AE152">
            <v>1.2945368171021376</v>
          </cell>
          <cell r="AF152">
            <v>1.295358649789029</v>
          </cell>
          <cell r="AM152">
            <v>1.3610733723620612</v>
          </cell>
          <cell r="AN152">
            <v>1.3609470756528876</v>
          </cell>
          <cell r="AO152">
            <v>1.3609470756528876</v>
          </cell>
          <cell r="AP152">
            <v>1.3266393261895317</v>
          </cell>
          <cell r="AQ152">
            <v>1.3485391444713466</v>
          </cell>
          <cell r="AR152">
            <v>1.3493087327183177</v>
          </cell>
        </row>
        <row r="153">
          <cell r="D153">
            <v>78</v>
          </cell>
          <cell r="E153">
            <v>1.3076224702099486</v>
          </cell>
          <cell r="F153">
            <v>1.3080472602102526</v>
          </cell>
          <cell r="G153">
            <v>1.2945368171021376</v>
          </cell>
          <cell r="H153">
            <v>1.295358649789029</v>
          </cell>
          <cell r="O153">
            <v>1.3672896699269002</v>
          </cell>
          <cell r="P153">
            <v>1.3671607753705823</v>
          </cell>
          <cell r="Q153">
            <v>1.3671607753705823</v>
          </cell>
          <cell r="R153">
            <v>1.3675622622991039</v>
          </cell>
          <cell r="S153">
            <v>1.3548412965725196</v>
          </cell>
          <cell r="T153">
            <v>1.3555908850026503</v>
          </cell>
          <cell r="AA153">
            <v>1.3672896699269002</v>
          </cell>
          <cell r="AB153">
            <v>1.3671607753705823</v>
          </cell>
          <cell r="AC153">
            <v>1.3076224702099486</v>
          </cell>
          <cell r="AD153">
            <v>1.3080472602102526</v>
          </cell>
          <cell r="AE153">
            <v>1.2945368171021376</v>
          </cell>
          <cell r="AF153">
            <v>1.295358649789029</v>
          </cell>
          <cell r="AM153">
            <v>1.3610733723620612</v>
          </cell>
          <cell r="AN153">
            <v>1.3609470756528876</v>
          </cell>
          <cell r="AO153">
            <v>1.3609470756528876</v>
          </cell>
          <cell r="AP153">
            <v>1.3266393261895317</v>
          </cell>
          <cell r="AQ153">
            <v>1.3485391444713466</v>
          </cell>
          <cell r="AR153">
            <v>1.3493087327183177</v>
          </cell>
        </row>
        <row r="154">
          <cell r="D154">
            <v>79</v>
          </cell>
          <cell r="E154">
            <v>0.76928314734253833</v>
          </cell>
          <cell r="F154">
            <v>0.76896455484231097</v>
          </cell>
          <cell r="G154">
            <v>0.77909738717339672</v>
          </cell>
          <cell r="H154">
            <v>0.77848101265822789</v>
          </cell>
          <cell r="O154">
            <v>0.72453274755482466</v>
          </cell>
          <cell r="P154">
            <v>0.72462941847206386</v>
          </cell>
          <cell r="Q154">
            <v>0.72462941847206386</v>
          </cell>
          <cell r="R154">
            <v>0.72432830327567177</v>
          </cell>
          <cell r="S154">
            <v>0.73386902757061057</v>
          </cell>
          <cell r="T154">
            <v>0.73330683624801274</v>
          </cell>
          <cell r="AA154">
            <v>0.72453274755482466</v>
          </cell>
          <cell r="AB154">
            <v>0.72462941847206386</v>
          </cell>
          <cell r="AC154">
            <v>0.76928314734253833</v>
          </cell>
          <cell r="AD154">
            <v>0.76896455484231097</v>
          </cell>
          <cell r="AE154">
            <v>0.77909738717339672</v>
          </cell>
          <cell r="AF154">
            <v>0.77848101265822789</v>
          </cell>
          <cell r="AM154">
            <v>0.72919497072845385</v>
          </cell>
          <cell r="AN154">
            <v>0.72928969326033422</v>
          </cell>
          <cell r="AO154">
            <v>0.72928969326033422</v>
          </cell>
          <cell r="AP154">
            <v>0.75502050535785148</v>
          </cell>
          <cell r="AQ154">
            <v>0.73859564164648916</v>
          </cell>
          <cell r="AR154">
            <v>0.73801845046126158</v>
          </cell>
        </row>
        <row r="155">
          <cell r="D155">
            <v>80</v>
          </cell>
          <cell r="E155">
            <v>0.76928314734253833</v>
          </cell>
          <cell r="F155">
            <v>0.76896455484231097</v>
          </cell>
          <cell r="G155">
            <v>0.77909738717339672</v>
          </cell>
          <cell r="H155">
            <v>0.77848101265822789</v>
          </cell>
          <cell r="O155">
            <v>0.72453274755482466</v>
          </cell>
          <cell r="P155">
            <v>0.72462941847206386</v>
          </cell>
          <cell r="Q155">
            <v>0.72462941847206386</v>
          </cell>
          <cell r="R155">
            <v>0.72432830327567177</v>
          </cell>
          <cell r="S155">
            <v>0.73386902757061057</v>
          </cell>
          <cell r="T155">
            <v>0.73330683624801274</v>
          </cell>
          <cell r="AA155">
            <v>0.72453274755482466</v>
          </cell>
          <cell r="AB155">
            <v>0.72462941847206386</v>
          </cell>
          <cell r="AC155">
            <v>0.76928314734253833</v>
          </cell>
          <cell r="AD155">
            <v>0.76896455484231097</v>
          </cell>
          <cell r="AE155">
            <v>0.77909738717339672</v>
          </cell>
          <cell r="AF155">
            <v>0.77848101265822789</v>
          </cell>
          <cell r="AM155">
            <v>0.72919497072845385</v>
          </cell>
          <cell r="AN155">
            <v>0.72928969326033422</v>
          </cell>
          <cell r="AO155">
            <v>0.72928969326033422</v>
          </cell>
          <cell r="AP155">
            <v>0.75502050535785148</v>
          </cell>
          <cell r="AQ155">
            <v>0.73859564164648916</v>
          </cell>
          <cell r="AR155">
            <v>0.73801845046126158</v>
          </cell>
        </row>
        <row r="156">
          <cell r="D156">
            <v>81</v>
          </cell>
          <cell r="E156">
            <v>0.76928314734253833</v>
          </cell>
          <cell r="F156">
            <v>0.76896455484231097</v>
          </cell>
          <cell r="G156">
            <v>0.77909738717339672</v>
          </cell>
          <cell r="H156">
            <v>0.77848101265822789</v>
          </cell>
          <cell r="O156">
            <v>0.72453274755482466</v>
          </cell>
          <cell r="P156">
            <v>0.72462941847206386</v>
          </cell>
          <cell r="Q156">
            <v>0.72462941847206386</v>
          </cell>
          <cell r="R156">
            <v>0.72432830327567177</v>
          </cell>
          <cell r="S156">
            <v>0.73386902757061057</v>
          </cell>
          <cell r="T156">
            <v>0.73330683624801274</v>
          </cell>
          <cell r="AA156">
            <v>0.72453274755482466</v>
          </cell>
          <cell r="AB156">
            <v>0.72462941847206386</v>
          </cell>
          <cell r="AC156">
            <v>0.76928314734253833</v>
          </cell>
          <cell r="AD156">
            <v>0.76896455484231097</v>
          </cell>
          <cell r="AE156">
            <v>0.77909738717339672</v>
          </cell>
          <cell r="AF156">
            <v>0.77848101265822789</v>
          </cell>
          <cell r="AM156">
            <v>0.72919497072845385</v>
          </cell>
          <cell r="AN156">
            <v>0.72928969326033422</v>
          </cell>
          <cell r="AO156">
            <v>0.72928969326033422</v>
          </cell>
          <cell r="AP156">
            <v>0.75502050535785148</v>
          </cell>
          <cell r="AQ156">
            <v>0.73859564164648916</v>
          </cell>
          <cell r="AR156">
            <v>0.73801845046126158</v>
          </cell>
        </row>
        <row r="157">
          <cell r="D157">
            <v>82</v>
          </cell>
          <cell r="E157">
            <v>0.76928314734253833</v>
          </cell>
          <cell r="F157">
            <v>0.76896455484231097</v>
          </cell>
          <cell r="G157">
            <v>0.77909738717339672</v>
          </cell>
          <cell r="H157">
            <v>0.77848101265822789</v>
          </cell>
          <cell r="O157">
            <v>0.72453274755482466</v>
          </cell>
          <cell r="P157">
            <v>0.72462941847206386</v>
          </cell>
          <cell r="Q157">
            <v>0.72462941847206386</v>
          </cell>
          <cell r="R157">
            <v>0.72432830327567177</v>
          </cell>
          <cell r="S157">
            <v>0.73386902757061057</v>
          </cell>
          <cell r="T157">
            <v>0.73330683624801274</v>
          </cell>
          <cell r="AA157">
            <v>0.72453274755482466</v>
          </cell>
          <cell r="AB157">
            <v>0.72462941847206386</v>
          </cell>
          <cell r="AC157">
            <v>0.76928314734253833</v>
          </cell>
          <cell r="AD157">
            <v>0.76896455484231097</v>
          </cell>
          <cell r="AE157">
            <v>0.77909738717339672</v>
          </cell>
          <cell r="AF157">
            <v>0.77848101265822789</v>
          </cell>
          <cell r="AM157">
            <v>0.72919497072845385</v>
          </cell>
          <cell r="AN157">
            <v>0.72928969326033422</v>
          </cell>
          <cell r="AO157">
            <v>0.72928969326033422</v>
          </cell>
          <cell r="AP157">
            <v>0.75502050535785148</v>
          </cell>
          <cell r="AQ157">
            <v>0.73859564164648916</v>
          </cell>
          <cell r="AR157">
            <v>0.73801845046126158</v>
          </cell>
        </row>
        <row r="158">
          <cell r="D158">
            <v>83</v>
          </cell>
          <cell r="E158">
            <v>0.76928314734253833</v>
          </cell>
          <cell r="F158">
            <v>0.76896455484231097</v>
          </cell>
          <cell r="G158">
            <v>0.77909738717339672</v>
          </cell>
          <cell r="H158">
            <v>0.77848101265822789</v>
          </cell>
          <cell r="O158">
            <v>0.72453274755482466</v>
          </cell>
          <cell r="P158">
            <v>0.72462941847206386</v>
          </cell>
          <cell r="Q158">
            <v>0.72462941847206386</v>
          </cell>
          <cell r="R158">
            <v>0.72432830327567177</v>
          </cell>
          <cell r="S158">
            <v>0.73386902757061057</v>
          </cell>
          <cell r="T158">
            <v>0.73330683624801274</v>
          </cell>
          <cell r="AA158">
            <v>0.72453274755482466</v>
          </cell>
          <cell r="AB158">
            <v>0.72462941847206386</v>
          </cell>
          <cell r="AC158">
            <v>0.76928314734253833</v>
          </cell>
          <cell r="AD158">
            <v>0.76896455484231097</v>
          </cell>
          <cell r="AE158">
            <v>0.77909738717339672</v>
          </cell>
          <cell r="AF158">
            <v>0.77848101265822789</v>
          </cell>
          <cell r="AM158">
            <v>0.72919497072845385</v>
          </cell>
          <cell r="AN158">
            <v>0.72928969326033422</v>
          </cell>
          <cell r="AO158">
            <v>0.72928969326033422</v>
          </cell>
          <cell r="AP158">
            <v>0.75502050535785148</v>
          </cell>
          <cell r="AQ158">
            <v>0.73859564164648916</v>
          </cell>
          <cell r="AR158">
            <v>0.73801845046126158</v>
          </cell>
        </row>
        <row r="159">
          <cell r="D159">
            <v>84</v>
          </cell>
          <cell r="E159">
            <v>0.76928314734253833</v>
          </cell>
          <cell r="F159">
            <v>0.76896455484231097</v>
          </cell>
          <cell r="G159">
            <v>0.77909738717339672</v>
          </cell>
          <cell r="H159">
            <v>0.77848101265822789</v>
          </cell>
          <cell r="O159">
            <v>0.72453274755482466</v>
          </cell>
          <cell r="P159">
            <v>0.72462941847206386</v>
          </cell>
          <cell r="Q159">
            <v>0.72462941847206386</v>
          </cell>
          <cell r="R159">
            <v>0.72432830327567177</v>
          </cell>
          <cell r="S159">
            <v>0.73386902757061057</v>
          </cell>
          <cell r="T159">
            <v>0.73330683624801274</v>
          </cell>
          <cell r="AA159">
            <v>0.72453274755482466</v>
          </cell>
          <cell r="AB159">
            <v>0.72462941847206386</v>
          </cell>
          <cell r="AC159">
            <v>0.76928314734253833</v>
          </cell>
          <cell r="AD159">
            <v>0.76896455484231097</v>
          </cell>
          <cell r="AE159">
            <v>0.77909738717339672</v>
          </cell>
          <cell r="AF159">
            <v>0.77848101265822789</v>
          </cell>
          <cell r="AM159">
            <v>0.72919497072845385</v>
          </cell>
          <cell r="AN159">
            <v>0.72928969326033422</v>
          </cell>
          <cell r="AO159">
            <v>0.72928969326033422</v>
          </cell>
          <cell r="AP159">
            <v>0.75502050535785148</v>
          </cell>
          <cell r="AQ159">
            <v>0.73859564164648916</v>
          </cell>
          <cell r="AR159">
            <v>0.73801845046126158</v>
          </cell>
        </row>
        <row r="160">
          <cell r="D160">
            <v>85</v>
          </cell>
          <cell r="E160">
            <v>0.76928314734253833</v>
          </cell>
          <cell r="F160">
            <v>0.76896455484231097</v>
          </cell>
          <cell r="G160">
            <v>0.77909738717339672</v>
          </cell>
          <cell r="H160">
            <v>0.77848101265822789</v>
          </cell>
          <cell r="O160">
            <v>0.72453274755482466</v>
          </cell>
          <cell r="P160">
            <v>0.72462941847206386</v>
          </cell>
          <cell r="Q160">
            <v>0.72462941847206386</v>
          </cell>
          <cell r="R160">
            <v>0.72432830327567177</v>
          </cell>
          <cell r="S160">
            <v>0.73386902757061057</v>
          </cell>
          <cell r="T160">
            <v>0.73330683624801274</v>
          </cell>
          <cell r="AA160">
            <v>0.72453274755482466</v>
          </cell>
          <cell r="AB160">
            <v>0.72462941847206386</v>
          </cell>
          <cell r="AC160">
            <v>0.76928314734253833</v>
          </cell>
          <cell r="AD160">
            <v>0.76896455484231097</v>
          </cell>
          <cell r="AE160">
            <v>0.77909738717339672</v>
          </cell>
          <cell r="AF160">
            <v>0.77848101265822789</v>
          </cell>
          <cell r="AM160">
            <v>0.72919497072845385</v>
          </cell>
          <cell r="AN160">
            <v>0.72928969326033422</v>
          </cell>
          <cell r="AO160">
            <v>0.72928969326033422</v>
          </cell>
          <cell r="AP160">
            <v>0.75502050535785148</v>
          </cell>
          <cell r="AQ160">
            <v>0.73859564164648916</v>
          </cell>
          <cell r="AR160">
            <v>0.73801845046126158</v>
          </cell>
        </row>
        <row r="161">
          <cell r="D161">
            <v>86</v>
          </cell>
          <cell r="E161">
            <v>0.76928314734253833</v>
          </cell>
          <cell r="F161">
            <v>0.76896455484231097</v>
          </cell>
          <cell r="G161">
            <v>0.77909738717339672</v>
          </cell>
          <cell r="H161">
            <v>0.77848101265822789</v>
          </cell>
          <cell r="O161">
            <v>0.72453274755482466</v>
          </cell>
          <cell r="P161">
            <v>0.72462941847206386</v>
          </cell>
          <cell r="Q161">
            <v>0.72462941847206386</v>
          </cell>
          <cell r="R161">
            <v>0.72432830327567177</v>
          </cell>
          <cell r="S161">
            <v>0.73386902757061057</v>
          </cell>
          <cell r="T161">
            <v>0.73330683624801274</v>
          </cell>
          <cell r="AA161">
            <v>0.72453274755482466</v>
          </cell>
          <cell r="AB161">
            <v>0.72462941847206386</v>
          </cell>
          <cell r="AC161">
            <v>0.76928314734253833</v>
          </cell>
          <cell r="AD161">
            <v>0.76896455484231097</v>
          </cell>
          <cell r="AE161">
            <v>0.77909738717339672</v>
          </cell>
          <cell r="AF161">
            <v>0.77848101265822789</v>
          </cell>
          <cell r="AM161">
            <v>0.72919497072845385</v>
          </cell>
          <cell r="AN161">
            <v>0.72928969326033422</v>
          </cell>
          <cell r="AO161">
            <v>0.72928969326033422</v>
          </cell>
          <cell r="AP161">
            <v>0.75502050535785148</v>
          </cell>
          <cell r="AQ161">
            <v>0.73859564164648916</v>
          </cell>
          <cell r="AR161">
            <v>0.73801845046126158</v>
          </cell>
        </row>
        <row r="162">
          <cell r="D162">
            <v>87</v>
          </cell>
          <cell r="E162">
            <v>0.76928314734253833</v>
          </cell>
          <cell r="F162">
            <v>0.76896455484231097</v>
          </cell>
          <cell r="G162">
            <v>0.77909738717339672</v>
          </cell>
          <cell r="H162">
            <v>0.77848101265822789</v>
          </cell>
          <cell r="O162">
            <v>0.72453274755482466</v>
          </cell>
          <cell r="P162">
            <v>0.72462941847206386</v>
          </cell>
          <cell r="Q162">
            <v>0.72462941847206386</v>
          </cell>
          <cell r="R162">
            <v>0.72432830327567177</v>
          </cell>
          <cell r="S162">
            <v>0.73386902757061057</v>
          </cell>
          <cell r="T162">
            <v>0.73330683624801274</v>
          </cell>
          <cell r="AA162">
            <v>0.72453274755482466</v>
          </cell>
          <cell r="AB162">
            <v>0.72462941847206386</v>
          </cell>
          <cell r="AC162">
            <v>0.76928314734253833</v>
          </cell>
          <cell r="AD162">
            <v>0.76896455484231097</v>
          </cell>
          <cell r="AE162">
            <v>0.77909738717339672</v>
          </cell>
          <cell r="AF162">
            <v>0.77848101265822789</v>
          </cell>
          <cell r="AM162">
            <v>0.72919497072845385</v>
          </cell>
          <cell r="AN162">
            <v>0.72928969326033422</v>
          </cell>
          <cell r="AO162">
            <v>0.72928969326033422</v>
          </cell>
          <cell r="AP162">
            <v>0.75502050535785148</v>
          </cell>
          <cell r="AQ162">
            <v>0.73859564164648916</v>
          </cell>
          <cell r="AR162">
            <v>0.73801845046126158</v>
          </cell>
        </row>
        <row r="163">
          <cell r="D163">
            <v>88</v>
          </cell>
          <cell r="E163">
            <v>0.76928314734253833</v>
          </cell>
          <cell r="F163">
            <v>0.76896455484231097</v>
          </cell>
          <cell r="G163">
            <v>0.77909738717339672</v>
          </cell>
          <cell r="H163">
            <v>0.77848101265822789</v>
          </cell>
          <cell r="O163">
            <v>0.72453274755482466</v>
          </cell>
          <cell r="P163">
            <v>0.72462941847206386</v>
          </cell>
          <cell r="Q163">
            <v>0.72462941847206386</v>
          </cell>
          <cell r="R163">
            <v>0.72432830327567177</v>
          </cell>
          <cell r="S163">
            <v>0.73386902757061057</v>
          </cell>
          <cell r="T163">
            <v>0.73330683624801274</v>
          </cell>
          <cell r="AA163">
            <v>0.72453274755482466</v>
          </cell>
          <cell r="AB163">
            <v>0.72462941847206386</v>
          </cell>
          <cell r="AC163">
            <v>0.76928314734253833</v>
          </cell>
          <cell r="AD163">
            <v>0.76896455484231097</v>
          </cell>
          <cell r="AE163">
            <v>0.77909738717339672</v>
          </cell>
          <cell r="AF163">
            <v>0.77848101265822789</v>
          </cell>
          <cell r="AM163">
            <v>0.72919497072845385</v>
          </cell>
          <cell r="AN163">
            <v>0.72928969326033422</v>
          </cell>
          <cell r="AO163">
            <v>0.72928969326033422</v>
          </cell>
          <cell r="AP163">
            <v>0.75502050535785148</v>
          </cell>
          <cell r="AQ163">
            <v>0.73859564164648916</v>
          </cell>
          <cell r="AR163">
            <v>0.73801845046126158</v>
          </cell>
        </row>
        <row r="164">
          <cell r="D164">
            <v>89</v>
          </cell>
          <cell r="E164">
            <v>0.76928314734253833</v>
          </cell>
          <cell r="F164">
            <v>0.76896455484231097</v>
          </cell>
          <cell r="G164">
            <v>0.77909738717339672</v>
          </cell>
          <cell r="H164">
            <v>0.77848101265822789</v>
          </cell>
          <cell r="O164">
            <v>0.72453274755482466</v>
          </cell>
          <cell r="P164">
            <v>0.72462941847206386</v>
          </cell>
          <cell r="Q164">
            <v>0.72462941847206386</v>
          </cell>
          <cell r="R164">
            <v>0.72432830327567177</v>
          </cell>
          <cell r="S164">
            <v>0.73386902757061057</v>
          </cell>
          <cell r="T164">
            <v>0.73330683624801274</v>
          </cell>
          <cell r="AA164">
            <v>0.72453274755482466</v>
          </cell>
          <cell r="AB164">
            <v>0.72462941847206386</v>
          </cell>
          <cell r="AC164">
            <v>0.76928314734253833</v>
          </cell>
          <cell r="AD164">
            <v>0.76896455484231097</v>
          </cell>
          <cell r="AE164">
            <v>0.77909738717339672</v>
          </cell>
          <cell r="AF164">
            <v>0.77848101265822789</v>
          </cell>
          <cell r="AM164">
            <v>0.72919497072845385</v>
          </cell>
          <cell r="AN164">
            <v>0.72928969326033422</v>
          </cell>
          <cell r="AO164">
            <v>0.72928969326033422</v>
          </cell>
          <cell r="AP164">
            <v>0.75502050535785148</v>
          </cell>
          <cell r="AQ164">
            <v>0.73859564164648916</v>
          </cell>
          <cell r="AR164">
            <v>0.73801845046126158</v>
          </cell>
        </row>
        <row r="165">
          <cell r="D165">
            <v>90</v>
          </cell>
          <cell r="E165">
            <v>0.76928314734253833</v>
          </cell>
          <cell r="F165">
            <v>0.76896455484231097</v>
          </cell>
          <cell r="G165">
            <v>0.77909738717339672</v>
          </cell>
          <cell r="H165">
            <v>0.77848101265822789</v>
          </cell>
          <cell r="O165">
            <v>0.72453274755482466</v>
          </cell>
          <cell r="P165">
            <v>0.72462941847206386</v>
          </cell>
          <cell r="Q165">
            <v>0.72462941847206386</v>
          </cell>
          <cell r="R165">
            <v>0.72432830327567177</v>
          </cell>
          <cell r="S165">
            <v>0.73386902757061057</v>
          </cell>
          <cell r="T165">
            <v>0.73330683624801274</v>
          </cell>
          <cell r="AA165">
            <v>0.72453274755482466</v>
          </cell>
          <cell r="AB165">
            <v>0.72462941847206386</v>
          </cell>
          <cell r="AC165">
            <v>0.76928314734253833</v>
          </cell>
          <cell r="AD165">
            <v>0.76896455484231097</v>
          </cell>
          <cell r="AE165">
            <v>0.77909738717339672</v>
          </cell>
          <cell r="AF165">
            <v>0.77848101265822789</v>
          </cell>
          <cell r="AM165">
            <v>0.72919497072845385</v>
          </cell>
          <cell r="AN165">
            <v>0.72928969326033422</v>
          </cell>
          <cell r="AO165">
            <v>0.72928969326033422</v>
          </cell>
          <cell r="AP165">
            <v>0.75502050535785148</v>
          </cell>
          <cell r="AQ165">
            <v>0.73859564164648916</v>
          </cell>
          <cell r="AR165">
            <v>0.73801845046126158</v>
          </cell>
        </row>
        <row r="166">
          <cell r="D166">
            <v>91</v>
          </cell>
          <cell r="E166">
            <v>0.76928314734253833</v>
          </cell>
          <cell r="F166">
            <v>0.76896455484231097</v>
          </cell>
          <cell r="G166">
            <v>0.77909738717339672</v>
          </cell>
          <cell r="H166">
            <v>0.77848101265822789</v>
          </cell>
          <cell r="O166">
            <v>0.72453274755482466</v>
          </cell>
          <cell r="P166">
            <v>0.72462941847206386</v>
          </cell>
          <cell r="Q166">
            <v>0.72462941847206386</v>
          </cell>
          <cell r="R166">
            <v>0.72432830327567177</v>
          </cell>
          <cell r="S166">
            <v>0.73386902757061057</v>
          </cell>
          <cell r="T166">
            <v>0.73330683624801274</v>
          </cell>
          <cell r="AA166">
            <v>0.72453274755482466</v>
          </cell>
          <cell r="AB166">
            <v>0.72462941847206386</v>
          </cell>
          <cell r="AC166">
            <v>0.76928314734253833</v>
          </cell>
          <cell r="AD166">
            <v>0.76896455484231097</v>
          </cell>
          <cell r="AE166">
            <v>0.77909738717339672</v>
          </cell>
          <cell r="AF166">
            <v>0.77848101265822789</v>
          </cell>
          <cell r="AM166">
            <v>0.72919497072845385</v>
          </cell>
          <cell r="AN166">
            <v>0.72928969326033422</v>
          </cell>
          <cell r="AO166">
            <v>0.72928969326033422</v>
          </cell>
          <cell r="AP166">
            <v>0.75502050535785148</v>
          </cell>
          <cell r="AQ166">
            <v>0.73859564164648916</v>
          </cell>
          <cell r="AR166">
            <v>0.73801845046126158</v>
          </cell>
        </row>
        <row r="167">
          <cell r="D167">
            <v>92</v>
          </cell>
          <cell r="E167">
            <v>0.76928314734253833</v>
          </cell>
          <cell r="F167">
            <v>0.76896455484231097</v>
          </cell>
          <cell r="G167">
            <v>0.77909738717339672</v>
          </cell>
          <cell r="H167">
            <v>0.77848101265822789</v>
          </cell>
          <cell r="O167">
            <v>0.72453274755482466</v>
          </cell>
          <cell r="P167">
            <v>0.72462941847206386</v>
          </cell>
          <cell r="Q167">
            <v>0.72462941847206386</v>
          </cell>
          <cell r="R167">
            <v>0.72432830327567177</v>
          </cell>
          <cell r="S167">
            <v>0.73386902757061057</v>
          </cell>
          <cell r="T167">
            <v>0.73330683624801274</v>
          </cell>
          <cell r="AA167">
            <v>0.72453274755482466</v>
          </cell>
          <cell r="AB167">
            <v>0.72462941847206386</v>
          </cell>
          <cell r="AC167">
            <v>0.76928314734253833</v>
          </cell>
          <cell r="AD167">
            <v>0.76896455484231097</v>
          </cell>
          <cell r="AE167">
            <v>0.77909738717339672</v>
          </cell>
          <cell r="AF167">
            <v>0.77848101265822789</v>
          </cell>
          <cell r="AM167">
            <v>0.72919497072845385</v>
          </cell>
          <cell r="AN167">
            <v>0.72928969326033422</v>
          </cell>
          <cell r="AO167">
            <v>0.72928969326033422</v>
          </cell>
          <cell r="AP167">
            <v>0.75502050535785148</v>
          </cell>
          <cell r="AQ167">
            <v>0.73859564164648916</v>
          </cell>
          <cell r="AR167">
            <v>0.73801845046126158</v>
          </cell>
        </row>
        <row r="168">
          <cell r="D168">
            <v>93</v>
          </cell>
          <cell r="E168">
            <v>0.76928314734253833</v>
          </cell>
          <cell r="F168">
            <v>0.76896455484231097</v>
          </cell>
          <cell r="G168">
            <v>0.77909738717339672</v>
          </cell>
          <cell r="H168">
            <v>0.77848101265822789</v>
          </cell>
          <cell r="O168">
            <v>0.72453274755482466</v>
          </cell>
          <cell r="P168">
            <v>0.72462941847206386</v>
          </cell>
          <cell r="Q168">
            <v>0.72462941847206386</v>
          </cell>
          <cell r="R168">
            <v>0.72432830327567177</v>
          </cell>
          <cell r="S168">
            <v>0.73386902757061057</v>
          </cell>
          <cell r="T168">
            <v>0.73330683624801274</v>
          </cell>
          <cell r="AA168">
            <v>0.72453274755482466</v>
          </cell>
          <cell r="AB168">
            <v>0.72462941847206386</v>
          </cell>
          <cell r="AC168">
            <v>0.76928314734253833</v>
          </cell>
          <cell r="AD168">
            <v>0.76896455484231097</v>
          </cell>
          <cell r="AE168">
            <v>0.77909738717339672</v>
          </cell>
          <cell r="AF168">
            <v>0.77848101265822789</v>
          </cell>
          <cell r="AM168">
            <v>0.72919497072845385</v>
          </cell>
          <cell r="AN168">
            <v>0.72928969326033422</v>
          </cell>
          <cell r="AO168">
            <v>0.72928969326033422</v>
          </cell>
          <cell r="AP168">
            <v>0.75502050535785148</v>
          </cell>
          <cell r="AQ168">
            <v>0.73859564164648916</v>
          </cell>
          <cell r="AR168">
            <v>0.73801845046126158</v>
          </cell>
        </row>
        <row r="169">
          <cell r="D169">
            <v>94</v>
          </cell>
          <cell r="E169">
            <v>0.76928314734253833</v>
          </cell>
          <cell r="F169">
            <v>0.76896455484231097</v>
          </cell>
          <cell r="G169">
            <v>0.77909738717339672</v>
          </cell>
          <cell r="H169">
            <v>0.77848101265822789</v>
          </cell>
          <cell r="O169">
            <v>0.72453274755482466</v>
          </cell>
          <cell r="P169">
            <v>0.72462941847206386</v>
          </cell>
          <cell r="Q169">
            <v>0.72462941847206386</v>
          </cell>
          <cell r="R169">
            <v>0.72432830327567177</v>
          </cell>
          <cell r="S169">
            <v>0.73386902757061057</v>
          </cell>
          <cell r="T169">
            <v>0.73330683624801274</v>
          </cell>
          <cell r="AA169">
            <v>0.72453274755482466</v>
          </cell>
          <cell r="AB169">
            <v>0.72462941847206386</v>
          </cell>
          <cell r="AC169">
            <v>0.76928314734253833</v>
          </cell>
          <cell r="AD169">
            <v>0.76896455484231097</v>
          </cell>
          <cell r="AE169">
            <v>0.77909738717339672</v>
          </cell>
          <cell r="AF169">
            <v>0.77848101265822789</v>
          </cell>
          <cell r="AM169">
            <v>0.72919497072845385</v>
          </cell>
          <cell r="AN169">
            <v>0.72928969326033422</v>
          </cell>
          <cell r="AO169">
            <v>0.72928969326033422</v>
          </cell>
          <cell r="AP169">
            <v>0.75502050535785148</v>
          </cell>
          <cell r="AQ169">
            <v>0.73859564164648916</v>
          </cell>
          <cell r="AR169">
            <v>0.73801845046126158</v>
          </cell>
        </row>
        <row r="170">
          <cell r="D170">
            <v>95</v>
          </cell>
          <cell r="E170">
            <v>1.3076224702099486</v>
          </cell>
          <cell r="F170">
            <v>1.3080472602102526</v>
          </cell>
          <cell r="G170">
            <v>1.2945368171021376</v>
          </cell>
          <cell r="H170">
            <v>1.295358649789029</v>
          </cell>
          <cell r="O170">
            <v>1.3672896699269002</v>
          </cell>
          <cell r="P170">
            <v>1.3671607753705823</v>
          </cell>
          <cell r="Q170">
            <v>1.3671607753705823</v>
          </cell>
          <cell r="R170">
            <v>1.3675622622991039</v>
          </cell>
          <cell r="S170">
            <v>1.3548412965725196</v>
          </cell>
          <cell r="T170">
            <v>1.3555908850026503</v>
          </cell>
          <cell r="AA170">
            <v>1.3672896699269002</v>
          </cell>
          <cell r="AB170">
            <v>1.3671607753705823</v>
          </cell>
          <cell r="AC170">
            <v>1.3076224702099486</v>
          </cell>
          <cell r="AD170">
            <v>1.3080472602102526</v>
          </cell>
          <cell r="AE170">
            <v>1.2945368171021376</v>
          </cell>
          <cell r="AF170">
            <v>1.295358649789029</v>
          </cell>
          <cell r="AM170">
            <v>1.3610733723620612</v>
          </cell>
          <cell r="AN170">
            <v>1.3609470756528876</v>
          </cell>
          <cell r="AO170">
            <v>1.3609470756528876</v>
          </cell>
          <cell r="AP170">
            <v>1.3266393261895317</v>
          </cell>
          <cell r="AQ170">
            <v>1.3485391444713466</v>
          </cell>
          <cell r="AR170">
            <v>1.3493087327183177</v>
          </cell>
        </row>
        <row r="171">
          <cell r="D171">
            <v>96</v>
          </cell>
          <cell r="E171">
            <v>1.3076224702099486</v>
          </cell>
          <cell r="F171">
            <v>1.3080472602102526</v>
          </cell>
          <cell r="G171">
            <v>1.2945368171021376</v>
          </cell>
          <cell r="H171">
            <v>1.295358649789029</v>
          </cell>
          <cell r="O171">
            <v>1.3672896699269002</v>
          </cell>
          <cell r="P171">
            <v>1.3671607753705823</v>
          </cell>
          <cell r="Q171">
            <v>1.3671607753705823</v>
          </cell>
          <cell r="R171">
            <v>1.3675622622991039</v>
          </cell>
          <cell r="S171">
            <v>1.3548412965725196</v>
          </cell>
          <cell r="T171">
            <v>1.3555908850026503</v>
          </cell>
          <cell r="AA171">
            <v>1.3672896699269002</v>
          </cell>
          <cell r="AB171">
            <v>1.3671607753705823</v>
          </cell>
          <cell r="AC171">
            <v>1.3076224702099486</v>
          </cell>
          <cell r="AD171">
            <v>1.3080472602102526</v>
          </cell>
          <cell r="AE171">
            <v>1.2945368171021376</v>
          </cell>
          <cell r="AF171">
            <v>1.295358649789029</v>
          </cell>
          <cell r="AM171">
            <v>1.3610733723620612</v>
          </cell>
          <cell r="AN171">
            <v>1.3609470756528876</v>
          </cell>
          <cell r="AO171">
            <v>1.3609470756528876</v>
          </cell>
          <cell r="AP171">
            <v>1.3266393261895317</v>
          </cell>
          <cell r="AQ171">
            <v>1.3485391444713466</v>
          </cell>
          <cell r="AR171">
            <v>1.3493087327183177</v>
          </cell>
        </row>
        <row r="172">
          <cell r="D172">
            <v>97</v>
          </cell>
          <cell r="E172">
            <v>1.3076224702099486</v>
          </cell>
          <cell r="F172">
            <v>1.3080472602102526</v>
          </cell>
          <cell r="G172">
            <v>1.2945368171021376</v>
          </cell>
          <cell r="H172">
            <v>1.295358649789029</v>
          </cell>
          <cell r="O172">
            <v>1.3672896699269002</v>
          </cell>
          <cell r="P172">
            <v>1.3671607753705823</v>
          </cell>
          <cell r="Q172">
            <v>1.3671607753705823</v>
          </cell>
          <cell r="R172">
            <v>1.3675622622991039</v>
          </cell>
          <cell r="S172">
            <v>1.3548412965725196</v>
          </cell>
          <cell r="T172">
            <v>1.3555908850026503</v>
          </cell>
          <cell r="AA172">
            <v>1.3672896699269002</v>
          </cell>
          <cell r="AB172">
            <v>1.3671607753705823</v>
          </cell>
          <cell r="AC172">
            <v>1.3076224702099486</v>
          </cell>
          <cell r="AD172">
            <v>1.3080472602102526</v>
          </cell>
          <cell r="AE172">
            <v>1.2945368171021376</v>
          </cell>
          <cell r="AF172">
            <v>1.295358649789029</v>
          </cell>
          <cell r="AM172">
            <v>1.3610733723620612</v>
          </cell>
          <cell r="AN172">
            <v>1.3609470756528876</v>
          </cell>
          <cell r="AO172">
            <v>1.3609470756528876</v>
          </cell>
          <cell r="AP172">
            <v>1.3266393261895317</v>
          </cell>
          <cell r="AQ172">
            <v>1.3485391444713466</v>
          </cell>
          <cell r="AR172">
            <v>1.3493087327183177</v>
          </cell>
        </row>
        <row r="173">
          <cell r="D173">
            <v>98</v>
          </cell>
          <cell r="E173">
            <v>1.3076224702099486</v>
          </cell>
          <cell r="F173">
            <v>1.3080472602102526</v>
          </cell>
          <cell r="G173">
            <v>1.2945368171021376</v>
          </cell>
          <cell r="H173">
            <v>1.295358649789029</v>
          </cell>
          <cell r="O173">
            <v>1.3672896699269002</v>
          </cell>
          <cell r="P173">
            <v>1.3671607753705823</v>
          </cell>
          <cell r="Q173">
            <v>1.3671607753705823</v>
          </cell>
          <cell r="R173">
            <v>1.3675622622991039</v>
          </cell>
          <cell r="S173">
            <v>1.3548412965725196</v>
          </cell>
          <cell r="T173">
            <v>1.3555908850026503</v>
          </cell>
          <cell r="AA173">
            <v>1.3672896699269002</v>
          </cell>
          <cell r="AB173">
            <v>1.3671607753705823</v>
          </cell>
          <cell r="AC173">
            <v>1.3076224702099486</v>
          </cell>
          <cell r="AD173">
            <v>1.3080472602102526</v>
          </cell>
          <cell r="AE173">
            <v>1.2945368171021376</v>
          </cell>
          <cell r="AF173">
            <v>1.295358649789029</v>
          </cell>
          <cell r="AM173">
            <v>1.3610733723620612</v>
          </cell>
          <cell r="AN173">
            <v>1.3609470756528876</v>
          </cell>
          <cell r="AO173">
            <v>1.3609470756528876</v>
          </cell>
          <cell r="AP173">
            <v>1.3266393261895317</v>
          </cell>
          <cell r="AQ173">
            <v>1.3485391444713466</v>
          </cell>
          <cell r="AR173">
            <v>1.3493087327183177</v>
          </cell>
        </row>
        <row r="174">
          <cell r="D174">
            <v>99</v>
          </cell>
          <cell r="E174">
            <v>1.3076224702099486</v>
          </cell>
          <cell r="F174">
            <v>1.3080472602102526</v>
          </cell>
          <cell r="G174">
            <v>1.2945368171021376</v>
          </cell>
          <cell r="H174">
            <v>1.295358649789029</v>
          </cell>
          <cell r="O174">
            <v>1.3672896699269002</v>
          </cell>
          <cell r="P174">
            <v>1.3671607753705823</v>
          </cell>
          <cell r="Q174">
            <v>1.3671607753705823</v>
          </cell>
          <cell r="R174">
            <v>1.3675622622991039</v>
          </cell>
          <cell r="S174">
            <v>1.3548412965725196</v>
          </cell>
          <cell r="T174">
            <v>1.3555908850026503</v>
          </cell>
          <cell r="AA174">
            <v>1.3672896699269002</v>
          </cell>
          <cell r="AB174">
            <v>1.3671607753705823</v>
          </cell>
          <cell r="AC174">
            <v>1.3076224702099486</v>
          </cell>
          <cell r="AD174">
            <v>1.3080472602102526</v>
          </cell>
          <cell r="AE174">
            <v>1.2945368171021376</v>
          </cell>
          <cell r="AF174">
            <v>1.295358649789029</v>
          </cell>
          <cell r="AM174">
            <v>1.3610733723620612</v>
          </cell>
          <cell r="AN174">
            <v>1.3609470756528876</v>
          </cell>
          <cell r="AO174">
            <v>1.3609470756528876</v>
          </cell>
          <cell r="AP174">
            <v>1.3266393261895317</v>
          </cell>
          <cell r="AQ174">
            <v>1.3485391444713466</v>
          </cell>
          <cell r="AR174">
            <v>1.3493087327183177</v>
          </cell>
        </row>
        <row r="175">
          <cell r="D175">
            <v>100</v>
          </cell>
          <cell r="E175">
            <v>1.3076224702099486</v>
          </cell>
          <cell r="F175">
            <v>1.3080472602102526</v>
          </cell>
          <cell r="G175">
            <v>1.2945368171021376</v>
          </cell>
          <cell r="H175">
            <v>1.295358649789029</v>
          </cell>
          <cell r="O175">
            <v>1.3672896699269002</v>
          </cell>
          <cell r="P175">
            <v>1.3671607753705823</v>
          </cell>
          <cell r="Q175">
            <v>1.3671607753705823</v>
          </cell>
          <cell r="R175">
            <v>1.3675622622991039</v>
          </cell>
          <cell r="S175">
            <v>1.3548412965725196</v>
          </cell>
          <cell r="T175">
            <v>1.3555908850026503</v>
          </cell>
          <cell r="AA175">
            <v>1.3672896699269002</v>
          </cell>
          <cell r="AB175">
            <v>1.3671607753705823</v>
          </cell>
          <cell r="AC175">
            <v>1.3076224702099486</v>
          </cell>
          <cell r="AD175">
            <v>1.3080472602102526</v>
          </cell>
          <cell r="AE175">
            <v>1.2945368171021376</v>
          </cell>
          <cell r="AF175">
            <v>1.295358649789029</v>
          </cell>
          <cell r="AM175">
            <v>1.3610733723620612</v>
          </cell>
          <cell r="AN175">
            <v>1.3609470756528876</v>
          </cell>
          <cell r="AO175">
            <v>1.3609470756528876</v>
          </cell>
          <cell r="AP175">
            <v>1.3266393261895317</v>
          </cell>
          <cell r="AQ175">
            <v>1.3485391444713466</v>
          </cell>
          <cell r="AR175">
            <v>1.3493087327183177</v>
          </cell>
        </row>
        <row r="176">
          <cell r="D176">
            <v>101</v>
          </cell>
          <cell r="E176">
            <v>1.3076224702099486</v>
          </cell>
          <cell r="F176">
            <v>1.3080472602102526</v>
          </cell>
          <cell r="G176">
            <v>1.2945368171021376</v>
          </cell>
          <cell r="H176">
            <v>1.295358649789029</v>
          </cell>
          <cell r="O176">
            <v>1.3672896699269002</v>
          </cell>
          <cell r="P176">
            <v>1.3671607753705823</v>
          </cell>
          <cell r="Q176">
            <v>1.3671607753705823</v>
          </cell>
          <cell r="R176">
            <v>1.3675622622991039</v>
          </cell>
          <cell r="S176">
            <v>1.3548412965725196</v>
          </cell>
          <cell r="T176">
            <v>1.3555908850026503</v>
          </cell>
          <cell r="AA176">
            <v>1.3672896699269002</v>
          </cell>
          <cell r="AB176">
            <v>1.3671607753705823</v>
          </cell>
          <cell r="AC176">
            <v>1.3076224702099486</v>
          </cell>
          <cell r="AD176">
            <v>1.3080472602102526</v>
          </cell>
          <cell r="AE176">
            <v>1.2945368171021376</v>
          </cell>
          <cell r="AF176">
            <v>1.295358649789029</v>
          </cell>
          <cell r="AM176">
            <v>1.3610733723620612</v>
          </cell>
          <cell r="AN176">
            <v>1.3609470756528876</v>
          </cell>
          <cell r="AO176">
            <v>1.3609470756528876</v>
          </cell>
          <cell r="AP176">
            <v>1.3266393261895317</v>
          </cell>
          <cell r="AQ176">
            <v>1.3485391444713466</v>
          </cell>
          <cell r="AR176">
            <v>1.3493087327183177</v>
          </cell>
        </row>
        <row r="177">
          <cell r="D177">
            <v>102</v>
          </cell>
          <cell r="E177">
            <v>1.3076224702099486</v>
          </cell>
          <cell r="F177">
            <v>1.3080472602102526</v>
          </cell>
          <cell r="G177">
            <v>1.2945368171021376</v>
          </cell>
          <cell r="H177">
            <v>1.295358649789029</v>
          </cell>
          <cell r="O177">
            <v>1.3672896699269002</v>
          </cell>
          <cell r="P177">
            <v>1.3671607753705823</v>
          </cell>
          <cell r="Q177">
            <v>1.3671607753705823</v>
          </cell>
          <cell r="R177">
            <v>1.3675622622991039</v>
          </cell>
          <cell r="S177">
            <v>1.3548412965725196</v>
          </cell>
          <cell r="T177">
            <v>1.3555908850026503</v>
          </cell>
          <cell r="AA177">
            <v>1.3672896699269002</v>
          </cell>
          <cell r="AB177">
            <v>1.3671607753705823</v>
          </cell>
          <cell r="AC177">
            <v>1.3076224702099486</v>
          </cell>
          <cell r="AD177">
            <v>1.3080472602102526</v>
          </cell>
          <cell r="AE177">
            <v>1.2945368171021376</v>
          </cell>
          <cell r="AF177">
            <v>1.295358649789029</v>
          </cell>
          <cell r="AM177">
            <v>1.3610733723620612</v>
          </cell>
          <cell r="AN177">
            <v>1.3609470756528876</v>
          </cell>
          <cell r="AO177">
            <v>1.3609470756528876</v>
          </cell>
          <cell r="AP177">
            <v>1.3266393261895317</v>
          </cell>
          <cell r="AQ177">
            <v>1.3485391444713466</v>
          </cell>
          <cell r="AR177">
            <v>1.3493087327183177</v>
          </cell>
        </row>
        <row r="178">
          <cell r="D178">
            <v>103</v>
          </cell>
          <cell r="E178">
            <v>0.76928314734253833</v>
          </cell>
          <cell r="F178">
            <v>0.76896455484231097</v>
          </cell>
          <cell r="G178">
            <v>0.77909738717339672</v>
          </cell>
          <cell r="H178">
            <v>0.77848101265822789</v>
          </cell>
          <cell r="O178">
            <v>0.72453274755482466</v>
          </cell>
          <cell r="P178">
            <v>0.72462941847206386</v>
          </cell>
          <cell r="Q178">
            <v>0.72462941847206386</v>
          </cell>
          <cell r="R178">
            <v>0.72432830327567177</v>
          </cell>
          <cell r="S178">
            <v>0.73386902757061057</v>
          </cell>
          <cell r="T178">
            <v>0.73330683624801274</v>
          </cell>
          <cell r="AA178">
            <v>0.72453274755482466</v>
          </cell>
          <cell r="AB178">
            <v>0.72462941847206386</v>
          </cell>
          <cell r="AC178">
            <v>0.76928314734253833</v>
          </cell>
          <cell r="AD178">
            <v>0.76896455484231097</v>
          </cell>
          <cell r="AE178">
            <v>0.77909738717339672</v>
          </cell>
          <cell r="AF178">
            <v>0.77848101265822789</v>
          </cell>
          <cell r="AM178">
            <v>0.72919497072845385</v>
          </cell>
          <cell r="AN178">
            <v>0.72928969326033422</v>
          </cell>
          <cell r="AO178">
            <v>0.72928969326033422</v>
          </cell>
          <cell r="AP178">
            <v>0.75502050535785148</v>
          </cell>
          <cell r="AQ178">
            <v>0.73859564164648916</v>
          </cell>
          <cell r="AR178">
            <v>0.73801845046126158</v>
          </cell>
        </row>
        <row r="179">
          <cell r="D179">
            <v>104</v>
          </cell>
          <cell r="E179">
            <v>0.76928314734253833</v>
          </cell>
          <cell r="F179">
            <v>0.76896455484231097</v>
          </cell>
          <cell r="G179">
            <v>0.77909738717339672</v>
          </cell>
          <cell r="H179">
            <v>0.77848101265822789</v>
          </cell>
          <cell r="O179">
            <v>0.72453274755482466</v>
          </cell>
          <cell r="P179">
            <v>0.72462941847206386</v>
          </cell>
          <cell r="Q179">
            <v>0.72462941847206386</v>
          </cell>
          <cell r="R179">
            <v>0.72432830327567177</v>
          </cell>
          <cell r="S179">
            <v>0.73386902757061057</v>
          </cell>
          <cell r="T179">
            <v>0.73330683624801274</v>
          </cell>
          <cell r="AA179">
            <v>0.72453274755482466</v>
          </cell>
          <cell r="AB179">
            <v>0.72462941847206386</v>
          </cell>
          <cell r="AC179">
            <v>0.76928314734253833</v>
          </cell>
          <cell r="AD179">
            <v>0.76896455484231097</v>
          </cell>
          <cell r="AE179">
            <v>0.77909738717339672</v>
          </cell>
          <cell r="AF179">
            <v>0.77848101265822789</v>
          </cell>
          <cell r="AM179">
            <v>0.72919497072845385</v>
          </cell>
          <cell r="AN179">
            <v>0.72928969326033422</v>
          </cell>
          <cell r="AO179">
            <v>0.72928969326033422</v>
          </cell>
          <cell r="AP179">
            <v>0.75502050535785148</v>
          </cell>
          <cell r="AQ179">
            <v>0.73859564164648916</v>
          </cell>
          <cell r="AR179">
            <v>0.73801845046126158</v>
          </cell>
        </row>
        <row r="180">
          <cell r="D180">
            <v>105</v>
          </cell>
          <cell r="E180">
            <v>0.76928314734253833</v>
          </cell>
          <cell r="F180">
            <v>0.76896455484231097</v>
          </cell>
          <cell r="G180">
            <v>0.77909738717339672</v>
          </cell>
          <cell r="H180">
            <v>0.77848101265822789</v>
          </cell>
          <cell r="O180">
            <v>0.72453274755482466</v>
          </cell>
          <cell r="P180">
            <v>0.72462941847206386</v>
          </cell>
          <cell r="Q180">
            <v>0.72462941847206386</v>
          </cell>
          <cell r="R180">
            <v>0.72432830327567177</v>
          </cell>
          <cell r="S180">
            <v>0.73386902757061057</v>
          </cell>
          <cell r="T180">
            <v>0.73330683624801274</v>
          </cell>
          <cell r="AA180">
            <v>0.72453274755482466</v>
          </cell>
          <cell r="AB180">
            <v>0.72462941847206386</v>
          </cell>
          <cell r="AC180">
            <v>0.76928314734253833</v>
          </cell>
          <cell r="AD180">
            <v>0.76896455484231097</v>
          </cell>
          <cell r="AE180">
            <v>0.77909738717339672</v>
          </cell>
          <cell r="AF180">
            <v>0.77848101265822789</v>
          </cell>
          <cell r="AM180">
            <v>0.72919497072845385</v>
          </cell>
          <cell r="AN180">
            <v>0.72928969326033422</v>
          </cell>
          <cell r="AO180">
            <v>0.72928969326033422</v>
          </cell>
          <cell r="AP180">
            <v>0.75502050535785148</v>
          </cell>
          <cell r="AQ180">
            <v>0.73859564164648916</v>
          </cell>
          <cell r="AR180">
            <v>0.73801845046126158</v>
          </cell>
        </row>
        <row r="181">
          <cell r="D181">
            <v>106</v>
          </cell>
          <cell r="E181">
            <v>0.76928314734253833</v>
          </cell>
          <cell r="F181">
            <v>0.76896455484231097</v>
          </cell>
          <cell r="G181">
            <v>0.77909738717339672</v>
          </cell>
          <cell r="H181">
            <v>0.77848101265822789</v>
          </cell>
          <cell r="O181">
            <v>0.72453274755482466</v>
          </cell>
          <cell r="P181">
            <v>0.72462941847206386</v>
          </cell>
          <cell r="Q181">
            <v>0.72462941847206386</v>
          </cell>
          <cell r="R181">
            <v>0.72432830327567177</v>
          </cell>
          <cell r="S181">
            <v>0.73386902757061057</v>
          </cell>
          <cell r="T181">
            <v>0.73330683624801274</v>
          </cell>
          <cell r="AA181">
            <v>0.72453274755482466</v>
          </cell>
          <cell r="AB181">
            <v>0.72462941847206386</v>
          </cell>
          <cell r="AC181">
            <v>0.76928314734253833</v>
          </cell>
          <cell r="AD181">
            <v>0.76896455484231097</v>
          </cell>
          <cell r="AE181">
            <v>0.77909738717339672</v>
          </cell>
          <cell r="AF181">
            <v>0.77848101265822789</v>
          </cell>
          <cell r="AM181">
            <v>0.72919497072845385</v>
          </cell>
          <cell r="AN181">
            <v>0.72928969326033422</v>
          </cell>
          <cell r="AO181">
            <v>0.72928969326033422</v>
          </cell>
          <cell r="AP181">
            <v>0.75502050535785148</v>
          </cell>
          <cell r="AQ181">
            <v>0.73859564164648916</v>
          </cell>
          <cell r="AR181">
            <v>0.73801845046126158</v>
          </cell>
        </row>
        <row r="182">
          <cell r="D182">
            <v>107</v>
          </cell>
          <cell r="E182">
            <v>0.76928314734253833</v>
          </cell>
          <cell r="F182">
            <v>0.76896455484231097</v>
          </cell>
          <cell r="G182">
            <v>0.77909738717339672</v>
          </cell>
          <cell r="H182">
            <v>0.77848101265822789</v>
          </cell>
          <cell r="O182">
            <v>0.72453274755482466</v>
          </cell>
          <cell r="P182">
            <v>0.72462941847206386</v>
          </cell>
          <cell r="Q182">
            <v>0.72462941847206386</v>
          </cell>
          <cell r="R182">
            <v>0.72432830327567177</v>
          </cell>
          <cell r="S182">
            <v>0.73386902757061057</v>
          </cell>
          <cell r="T182">
            <v>0.73330683624801274</v>
          </cell>
          <cell r="AA182">
            <v>0.72453274755482466</v>
          </cell>
          <cell r="AB182">
            <v>0.72462941847206386</v>
          </cell>
          <cell r="AC182">
            <v>0.76928314734253833</v>
          </cell>
          <cell r="AD182">
            <v>0.76896455484231097</v>
          </cell>
          <cell r="AE182">
            <v>0.77909738717339672</v>
          </cell>
          <cell r="AF182">
            <v>0.77848101265822789</v>
          </cell>
          <cell r="AM182">
            <v>0.72919497072845385</v>
          </cell>
          <cell r="AN182">
            <v>0.72928969326033422</v>
          </cell>
          <cell r="AO182">
            <v>0.72928969326033422</v>
          </cell>
          <cell r="AP182">
            <v>0.75502050535785148</v>
          </cell>
          <cell r="AQ182">
            <v>0.73859564164648916</v>
          </cell>
          <cell r="AR182">
            <v>0.73801845046126158</v>
          </cell>
        </row>
        <row r="183">
          <cell r="D183">
            <v>108</v>
          </cell>
          <cell r="E183">
            <v>0.76928314734253833</v>
          </cell>
          <cell r="F183">
            <v>0.76896455484231097</v>
          </cell>
          <cell r="G183">
            <v>0.77909738717339672</v>
          </cell>
          <cell r="H183">
            <v>0.77848101265822789</v>
          </cell>
          <cell r="O183">
            <v>0.72453274755482466</v>
          </cell>
          <cell r="P183">
            <v>0.72462941847206386</v>
          </cell>
          <cell r="Q183">
            <v>0.72462941847206386</v>
          </cell>
          <cell r="R183">
            <v>0.72432830327567177</v>
          </cell>
          <cell r="S183">
            <v>0.73386902757061057</v>
          </cell>
          <cell r="T183">
            <v>0.73330683624801274</v>
          </cell>
          <cell r="AA183">
            <v>0.72453274755482466</v>
          </cell>
          <cell r="AB183">
            <v>0.72462941847206386</v>
          </cell>
          <cell r="AC183">
            <v>0.76928314734253833</v>
          </cell>
          <cell r="AD183">
            <v>0.76896455484231097</v>
          </cell>
          <cell r="AE183">
            <v>0.77909738717339672</v>
          </cell>
          <cell r="AF183">
            <v>0.77848101265822789</v>
          </cell>
          <cell r="AM183">
            <v>0.72919497072845385</v>
          </cell>
          <cell r="AN183">
            <v>0.72928969326033422</v>
          </cell>
          <cell r="AO183">
            <v>0.72928969326033422</v>
          </cell>
          <cell r="AP183">
            <v>0.75502050535785148</v>
          </cell>
          <cell r="AQ183">
            <v>0.73859564164648916</v>
          </cell>
          <cell r="AR183">
            <v>0.73801845046126158</v>
          </cell>
        </row>
        <row r="184">
          <cell r="D184">
            <v>109</v>
          </cell>
          <cell r="E184">
            <v>0.76928314734253833</v>
          </cell>
          <cell r="F184">
            <v>0.76896455484231097</v>
          </cell>
          <cell r="G184">
            <v>0.77909738717339672</v>
          </cell>
          <cell r="H184">
            <v>0.77848101265822789</v>
          </cell>
          <cell r="O184">
            <v>0.72453274755482466</v>
          </cell>
          <cell r="P184">
            <v>0.72462941847206386</v>
          </cell>
          <cell r="Q184">
            <v>0.72462941847206386</v>
          </cell>
          <cell r="R184">
            <v>0.72432830327567177</v>
          </cell>
          <cell r="S184">
            <v>0.73386902757061057</v>
          </cell>
          <cell r="T184">
            <v>0.73330683624801274</v>
          </cell>
          <cell r="AA184">
            <v>0.72453274755482466</v>
          </cell>
          <cell r="AB184">
            <v>0.72462941847206386</v>
          </cell>
          <cell r="AC184">
            <v>0.76928314734253833</v>
          </cell>
          <cell r="AD184">
            <v>0.76896455484231097</v>
          </cell>
          <cell r="AE184">
            <v>0.77909738717339672</v>
          </cell>
          <cell r="AF184">
            <v>0.77848101265822789</v>
          </cell>
          <cell r="AM184">
            <v>0.72919497072845385</v>
          </cell>
          <cell r="AN184">
            <v>0.72928969326033422</v>
          </cell>
          <cell r="AO184">
            <v>0.72928969326033422</v>
          </cell>
          <cell r="AP184">
            <v>0.75502050535785148</v>
          </cell>
          <cell r="AQ184">
            <v>0.73859564164648916</v>
          </cell>
          <cell r="AR184">
            <v>0.73801845046126158</v>
          </cell>
        </row>
        <row r="185">
          <cell r="D185">
            <v>110</v>
          </cell>
          <cell r="E185">
            <v>0.76928314734253833</v>
          </cell>
          <cell r="F185">
            <v>0.76896455484231097</v>
          </cell>
          <cell r="G185">
            <v>0.77909738717339672</v>
          </cell>
          <cell r="H185">
            <v>0.77848101265822789</v>
          </cell>
          <cell r="O185">
            <v>0.72453274755482466</v>
          </cell>
          <cell r="P185">
            <v>0.72462941847206386</v>
          </cell>
          <cell r="Q185">
            <v>0.72462941847206386</v>
          </cell>
          <cell r="R185">
            <v>0.72432830327567177</v>
          </cell>
          <cell r="S185">
            <v>0.73386902757061057</v>
          </cell>
          <cell r="T185">
            <v>0.73330683624801274</v>
          </cell>
          <cell r="AA185">
            <v>0.72453274755482466</v>
          </cell>
          <cell r="AB185">
            <v>0.72462941847206386</v>
          </cell>
          <cell r="AC185">
            <v>0.76928314734253833</v>
          </cell>
          <cell r="AD185">
            <v>0.76896455484231097</v>
          </cell>
          <cell r="AE185">
            <v>0.77909738717339672</v>
          </cell>
          <cell r="AF185">
            <v>0.77848101265822789</v>
          </cell>
          <cell r="AM185">
            <v>0.72919497072845385</v>
          </cell>
          <cell r="AN185">
            <v>0.72928969326033422</v>
          </cell>
          <cell r="AO185">
            <v>0.72928969326033422</v>
          </cell>
          <cell r="AP185">
            <v>0.75502050535785148</v>
          </cell>
          <cell r="AQ185">
            <v>0.73859564164648916</v>
          </cell>
          <cell r="AR185">
            <v>0.73801845046126158</v>
          </cell>
        </row>
        <row r="186">
          <cell r="D186">
            <v>111</v>
          </cell>
          <cell r="E186">
            <v>0.76928314734253833</v>
          </cell>
          <cell r="F186">
            <v>0.76896455484231097</v>
          </cell>
          <cell r="G186">
            <v>0.77909738717339672</v>
          </cell>
          <cell r="H186">
            <v>0.77848101265822789</v>
          </cell>
          <cell r="O186">
            <v>0.72453274755482466</v>
          </cell>
          <cell r="P186">
            <v>0.72462941847206386</v>
          </cell>
          <cell r="Q186">
            <v>0.72462941847206386</v>
          </cell>
          <cell r="R186">
            <v>0.72432830327567177</v>
          </cell>
          <cell r="S186">
            <v>0.73386902757061057</v>
          </cell>
          <cell r="T186">
            <v>0.73330683624801274</v>
          </cell>
          <cell r="AA186">
            <v>0.72453274755482466</v>
          </cell>
          <cell r="AB186">
            <v>0.72462941847206386</v>
          </cell>
          <cell r="AC186">
            <v>0.76928314734253833</v>
          </cell>
          <cell r="AD186">
            <v>0.76896455484231097</v>
          </cell>
          <cell r="AE186">
            <v>0.77909738717339672</v>
          </cell>
          <cell r="AF186">
            <v>0.77848101265822789</v>
          </cell>
          <cell r="AM186">
            <v>0.72919497072845385</v>
          </cell>
          <cell r="AN186">
            <v>0.72928969326033422</v>
          </cell>
          <cell r="AO186">
            <v>0.72928969326033422</v>
          </cell>
          <cell r="AP186">
            <v>0.75502050535785148</v>
          </cell>
          <cell r="AQ186">
            <v>0.73859564164648916</v>
          </cell>
          <cell r="AR186">
            <v>0.73801845046126158</v>
          </cell>
        </row>
        <row r="187">
          <cell r="D187">
            <v>112</v>
          </cell>
          <cell r="E187">
            <v>0.76928314734253833</v>
          </cell>
          <cell r="F187">
            <v>0.76896455484231097</v>
          </cell>
          <cell r="G187">
            <v>0.77909738717339672</v>
          </cell>
          <cell r="H187">
            <v>0.77848101265822789</v>
          </cell>
          <cell r="O187">
            <v>0.72453274755482466</v>
          </cell>
          <cell r="P187">
            <v>0.72462941847206386</v>
          </cell>
          <cell r="Q187">
            <v>0.72462941847206386</v>
          </cell>
          <cell r="R187">
            <v>0.72432830327567177</v>
          </cell>
          <cell r="S187">
            <v>0.73386902757061057</v>
          </cell>
          <cell r="T187">
            <v>0.73330683624801274</v>
          </cell>
          <cell r="AA187">
            <v>0.72453274755482466</v>
          </cell>
          <cell r="AB187">
            <v>0.72462941847206386</v>
          </cell>
          <cell r="AC187">
            <v>0.76928314734253833</v>
          </cell>
          <cell r="AD187">
            <v>0.76896455484231097</v>
          </cell>
          <cell r="AE187">
            <v>0.77909738717339672</v>
          </cell>
          <cell r="AF187">
            <v>0.77848101265822789</v>
          </cell>
          <cell r="AM187">
            <v>0.72919497072845385</v>
          </cell>
          <cell r="AN187">
            <v>0.72928969326033422</v>
          </cell>
          <cell r="AO187">
            <v>0.72928969326033422</v>
          </cell>
          <cell r="AP187">
            <v>0.75502050535785148</v>
          </cell>
          <cell r="AQ187">
            <v>0.73859564164648916</v>
          </cell>
          <cell r="AR187">
            <v>0.73801845046126158</v>
          </cell>
        </row>
        <row r="188">
          <cell r="D188">
            <v>113</v>
          </cell>
          <cell r="E188">
            <v>0.76928314734253833</v>
          </cell>
          <cell r="F188">
            <v>0.76896455484231097</v>
          </cell>
          <cell r="G188">
            <v>0.77909738717339672</v>
          </cell>
          <cell r="H188">
            <v>0.77848101265822789</v>
          </cell>
          <cell r="O188">
            <v>0.72453274755482466</v>
          </cell>
          <cell r="P188">
            <v>0.72462941847206386</v>
          </cell>
          <cell r="Q188">
            <v>0.72462941847206386</v>
          </cell>
          <cell r="R188">
            <v>0.72432830327567177</v>
          </cell>
          <cell r="S188">
            <v>0.73386902757061057</v>
          </cell>
          <cell r="T188">
            <v>0.73330683624801274</v>
          </cell>
          <cell r="AA188">
            <v>0.72453274755482466</v>
          </cell>
          <cell r="AB188">
            <v>0.72462941847206386</v>
          </cell>
          <cell r="AC188">
            <v>0.76928314734253833</v>
          </cell>
          <cell r="AD188">
            <v>0.76896455484231097</v>
          </cell>
          <cell r="AE188">
            <v>0.77909738717339672</v>
          </cell>
          <cell r="AF188">
            <v>0.77848101265822789</v>
          </cell>
          <cell r="AM188">
            <v>0.72919497072845385</v>
          </cell>
          <cell r="AN188">
            <v>0.72928969326033422</v>
          </cell>
          <cell r="AO188">
            <v>0.72928969326033422</v>
          </cell>
          <cell r="AP188">
            <v>0.75502050535785148</v>
          </cell>
          <cell r="AQ188">
            <v>0.73859564164648916</v>
          </cell>
          <cell r="AR188">
            <v>0.73801845046126158</v>
          </cell>
        </row>
        <row r="189">
          <cell r="D189">
            <v>114</v>
          </cell>
          <cell r="E189">
            <v>0.76928314734253833</v>
          </cell>
          <cell r="F189">
            <v>0.76896455484231097</v>
          </cell>
          <cell r="G189">
            <v>0.77909738717339672</v>
          </cell>
          <cell r="H189">
            <v>0.77848101265822789</v>
          </cell>
          <cell r="O189">
            <v>0.72453274755482466</v>
          </cell>
          <cell r="P189">
            <v>0.72462941847206386</v>
          </cell>
          <cell r="Q189">
            <v>0.72462941847206386</v>
          </cell>
          <cell r="R189">
            <v>0.72432830327567177</v>
          </cell>
          <cell r="S189">
            <v>0.73386902757061057</v>
          </cell>
          <cell r="T189">
            <v>0.73330683624801274</v>
          </cell>
          <cell r="AA189">
            <v>0.72453274755482466</v>
          </cell>
          <cell r="AB189">
            <v>0.72462941847206386</v>
          </cell>
          <cell r="AC189">
            <v>0.76928314734253833</v>
          </cell>
          <cell r="AD189">
            <v>0.76896455484231097</v>
          </cell>
          <cell r="AE189">
            <v>0.77909738717339672</v>
          </cell>
          <cell r="AF189">
            <v>0.77848101265822789</v>
          </cell>
          <cell r="AM189">
            <v>0.72919497072845385</v>
          </cell>
          <cell r="AN189">
            <v>0.72928969326033422</v>
          </cell>
          <cell r="AO189">
            <v>0.72928969326033422</v>
          </cell>
          <cell r="AP189">
            <v>0.75502050535785148</v>
          </cell>
          <cell r="AQ189">
            <v>0.73859564164648916</v>
          </cell>
          <cell r="AR189">
            <v>0.73801845046126158</v>
          </cell>
        </row>
        <row r="190">
          <cell r="D190">
            <v>115</v>
          </cell>
          <cell r="E190">
            <v>0.76928314734253833</v>
          </cell>
          <cell r="F190">
            <v>0.76896455484231097</v>
          </cell>
          <cell r="G190">
            <v>0.77909738717339672</v>
          </cell>
          <cell r="H190">
            <v>0.77848101265822789</v>
          </cell>
          <cell r="O190">
            <v>0.72453274755482466</v>
          </cell>
          <cell r="P190">
            <v>0.72462941847206386</v>
          </cell>
          <cell r="Q190">
            <v>0.72462941847206386</v>
          </cell>
          <cell r="R190">
            <v>0.72432830327567177</v>
          </cell>
          <cell r="S190">
            <v>0.73386902757061057</v>
          </cell>
          <cell r="T190">
            <v>0.73330683624801274</v>
          </cell>
          <cell r="AA190">
            <v>0.72453274755482466</v>
          </cell>
          <cell r="AB190">
            <v>0.72462941847206386</v>
          </cell>
          <cell r="AC190">
            <v>0.76928314734253833</v>
          </cell>
          <cell r="AD190">
            <v>0.76896455484231097</v>
          </cell>
          <cell r="AE190">
            <v>0.77909738717339672</v>
          </cell>
          <cell r="AF190">
            <v>0.77848101265822789</v>
          </cell>
          <cell r="AM190">
            <v>0.72919497072845385</v>
          </cell>
          <cell r="AN190">
            <v>0.72928969326033422</v>
          </cell>
          <cell r="AO190">
            <v>0.72928969326033422</v>
          </cell>
          <cell r="AP190">
            <v>0.75502050535785148</v>
          </cell>
          <cell r="AQ190">
            <v>0.73859564164648916</v>
          </cell>
          <cell r="AR190">
            <v>0.73801845046126158</v>
          </cell>
        </row>
        <row r="191">
          <cell r="D191">
            <v>116</v>
          </cell>
          <cell r="E191">
            <v>0.76928314734253833</v>
          </cell>
          <cell r="F191">
            <v>0.76896455484231097</v>
          </cell>
          <cell r="G191">
            <v>0.77909738717339672</v>
          </cell>
          <cell r="H191">
            <v>0.77848101265822789</v>
          </cell>
          <cell r="O191">
            <v>0.72453274755482466</v>
          </cell>
          <cell r="P191">
            <v>0.72462941847206386</v>
          </cell>
          <cell r="Q191">
            <v>0.72462941847206386</v>
          </cell>
          <cell r="R191">
            <v>0.72432830327567177</v>
          </cell>
          <cell r="S191">
            <v>0.73386902757061057</v>
          </cell>
          <cell r="T191">
            <v>0.73330683624801274</v>
          </cell>
          <cell r="AA191">
            <v>0.72453274755482466</v>
          </cell>
          <cell r="AB191">
            <v>0.72462941847206386</v>
          </cell>
          <cell r="AC191">
            <v>0.76928314734253833</v>
          </cell>
          <cell r="AD191">
            <v>0.76896455484231097</v>
          </cell>
          <cell r="AE191">
            <v>0.77909738717339672</v>
          </cell>
          <cell r="AF191">
            <v>0.77848101265822789</v>
          </cell>
          <cell r="AM191">
            <v>0.72919497072845385</v>
          </cell>
          <cell r="AN191">
            <v>0.72928969326033422</v>
          </cell>
          <cell r="AO191">
            <v>0.72928969326033422</v>
          </cell>
          <cell r="AP191">
            <v>0.75502050535785148</v>
          </cell>
          <cell r="AQ191">
            <v>0.73859564164648916</v>
          </cell>
          <cell r="AR191">
            <v>0.73801845046126158</v>
          </cell>
        </row>
        <row r="192">
          <cell r="D192">
            <v>117</v>
          </cell>
          <cell r="E192">
            <v>0.76928314734253833</v>
          </cell>
          <cell r="F192">
            <v>0.76896455484231097</v>
          </cell>
          <cell r="G192">
            <v>0.77909738717339672</v>
          </cell>
          <cell r="H192">
            <v>0.77848101265822789</v>
          </cell>
          <cell r="O192">
            <v>0.72453274755482466</v>
          </cell>
          <cell r="P192">
            <v>0.72462941847206386</v>
          </cell>
          <cell r="Q192">
            <v>0.72462941847206386</v>
          </cell>
          <cell r="R192">
            <v>0.72432830327567177</v>
          </cell>
          <cell r="S192">
            <v>0.73386902757061057</v>
          </cell>
          <cell r="T192">
            <v>0.73330683624801274</v>
          </cell>
          <cell r="AA192">
            <v>0.72453274755482466</v>
          </cell>
          <cell r="AB192">
            <v>0.72462941847206386</v>
          </cell>
          <cell r="AC192">
            <v>0.76928314734253833</v>
          </cell>
          <cell r="AD192">
            <v>0.76896455484231097</v>
          </cell>
          <cell r="AE192">
            <v>0.77909738717339672</v>
          </cell>
          <cell r="AF192">
            <v>0.77848101265822789</v>
          </cell>
          <cell r="AM192">
            <v>0.72919497072845385</v>
          </cell>
          <cell r="AN192">
            <v>0.72928969326033422</v>
          </cell>
          <cell r="AO192">
            <v>0.72928969326033422</v>
          </cell>
          <cell r="AP192">
            <v>0.75502050535785148</v>
          </cell>
          <cell r="AQ192">
            <v>0.73859564164648916</v>
          </cell>
          <cell r="AR192">
            <v>0.73801845046126158</v>
          </cell>
        </row>
        <row r="193">
          <cell r="D193">
            <v>118</v>
          </cell>
          <cell r="E193">
            <v>0.76928314734253833</v>
          </cell>
          <cell r="F193">
            <v>0.76896455484231097</v>
          </cell>
          <cell r="G193">
            <v>0.77909738717339672</v>
          </cell>
          <cell r="H193">
            <v>0.77848101265822789</v>
          </cell>
          <cell r="O193">
            <v>0.72453274755482466</v>
          </cell>
          <cell r="P193">
            <v>0.72462941847206386</v>
          </cell>
          <cell r="Q193">
            <v>0.72462941847206386</v>
          </cell>
          <cell r="R193">
            <v>0.72432830327567177</v>
          </cell>
          <cell r="S193">
            <v>0.73386902757061057</v>
          </cell>
          <cell r="T193">
            <v>0.73330683624801274</v>
          </cell>
          <cell r="AA193">
            <v>0.72453274755482466</v>
          </cell>
          <cell r="AB193">
            <v>0.72462941847206386</v>
          </cell>
          <cell r="AC193">
            <v>0.76928314734253833</v>
          </cell>
          <cell r="AD193">
            <v>0.76896455484231097</v>
          </cell>
          <cell r="AE193">
            <v>0.77909738717339672</v>
          </cell>
          <cell r="AF193">
            <v>0.77848101265822789</v>
          </cell>
          <cell r="AM193">
            <v>0.72919497072845385</v>
          </cell>
          <cell r="AN193">
            <v>0.72928969326033422</v>
          </cell>
          <cell r="AO193">
            <v>0.72928969326033422</v>
          </cell>
          <cell r="AP193">
            <v>0.75502050535785148</v>
          </cell>
          <cell r="AQ193">
            <v>0.73859564164648916</v>
          </cell>
          <cell r="AR193">
            <v>0.73801845046126158</v>
          </cell>
        </row>
        <row r="194">
          <cell r="D194">
            <v>119</v>
          </cell>
          <cell r="E194">
            <v>1.3076224702099486</v>
          </cell>
          <cell r="F194">
            <v>1.3080472602102526</v>
          </cell>
          <cell r="G194">
            <v>1.2945368171021376</v>
          </cell>
          <cell r="H194">
            <v>1.295358649789029</v>
          </cell>
          <cell r="O194">
            <v>1.3672896699269002</v>
          </cell>
          <cell r="P194">
            <v>1.3671607753705823</v>
          </cell>
          <cell r="Q194">
            <v>1.3671607753705823</v>
          </cell>
          <cell r="R194">
            <v>1.3675622622991039</v>
          </cell>
          <cell r="S194">
            <v>1.3548412965725196</v>
          </cell>
          <cell r="T194">
            <v>1.3555908850026503</v>
          </cell>
          <cell r="AA194">
            <v>1.3672896699269002</v>
          </cell>
          <cell r="AB194">
            <v>1.3671607753705823</v>
          </cell>
          <cell r="AC194">
            <v>1.3076224702099486</v>
          </cell>
          <cell r="AD194">
            <v>1.3080472602102526</v>
          </cell>
          <cell r="AE194">
            <v>1.2945368171021376</v>
          </cell>
          <cell r="AF194">
            <v>1.295358649789029</v>
          </cell>
          <cell r="AM194">
            <v>1.3610733723620612</v>
          </cell>
          <cell r="AN194">
            <v>1.3609470756528876</v>
          </cell>
          <cell r="AO194">
            <v>1.3609470756528876</v>
          </cell>
          <cell r="AP194">
            <v>1.3266393261895317</v>
          </cell>
          <cell r="AQ194">
            <v>1.3485391444713466</v>
          </cell>
          <cell r="AR194">
            <v>1.3493087327183177</v>
          </cell>
        </row>
        <row r="195">
          <cell r="D195">
            <v>120</v>
          </cell>
          <cell r="E195">
            <v>1.3076224702099486</v>
          </cell>
          <cell r="F195">
            <v>1.3080472602102526</v>
          </cell>
          <cell r="G195">
            <v>1.2945368171021376</v>
          </cell>
          <cell r="H195">
            <v>1.295358649789029</v>
          </cell>
          <cell r="O195">
            <v>1.3672896699269002</v>
          </cell>
          <cell r="P195">
            <v>1.3671607753705823</v>
          </cell>
          <cell r="Q195">
            <v>1.3671607753705823</v>
          </cell>
          <cell r="R195">
            <v>1.3675622622991039</v>
          </cell>
          <cell r="S195">
            <v>1.3548412965725196</v>
          </cell>
          <cell r="T195">
            <v>1.3555908850026503</v>
          </cell>
          <cell r="AA195">
            <v>1.3672896699269002</v>
          </cell>
          <cell r="AB195">
            <v>1.3671607753705823</v>
          </cell>
          <cell r="AC195">
            <v>1.3076224702099486</v>
          </cell>
          <cell r="AD195">
            <v>1.3080472602102526</v>
          </cell>
          <cell r="AE195">
            <v>1.2945368171021376</v>
          </cell>
          <cell r="AF195">
            <v>1.295358649789029</v>
          </cell>
          <cell r="AM195">
            <v>1.3610733723620612</v>
          </cell>
          <cell r="AN195">
            <v>1.3609470756528876</v>
          </cell>
          <cell r="AO195">
            <v>1.3609470756528876</v>
          </cell>
          <cell r="AP195">
            <v>1.3266393261895317</v>
          </cell>
          <cell r="AQ195">
            <v>1.3485391444713466</v>
          </cell>
          <cell r="AR195">
            <v>1.3493087327183177</v>
          </cell>
        </row>
        <row r="196">
          <cell r="D196">
            <v>121</v>
          </cell>
          <cell r="E196">
            <v>1.3076224702099486</v>
          </cell>
          <cell r="F196">
            <v>1.3080472602102526</v>
          </cell>
          <cell r="G196">
            <v>1.2945368171021376</v>
          </cell>
          <cell r="H196">
            <v>1.295358649789029</v>
          </cell>
          <cell r="O196">
            <v>1.3672896699269002</v>
          </cell>
          <cell r="P196">
            <v>1.3671607753705823</v>
          </cell>
          <cell r="Q196">
            <v>1.3671607753705823</v>
          </cell>
          <cell r="R196">
            <v>1.3675622622991039</v>
          </cell>
          <cell r="S196">
            <v>1.3548412965725196</v>
          </cell>
          <cell r="T196">
            <v>1.3555908850026503</v>
          </cell>
          <cell r="AA196">
            <v>1.3672896699269002</v>
          </cell>
          <cell r="AB196">
            <v>1.3671607753705823</v>
          </cell>
          <cell r="AC196">
            <v>1.3076224702099486</v>
          </cell>
          <cell r="AD196">
            <v>1.3080472602102526</v>
          </cell>
          <cell r="AE196">
            <v>1.2945368171021376</v>
          </cell>
          <cell r="AF196">
            <v>1.295358649789029</v>
          </cell>
          <cell r="AM196">
            <v>1.3610733723620612</v>
          </cell>
          <cell r="AN196">
            <v>1.3609470756528876</v>
          </cell>
          <cell r="AO196">
            <v>1.3609470756528876</v>
          </cell>
          <cell r="AP196">
            <v>1.3266393261895317</v>
          </cell>
          <cell r="AQ196">
            <v>1.3485391444713466</v>
          </cell>
          <cell r="AR196">
            <v>1.3493087327183177</v>
          </cell>
        </row>
        <row r="197">
          <cell r="D197">
            <v>122</v>
          </cell>
          <cell r="E197">
            <v>1.3076224702099486</v>
          </cell>
          <cell r="F197">
            <v>1.3080472602102526</v>
          </cell>
          <cell r="G197">
            <v>1.2945368171021376</v>
          </cell>
          <cell r="H197">
            <v>1.295358649789029</v>
          </cell>
          <cell r="O197">
            <v>1.3672896699269002</v>
          </cell>
          <cell r="P197">
            <v>1.3671607753705823</v>
          </cell>
          <cell r="Q197">
            <v>1.3671607753705823</v>
          </cell>
          <cell r="R197">
            <v>1.3675622622991039</v>
          </cell>
          <cell r="S197">
            <v>1.3548412965725196</v>
          </cell>
          <cell r="T197">
            <v>1.3555908850026503</v>
          </cell>
          <cell r="AA197">
            <v>1.3672896699269002</v>
          </cell>
          <cell r="AB197">
            <v>1.3671607753705823</v>
          </cell>
          <cell r="AC197">
            <v>1.3076224702099486</v>
          </cell>
          <cell r="AD197">
            <v>1.3080472602102526</v>
          </cell>
          <cell r="AE197">
            <v>1.2945368171021376</v>
          </cell>
          <cell r="AF197">
            <v>1.295358649789029</v>
          </cell>
          <cell r="AM197">
            <v>1.3610733723620612</v>
          </cell>
          <cell r="AN197">
            <v>1.3609470756528876</v>
          </cell>
          <cell r="AO197">
            <v>1.3609470756528876</v>
          </cell>
          <cell r="AP197">
            <v>1.3266393261895317</v>
          </cell>
          <cell r="AQ197">
            <v>1.3485391444713466</v>
          </cell>
          <cell r="AR197">
            <v>1.3493087327183177</v>
          </cell>
        </row>
        <row r="198">
          <cell r="D198">
            <v>123</v>
          </cell>
          <cell r="E198">
            <v>1.3076224702099486</v>
          </cell>
          <cell r="F198">
            <v>1.3080472602102526</v>
          </cell>
          <cell r="G198">
            <v>1.2945368171021376</v>
          </cell>
          <cell r="H198">
            <v>1.295358649789029</v>
          </cell>
          <cell r="O198">
            <v>1.3672896699269002</v>
          </cell>
          <cell r="P198">
            <v>1.3671607753705823</v>
          </cell>
          <cell r="Q198">
            <v>1.3671607753705823</v>
          </cell>
          <cell r="R198">
            <v>1.3675622622991039</v>
          </cell>
          <cell r="S198">
            <v>1.3548412965725196</v>
          </cell>
          <cell r="T198">
            <v>1.3555908850026503</v>
          </cell>
          <cell r="AA198">
            <v>1.3672896699269002</v>
          </cell>
          <cell r="AB198">
            <v>1.3671607753705823</v>
          </cell>
          <cell r="AC198">
            <v>1.3076224702099486</v>
          </cell>
          <cell r="AD198">
            <v>1.3080472602102526</v>
          </cell>
          <cell r="AE198">
            <v>1.2945368171021376</v>
          </cell>
          <cell r="AF198">
            <v>1.295358649789029</v>
          </cell>
          <cell r="AM198">
            <v>1.3610733723620612</v>
          </cell>
          <cell r="AN198">
            <v>1.3609470756528876</v>
          </cell>
          <cell r="AO198">
            <v>1.3609470756528876</v>
          </cell>
          <cell r="AP198">
            <v>1.3266393261895317</v>
          </cell>
          <cell r="AQ198">
            <v>1.3485391444713466</v>
          </cell>
          <cell r="AR198">
            <v>1.3493087327183177</v>
          </cell>
        </row>
        <row r="199">
          <cell r="D199">
            <v>124</v>
          </cell>
          <cell r="E199">
            <v>1.3076224702099486</v>
          </cell>
          <cell r="F199">
            <v>1.3080472602102526</v>
          </cell>
          <cell r="G199">
            <v>1.2945368171021376</v>
          </cell>
          <cell r="H199">
            <v>1.295358649789029</v>
          </cell>
          <cell r="O199">
            <v>1.3672896699269002</v>
          </cell>
          <cell r="P199">
            <v>1.3671607753705823</v>
          </cell>
          <cell r="Q199">
            <v>1.3671607753705823</v>
          </cell>
          <cell r="R199">
            <v>1.3675622622991039</v>
          </cell>
          <cell r="S199">
            <v>1.3548412965725196</v>
          </cell>
          <cell r="T199">
            <v>1.3555908850026503</v>
          </cell>
          <cell r="AA199">
            <v>1.3672896699269002</v>
          </cell>
          <cell r="AB199">
            <v>1.3671607753705823</v>
          </cell>
          <cell r="AC199">
            <v>1.3076224702099486</v>
          </cell>
          <cell r="AD199">
            <v>1.3080472602102526</v>
          </cell>
          <cell r="AE199">
            <v>1.2945368171021376</v>
          </cell>
          <cell r="AF199">
            <v>1.295358649789029</v>
          </cell>
          <cell r="AM199">
            <v>1.3610733723620612</v>
          </cell>
          <cell r="AN199">
            <v>1.3609470756528876</v>
          </cell>
          <cell r="AO199">
            <v>1.3609470756528876</v>
          </cell>
          <cell r="AP199">
            <v>1.3266393261895317</v>
          </cell>
          <cell r="AQ199">
            <v>1.3485391444713466</v>
          </cell>
          <cell r="AR199">
            <v>1.3493087327183177</v>
          </cell>
        </row>
        <row r="200">
          <cell r="D200">
            <v>125</v>
          </cell>
          <cell r="E200">
            <v>1.3076224702099486</v>
          </cell>
          <cell r="F200">
            <v>1.3080472602102526</v>
          </cell>
          <cell r="G200">
            <v>1.2945368171021376</v>
          </cell>
          <cell r="H200">
            <v>1.295358649789029</v>
          </cell>
          <cell r="O200">
            <v>1.3672896699269002</v>
          </cell>
          <cell r="P200">
            <v>1.3671607753705823</v>
          </cell>
          <cell r="Q200">
            <v>1.3671607753705823</v>
          </cell>
          <cell r="R200">
            <v>1.3675622622991039</v>
          </cell>
          <cell r="S200">
            <v>1.3548412965725196</v>
          </cell>
          <cell r="T200">
            <v>1.3555908850026503</v>
          </cell>
          <cell r="AA200">
            <v>1.3672896699269002</v>
          </cell>
          <cell r="AB200">
            <v>1.3671607753705823</v>
          </cell>
          <cell r="AC200">
            <v>1.3076224702099486</v>
          </cell>
          <cell r="AD200">
            <v>1.3080472602102526</v>
          </cell>
          <cell r="AE200">
            <v>1.2945368171021376</v>
          </cell>
          <cell r="AF200">
            <v>1.295358649789029</v>
          </cell>
          <cell r="AM200">
            <v>1.3610733723620612</v>
          </cell>
          <cell r="AN200">
            <v>1.3609470756528876</v>
          </cell>
          <cell r="AO200">
            <v>1.3609470756528876</v>
          </cell>
          <cell r="AP200">
            <v>1.3266393261895317</v>
          </cell>
          <cell r="AQ200">
            <v>1.3485391444713466</v>
          </cell>
          <cell r="AR200">
            <v>1.3493087327183177</v>
          </cell>
        </row>
        <row r="201">
          <cell r="D201">
            <v>126</v>
          </cell>
          <cell r="E201">
            <v>1.3076224702099486</v>
          </cell>
          <cell r="F201">
            <v>1.3080472602102526</v>
          </cell>
          <cell r="G201">
            <v>1.2945368171021376</v>
          </cell>
          <cell r="H201">
            <v>1.295358649789029</v>
          </cell>
          <cell r="O201">
            <v>1.3672896699269002</v>
          </cell>
          <cell r="P201">
            <v>1.3671607753705823</v>
          </cell>
          <cell r="Q201">
            <v>1.3671607753705823</v>
          </cell>
          <cell r="R201">
            <v>1.3675622622991039</v>
          </cell>
          <cell r="S201">
            <v>1.3548412965725196</v>
          </cell>
          <cell r="T201">
            <v>1.3555908850026503</v>
          </cell>
          <cell r="AA201">
            <v>1.3672896699269002</v>
          </cell>
          <cell r="AB201">
            <v>1.3671607753705823</v>
          </cell>
          <cell r="AC201">
            <v>1.3076224702099486</v>
          </cell>
          <cell r="AD201">
            <v>1.3080472602102526</v>
          </cell>
          <cell r="AE201">
            <v>1.2945368171021376</v>
          </cell>
          <cell r="AF201">
            <v>1.295358649789029</v>
          </cell>
          <cell r="AM201">
            <v>1.3610733723620612</v>
          </cell>
          <cell r="AN201">
            <v>1.3609470756528876</v>
          </cell>
          <cell r="AO201">
            <v>1.3609470756528876</v>
          </cell>
          <cell r="AP201">
            <v>1.3266393261895317</v>
          </cell>
          <cell r="AQ201">
            <v>1.3485391444713466</v>
          </cell>
          <cell r="AR201">
            <v>1.3493087327183177</v>
          </cell>
        </row>
        <row r="202">
          <cell r="D202">
            <v>127</v>
          </cell>
          <cell r="E202">
            <v>0.76928314734253833</v>
          </cell>
          <cell r="F202">
            <v>0.76896455484231097</v>
          </cell>
          <cell r="G202">
            <v>0.77909738717339672</v>
          </cell>
          <cell r="H202">
            <v>0.77848101265822789</v>
          </cell>
          <cell r="O202">
            <v>0.72453274755482466</v>
          </cell>
          <cell r="P202">
            <v>0.72462941847206386</v>
          </cell>
          <cell r="Q202">
            <v>0.72462941847206386</v>
          </cell>
          <cell r="R202">
            <v>0.72432830327567177</v>
          </cell>
          <cell r="S202">
            <v>0.73386902757061057</v>
          </cell>
          <cell r="T202">
            <v>0.73330683624801274</v>
          </cell>
          <cell r="AA202">
            <v>0.72453274755482466</v>
          </cell>
          <cell r="AB202">
            <v>0.72462941847206386</v>
          </cell>
          <cell r="AC202">
            <v>0.76928314734253833</v>
          </cell>
          <cell r="AD202">
            <v>0.76896455484231097</v>
          </cell>
          <cell r="AE202">
            <v>0.77909738717339672</v>
          </cell>
          <cell r="AF202">
            <v>0.77848101265822789</v>
          </cell>
          <cell r="AM202">
            <v>0.72919497072845385</v>
          </cell>
          <cell r="AN202">
            <v>0.72928969326033422</v>
          </cell>
          <cell r="AO202">
            <v>0.72928969326033422</v>
          </cell>
          <cell r="AP202">
            <v>0.75502050535785148</v>
          </cell>
          <cell r="AQ202">
            <v>0.73859564164648916</v>
          </cell>
          <cell r="AR202">
            <v>0.73801845046126158</v>
          </cell>
        </row>
        <row r="203">
          <cell r="D203">
            <v>128</v>
          </cell>
          <cell r="E203">
            <v>0.76928314734253833</v>
          </cell>
          <cell r="F203">
            <v>0.76896455484231097</v>
          </cell>
          <cell r="G203">
            <v>0.77909738717339672</v>
          </cell>
          <cell r="H203">
            <v>0.77848101265822789</v>
          </cell>
          <cell r="O203">
            <v>0.72453274755482466</v>
          </cell>
          <cell r="P203">
            <v>0.72462941847206386</v>
          </cell>
          <cell r="Q203">
            <v>0.72462941847206386</v>
          </cell>
          <cell r="R203">
            <v>0.72432830327567177</v>
          </cell>
          <cell r="S203">
            <v>0.73386902757061057</v>
          </cell>
          <cell r="T203">
            <v>0.73330683624801274</v>
          </cell>
          <cell r="AA203">
            <v>0.72453274755482466</v>
          </cell>
          <cell r="AB203">
            <v>0.72462941847206386</v>
          </cell>
          <cell r="AC203">
            <v>0.76928314734253833</v>
          </cell>
          <cell r="AD203">
            <v>0.76896455484231097</v>
          </cell>
          <cell r="AE203">
            <v>0.77909738717339672</v>
          </cell>
          <cell r="AF203">
            <v>0.77848101265822789</v>
          </cell>
          <cell r="AM203">
            <v>0.72919497072845385</v>
          </cell>
          <cell r="AN203">
            <v>0.72928969326033422</v>
          </cell>
          <cell r="AO203">
            <v>0.72928969326033422</v>
          </cell>
          <cell r="AP203">
            <v>0.75502050535785148</v>
          </cell>
          <cell r="AQ203">
            <v>0.73859564164648916</v>
          </cell>
          <cell r="AR203">
            <v>0.73801845046126158</v>
          </cell>
        </row>
        <row r="204">
          <cell r="D204">
            <v>129</v>
          </cell>
          <cell r="E204">
            <v>0.76928314734253833</v>
          </cell>
          <cell r="F204">
            <v>0.76896455484231097</v>
          </cell>
          <cell r="G204">
            <v>0.77909738717339672</v>
          </cell>
          <cell r="H204">
            <v>0.77848101265822789</v>
          </cell>
          <cell r="O204">
            <v>0.72453274755482466</v>
          </cell>
          <cell r="P204">
            <v>0.72462941847206386</v>
          </cell>
          <cell r="Q204">
            <v>0.72462941847206386</v>
          </cell>
          <cell r="R204">
            <v>0.72432830327567177</v>
          </cell>
          <cell r="S204">
            <v>0.73386902757061057</v>
          </cell>
          <cell r="T204">
            <v>0.73330683624801274</v>
          </cell>
          <cell r="AA204">
            <v>0.72453274755482466</v>
          </cell>
          <cell r="AB204">
            <v>0.72462941847206386</v>
          </cell>
          <cell r="AC204">
            <v>0.76928314734253833</v>
          </cell>
          <cell r="AD204">
            <v>0.76896455484231097</v>
          </cell>
          <cell r="AE204">
            <v>0.77909738717339672</v>
          </cell>
          <cell r="AF204">
            <v>0.77848101265822789</v>
          </cell>
          <cell r="AM204">
            <v>0.72919497072845385</v>
          </cell>
          <cell r="AN204">
            <v>0.72928969326033422</v>
          </cell>
          <cell r="AO204">
            <v>0.72928969326033422</v>
          </cell>
          <cell r="AP204">
            <v>0.75502050535785148</v>
          </cell>
          <cell r="AQ204">
            <v>0.73859564164648916</v>
          </cell>
          <cell r="AR204">
            <v>0.73801845046126158</v>
          </cell>
        </row>
        <row r="205">
          <cell r="D205">
            <v>130</v>
          </cell>
          <cell r="E205">
            <v>0.76928314734253833</v>
          </cell>
          <cell r="F205">
            <v>0.76896455484231097</v>
          </cell>
          <cell r="G205">
            <v>0.77909738717339672</v>
          </cell>
          <cell r="H205">
            <v>0.77848101265822789</v>
          </cell>
          <cell r="O205">
            <v>0.72453274755482466</v>
          </cell>
          <cell r="P205">
            <v>0.72462941847206386</v>
          </cell>
          <cell r="Q205">
            <v>0.72462941847206386</v>
          </cell>
          <cell r="R205">
            <v>0.72432830327567177</v>
          </cell>
          <cell r="S205">
            <v>0.73386902757061057</v>
          </cell>
          <cell r="T205">
            <v>0.73330683624801274</v>
          </cell>
          <cell r="AA205">
            <v>0.72453274755482466</v>
          </cell>
          <cell r="AB205">
            <v>0.72462941847206386</v>
          </cell>
          <cell r="AC205">
            <v>0.76928314734253833</v>
          </cell>
          <cell r="AD205">
            <v>0.76896455484231097</v>
          </cell>
          <cell r="AE205">
            <v>0.77909738717339672</v>
          </cell>
          <cell r="AF205">
            <v>0.77848101265822789</v>
          </cell>
          <cell r="AM205">
            <v>0.72919497072845385</v>
          </cell>
          <cell r="AN205">
            <v>0.72928969326033422</v>
          </cell>
          <cell r="AO205">
            <v>0.72928969326033422</v>
          </cell>
          <cell r="AP205">
            <v>0.75502050535785148</v>
          </cell>
          <cell r="AQ205">
            <v>0.73859564164648916</v>
          </cell>
          <cell r="AR205">
            <v>0.73801845046126158</v>
          </cell>
        </row>
        <row r="206">
          <cell r="D206">
            <v>131</v>
          </cell>
          <cell r="E206">
            <v>0.76928314734253833</v>
          </cell>
          <cell r="F206">
            <v>0.76896455484231097</v>
          </cell>
          <cell r="G206">
            <v>0.77909738717339672</v>
          </cell>
          <cell r="H206">
            <v>0.77848101265822789</v>
          </cell>
          <cell r="O206">
            <v>0.72453274755482466</v>
          </cell>
          <cell r="P206">
            <v>0.72462941847206386</v>
          </cell>
          <cell r="Q206">
            <v>0.72462941847206386</v>
          </cell>
          <cell r="R206">
            <v>0.72432830327567177</v>
          </cell>
          <cell r="S206">
            <v>0.73386902757061057</v>
          </cell>
          <cell r="T206">
            <v>0.73330683624801274</v>
          </cell>
          <cell r="AA206">
            <v>0.72453274755482466</v>
          </cell>
          <cell r="AB206">
            <v>0.72462941847206386</v>
          </cell>
          <cell r="AC206">
            <v>0.76928314734253833</v>
          </cell>
          <cell r="AD206">
            <v>0.76896455484231097</v>
          </cell>
          <cell r="AE206">
            <v>0.77909738717339672</v>
          </cell>
          <cell r="AF206">
            <v>0.77848101265822789</v>
          </cell>
          <cell r="AM206">
            <v>0.72919497072845385</v>
          </cell>
          <cell r="AN206">
            <v>0.72928969326033422</v>
          </cell>
          <cell r="AO206">
            <v>0.72928969326033422</v>
          </cell>
          <cell r="AP206">
            <v>0.75502050535785148</v>
          </cell>
          <cell r="AQ206">
            <v>0.73859564164648916</v>
          </cell>
          <cell r="AR206">
            <v>0.73801845046126158</v>
          </cell>
        </row>
        <row r="207">
          <cell r="D207">
            <v>132</v>
          </cell>
          <cell r="E207">
            <v>0.76928314734253833</v>
          </cell>
          <cell r="F207">
            <v>0.76896455484231097</v>
          </cell>
          <cell r="G207">
            <v>0.77909738717339672</v>
          </cell>
          <cell r="H207">
            <v>0.77848101265822789</v>
          </cell>
          <cell r="O207">
            <v>0.72453274755482466</v>
          </cell>
          <cell r="P207">
            <v>0.72462941847206386</v>
          </cell>
          <cell r="Q207">
            <v>0.72462941847206386</v>
          </cell>
          <cell r="R207">
            <v>0.72432830327567177</v>
          </cell>
          <cell r="S207">
            <v>0.73386902757061057</v>
          </cell>
          <cell r="T207">
            <v>0.73330683624801274</v>
          </cell>
          <cell r="AA207">
            <v>0.72453274755482466</v>
          </cell>
          <cell r="AB207">
            <v>0.72462941847206386</v>
          </cell>
          <cell r="AC207">
            <v>0.76928314734253833</v>
          </cell>
          <cell r="AD207">
            <v>0.76896455484231097</v>
          </cell>
          <cell r="AE207">
            <v>0.77909738717339672</v>
          </cell>
          <cell r="AF207">
            <v>0.77848101265822789</v>
          </cell>
          <cell r="AM207">
            <v>0.72919497072845385</v>
          </cell>
          <cell r="AN207">
            <v>0.72928969326033422</v>
          </cell>
          <cell r="AO207">
            <v>0.72928969326033422</v>
          </cell>
          <cell r="AP207">
            <v>0.75502050535785148</v>
          </cell>
          <cell r="AQ207">
            <v>0.73859564164648916</v>
          </cell>
          <cell r="AR207">
            <v>0.73801845046126158</v>
          </cell>
        </row>
        <row r="208">
          <cell r="D208">
            <v>133</v>
          </cell>
          <cell r="E208">
            <v>0.76928314734253833</v>
          </cell>
          <cell r="F208">
            <v>0.76896455484231097</v>
          </cell>
          <cell r="G208">
            <v>0.77909738717339672</v>
          </cell>
          <cell r="H208">
            <v>0.77848101265822789</v>
          </cell>
          <cell r="O208">
            <v>0.72453274755482466</v>
          </cell>
          <cell r="P208">
            <v>0.72462941847206386</v>
          </cell>
          <cell r="Q208">
            <v>0.72462941847206386</v>
          </cell>
          <cell r="R208">
            <v>0.72432830327567177</v>
          </cell>
          <cell r="S208">
            <v>0.73386902757061057</v>
          </cell>
          <cell r="T208">
            <v>0.73330683624801274</v>
          </cell>
          <cell r="AA208">
            <v>0.72453274755482466</v>
          </cell>
          <cell r="AB208">
            <v>0.72462941847206386</v>
          </cell>
          <cell r="AC208">
            <v>0.76928314734253833</v>
          </cell>
          <cell r="AD208">
            <v>0.76896455484231097</v>
          </cell>
          <cell r="AE208">
            <v>0.77909738717339672</v>
          </cell>
          <cell r="AF208">
            <v>0.77848101265822789</v>
          </cell>
          <cell r="AM208">
            <v>0.72919497072845385</v>
          </cell>
          <cell r="AN208">
            <v>0.72928969326033422</v>
          </cell>
          <cell r="AO208">
            <v>0.72928969326033422</v>
          </cell>
          <cell r="AP208">
            <v>0.75502050535785148</v>
          </cell>
          <cell r="AQ208">
            <v>0.73859564164648916</v>
          </cell>
          <cell r="AR208">
            <v>0.73801845046126158</v>
          </cell>
        </row>
        <row r="209">
          <cell r="D209">
            <v>134</v>
          </cell>
          <cell r="E209">
            <v>0.76928314734253833</v>
          </cell>
          <cell r="F209">
            <v>0.76896455484231097</v>
          </cell>
          <cell r="G209">
            <v>0.77909738717339672</v>
          </cell>
          <cell r="H209">
            <v>0.77848101265822789</v>
          </cell>
          <cell r="O209">
            <v>0.72453274755482466</v>
          </cell>
          <cell r="P209">
            <v>0.72462941847206386</v>
          </cell>
          <cell r="Q209">
            <v>0.72462941847206386</v>
          </cell>
          <cell r="R209">
            <v>0.72432830327567177</v>
          </cell>
          <cell r="S209">
            <v>0.73386902757061057</v>
          </cell>
          <cell r="T209">
            <v>0.73330683624801274</v>
          </cell>
          <cell r="AA209">
            <v>0.72453274755482466</v>
          </cell>
          <cell r="AB209">
            <v>0.72462941847206386</v>
          </cell>
          <cell r="AC209">
            <v>0.76928314734253833</v>
          </cell>
          <cell r="AD209">
            <v>0.76896455484231097</v>
          </cell>
          <cell r="AE209">
            <v>0.77909738717339672</v>
          </cell>
          <cell r="AF209">
            <v>0.77848101265822789</v>
          </cell>
          <cell r="AM209">
            <v>0.72919497072845385</v>
          </cell>
          <cell r="AN209">
            <v>0.72928969326033422</v>
          </cell>
          <cell r="AO209">
            <v>0.72928969326033422</v>
          </cell>
          <cell r="AP209">
            <v>0.75502050535785148</v>
          </cell>
          <cell r="AQ209">
            <v>0.73859564164648916</v>
          </cell>
          <cell r="AR209">
            <v>0.73801845046126158</v>
          </cell>
        </row>
        <row r="210">
          <cell r="D210">
            <v>135</v>
          </cell>
          <cell r="E210">
            <v>0.76928314734253833</v>
          </cell>
          <cell r="F210">
            <v>0.76896455484231097</v>
          </cell>
          <cell r="G210">
            <v>0.77909738717339672</v>
          </cell>
          <cell r="H210">
            <v>0.77848101265822789</v>
          </cell>
          <cell r="O210">
            <v>0.72453274755482466</v>
          </cell>
          <cell r="P210">
            <v>0.72462941847206386</v>
          </cell>
          <cell r="Q210">
            <v>0.72462941847206386</v>
          </cell>
          <cell r="R210">
            <v>0.72432830327567177</v>
          </cell>
          <cell r="S210">
            <v>0.73386902757061057</v>
          </cell>
          <cell r="T210">
            <v>0.73330683624801274</v>
          </cell>
          <cell r="AA210">
            <v>0.72453274755482466</v>
          </cell>
          <cell r="AB210">
            <v>0.72462941847206386</v>
          </cell>
          <cell r="AC210">
            <v>0.76928314734253833</v>
          </cell>
          <cell r="AD210">
            <v>0.76896455484231097</v>
          </cell>
          <cell r="AE210">
            <v>0.77909738717339672</v>
          </cell>
          <cell r="AF210">
            <v>0.77848101265822789</v>
          </cell>
          <cell r="AM210">
            <v>0.72919497072845385</v>
          </cell>
          <cell r="AN210">
            <v>0.72928969326033422</v>
          </cell>
          <cell r="AO210">
            <v>0.72928969326033422</v>
          </cell>
          <cell r="AP210">
            <v>0.75502050535785148</v>
          </cell>
          <cell r="AQ210">
            <v>0.73859564164648916</v>
          </cell>
          <cell r="AR210">
            <v>0.73801845046126158</v>
          </cell>
        </row>
        <row r="211">
          <cell r="D211">
            <v>136</v>
          </cell>
          <cell r="E211">
            <v>0.76928314734253833</v>
          </cell>
          <cell r="F211">
            <v>0.76896455484231097</v>
          </cell>
          <cell r="G211">
            <v>0.77909738717339672</v>
          </cell>
          <cell r="H211">
            <v>0.77848101265822789</v>
          </cell>
          <cell r="O211">
            <v>0.72453274755482466</v>
          </cell>
          <cell r="P211">
            <v>0.72462941847206386</v>
          </cell>
          <cell r="Q211">
            <v>0.72462941847206386</v>
          </cell>
          <cell r="R211">
            <v>0.72432830327567177</v>
          </cell>
          <cell r="S211">
            <v>0.73386902757061057</v>
          </cell>
          <cell r="T211">
            <v>0.73330683624801274</v>
          </cell>
          <cell r="AA211">
            <v>0.72453274755482466</v>
          </cell>
          <cell r="AB211">
            <v>0.72462941847206386</v>
          </cell>
          <cell r="AC211">
            <v>0.76928314734253833</v>
          </cell>
          <cell r="AD211">
            <v>0.76896455484231097</v>
          </cell>
          <cell r="AE211">
            <v>0.77909738717339672</v>
          </cell>
          <cell r="AF211">
            <v>0.77848101265822789</v>
          </cell>
          <cell r="AM211">
            <v>0.72919497072845385</v>
          </cell>
          <cell r="AN211">
            <v>0.72928969326033422</v>
          </cell>
          <cell r="AO211">
            <v>0.72928969326033422</v>
          </cell>
          <cell r="AP211">
            <v>0.75502050535785148</v>
          </cell>
          <cell r="AQ211">
            <v>0.73859564164648916</v>
          </cell>
          <cell r="AR211">
            <v>0.73801845046126158</v>
          </cell>
        </row>
        <row r="212">
          <cell r="D212">
            <v>137</v>
          </cell>
          <cell r="E212">
            <v>0.76928314734253833</v>
          </cell>
          <cell r="F212">
            <v>0.76896455484231097</v>
          </cell>
          <cell r="G212">
            <v>0.77909738717339672</v>
          </cell>
          <cell r="H212">
            <v>0.77848101265822789</v>
          </cell>
          <cell r="O212">
            <v>0.72453274755482466</v>
          </cell>
          <cell r="P212">
            <v>0.72462941847206386</v>
          </cell>
          <cell r="Q212">
            <v>0.72462941847206386</v>
          </cell>
          <cell r="R212">
            <v>0.72432830327567177</v>
          </cell>
          <cell r="S212">
            <v>0.73386902757061057</v>
          </cell>
          <cell r="T212">
            <v>0.73330683624801274</v>
          </cell>
          <cell r="AA212">
            <v>0.72453274755482466</v>
          </cell>
          <cell r="AB212">
            <v>0.72462941847206386</v>
          </cell>
          <cell r="AC212">
            <v>0.76928314734253833</v>
          </cell>
          <cell r="AD212">
            <v>0.76896455484231097</v>
          </cell>
          <cell r="AE212">
            <v>0.77909738717339672</v>
          </cell>
          <cell r="AF212">
            <v>0.77848101265822789</v>
          </cell>
          <cell r="AM212">
            <v>0.72919497072845385</v>
          </cell>
          <cell r="AN212">
            <v>0.72928969326033422</v>
          </cell>
          <cell r="AO212">
            <v>0.72928969326033422</v>
          </cell>
          <cell r="AP212">
            <v>0.75502050535785148</v>
          </cell>
          <cell r="AQ212">
            <v>0.73859564164648916</v>
          </cell>
          <cell r="AR212">
            <v>0.73801845046126158</v>
          </cell>
        </row>
        <row r="213">
          <cell r="D213">
            <v>138</v>
          </cell>
          <cell r="E213">
            <v>0.76928314734253833</v>
          </cell>
          <cell r="F213">
            <v>0.76896455484231097</v>
          </cell>
          <cell r="G213">
            <v>0.77909738717339672</v>
          </cell>
          <cell r="H213">
            <v>0.77848101265822789</v>
          </cell>
          <cell r="O213">
            <v>0.72453274755482466</v>
          </cell>
          <cell r="P213">
            <v>0.72462941847206386</v>
          </cell>
          <cell r="Q213">
            <v>0.72462941847206386</v>
          </cell>
          <cell r="R213">
            <v>0.72432830327567177</v>
          </cell>
          <cell r="S213">
            <v>0.73386902757061057</v>
          </cell>
          <cell r="T213">
            <v>0.73330683624801274</v>
          </cell>
          <cell r="AA213">
            <v>0.72453274755482466</v>
          </cell>
          <cell r="AB213">
            <v>0.72462941847206386</v>
          </cell>
          <cell r="AC213">
            <v>0.76928314734253833</v>
          </cell>
          <cell r="AD213">
            <v>0.76896455484231097</v>
          </cell>
          <cell r="AE213">
            <v>0.77909738717339672</v>
          </cell>
          <cell r="AF213">
            <v>0.77848101265822789</v>
          </cell>
          <cell r="AM213">
            <v>0.72919497072845385</v>
          </cell>
          <cell r="AN213">
            <v>0.72928969326033422</v>
          </cell>
          <cell r="AO213">
            <v>0.72928969326033422</v>
          </cell>
          <cell r="AP213">
            <v>0.75502050535785148</v>
          </cell>
          <cell r="AQ213">
            <v>0.73859564164648916</v>
          </cell>
          <cell r="AR213">
            <v>0.73801845046126158</v>
          </cell>
        </row>
        <row r="214">
          <cell r="D214">
            <v>139</v>
          </cell>
          <cell r="E214">
            <v>0.76928314734253833</v>
          </cell>
          <cell r="F214">
            <v>0.76896455484231097</v>
          </cell>
          <cell r="G214">
            <v>0.77909738717339672</v>
          </cell>
          <cell r="H214">
            <v>0.77848101265822789</v>
          </cell>
          <cell r="O214">
            <v>0.72453274755482466</v>
          </cell>
          <cell r="P214">
            <v>0.72462941847206386</v>
          </cell>
          <cell r="Q214">
            <v>0.72462941847206386</v>
          </cell>
          <cell r="R214">
            <v>0.72432830327567177</v>
          </cell>
          <cell r="S214">
            <v>0.73386902757061057</v>
          </cell>
          <cell r="T214">
            <v>0.73330683624801274</v>
          </cell>
          <cell r="AA214">
            <v>0.72453274755482466</v>
          </cell>
          <cell r="AB214">
            <v>0.72462941847206386</v>
          </cell>
          <cell r="AC214">
            <v>0.76928314734253833</v>
          </cell>
          <cell r="AD214">
            <v>0.76896455484231097</v>
          </cell>
          <cell r="AE214">
            <v>0.77909738717339672</v>
          </cell>
          <cell r="AF214">
            <v>0.77848101265822789</v>
          </cell>
          <cell r="AM214">
            <v>0.72919497072845385</v>
          </cell>
          <cell r="AN214">
            <v>0.72928969326033422</v>
          </cell>
          <cell r="AO214">
            <v>0.72928969326033422</v>
          </cell>
          <cell r="AP214">
            <v>0.75502050535785148</v>
          </cell>
          <cell r="AQ214">
            <v>0.73859564164648916</v>
          </cell>
          <cell r="AR214">
            <v>0.73801845046126158</v>
          </cell>
        </row>
        <row r="215">
          <cell r="D215">
            <v>140</v>
          </cell>
          <cell r="E215">
            <v>0.76928314734253833</v>
          </cell>
          <cell r="F215">
            <v>0.76896455484231097</v>
          </cell>
          <cell r="G215">
            <v>0.77909738717339672</v>
          </cell>
          <cell r="H215">
            <v>0.77848101265822789</v>
          </cell>
          <cell r="O215">
            <v>0.72453274755482466</v>
          </cell>
          <cell r="P215">
            <v>0.72462941847206386</v>
          </cell>
          <cell r="Q215">
            <v>0.72462941847206386</v>
          </cell>
          <cell r="R215">
            <v>0.72432830327567177</v>
          </cell>
          <cell r="S215">
            <v>0.73386902757061057</v>
          </cell>
          <cell r="T215">
            <v>0.73330683624801274</v>
          </cell>
          <cell r="AA215">
            <v>0.72453274755482466</v>
          </cell>
          <cell r="AB215">
            <v>0.72462941847206386</v>
          </cell>
          <cell r="AC215">
            <v>0.76928314734253833</v>
          </cell>
          <cell r="AD215">
            <v>0.76896455484231097</v>
          </cell>
          <cell r="AE215">
            <v>0.77909738717339672</v>
          </cell>
          <cell r="AF215">
            <v>0.77848101265822789</v>
          </cell>
          <cell r="AM215">
            <v>0.72919497072845385</v>
          </cell>
          <cell r="AN215">
            <v>0.72928969326033422</v>
          </cell>
          <cell r="AO215">
            <v>0.72928969326033422</v>
          </cell>
          <cell r="AP215">
            <v>0.75502050535785148</v>
          </cell>
          <cell r="AQ215">
            <v>0.73859564164648916</v>
          </cell>
          <cell r="AR215">
            <v>0.73801845046126158</v>
          </cell>
        </row>
        <row r="216">
          <cell r="D216">
            <v>141</v>
          </cell>
          <cell r="E216">
            <v>0.76928314734253833</v>
          </cell>
          <cell r="F216">
            <v>0.76896455484231097</v>
          </cell>
          <cell r="G216">
            <v>0.77909738717339672</v>
          </cell>
          <cell r="H216">
            <v>0.77848101265822789</v>
          </cell>
          <cell r="O216">
            <v>0.72453274755482466</v>
          </cell>
          <cell r="P216">
            <v>0.72462941847206386</v>
          </cell>
          <cell r="Q216">
            <v>0.72462941847206386</v>
          </cell>
          <cell r="R216">
            <v>0.72432830327567177</v>
          </cell>
          <cell r="S216">
            <v>0.73386902757061057</v>
          </cell>
          <cell r="T216">
            <v>0.73330683624801274</v>
          </cell>
          <cell r="AA216">
            <v>0.72453274755482466</v>
          </cell>
          <cell r="AB216">
            <v>0.72462941847206386</v>
          </cell>
          <cell r="AC216">
            <v>0.76928314734253833</v>
          </cell>
          <cell r="AD216">
            <v>0.76896455484231097</v>
          </cell>
          <cell r="AE216">
            <v>0.77909738717339672</v>
          </cell>
          <cell r="AF216">
            <v>0.77848101265822789</v>
          </cell>
          <cell r="AM216">
            <v>0.72919497072845385</v>
          </cell>
          <cell r="AN216">
            <v>0.72928969326033422</v>
          </cell>
          <cell r="AO216">
            <v>0.72928969326033422</v>
          </cell>
          <cell r="AP216">
            <v>0.75502050535785148</v>
          </cell>
          <cell r="AQ216">
            <v>0.73859564164648916</v>
          </cell>
          <cell r="AR216">
            <v>0.73801845046126158</v>
          </cell>
        </row>
        <row r="217">
          <cell r="D217">
            <v>142</v>
          </cell>
          <cell r="E217">
            <v>0.76928314734253833</v>
          </cell>
          <cell r="F217">
            <v>0.76896455484231097</v>
          </cell>
          <cell r="G217">
            <v>0.77909738717339672</v>
          </cell>
          <cell r="H217">
            <v>0.77848101265822789</v>
          </cell>
          <cell r="O217">
            <v>0.72453274755482466</v>
          </cell>
          <cell r="P217">
            <v>0.72462941847206386</v>
          </cell>
          <cell r="Q217">
            <v>0.72462941847206386</v>
          </cell>
          <cell r="R217">
            <v>0.72432830327567177</v>
          </cell>
          <cell r="S217">
            <v>0.73386902757061057</v>
          </cell>
          <cell r="T217">
            <v>0.73330683624801274</v>
          </cell>
          <cell r="AA217">
            <v>0.72453274755482466</v>
          </cell>
          <cell r="AB217">
            <v>0.72462941847206386</v>
          </cell>
          <cell r="AC217">
            <v>0.76928314734253833</v>
          </cell>
          <cell r="AD217">
            <v>0.76896455484231097</v>
          </cell>
          <cell r="AE217">
            <v>0.77909738717339672</v>
          </cell>
          <cell r="AF217">
            <v>0.77848101265822789</v>
          </cell>
          <cell r="AM217">
            <v>0.72919497072845385</v>
          </cell>
          <cell r="AN217">
            <v>0.72928969326033422</v>
          </cell>
          <cell r="AO217">
            <v>0.72928969326033422</v>
          </cell>
          <cell r="AP217">
            <v>0.75502050535785148</v>
          </cell>
          <cell r="AQ217">
            <v>0.73859564164648916</v>
          </cell>
          <cell r="AR217">
            <v>0.73801845046126158</v>
          </cell>
        </row>
        <row r="218">
          <cell r="D218">
            <v>143</v>
          </cell>
          <cell r="E218">
            <v>1.3076224702099486</v>
          </cell>
          <cell r="F218">
            <v>1.3080472602102526</v>
          </cell>
          <cell r="G218">
            <v>1.2945368171021376</v>
          </cell>
          <cell r="H218">
            <v>1.295358649789029</v>
          </cell>
          <cell r="O218">
            <v>1.3672896699269002</v>
          </cell>
          <cell r="P218">
            <v>1.3671607753705823</v>
          </cell>
          <cell r="Q218">
            <v>1.3671607753705823</v>
          </cell>
          <cell r="R218">
            <v>1.3675622622991039</v>
          </cell>
          <cell r="S218">
            <v>1.3548412965725196</v>
          </cell>
          <cell r="T218">
            <v>1.3555908850026503</v>
          </cell>
          <cell r="AA218">
            <v>1.3672896699269002</v>
          </cell>
          <cell r="AB218">
            <v>1.3671607753705823</v>
          </cell>
          <cell r="AC218">
            <v>1.3076224702099486</v>
          </cell>
          <cell r="AD218">
            <v>1.3080472602102526</v>
          </cell>
          <cell r="AE218">
            <v>1.2945368171021376</v>
          </cell>
          <cell r="AF218">
            <v>1.295358649789029</v>
          </cell>
          <cell r="AM218">
            <v>1.3610733723620612</v>
          </cell>
          <cell r="AN218">
            <v>1.3609470756528876</v>
          </cell>
          <cell r="AO218">
            <v>1.3609470756528876</v>
          </cell>
          <cell r="AP218">
            <v>1.3266393261895317</v>
          </cell>
          <cell r="AQ218">
            <v>1.3485391444713466</v>
          </cell>
          <cell r="AR218">
            <v>1.3493087327183177</v>
          </cell>
        </row>
        <row r="219">
          <cell r="D219">
            <v>144</v>
          </cell>
          <cell r="E219">
            <v>1.3076224702099486</v>
          </cell>
          <cell r="F219">
            <v>1.3080472602102526</v>
          </cell>
          <cell r="G219">
            <v>1.2945368171021376</v>
          </cell>
          <cell r="H219">
            <v>1.295358649789029</v>
          </cell>
          <cell r="O219">
            <v>1.3672896699269002</v>
          </cell>
          <cell r="P219">
            <v>1.3671607753705823</v>
          </cell>
          <cell r="Q219">
            <v>1.3671607753705823</v>
          </cell>
          <cell r="R219">
            <v>1.3675622622991039</v>
          </cell>
          <cell r="S219">
            <v>1.3548412965725196</v>
          </cell>
          <cell r="T219">
            <v>1.3555908850026503</v>
          </cell>
          <cell r="AA219">
            <v>1.3672896699269002</v>
          </cell>
          <cell r="AB219">
            <v>1.3671607753705823</v>
          </cell>
          <cell r="AC219">
            <v>1.3076224702099486</v>
          </cell>
          <cell r="AD219">
            <v>1.3080472602102526</v>
          </cell>
          <cell r="AE219">
            <v>1.2945368171021376</v>
          </cell>
          <cell r="AF219">
            <v>1.295358649789029</v>
          </cell>
          <cell r="AM219">
            <v>1.3610733723620612</v>
          </cell>
          <cell r="AN219">
            <v>1.3609470756528876</v>
          </cell>
          <cell r="AO219">
            <v>1.3609470756528876</v>
          </cell>
          <cell r="AP219">
            <v>1.3266393261895317</v>
          </cell>
          <cell r="AQ219">
            <v>1.3485391444713466</v>
          </cell>
          <cell r="AR219">
            <v>1.3493087327183177</v>
          </cell>
        </row>
        <row r="220">
          <cell r="D220">
            <v>145</v>
          </cell>
          <cell r="E220">
            <v>1.3076224702099486</v>
          </cell>
          <cell r="F220">
            <v>1.3080472602102526</v>
          </cell>
          <cell r="G220">
            <v>1.2945368171021376</v>
          </cell>
          <cell r="H220">
            <v>1.295358649789029</v>
          </cell>
          <cell r="O220">
            <v>1.3672896699269002</v>
          </cell>
          <cell r="P220">
            <v>1.3671607753705823</v>
          </cell>
          <cell r="Q220">
            <v>1.3671607753705823</v>
          </cell>
          <cell r="R220">
            <v>1.3675622622991039</v>
          </cell>
          <cell r="S220">
            <v>1.3548412965725196</v>
          </cell>
          <cell r="T220">
            <v>1.3555908850026503</v>
          </cell>
          <cell r="AA220">
            <v>1.3672896699269002</v>
          </cell>
          <cell r="AB220">
            <v>1.3671607753705823</v>
          </cell>
          <cell r="AC220">
            <v>1.3076224702099486</v>
          </cell>
          <cell r="AD220">
            <v>1.3080472602102526</v>
          </cell>
          <cell r="AE220">
            <v>1.2945368171021376</v>
          </cell>
          <cell r="AF220">
            <v>1.295358649789029</v>
          </cell>
          <cell r="AM220">
            <v>1.3610733723620612</v>
          </cell>
          <cell r="AN220">
            <v>1.3609470756528876</v>
          </cell>
          <cell r="AO220">
            <v>1.3609470756528876</v>
          </cell>
          <cell r="AP220">
            <v>1.3266393261895317</v>
          </cell>
          <cell r="AQ220">
            <v>1.3485391444713466</v>
          </cell>
          <cell r="AR220">
            <v>1.3493087327183177</v>
          </cell>
        </row>
        <row r="221">
          <cell r="D221">
            <v>146</v>
          </cell>
          <cell r="E221">
            <v>1.3076224702099486</v>
          </cell>
          <cell r="F221">
            <v>1.3080472602102526</v>
          </cell>
          <cell r="G221">
            <v>1.2945368171021376</v>
          </cell>
          <cell r="H221">
            <v>1.295358649789029</v>
          </cell>
          <cell r="O221">
            <v>1.3672896699269002</v>
          </cell>
          <cell r="P221">
            <v>1.3671607753705823</v>
          </cell>
          <cell r="Q221">
            <v>1.3671607753705823</v>
          </cell>
          <cell r="R221">
            <v>1.3675622622991039</v>
          </cell>
          <cell r="S221">
            <v>1.3548412965725196</v>
          </cell>
          <cell r="T221">
            <v>1.3555908850026503</v>
          </cell>
          <cell r="AA221">
            <v>1.3672896699269002</v>
          </cell>
          <cell r="AB221">
            <v>1.3671607753705823</v>
          </cell>
          <cell r="AC221">
            <v>1.3076224702099486</v>
          </cell>
          <cell r="AD221">
            <v>1.3080472602102526</v>
          </cell>
          <cell r="AE221">
            <v>1.2945368171021376</v>
          </cell>
          <cell r="AF221">
            <v>1.295358649789029</v>
          </cell>
          <cell r="AM221">
            <v>1.3610733723620612</v>
          </cell>
          <cell r="AN221">
            <v>1.3609470756528876</v>
          </cell>
          <cell r="AO221">
            <v>1.3609470756528876</v>
          </cell>
          <cell r="AP221">
            <v>1.3266393261895317</v>
          </cell>
          <cell r="AQ221">
            <v>1.3485391444713466</v>
          </cell>
          <cell r="AR221">
            <v>1.3493087327183177</v>
          </cell>
        </row>
        <row r="222">
          <cell r="D222">
            <v>147</v>
          </cell>
          <cell r="E222">
            <v>1.3076224702099486</v>
          </cell>
          <cell r="F222">
            <v>1.3080472602102526</v>
          </cell>
          <cell r="G222">
            <v>1.2945368171021376</v>
          </cell>
          <cell r="H222">
            <v>1.295358649789029</v>
          </cell>
          <cell r="O222">
            <v>1.3672896699269002</v>
          </cell>
          <cell r="P222">
            <v>1.3671607753705823</v>
          </cell>
          <cell r="Q222">
            <v>1.3671607753705823</v>
          </cell>
          <cell r="R222">
            <v>1.3675622622991039</v>
          </cell>
          <cell r="S222">
            <v>1.3548412965725196</v>
          </cell>
          <cell r="T222">
            <v>1.3555908850026503</v>
          </cell>
          <cell r="AA222">
            <v>1.3672896699269002</v>
          </cell>
          <cell r="AB222">
            <v>1.3671607753705823</v>
          </cell>
          <cell r="AC222">
            <v>1.3076224702099486</v>
          </cell>
          <cell r="AD222">
            <v>1.3080472602102526</v>
          </cell>
          <cell r="AE222">
            <v>1.2945368171021376</v>
          </cell>
          <cell r="AF222">
            <v>1.295358649789029</v>
          </cell>
          <cell r="AM222">
            <v>1.3610733723620612</v>
          </cell>
          <cell r="AN222">
            <v>1.3609470756528876</v>
          </cell>
          <cell r="AO222">
            <v>1.3609470756528876</v>
          </cell>
          <cell r="AP222">
            <v>1.3266393261895317</v>
          </cell>
          <cell r="AQ222">
            <v>1.3485391444713466</v>
          </cell>
          <cell r="AR222">
            <v>1.3493087327183177</v>
          </cell>
        </row>
        <row r="223">
          <cell r="D223">
            <v>148</v>
          </cell>
          <cell r="E223">
            <v>1.3076224702099486</v>
          </cell>
          <cell r="F223">
            <v>1.3080472602102526</v>
          </cell>
          <cell r="G223">
            <v>1.2945368171021376</v>
          </cell>
          <cell r="H223">
            <v>1.295358649789029</v>
          </cell>
          <cell r="O223">
            <v>1.3672896699269002</v>
          </cell>
          <cell r="P223">
            <v>1.3671607753705823</v>
          </cell>
          <cell r="Q223">
            <v>1.3671607753705823</v>
          </cell>
          <cell r="R223">
            <v>1.3675622622991039</v>
          </cell>
          <cell r="S223">
            <v>1.3548412965725196</v>
          </cell>
          <cell r="T223">
            <v>1.3555908850026503</v>
          </cell>
          <cell r="AA223">
            <v>1.3672896699269002</v>
          </cell>
          <cell r="AB223">
            <v>1.3671607753705823</v>
          </cell>
          <cell r="AC223">
            <v>1.3076224702099486</v>
          </cell>
          <cell r="AD223">
            <v>1.3080472602102526</v>
          </cell>
          <cell r="AE223">
            <v>1.2945368171021376</v>
          </cell>
          <cell r="AF223">
            <v>1.295358649789029</v>
          </cell>
          <cell r="AM223">
            <v>1.3610733723620612</v>
          </cell>
          <cell r="AN223">
            <v>1.3609470756528876</v>
          </cell>
          <cell r="AO223">
            <v>1.3609470756528876</v>
          </cell>
          <cell r="AP223">
            <v>1.3266393261895317</v>
          </cell>
          <cell r="AQ223">
            <v>1.3485391444713466</v>
          </cell>
          <cell r="AR223">
            <v>1.3493087327183177</v>
          </cell>
        </row>
        <row r="224">
          <cell r="D224">
            <v>149</v>
          </cell>
          <cell r="E224">
            <v>1.3076224702099486</v>
          </cell>
          <cell r="F224">
            <v>1.3080472602102526</v>
          </cell>
          <cell r="G224">
            <v>1.2945368171021376</v>
          </cell>
          <cell r="H224">
            <v>1.295358649789029</v>
          </cell>
          <cell r="O224">
            <v>1.3672896699269002</v>
          </cell>
          <cell r="P224">
            <v>1.3671607753705823</v>
          </cell>
          <cell r="Q224">
            <v>1.3671607753705823</v>
          </cell>
          <cell r="R224">
            <v>1.3675622622991039</v>
          </cell>
          <cell r="S224">
            <v>1.3548412965725196</v>
          </cell>
          <cell r="T224">
            <v>1.3555908850026503</v>
          </cell>
          <cell r="AA224">
            <v>1.3672896699269002</v>
          </cell>
          <cell r="AB224">
            <v>1.3671607753705823</v>
          </cell>
          <cell r="AC224">
            <v>1.3076224702099486</v>
          </cell>
          <cell r="AD224">
            <v>1.3080472602102526</v>
          </cell>
          <cell r="AE224">
            <v>1.2945368171021376</v>
          </cell>
          <cell r="AF224">
            <v>1.295358649789029</v>
          </cell>
          <cell r="AM224">
            <v>1.3610733723620612</v>
          </cell>
          <cell r="AN224">
            <v>1.3609470756528876</v>
          </cell>
          <cell r="AO224">
            <v>1.3609470756528876</v>
          </cell>
          <cell r="AP224">
            <v>1.3266393261895317</v>
          </cell>
          <cell r="AQ224">
            <v>1.3485391444713466</v>
          </cell>
          <cell r="AR224">
            <v>1.3493087327183177</v>
          </cell>
        </row>
        <row r="225">
          <cell r="D225">
            <v>150</v>
          </cell>
          <cell r="E225">
            <v>1.3076224702099486</v>
          </cell>
          <cell r="F225">
            <v>1.3080472602102526</v>
          </cell>
          <cell r="G225">
            <v>1.2945368171021376</v>
          </cell>
          <cell r="H225">
            <v>1.295358649789029</v>
          </cell>
          <cell r="O225">
            <v>1.3672896699269002</v>
          </cell>
          <cell r="P225">
            <v>1.3671607753705823</v>
          </cell>
          <cell r="Q225">
            <v>1.3671607753705823</v>
          </cell>
          <cell r="R225">
            <v>1.3675622622991039</v>
          </cell>
          <cell r="S225">
            <v>1.3548412965725196</v>
          </cell>
          <cell r="T225">
            <v>1.3555908850026503</v>
          </cell>
          <cell r="AA225">
            <v>1.3672896699269002</v>
          </cell>
          <cell r="AB225">
            <v>1.3671607753705823</v>
          </cell>
          <cell r="AC225">
            <v>1.3076224702099486</v>
          </cell>
          <cell r="AD225">
            <v>1.3080472602102526</v>
          </cell>
          <cell r="AE225">
            <v>1.2945368171021376</v>
          </cell>
          <cell r="AF225">
            <v>1.295358649789029</v>
          </cell>
          <cell r="AM225">
            <v>1.3610733723620612</v>
          </cell>
          <cell r="AN225">
            <v>1.3609470756528876</v>
          </cell>
          <cell r="AO225">
            <v>1.3609470756528876</v>
          </cell>
          <cell r="AP225">
            <v>1.3266393261895317</v>
          </cell>
          <cell r="AQ225">
            <v>1.3485391444713466</v>
          </cell>
          <cell r="AR225">
            <v>1.3493087327183177</v>
          </cell>
        </row>
        <row r="226">
          <cell r="D226">
            <v>151</v>
          </cell>
          <cell r="E226">
            <v>1.3076224702099486</v>
          </cell>
          <cell r="F226">
            <v>1.3080472602102526</v>
          </cell>
          <cell r="G226">
            <v>1.2945368171021376</v>
          </cell>
          <cell r="H226">
            <v>1.295358649789029</v>
          </cell>
          <cell r="O226">
            <v>1.3672896699269002</v>
          </cell>
          <cell r="P226">
            <v>1.3671607753705823</v>
          </cell>
          <cell r="Q226">
            <v>1.3671607753705823</v>
          </cell>
          <cell r="R226">
            <v>1.3675622622991039</v>
          </cell>
          <cell r="S226">
            <v>1.3548412965725196</v>
          </cell>
          <cell r="T226">
            <v>1.3555908850026503</v>
          </cell>
          <cell r="AA226">
            <v>1.3672896699269002</v>
          </cell>
          <cell r="AB226">
            <v>1.3671607753705823</v>
          </cell>
          <cell r="AC226">
            <v>1.3076224702099486</v>
          </cell>
          <cell r="AD226">
            <v>1.3080472602102526</v>
          </cell>
          <cell r="AE226">
            <v>1.2945368171021376</v>
          </cell>
          <cell r="AF226">
            <v>1.295358649789029</v>
          </cell>
          <cell r="AM226">
            <v>1.3610733723620612</v>
          </cell>
          <cell r="AN226">
            <v>1.3609470756528876</v>
          </cell>
          <cell r="AO226">
            <v>1.3609470756528876</v>
          </cell>
          <cell r="AP226">
            <v>1.3266393261895317</v>
          </cell>
          <cell r="AQ226">
            <v>1.3485391444713466</v>
          </cell>
          <cell r="AR226">
            <v>1.3493087327183177</v>
          </cell>
        </row>
        <row r="227">
          <cell r="D227">
            <v>152</v>
          </cell>
          <cell r="E227">
            <v>1.3076224702099486</v>
          </cell>
          <cell r="F227">
            <v>1.3080472602102526</v>
          </cell>
          <cell r="G227">
            <v>1.2945368171021376</v>
          </cell>
          <cell r="H227">
            <v>1.295358649789029</v>
          </cell>
          <cell r="O227">
            <v>1.3672896699269002</v>
          </cell>
          <cell r="P227">
            <v>1.3671607753705823</v>
          </cell>
          <cell r="Q227">
            <v>1.3671607753705823</v>
          </cell>
          <cell r="R227">
            <v>1.3675622622991039</v>
          </cell>
          <cell r="S227">
            <v>1.3548412965725196</v>
          </cell>
          <cell r="T227">
            <v>1.3555908850026503</v>
          </cell>
          <cell r="AA227">
            <v>1.3672896699269002</v>
          </cell>
          <cell r="AB227">
            <v>1.3671607753705823</v>
          </cell>
          <cell r="AC227">
            <v>1.3076224702099486</v>
          </cell>
          <cell r="AD227">
            <v>1.3080472602102526</v>
          </cell>
          <cell r="AE227">
            <v>1.2945368171021376</v>
          </cell>
          <cell r="AF227">
            <v>1.295358649789029</v>
          </cell>
          <cell r="AM227">
            <v>1.3610733723620612</v>
          </cell>
          <cell r="AN227">
            <v>1.3609470756528876</v>
          </cell>
          <cell r="AO227">
            <v>1.3609470756528876</v>
          </cell>
          <cell r="AP227">
            <v>1.3266393261895317</v>
          </cell>
          <cell r="AQ227">
            <v>1.3485391444713466</v>
          </cell>
          <cell r="AR227">
            <v>1.3493087327183177</v>
          </cell>
        </row>
        <row r="228">
          <cell r="D228">
            <v>153</v>
          </cell>
          <cell r="E228">
            <v>1.3076224702099486</v>
          </cell>
          <cell r="F228">
            <v>1.3080472602102526</v>
          </cell>
          <cell r="G228">
            <v>1.2945368171021376</v>
          </cell>
          <cell r="H228">
            <v>1.295358649789029</v>
          </cell>
          <cell r="O228">
            <v>1.3672896699269002</v>
          </cell>
          <cell r="P228">
            <v>1.3671607753705823</v>
          </cell>
          <cell r="Q228">
            <v>1.3671607753705823</v>
          </cell>
          <cell r="R228">
            <v>1.3675622622991039</v>
          </cell>
          <cell r="S228">
            <v>1.3548412965725196</v>
          </cell>
          <cell r="T228">
            <v>1.3555908850026503</v>
          </cell>
          <cell r="AA228">
            <v>1.3672896699269002</v>
          </cell>
          <cell r="AB228">
            <v>1.3671607753705823</v>
          </cell>
          <cell r="AC228">
            <v>1.3076224702099486</v>
          </cell>
          <cell r="AD228">
            <v>1.3080472602102526</v>
          </cell>
          <cell r="AE228">
            <v>1.2945368171021376</v>
          </cell>
          <cell r="AF228">
            <v>1.295358649789029</v>
          </cell>
          <cell r="AM228">
            <v>1.3610733723620612</v>
          </cell>
          <cell r="AN228">
            <v>1.3609470756528876</v>
          </cell>
          <cell r="AO228">
            <v>1.3609470756528876</v>
          </cell>
          <cell r="AP228">
            <v>1.3266393261895317</v>
          </cell>
          <cell r="AQ228">
            <v>1.3485391444713466</v>
          </cell>
          <cell r="AR228">
            <v>1.3493087327183177</v>
          </cell>
        </row>
        <row r="229">
          <cell r="D229">
            <v>154</v>
          </cell>
          <cell r="E229">
            <v>1.3076224702099486</v>
          </cell>
          <cell r="F229">
            <v>1.3080472602102526</v>
          </cell>
          <cell r="G229">
            <v>1.2945368171021376</v>
          </cell>
          <cell r="H229">
            <v>1.295358649789029</v>
          </cell>
          <cell r="O229">
            <v>1.3672896699269002</v>
          </cell>
          <cell r="P229">
            <v>1.3671607753705823</v>
          </cell>
          <cell r="Q229">
            <v>1.3671607753705823</v>
          </cell>
          <cell r="R229">
            <v>1.3675622622991039</v>
          </cell>
          <cell r="S229">
            <v>1.3548412965725196</v>
          </cell>
          <cell r="T229">
            <v>1.3555908850026503</v>
          </cell>
          <cell r="AA229">
            <v>1.3672896699269002</v>
          </cell>
          <cell r="AB229">
            <v>1.3671607753705823</v>
          </cell>
          <cell r="AC229">
            <v>1.3076224702099486</v>
          </cell>
          <cell r="AD229">
            <v>1.3080472602102526</v>
          </cell>
          <cell r="AE229">
            <v>1.2945368171021376</v>
          </cell>
          <cell r="AF229">
            <v>1.295358649789029</v>
          </cell>
          <cell r="AM229">
            <v>1.3610733723620612</v>
          </cell>
          <cell r="AN229">
            <v>1.3609470756528876</v>
          </cell>
          <cell r="AO229">
            <v>1.3609470756528876</v>
          </cell>
          <cell r="AP229">
            <v>1.3266393261895317</v>
          </cell>
          <cell r="AQ229">
            <v>1.3485391444713466</v>
          </cell>
          <cell r="AR229">
            <v>1.3493087327183177</v>
          </cell>
        </row>
        <row r="230">
          <cell r="D230">
            <v>155</v>
          </cell>
          <cell r="E230">
            <v>1.3076224702099486</v>
          </cell>
          <cell r="F230">
            <v>1.3080472602102526</v>
          </cell>
          <cell r="G230">
            <v>1.2945368171021376</v>
          </cell>
          <cell r="H230">
            <v>1.295358649789029</v>
          </cell>
          <cell r="O230">
            <v>1.3672896699269002</v>
          </cell>
          <cell r="P230">
            <v>1.3671607753705823</v>
          </cell>
          <cell r="Q230">
            <v>1.3671607753705823</v>
          </cell>
          <cell r="R230">
            <v>1.3675622622991039</v>
          </cell>
          <cell r="S230">
            <v>1.3548412965725196</v>
          </cell>
          <cell r="T230">
            <v>1.3555908850026503</v>
          </cell>
          <cell r="AA230">
            <v>1.3672896699269002</v>
          </cell>
          <cell r="AB230">
            <v>1.3671607753705823</v>
          </cell>
          <cell r="AC230">
            <v>1.3076224702099486</v>
          </cell>
          <cell r="AD230">
            <v>1.3080472602102526</v>
          </cell>
          <cell r="AE230">
            <v>1.2945368171021376</v>
          </cell>
          <cell r="AF230">
            <v>1.295358649789029</v>
          </cell>
          <cell r="AM230">
            <v>1.3610733723620612</v>
          </cell>
          <cell r="AN230">
            <v>1.3609470756528876</v>
          </cell>
          <cell r="AO230">
            <v>1.3609470756528876</v>
          </cell>
          <cell r="AP230">
            <v>1.3266393261895317</v>
          </cell>
          <cell r="AQ230">
            <v>1.3485391444713466</v>
          </cell>
          <cell r="AR230">
            <v>1.3493087327183177</v>
          </cell>
        </row>
        <row r="231">
          <cell r="D231">
            <v>156</v>
          </cell>
          <cell r="E231">
            <v>1.3076224702099486</v>
          </cell>
          <cell r="F231">
            <v>1.3080472602102526</v>
          </cell>
          <cell r="G231">
            <v>1.2945368171021376</v>
          </cell>
          <cell r="H231">
            <v>1.295358649789029</v>
          </cell>
          <cell r="O231">
            <v>1.3672896699269002</v>
          </cell>
          <cell r="P231">
            <v>1.3671607753705823</v>
          </cell>
          <cell r="Q231">
            <v>1.3671607753705823</v>
          </cell>
          <cell r="R231">
            <v>1.3675622622991039</v>
          </cell>
          <cell r="S231">
            <v>1.3548412965725196</v>
          </cell>
          <cell r="T231">
            <v>1.3555908850026503</v>
          </cell>
          <cell r="AA231">
            <v>1.3672896699269002</v>
          </cell>
          <cell r="AB231">
            <v>1.3671607753705823</v>
          </cell>
          <cell r="AC231">
            <v>1.3076224702099486</v>
          </cell>
          <cell r="AD231">
            <v>1.3080472602102526</v>
          </cell>
          <cell r="AE231">
            <v>1.2945368171021376</v>
          </cell>
          <cell r="AF231">
            <v>1.295358649789029</v>
          </cell>
          <cell r="AM231">
            <v>1.3610733723620612</v>
          </cell>
          <cell r="AN231">
            <v>1.3609470756528876</v>
          </cell>
          <cell r="AO231">
            <v>1.3609470756528876</v>
          </cell>
          <cell r="AP231">
            <v>1.3266393261895317</v>
          </cell>
          <cell r="AQ231">
            <v>1.3485391444713466</v>
          </cell>
          <cell r="AR231">
            <v>1.3493087327183177</v>
          </cell>
        </row>
        <row r="232">
          <cell r="D232">
            <v>157</v>
          </cell>
          <cell r="E232">
            <v>1.3076224702099486</v>
          </cell>
          <cell r="F232">
            <v>1.3080472602102526</v>
          </cell>
          <cell r="G232">
            <v>1.2945368171021376</v>
          </cell>
          <cell r="H232">
            <v>1.295358649789029</v>
          </cell>
          <cell r="O232">
            <v>1.3672896699269002</v>
          </cell>
          <cell r="P232">
            <v>1.3671607753705823</v>
          </cell>
          <cell r="Q232">
            <v>1.3671607753705823</v>
          </cell>
          <cell r="R232">
            <v>1.3675622622991039</v>
          </cell>
          <cell r="S232">
            <v>1.3548412965725196</v>
          </cell>
          <cell r="T232">
            <v>1.3555908850026503</v>
          </cell>
          <cell r="AA232">
            <v>1.3672896699269002</v>
          </cell>
          <cell r="AB232">
            <v>1.3671607753705823</v>
          </cell>
          <cell r="AC232">
            <v>1.3076224702099486</v>
          </cell>
          <cell r="AD232">
            <v>1.3080472602102526</v>
          </cell>
          <cell r="AE232">
            <v>1.2945368171021376</v>
          </cell>
          <cell r="AF232">
            <v>1.295358649789029</v>
          </cell>
          <cell r="AM232">
            <v>1.3610733723620612</v>
          </cell>
          <cell r="AN232">
            <v>1.3609470756528876</v>
          </cell>
          <cell r="AO232">
            <v>1.3609470756528876</v>
          </cell>
          <cell r="AP232">
            <v>1.3266393261895317</v>
          </cell>
          <cell r="AQ232">
            <v>1.3485391444713466</v>
          </cell>
          <cell r="AR232">
            <v>1.3493087327183177</v>
          </cell>
        </row>
        <row r="233">
          <cell r="D233">
            <v>158</v>
          </cell>
          <cell r="E233">
            <v>1.3076224702099486</v>
          </cell>
          <cell r="F233">
            <v>1.3080472602102526</v>
          </cell>
          <cell r="G233">
            <v>1.2945368171021376</v>
          </cell>
          <cell r="H233">
            <v>1.295358649789029</v>
          </cell>
          <cell r="O233">
            <v>1.3672896699269002</v>
          </cell>
          <cell r="P233">
            <v>1.3671607753705823</v>
          </cell>
          <cell r="Q233">
            <v>1.3671607753705823</v>
          </cell>
          <cell r="R233">
            <v>1.3675622622991039</v>
          </cell>
          <cell r="S233">
            <v>1.3548412965725196</v>
          </cell>
          <cell r="T233">
            <v>1.3555908850026503</v>
          </cell>
          <cell r="AA233">
            <v>1.3672896699269002</v>
          </cell>
          <cell r="AB233">
            <v>1.3671607753705823</v>
          </cell>
          <cell r="AC233">
            <v>1.3076224702099486</v>
          </cell>
          <cell r="AD233">
            <v>1.3080472602102526</v>
          </cell>
          <cell r="AE233">
            <v>1.2945368171021376</v>
          </cell>
          <cell r="AF233">
            <v>1.295358649789029</v>
          </cell>
          <cell r="AM233">
            <v>1.3610733723620612</v>
          </cell>
          <cell r="AN233">
            <v>1.3609470756528876</v>
          </cell>
          <cell r="AO233">
            <v>1.3609470756528876</v>
          </cell>
          <cell r="AP233">
            <v>1.3266393261895317</v>
          </cell>
          <cell r="AQ233">
            <v>1.3485391444713466</v>
          </cell>
          <cell r="AR233">
            <v>1.3493087327183177</v>
          </cell>
        </row>
        <row r="234">
          <cell r="D234">
            <v>159</v>
          </cell>
          <cell r="E234">
            <v>1.3076224702099486</v>
          </cell>
          <cell r="F234">
            <v>1.3080472602102526</v>
          </cell>
          <cell r="G234">
            <v>1.2945368171021376</v>
          </cell>
          <cell r="H234">
            <v>1.295358649789029</v>
          </cell>
          <cell r="O234">
            <v>1.3672896699269002</v>
          </cell>
          <cell r="P234">
            <v>1.3671607753705823</v>
          </cell>
          <cell r="Q234">
            <v>1.3671607753705823</v>
          </cell>
          <cell r="R234">
            <v>1.3675622622991039</v>
          </cell>
          <cell r="S234">
            <v>1.3548412965725196</v>
          </cell>
          <cell r="T234">
            <v>1.3555908850026503</v>
          </cell>
          <cell r="AA234">
            <v>1.3672896699269002</v>
          </cell>
          <cell r="AB234">
            <v>1.3671607753705823</v>
          </cell>
          <cell r="AC234">
            <v>1.3076224702099486</v>
          </cell>
          <cell r="AD234">
            <v>1.3080472602102526</v>
          </cell>
          <cell r="AE234">
            <v>1.2945368171021376</v>
          </cell>
          <cell r="AF234">
            <v>1.295358649789029</v>
          </cell>
          <cell r="AM234">
            <v>1.3610733723620612</v>
          </cell>
          <cell r="AN234">
            <v>1.3609470756528876</v>
          </cell>
          <cell r="AO234">
            <v>1.3609470756528876</v>
          </cell>
          <cell r="AP234">
            <v>1.3266393261895317</v>
          </cell>
          <cell r="AQ234">
            <v>1.3485391444713466</v>
          </cell>
          <cell r="AR234">
            <v>1.3493087327183177</v>
          </cell>
        </row>
        <row r="235">
          <cell r="D235">
            <v>160</v>
          </cell>
          <cell r="E235">
            <v>1.3076224702099486</v>
          </cell>
          <cell r="F235">
            <v>1.3080472602102526</v>
          </cell>
          <cell r="G235">
            <v>1.2945368171021376</v>
          </cell>
          <cell r="H235">
            <v>1.295358649789029</v>
          </cell>
          <cell r="O235">
            <v>1.3672896699269002</v>
          </cell>
          <cell r="P235">
            <v>1.3671607753705823</v>
          </cell>
          <cell r="Q235">
            <v>1.3671607753705823</v>
          </cell>
          <cell r="R235">
            <v>1.3675622622991039</v>
          </cell>
          <cell r="S235">
            <v>1.3548412965725196</v>
          </cell>
          <cell r="T235">
            <v>1.3555908850026503</v>
          </cell>
          <cell r="AA235">
            <v>1.3672896699269002</v>
          </cell>
          <cell r="AB235">
            <v>1.3671607753705823</v>
          </cell>
          <cell r="AC235">
            <v>1.3076224702099486</v>
          </cell>
          <cell r="AD235">
            <v>1.3080472602102526</v>
          </cell>
          <cell r="AE235">
            <v>1.2945368171021376</v>
          </cell>
          <cell r="AF235">
            <v>1.295358649789029</v>
          </cell>
          <cell r="AM235">
            <v>1.3610733723620612</v>
          </cell>
          <cell r="AN235">
            <v>1.3609470756528876</v>
          </cell>
          <cell r="AO235">
            <v>1.3609470756528876</v>
          </cell>
          <cell r="AP235">
            <v>1.3266393261895317</v>
          </cell>
          <cell r="AQ235">
            <v>1.3485391444713466</v>
          </cell>
          <cell r="AR235">
            <v>1.3493087327183177</v>
          </cell>
        </row>
        <row r="236">
          <cell r="D236">
            <v>161</v>
          </cell>
          <cell r="E236">
            <v>1.3076224702099486</v>
          </cell>
          <cell r="F236">
            <v>1.3080472602102526</v>
          </cell>
          <cell r="G236">
            <v>1.2945368171021376</v>
          </cell>
          <cell r="H236">
            <v>1.295358649789029</v>
          </cell>
          <cell r="O236">
            <v>1.3672896699269002</v>
          </cell>
          <cell r="P236">
            <v>1.3671607753705823</v>
          </cell>
          <cell r="Q236">
            <v>1.3671607753705823</v>
          </cell>
          <cell r="R236">
            <v>1.3675622622991039</v>
          </cell>
          <cell r="S236">
            <v>1.3548412965725196</v>
          </cell>
          <cell r="T236">
            <v>1.3555908850026503</v>
          </cell>
          <cell r="AA236">
            <v>1.3672896699269002</v>
          </cell>
          <cell r="AB236">
            <v>1.3671607753705823</v>
          </cell>
          <cell r="AC236">
            <v>1.3076224702099486</v>
          </cell>
          <cell r="AD236">
            <v>1.3080472602102526</v>
          </cell>
          <cell r="AE236">
            <v>1.2945368171021376</v>
          </cell>
          <cell r="AF236">
            <v>1.295358649789029</v>
          </cell>
          <cell r="AM236">
            <v>1.3610733723620612</v>
          </cell>
          <cell r="AN236">
            <v>1.3609470756528876</v>
          </cell>
          <cell r="AO236">
            <v>1.3609470756528876</v>
          </cell>
          <cell r="AP236">
            <v>1.3266393261895317</v>
          </cell>
          <cell r="AQ236">
            <v>1.3485391444713466</v>
          </cell>
          <cell r="AR236">
            <v>1.3493087327183177</v>
          </cell>
        </row>
        <row r="237">
          <cell r="D237">
            <v>162</v>
          </cell>
          <cell r="E237">
            <v>1.3076224702099486</v>
          </cell>
          <cell r="F237">
            <v>1.3080472602102526</v>
          </cell>
          <cell r="G237">
            <v>1.2945368171021376</v>
          </cell>
          <cell r="H237">
            <v>1.295358649789029</v>
          </cell>
          <cell r="O237">
            <v>1.3672896699269002</v>
          </cell>
          <cell r="P237">
            <v>1.3671607753705823</v>
          </cell>
          <cell r="Q237">
            <v>1.3671607753705823</v>
          </cell>
          <cell r="R237">
            <v>1.3675622622991039</v>
          </cell>
          <cell r="S237">
            <v>1.3548412965725196</v>
          </cell>
          <cell r="T237">
            <v>1.3555908850026503</v>
          </cell>
          <cell r="AA237">
            <v>1.3672896699269002</v>
          </cell>
          <cell r="AB237">
            <v>1.3671607753705823</v>
          </cell>
          <cell r="AC237">
            <v>1.3076224702099486</v>
          </cell>
          <cell r="AD237">
            <v>1.3080472602102526</v>
          </cell>
          <cell r="AE237">
            <v>1.2945368171021376</v>
          </cell>
          <cell r="AF237">
            <v>1.295358649789029</v>
          </cell>
          <cell r="AM237">
            <v>1.3610733723620612</v>
          </cell>
          <cell r="AN237">
            <v>1.3609470756528876</v>
          </cell>
          <cell r="AO237">
            <v>1.3609470756528876</v>
          </cell>
          <cell r="AP237">
            <v>1.3266393261895317</v>
          </cell>
          <cell r="AQ237">
            <v>1.3485391444713466</v>
          </cell>
          <cell r="AR237">
            <v>1.3493087327183177</v>
          </cell>
        </row>
        <row r="238">
          <cell r="D238">
            <v>163</v>
          </cell>
          <cell r="E238">
            <v>1.3076224702099486</v>
          </cell>
          <cell r="F238">
            <v>1.3080472602102526</v>
          </cell>
          <cell r="G238">
            <v>1.2945368171021376</v>
          </cell>
          <cell r="H238">
            <v>1.295358649789029</v>
          </cell>
          <cell r="O238">
            <v>1.3672896699269002</v>
          </cell>
          <cell r="P238">
            <v>1.3671607753705823</v>
          </cell>
          <cell r="Q238">
            <v>1.3671607753705823</v>
          </cell>
          <cell r="R238">
            <v>1.3675622622991039</v>
          </cell>
          <cell r="S238">
            <v>1.3548412965725196</v>
          </cell>
          <cell r="T238">
            <v>1.3555908850026503</v>
          </cell>
          <cell r="AA238">
            <v>1.3672896699269002</v>
          </cell>
          <cell r="AB238">
            <v>1.3671607753705823</v>
          </cell>
          <cell r="AC238">
            <v>1.3076224702099486</v>
          </cell>
          <cell r="AD238">
            <v>1.3080472602102526</v>
          </cell>
          <cell r="AE238">
            <v>1.2945368171021376</v>
          </cell>
          <cell r="AF238">
            <v>1.295358649789029</v>
          </cell>
          <cell r="AM238">
            <v>1.3610733723620612</v>
          </cell>
          <cell r="AN238">
            <v>1.3609470756528876</v>
          </cell>
          <cell r="AO238">
            <v>1.3609470756528876</v>
          </cell>
          <cell r="AP238">
            <v>1.3266393261895317</v>
          </cell>
          <cell r="AQ238">
            <v>1.3485391444713466</v>
          </cell>
          <cell r="AR238">
            <v>1.3493087327183177</v>
          </cell>
        </row>
        <row r="239">
          <cell r="D239">
            <v>164</v>
          </cell>
          <cell r="E239">
            <v>1.3076224702099486</v>
          </cell>
          <cell r="F239">
            <v>1.3080472602102526</v>
          </cell>
          <cell r="G239">
            <v>1.2945368171021376</v>
          </cell>
          <cell r="H239">
            <v>1.295358649789029</v>
          </cell>
          <cell r="O239">
            <v>1.3672896699269002</v>
          </cell>
          <cell r="P239">
            <v>1.3671607753705823</v>
          </cell>
          <cell r="Q239">
            <v>1.3671607753705823</v>
          </cell>
          <cell r="R239">
            <v>1.3675622622991039</v>
          </cell>
          <cell r="S239">
            <v>1.3548412965725196</v>
          </cell>
          <cell r="T239">
            <v>1.3555908850026503</v>
          </cell>
          <cell r="AA239">
            <v>1.3672896699269002</v>
          </cell>
          <cell r="AB239">
            <v>1.3671607753705823</v>
          </cell>
          <cell r="AC239">
            <v>1.3076224702099486</v>
          </cell>
          <cell r="AD239">
            <v>1.3080472602102526</v>
          </cell>
          <cell r="AE239">
            <v>1.2945368171021376</v>
          </cell>
          <cell r="AF239">
            <v>1.295358649789029</v>
          </cell>
          <cell r="AM239">
            <v>1.3610733723620612</v>
          </cell>
          <cell r="AN239">
            <v>1.3609470756528876</v>
          </cell>
          <cell r="AO239">
            <v>1.3609470756528876</v>
          </cell>
          <cell r="AP239">
            <v>1.3266393261895317</v>
          </cell>
          <cell r="AQ239">
            <v>1.3485391444713466</v>
          </cell>
          <cell r="AR239">
            <v>1.3493087327183177</v>
          </cell>
        </row>
        <row r="240">
          <cell r="D240">
            <v>165</v>
          </cell>
          <cell r="E240">
            <v>1.3076224702099486</v>
          </cell>
          <cell r="F240">
            <v>1.3080472602102526</v>
          </cell>
          <cell r="G240">
            <v>1.2945368171021376</v>
          </cell>
          <cell r="H240">
            <v>1.295358649789029</v>
          </cell>
          <cell r="O240">
            <v>1.3672896699269002</v>
          </cell>
          <cell r="P240">
            <v>1.3671607753705823</v>
          </cell>
          <cell r="Q240">
            <v>1.3671607753705823</v>
          </cell>
          <cell r="R240">
            <v>1.3675622622991039</v>
          </cell>
          <cell r="S240">
            <v>1.3548412965725196</v>
          </cell>
          <cell r="T240">
            <v>1.3555908850026503</v>
          </cell>
          <cell r="AA240">
            <v>1.3672896699269002</v>
          </cell>
          <cell r="AB240">
            <v>1.3671607753705823</v>
          </cell>
          <cell r="AC240">
            <v>1.3076224702099486</v>
          </cell>
          <cell r="AD240">
            <v>1.3080472602102526</v>
          </cell>
          <cell r="AE240">
            <v>1.2945368171021376</v>
          </cell>
          <cell r="AF240">
            <v>1.295358649789029</v>
          </cell>
          <cell r="AM240">
            <v>1.3610733723620612</v>
          </cell>
          <cell r="AN240">
            <v>1.3609470756528876</v>
          </cell>
          <cell r="AO240">
            <v>1.3609470756528876</v>
          </cell>
          <cell r="AP240">
            <v>1.3266393261895317</v>
          </cell>
          <cell r="AQ240">
            <v>1.3485391444713466</v>
          </cell>
          <cell r="AR240">
            <v>1.3493087327183177</v>
          </cell>
        </row>
        <row r="241">
          <cell r="D241">
            <v>166</v>
          </cell>
          <cell r="E241">
            <v>1.3076224702099486</v>
          </cell>
          <cell r="F241">
            <v>1.3080472602102526</v>
          </cell>
          <cell r="G241">
            <v>1.2945368171021376</v>
          </cell>
          <cell r="H241">
            <v>1.295358649789029</v>
          </cell>
          <cell r="O241">
            <v>1.3672896699269002</v>
          </cell>
          <cell r="P241">
            <v>1.3671607753705823</v>
          </cell>
          <cell r="Q241">
            <v>1.3671607753705823</v>
          </cell>
          <cell r="R241">
            <v>1.3675622622991039</v>
          </cell>
          <cell r="S241">
            <v>1.3548412965725196</v>
          </cell>
          <cell r="T241">
            <v>1.3555908850026503</v>
          </cell>
          <cell r="AA241">
            <v>1.3672896699269002</v>
          </cell>
          <cell r="AB241">
            <v>1.3671607753705823</v>
          </cell>
          <cell r="AC241">
            <v>1.3076224702099486</v>
          </cell>
          <cell r="AD241">
            <v>1.3080472602102526</v>
          </cell>
          <cell r="AE241">
            <v>1.2945368171021376</v>
          </cell>
          <cell r="AF241">
            <v>1.295358649789029</v>
          </cell>
          <cell r="AM241">
            <v>1.3610733723620612</v>
          </cell>
          <cell r="AN241">
            <v>1.3609470756528876</v>
          </cell>
          <cell r="AO241">
            <v>1.3609470756528876</v>
          </cell>
          <cell r="AP241">
            <v>1.3266393261895317</v>
          </cell>
          <cell r="AQ241">
            <v>1.3485391444713466</v>
          </cell>
          <cell r="AR241">
            <v>1.3493087327183177</v>
          </cell>
        </row>
        <row r="242">
          <cell r="D242">
            <v>167</v>
          </cell>
          <cell r="E242">
            <v>1.3076224702099486</v>
          </cell>
          <cell r="F242">
            <v>1.3080472602102526</v>
          </cell>
          <cell r="G242">
            <v>1.2945368171021376</v>
          </cell>
          <cell r="H242">
            <v>1.295358649789029</v>
          </cell>
          <cell r="O242">
            <v>1.3672896699269002</v>
          </cell>
          <cell r="P242">
            <v>1.3671607753705823</v>
          </cell>
          <cell r="Q242">
            <v>1.3671607753705823</v>
          </cell>
          <cell r="R242">
            <v>1.3675622622991039</v>
          </cell>
          <cell r="S242">
            <v>1.3548412965725196</v>
          </cell>
          <cell r="T242">
            <v>1.3555908850026503</v>
          </cell>
          <cell r="AA242">
            <v>1.3672896699269002</v>
          </cell>
          <cell r="AB242">
            <v>1.3671607753705823</v>
          </cell>
          <cell r="AC242">
            <v>1.3076224702099486</v>
          </cell>
          <cell r="AD242">
            <v>1.3080472602102526</v>
          </cell>
          <cell r="AE242">
            <v>1.2945368171021376</v>
          </cell>
          <cell r="AF242">
            <v>1.295358649789029</v>
          </cell>
          <cell r="AM242">
            <v>1.3610733723620612</v>
          </cell>
          <cell r="AN242">
            <v>1.3609470756528876</v>
          </cell>
          <cell r="AO242">
            <v>1.3609470756528876</v>
          </cell>
          <cell r="AP242">
            <v>1.3266393261895317</v>
          </cell>
          <cell r="AQ242">
            <v>1.3485391444713466</v>
          </cell>
          <cell r="AR242">
            <v>1.3493087327183177</v>
          </cell>
        </row>
        <row r="243">
          <cell r="D243">
            <v>168</v>
          </cell>
          <cell r="E243">
            <v>1.3076224702099486</v>
          </cell>
          <cell r="F243">
            <v>1.3080472602102526</v>
          </cell>
          <cell r="G243">
            <v>1.2945368171021376</v>
          </cell>
          <cell r="H243">
            <v>1.295358649789029</v>
          </cell>
          <cell r="O243">
            <v>1.3672896699269002</v>
          </cell>
          <cell r="P243">
            <v>1.3671607753705823</v>
          </cell>
          <cell r="Q243">
            <v>1.3671607753705823</v>
          </cell>
          <cell r="R243">
            <v>1.3675622622991039</v>
          </cell>
          <cell r="S243">
            <v>1.3548412965725196</v>
          </cell>
          <cell r="T243">
            <v>1.3555908850026503</v>
          </cell>
          <cell r="AA243">
            <v>1.3672896699269002</v>
          </cell>
          <cell r="AB243">
            <v>1.3671607753705823</v>
          </cell>
          <cell r="AC243">
            <v>1.3076224702099486</v>
          </cell>
          <cell r="AD243">
            <v>1.3080472602102526</v>
          </cell>
          <cell r="AE243">
            <v>1.2945368171021376</v>
          </cell>
          <cell r="AF243">
            <v>1.295358649789029</v>
          </cell>
          <cell r="AM243">
            <v>1.3610733723620612</v>
          </cell>
          <cell r="AN243">
            <v>1.3609470756528876</v>
          </cell>
          <cell r="AO243">
            <v>1.3609470756528876</v>
          </cell>
          <cell r="AP243">
            <v>1.3266393261895317</v>
          </cell>
          <cell r="AQ243">
            <v>1.3485391444713466</v>
          </cell>
          <cell r="AR243">
            <v>1.3493087327183177</v>
          </cell>
        </row>
      </sheetData>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2:H19"/>
  <sheetViews>
    <sheetView tabSelected="1" view="pageLayout" topLeftCell="A13" zoomScaleNormal="100" workbookViewId="0">
      <selection activeCell="B28" sqref="B28"/>
    </sheetView>
  </sheetViews>
  <sheetFormatPr defaultRowHeight="12.75"/>
  <cols>
    <col min="1" max="1" width="29.5703125" style="140" customWidth="1"/>
    <col min="2" max="2" width="100.42578125" style="140" customWidth="1"/>
    <col min="3" max="3" width="65.7109375" style="140" customWidth="1"/>
    <col min="4" max="4" width="30.28515625" style="140" customWidth="1"/>
    <col min="5" max="16384" width="9.140625" style="140"/>
  </cols>
  <sheetData>
    <row r="2" spans="1:8">
      <c r="A2" s="268" t="s">
        <v>788</v>
      </c>
    </row>
    <row r="3" spans="1:8">
      <c r="A3" s="268" t="s">
        <v>744</v>
      </c>
    </row>
    <row r="5" spans="1:8" ht="145.5" customHeight="1">
      <c r="A5" s="141" t="s">
        <v>742</v>
      </c>
      <c r="B5" s="753" t="s">
        <v>743</v>
      </c>
      <c r="C5" s="753"/>
      <c r="D5" s="753"/>
      <c r="E5" s="753"/>
      <c r="F5" s="753"/>
      <c r="G5" s="753"/>
      <c r="H5" s="753"/>
    </row>
    <row r="7" spans="1:8">
      <c r="A7" s="141" t="s">
        <v>745</v>
      </c>
    </row>
    <row r="8" spans="1:8">
      <c r="A8" s="141" t="s">
        <v>747</v>
      </c>
      <c r="B8" s="141" t="s">
        <v>748</v>
      </c>
      <c r="C8" s="141" t="s">
        <v>749</v>
      </c>
      <c r="D8" s="141" t="s">
        <v>750</v>
      </c>
    </row>
    <row r="9" spans="1:8" ht="51">
      <c r="A9" s="140" t="s">
        <v>746</v>
      </c>
      <c r="B9" s="142" t="s">
        <v>753</v>
      </c>
      <c r="C9" s="140" t="s">
        <v>751</v>
      </c>
      <c r="D9" s="140" t="s">
        <v>754</v>
      </c>
    </row>
    <row r="10" spans="1:8" ht="38.25">
      <c r="A10" s="140" t="s">
        <v>755</v>
      </c>
      <c r="B10" s="142" t="s">
        <v>758</v>
      </c>
      <c r="C10" s="140" t="s">
        <v>757</v>
      </c>
      <c r="D10" s="143" t="s">
        <v>786</v>
      </c>
    </row>
    <row r="11" spans="1:8" ht="51">
      <c r="A11" s="140" t="s">
        <v>756</v>
      </c>
      <c r="B11" s="142" t="s">
        <v>759</v>
      </c>
      <c r="C11" s="140" t="s">
        <v>760</v>
      </c>
      <c r="D11" s="140" t="s">
        <v>784</v>
      </c>
    </row>
    <row r="12" spans="1:8">
      <c r="A12" s="140" t="s">
        <v>761</v>
      </c>
      <c r="B12" s="142" t="s">
        <v>764</v>
      </c>
      <c r="C12" s="140" t="s">
        <v>785</v>
      </c>
      <c r="D12" s="140" t="s">
        <v>53</v>
      </c>
    </row>
    <row r="13" spans="1:8">
      <c r="A13" s="140" t="s">
        <v>762</v>
      </c>
      <c r="B13" s="142" t="s">
        <v>765</v>
      </c>
      <c r="C13" s="140" t="s">
        <v>785</v>
      </c>
      <c r="D13" s="140" t="s">
        <v>53</v>
      </c>
    </row>
    <row r="14" spans="1:8">
      <c r="A14" s="140" t="s">
        <v>763</v>
      </c>
      <c r="B14" s="142" t="s">
        <v>766</v>
      </c>
      <c r="C14" s="140" t="s">
        <v>780</v>
      </c>
      <c r="D14" s="140" t="s">
        <v>787</v>
      </c>
    </row>
    <row r="15" spans="1:8">
      <c r="A15" s="140" t="s">
        <v>769</v>
      </c>
      <c r="B15" s="142" t="s">
        <v>767</v>
      </c>
      <c r="C15" s="140" t="s">
        <v>783</v>
      </c>
      <c r="D15" s="140" t="s">
        <v>782</v>
      </c>
    </row>
    <row r="16" spans="1:8">
      <c r="A16" s="140" t="s">
        <v>768</v>
      </c>
      <c r="B16" s="142" t="s">
        <v>770</v>
      </c>
      <c r="C16" s="140" t="s">
        <v>780</v>
      </c>
      <c r="D16" s="140" t="s">
        <v>781</v>
      </c>
    </row>
    <row r="17" spans="1:4">
      <c r="A17" s="140" t="s">
        <v>771</v>
      </c>
      <c r="B17" s="142" t="s">
        <v>772</v>
      </c>
      <c r="C17" s="140" t="s">
        <v>773</v>
      </c>
      <c r="D17" s="140" t="s">
        <v>53</v>
      </c>
    </row>
    <row r="18" spans="1:4">
      <c r="A18" s="140" t="s">
        <v>774</v>
      </c>
      <c r="B18" s="142" t="s">
        <v>778</v>
      </c>
      <c r="C18" s="140" t="s">
        <v>779</v>
      </c>
      <c r="D18" s="140" t="s">
        <v>779</v>
      </c>
    </row>
    <row r="19" spans="1:4">
      <c r="A19" s="140" t="s">
        <v>775</v>
      </c>
      <c r="B19" s="142" t="s">
        <v>776</v>
      </c>
      <c r="C19" s="140" t="s">
        <v>777</v>
      </c>
      <c r="D19" s="140" t="s">
        <v>53</v>
      </c>
    </row>
  </sheetData>
  <mergeCells count="1">
    <mergeCell ref="B5:H5"/>
  </mergeCells>
  <pageMargins left="0.7" right="0.7" top="0.75" bottom="0.75" header="0.3" footer="0.3"/>
  <pageSetup paperSize="119" orientation="landscape" horizontalDpi="1200" verticalDpi="1200" r:id="rId1"/>
  <headerFooter>
    <oddHeader>&amp;LAppendix E: Incremental Cost Calculation&amp;RDraft Clean Energy Implementation Plan</oddHeader>
    <oddFooter>&amp;LOCTOBER 15, 2021&amp;C&amp;P of &amp;N&amp;RPuget Sound Energy</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3"/>
  <sheetViews>
    <sheetView topLeftCell="A22" workbookViewId="0">
      <selection activeCell="A23" sqref="A23:XFD23"/>
    </sheetView>
  </sheetViews>
  <sheetFormatPr defaultRowHeight="15"/>
  <cols>
    <col min="1" max="1" width="48.85546875" bestFit="1" customWidth="1"/>
    <col min="2" max="2" width="18.5703125" bestFit="1" customWidth="1"/>
    <col min="3" max="3" width="12.7109375" bestFit="1" customWidth="1"/>
    <col min="4" max="4" width="4.42578125" bestFit="1" customWidth="1"/>
    <col min="5" max="5" width="18.28515625" customWidth="1"/>
    <col min="6" max="6" width="22.42578125" customWidth="1"/>
    <col min="7" max="7" width="23.85546875" customWidth="1"/>
    <col min="8" max="8" width="12.5703125" bestFit="1" customWidth="1"/>
    <col min="9" max="9" width="11.28515625" customWidth="1"/>
    <col min="10" max="11" width="11.5703125" bestFit="1" customWidth="1"/>
    <col min="12" max="12" width="12.5703125" bestFit="1" customWidth="1"/>
    <col min="13" max="13" width="13.28515625" customWidth="1"/>
    <col min="14" max="14" width="12.5703125" bestFit="1" customWidth="1"/>
    <col min="18" max="18" width="12.5703125" bestFit="1" customWidth="1"/>
  </cols>
  <sheetData>
    <row r="1" spans="1:18">
      <c r="A1" s="54" t="s">
        <v>119</v>
      </c>
      <c r="B1" s="54"/>
      <c r="C1" s="54"/>
      <c r="D1" s="54"/>
      <c r="E1" s="54"/>
      <c r="F1" s="54"/>
      <c r="G1" s="54"/>
      <c r="H1" s="767" t="s">
        <v>40</v>
      </c>
      <c r="I1" s="767"/>
      <c r="J1" s="767"/>
      <c r="K1" s="767"/>
      <c r="L1" s="767"/>
      <c r="M1" s="59"/>
      <c r="N1" s="767" t="s">
        <v>41</v>
      </c>
      <c r="O1" s="767"/>
      <c r="P1" s="767"/>
      <c r="Q1" s="767"/>
      <c r="R1" s="767"/>
    </row>
    <row r="2" spans="1:18" ht="30">
      <c r="A2" s="59" t="s">
        <v>42</v>
      </c>
      <c r="B2" s="59" t="s">
        <v>43</v>
      </c>
      <c r="C2" s="59" t="s">
        <v>44</v>
      </c>
      <c r="D2" s="59" t="s">
        <v>45</v>
      </c>
      <c r="E2" s="59" t="s">
        <v>46</v>
      </c>
      <c r="F2" s="59" t="s">
        <v>47</v>
      </c>
      <c r="G2" s="59" t="s">
        <v>48</v>
      </c>
      <c r="H2" s="59">
        <v>2022</v>
      </c>
      <c r="I2" s="59">
        <v>2023</v>
      </c>
      <c r="J2" s="59">
        <v>2024</v>
      </c>
      <c r="K2" s="59">
        <v>2025</v>
      </c>
      <c r="L2" s="60" t="s">
        <v>15</v>
      </c>
      <c r="M2" s="61" t="s">
        <v>49</v>
      </c>
      <c r="N2" s="59">
        <v>2022</v>
      </c>
      <c r="O2" s="59">
        <v>2023</v>
      </c>
      <c r="P2" s="59">
        <v>2024</v>
      </c>
      <c r="Q2" s="59">
        <v>2025</v>
      </c>
      <c r="R2" s="60" t="s">
        <v>15</v>
      </c>
    </row>
    <row r="3" spans="1:18">
      <c r="A3" s="59"/>
      <c r="B3" s="59"/>
      <c r="C3" s="59"/>
      <c r="D3" s="59"/>
      <c r="E3" s="59"/>
      <c r="F3" s="59"/>
      <c r="G3" s="59"/>
      <c r="H3" s="59"/>
      <c r="I3" s="59"/>
      <c r="J3" s="59"/>
      <c r="K3" s="59"/>
      <c r="L3" s="60"/>
      <c r="M3" s="61"/>
      <c r="N3" s="59"/>
      <c r="O3" s="59"/>
      <c r="P3" s="59"/>
      <c r="Q3" s="59"/>
      <c r="R3" s="60"/>
    </row>
    <row r="4" spans="1:18">
      <c r="A4" s="62" t="s">
        <v>50</v>
      </c>
      <c r="B4" s="59"/>
      <c r="C4" s="59"/>
      <c r="D4" s="59"/>
      <c r="E4" s="59"/>
      <c r="F4" s="59"/>
      <c r="G4" s="59"/>
      <c r="H4" s="59"/>
      <c r="I4" s="59"/>
      <c r="J4" s="59"/>
      <c r="K4" s="59"/>
      <c r="L4" s="60"/>
      <c r="M4" s="61"/>
      <c r="N4" s="59"/>
      <c r="O4" s="59"/>
      <c r="P4" s="59"/>
      <c r="Q4" s="59"/>
      <c r="R4" s="60"/>
    </row>
    <row r="5" spans="1:18">
      <c r="A5" s="60" t="s">
        <v>51</v>
      </c>
      <c r="B5" s="57" t="s">
        <v>52</v>
      </c>
      <c r="C5" s="58" t="s">
        <v>53</v>
      </c>
      <c r="D5" s="59"/>
      <c r="E5" s="59"/>
      <c r="F5" s="63" t="s">
        <v>54</v>
      </c>
      <c r="G5" s="58" t="s">
        <v>55</v>
      </c>
      <c r="H5" s="64">
        <v>160807.5</v>
      </c>
      <c r="I5" s="64">
        <v>0</v>
      </c>
      <c r="J5" s="64">
        <v>55122.5</v>
      </c>
      <c r="K5" s="64">
        <v>0</v>
      </c>
      <c r="L5" s="65">
        <v>215930</v>
      </c>
      <c r="M5" s="74">
        <v>1</v>
      </c>
      <c r="N5" s="66">
        <v>160807.5</v>
      </c>
      <c r="O5" s="66">
        <v>0</v>
      </c>
      <c r="P5" s="66">
        <v>55122.5</v>
      </c>
      <c r="Q5" s="66">
        <v>0</v>
      </c>
      <c r="R5" s="67">
        <v>215930</v>
      </c>
    </row>
    <row r="6" spans="1:18">
      <c r="A6" s="68" t="s">
        <v>56</v>
      </c>
      <c r="B6" s="54"/>
      <c r="C6" s="54"/>
      <c r="D6" s="59"/>
      <c r="E6" s="59"/>
      <c r="F6" s="63"/>
      <c r="G6" s="54"/>
      <c r="H6" s="64">
        <v>75000</v>
      </c>
      <c r="I6" s="64">
        <v>0</v>
      </c>
      <c r="J6" s="64">
        <v>0</v>
      </c>
      <c r="K6" s="64">
        <v>0</v>
      </c>
      <c r="L6" s="65">
        <v>75000</v>
      </c>
      <c r="M6" s="54"/>
      <c r="N6" s="66">
        <v>75000</v>
      </c>
      <c r="O6" s="66">
        <v>0</v>
      </c>
      <c r="P6" s="66">
        <v>0</v>
      </c>
      <c r="Q6" s="66">
        <v>0</v>
      </c>
      <c r="R6" s="67"/>
    </row>
    <row r="7" spans="1:18">
      <c r="A7" s="69" t="s">
        <v>57</v>
      </c>
      <c r="B7" s="54"/>
      <c r="C7" s="54"/>
      <c r="D7" s="59"/>
      <c r="E7" s="59"/>
      <c r="F7" s="63"/>
      <c r="G7" s="54"/>
      <c r="H7" s="56"/>
      <c r="I7" s="66"/>
      <c r="J7" s="66"/>
      <c r="K7" s="54"/>
      <c r="L7" s="67">
        <v>0</v>
      </c>
      <c r="M7" s="54"/>
      <c r="N7" s="66"/>
      <c r="O7" s="66"/>
      <c r="P7" s="66"/>
      <c r="Q7" s="54"/>
      <c r="R7" s="67"/>
    </row>
    <row r="8" spans="1:18">
      <c r="A8" s="69" t="s">
        <v>58</v>
      </c>
      <c r="B8" s="54"/>
      <c r="C8" s="54"/>
      <c r="D8" s="59"/>
      <c r="E8" s="59"/>
      <c r="F8" s="63"/>
      <c r="G8" s="54"/>
      <c r="H8" s="56">
        <v>75000</v>
      </c>
      <c r="I8" s="56"/>
      <c r="J8" s="56"/>
      <c r="K8" s="56"/>
      <c r="L8" s="67">
        <v>75000</v>
      </c>
      <c r="M8" s="54"/>
      <c r="N8" s="66"/>
      <c r="O8" s="66"/>
      <c r="P8" s="66"/>
      <c r="Q8" s="54"/>
      <c r="R8" s="67"/>
    </row>
    <row r="9" spans="1:18">
      <c r="A9" s="69" t="s">
        <v>59</v>
      </c>
      <c r="B9" s="54"/>
      <c r="C9" s="54"/>
      <c r="D9" s="59"/>
      <c r="E9" s="59"/>
      <c r="F9" s="63"/>
      <c r="G9" s="54"/>
      <c r="H9" s="56"/>
      <c r="I9" s="56"/>
      <c r="J9" s="56"/>
      <c r="K9" s="56"/>
      <c r="L9" s="67">
        <v>0</v>
      </c>
      <c r="M9" s="54"/>
      <c r="N9" s="66"/>
      <c r="O9" s="66"/>
      <c r="P9" s="66"/>
      <c r="Q9" s="54"/>
      <c r="R9" s="67"/>
    </row>
    <row r="10" spans="1:18">
      <c r="A10" s="69" t="s">
        <v>60</v>
      </c>
      <c r="B10" s="54"/>
      <c r="C10" s="54"/>
      <c r="D10" s="59"/>
      <c r="E10" s="59"/>
      <c r="F10" s="63"/>
      <c r="G10" s="54"/>
      <c r="H10" s="56"/>
      <c r="I10" s="56"/>
      <c r="J10" s="56"/>
      <c r="K10" s="56"/>
      <c r="L10" s="67">
        <v>0</v>
      </c>
      <c r="M10" s="54"/>
      <c r="N10" s="66"/>
      <c r="O10" s="66"/>
      <c r="P10" s="66"/>
      <c r="Q10" s="54"/>
      <c r="R10" s="67"/>
    </row>
    <row r="11" spans="1:18">
      <c r="A11" s="68" t="s">
        <v>61</v>
      </c>
      <c r="B11" s="54"/>
      <c r="C11" s="54"/>
      <c r="D11" s="59"/>
      <c r="E11" s="59"/>
      <c r="F11" s="63"/>
      <c r="G11" s="54"/>
      <c r="H11" s="64">
        <v>85807.5</v>
      </c>
      <c r="I11" s="64">
        <v>0</v>
      </c>
      <c r="J11" s="64">
        <v>55122.5</v>
      </c>
      <c r="K11" s="64">
        <v>0</v>
      </c>
      <c r="L11" s="65">
        <v>140930</v>
      </c>
      <c r="M11" s="54"/>
      <c r="N11" s="66">
        <v>85807.5</v>
      </c>
      <c r="O11" s="66">
        <v>0</v>
      </c>
      <c r="P11" s="66">
        <v>55122.5</v>
      </c>
      <c r="Q11" s="66">
        <v>0</v>
      </c>
      <c r="R11" s="67">
        <v>140930</v>
      </c>
    </row>
    <row r="12" spans="1:18">
      <c r="A12" s="69" t="s">
        <v>57</v>
      </c>
      <c r="B12" s="54"/>
      <c r="C12" s="54"/>
      <c r="D12" s="59"/>
      <c r="E12" s="59"/>
      <c r="F12" s="63"/>
      <c r="G12" s="54"/>
      <c r="H12" s="70">
        <v>85807.5</v>
      </c>
      <c r="I12" s="70">
        <v>0</v>
      </c>
      <c r="J12" s="70">
        <v>55122.5</v>
      </c>
      <c r="K12" s="70">
        <v>0</v>
      </c>
      <c r="L12" s="67">
        <v>140930</v>
      </c>
      <c r="M12" s="54"/>
      <c r="N12" s="66"/>
      <c r="O12" s="66"/>
      <c r="P12" s="66"/>
      <c r="Q12" s="54"/>
      <c r="R12" s="67"/>
    </row>
    <row r="13" spans="1:18">
      <c r="A13" s="69" t="s">
        <v>58</v>
      </c>
      <c r="B13" s="54"/>
      <c r="C13" s="54"/>
      <c r="D13" s="59"/>
      <c r="E13" s="59"/>
      <c r="F13" s="63"/>
      <c r="G13" s="54"/>
      <c r="H13" s="56"/>
      <c r="I13" s="56"/>
      <c r="J13" s="56"/>
      <c r="K13" s="56"/>
      <c r="L13" s="67">
        <v>0</v>
      </c>
      <c r="M13" s="54"/>
      <c r="N13" s="66"/>
      <c r="O13" s="66"/>
      <c r="P13" s="66"/>
      <c r="Q13" s="54"/>
      <c r="R13" s="67"/>
    </row>
    <row r="14" spans="1:18">
      <c r="A14" s="69" t="s">
        <v>60</v>
      </c>
      <c r="B14" s="54"/>
      <c r="C14" s="54"/>
      <c r="D14" s="59"/>
      <c r="E14" s="59"/>
      <c r="F14" s="63"/>
      <c r="G14" s="54"/>
      <c r="H14" s="56"/>
      <c r="I14" s="56"/>
      <c r="J14" s="56"/>
      <c r="K14" s="56"/>
      <c r="L14" s="67">
        <v>0</v>
      </c>
      <c r="M14" s="54"/>
      <c r="N14" s="66"/>
      <c r="O14" s="66"/>
      <c r="P14" s="66"/>
      <c r="Q14" s="54"/>
      <c r="R14" s="67"/>
    </row>
    <row r="15" spans="1:18">
      <c r="A15" s="60" t="s">
        <v>62</v>
      </c>
      <c r="B15" s="57" t="s">
        <v>52</v>
      </c>
      <c r="C15" s="58" t="s">
        <v>53</v>
      </c>
      <c r="D15" s="59"/>
      <c r="E15" s="59"/>
      <c r="F15" s="63" t="s">
        <v>63</v>
      </c>
      <c r="G15" s="58" t="s">
        <v>64</v>
      </c>
      <c r="H15" s="64">
        <v>0</v>
      </c>
      <c r="I15" s="64">
        <v>0</v>
      </c>
      <c r="J15" s="64">
        <v>0</v>
      </c>
      <c r="K15" s="64">
        <v>200000</v>
      </c>
      <c r="L15" s="65">
        <v>200000</v>
      </c>
      <c r="M15" s="74">
        <v>1</v>
      </c>
      <c r="N15" s="66">
        <v>0</v>
      </c>
      <c r="O15" s="66">
        <v>0</v>
      </c>
      <c r="P15" s="66">
        <v>0</v>
      </c>
      <c r="Q15" s="66">
        <v>200000</v>
      </c>
      <c r="R15" s="67">
        <v>200000</v>
      </c>
    </row>
    <row r="16" spans="1:18">
      <c r="A16" s="68" t="s">
        <v>56</v>
      </c>
      <c r="B16" s="54"/>
      <c r="C16" s="54"/>
      <c r="D16" s="59"/>
      <c r="E16" s="59"/>
      <c r="F16" s="63"/>
      <c r="G16" s="54"/>
      <c r="H16" s="64">
        <v>0</v>
      </c>
      <c r="I16" s="64">
        <v>0</v>
      </c>
      <c r="J16" s="64">
        <v>0</v>
      </c>
      <c r="K16" s="64">
        <v>200000</v>
      </c>
      <c r="L16" s="65">
        <v>200000</v>
      </c>
      <c r="M16" s="54"/>
      <c r="N16" s="66">
        <v>0</v>
      </c>
      <c r="O16" s="66">
        <v>0</v>
      </c>
      <c r="P16" s="66">
        <v>0</v>
      </c>
      <c r="Q16" s="66">
        <v>200000</v>
      </c>
      <c r="R16" s="67">
        <v>200000</v>
      </c>
    </row>
    <row r="17" spans="1:18">
      <c r="A17" s="69" t="s">
        <v>57</v>
      </c>
      <c r="B17" s="54"/>
      <c r="C17" s="54"/>
      <c r="D17" s="59"/>
      <c r="E17" s="59"/>
      <c r="F17" s="63"/>
      <c r="G17" s="54"/>
      <c r="H17" s="66"/>
      <c r="I17" s="66"/>
      <c r="J17" s="66"/>
      <c r="K17" s="54"/>
      <c r="L17" s="67">
        <v>0</v>
      </c>
      <c r="M17" s="54"/>
      <c r="N17" s="66"/>
      <c r="O17" s="66"/>
      <c r="P17" s="66"/>
      <c r="Q17" s="54"/>
      <c r="R17" s="67"/>
    </row>
    <row r="18" spans="1:18">
      <c r="A18" s="69" t="s">
        <v>58</v>
      </c>
      <c r="B18" s="54"/>
      <c r="C18" s="54"/>
      <c r="D18" s="59"/>
      <c r="E18" s="59"/>
      <c r="F18" s="63"/>
      <c r="G18" s="54"/>
      <c r="H18" s="56"/>
      <c r="I18" s="56"/>
      <c r="J18" s="56"/>
      <c r="K18" s="56">
        <v>200000</v>
      </c>
      <c r="L18" s="67">
        <v>200000</v>
      </c>
      <c r="M18" s="54"/>
      <c r="N18" s="66"/>
      <c r="O18" s="66"/>
      <c r="P18" s="66"/>
      <c r="Q18" s="54"/>
      <c r="R18" s="67"/>
    </row>
    <row r="19" spans="1:18">
      <c r="A19" s="69" t="s">
        <v>59</v>
      </c>
      <c r="B19" s="54"/>
      <c r="C19" s="54"/>
      <c r="D19" s="59"/>
      <c r="E19" s="59"/>
      <c r="F19" s="63"/>
      <c r="G19" s="54"/>
      <c r="H19" s="56"/>
      <c r="I19" s="56"/>
      <c r="J19" s="56"/>
      <c r="K19" s="56"/>
      <c r="L19" s="67">
        <v>0</v>
      </c>
      <c r="M19" s="54"/>
      <c r="N19" s="66"/>
      <c r="O19" s="66"/>
      <c r="P19" s="66"/>
      <c r="Q19" s="54"/>
      <c r="R19" s="67"/>
    </row>
    <row r="20" spans="1:18">
      <c r="A20" s="69" t="s">
        <v>60</v>
      </c>
      <c r="B20" s="54"/>
      <c r="C20" s="54"/>
      <c r="D20" s="59"/>
      <c r="E20" s="59"/>
      <c r="F20" s="63"/>
      <c r="G20" s="54"/>
      <c r="H20" s="56"/>
      <c r="I20" s="56"/>
      <c r="J20" s="56"/>
      <c r="K20" s="56"/>
      <c r="L20" s="67">
        <v>0</v>
      </c>
      <c r="M20" s="54"/>
      <c r="N20" s="66"/>
      <c r="O20" s="66"/>
      <c r="P20" s="66"/>
      <c r="Q20" s="54"/>
      <c r="R20" s="67"/>
    </row>
    <row r="21" spans="1:18">
      <c r="A21" s="68" t="s">
        <v>61</v>
      </c>
      <c r="B21" s="54"/>
      <c r="C21" s="54"/>
      <c r="D21" s="59"/>
      <c r="E21" s="59"/>
      <c r="F21" s="63"/>
      <c r="G21" s="54"/>
      <c r="H21" s="64">
        <v>0</v>
      </c>
      <c r="I21" s="64">
        <v>0</v>
      </c>
      <c r="J21" s="64">
        <v>0</v>
      </c>
      <c r="K21" s="64">
        <v>0</v>
      </c>
      <c r="L21" s="65">
        <v>0</v>
      </c>
      <c r="M21" s="54"/>
      <c r="N21" s="66">
        <v>0</v>
      </c>
      <c r="O21" s="66">
        <v>0</v>
      </c>
      <c r="P21" s="66">
        <v>0</v>
      </c>
      <c r="Q21" s="66">
        <v>0</v>
      </c>
      <c r="R21" s="67">
        <v>0</v>
      </c>
    </row>
    <row r="22" spans="1:18">
      <c r="A22" s="69" t="s">
        <v>57</v>
      </c>
      <c r="B22" s="54"/>
      <c r="C22" s="54"/>
      <c r="D22" s="59"/>
      <c r="E22" s="59"/>
      <c r="F22" s="63"/>
      <c r="G22" s="54"/>
      <c r="H22" s="70">
        <v>0</v>
      </c>
      <c r="I22" s="70">
        <v>0</v>
      </c>
      <c r="J22" s="70">
        <v>0</v>
      </c>
      <c r="K22" s="70">
        <v>0</v>
      </c>
      <c r="L22" s="67">
        <v>0</v>
      </c>
      <c r="M22" s="54"/>
      <c r="N22" s="66"/>
      <c r="O22" s="66"/>
      <c r="P22" s="66"/>
      <c r="Q22" s="54"/>
      <c r="R22" s="67"/>
    </row>
    <row r="23" spans="1:18">
      <c r="A23" s="69" t="s">
        <v>58</v>
      </c>
      <c r="B23" s="54"/>
      <c r="C23" s="54"/>
      <c r="D23" s="59"/>
      <c r="E23" s="59"/>
      <c r="F23" s="63"/>
      <c r="G23" s="54"/>
      <c r="H23" s="56"/>
      <c r="I23" s="56"/>
      <c r="J23" s="56"/>
      <c r="K23" s="56"/>
      <c r="L23" s="67">
        <v>0</v>
      </c>
      <c r="M23" s="54"/>
      <c r="N23" s="66"/>
      <c r="O23" s="66"/>
      <c r="P23" s="66"/>
      <c r="Q23" s="54"/>
      <c r="R23" s="67"/>
    </row>
    <row r="24" spans="1:18">
      <c r="A24" s="69" t="s">
        <v>60</v>
      </c>
      <c r="B24" s="54"/>
      <c r="C24" s="54"/>
      <c r="D24" s="59"/>
      <c r="E24" s="59"/>
      <c r="F24" s="63"/>
      <c r="G24" s="54"/>
      <c r="H24" s="56"/>
      <c r="I24" s="56"/>
      <c r="J24" s="56"/>
      <c r="K24" s="56"/>
      <c r="L24" s="67">
        <v>0</v>
      </c>
      <c r="M24" s="54"/>
      <c r="N24" s="66"/>
      <c r="O24" s="66"/>
      <c r="P24" s="66"/>
      <c r="Q24" s="54"/>
      <c r="R24" s="67"/>
    </row>
    <row r="25" spans="1:18">
      <c r="A25" s="60" t="s">
        <v>65</v>
      </c>
      <c r="B25" s="57" t="s">
        <v>66</v>
      </c>
      <c r="C25" s="58" t="s">
        <v>53</v>
      </c>
      <c r="D25" s="59"/>
      <c r="E25" s="59"/>
      <c r="F25" s="63" t="s">
        <v>67</v>
      </c>
      <c r="G25" s="58" t="s">
        <v>64</v>
      </c>
      <c r="H25" s="64">
        <v>0</v>
      </c>
      <c r="I25" s="64">
        <v>0</v>
      </c>
      <c r="J25" s="64">
        <v>0</v>
      </c>
      <c r="K25" s="64">
        <v>0</v>
      </c>
      <c r="L25" s="65">
        <v>0</v>
      </c>
      <c r="M25" s="74">
        <v>1</v>
      </c>
      <c r="N25" s="66">
        <v>0</v>
      </c>
      <c r="O25" s="66">
        <v>0</v>
      </c>
      <c r="P25" s="66">
        <v>0</v>
      </c>
      <c r="Q25" s="66">
        <v>0</v>
      </c>
      <c r="R25" s="67">
        <v>0</v>
      </c>
    </row>
    <row r="26" spans="1:18">
      <c r="A26" s="68" t="s">
        <v>56</v>
      </c>
      <c r="B26" s="54"/>
      <c r="C26" s="54"/>
      <c r="D26" s="59"/>
      <c r="E26" s="59"/>
      <c r="F26" s="63"/>
      <c r="G26" s="54"/>
      <c r="H26" s="64">
        <v>0</v>
      </c>
      <c r="I26" s="64">
        <v>0</v>
      </c>
      <c r="J26" s="64">
        <v>0</v>
      </c>
      <c r="K26" s="64">
        <v>0</v>
      </c>
      <c r="L26" s="65">
        <v>0</v>
      </c>
      <c r="M26" s="54"/>
      <c r="N26" s="66">
        <v>0</v>
      </c>
      <c r="O26" s="66">
        <v>0</v>
      </c>
      <c r="P26" s="66">
        <v>0</v>
      </c>
      <c r="Q26" s="66">
        <v>0</v>
      </c>
      <c r="R26" s="67">
        <v>0</v>
      </c>
    </row>
    <row r="27" spans="1:18">
      <c r="A27" s="69" t="s">
        <v>57</v>
      </c>
      <c r="B27" s="54"/>
      <c r="C27" s="54"/>
      <c r="D27" s="59"/>
      <c r="E27" s="59"/>
      <c r="F27" s="63"/>
      <c r="G27" s="54"/>
      <c r="H27" s="56"/>
      <c r="I27" s="56"/>
      <c r="J27" s="56"/>
      <c r="K27" s="56"/>
      <c r="L27" s="67">
        <v>0</v>
      </c>
      <c r="M27" s="54"/>
      <c r="N27" s="66"/>
      <c r="O27" s="66"/>
      <c r="P27" s="66"/>
      <c r="Q27" s="54"/>
      <c r="R27" s="67"/>
    </row>
    <row r="28" spans="1:18">
      <c r="A28" s="69" t="s">
        <v>58</v>
      </c>
      <c r="B28" s="54"/>
      <c r="C28" s="54"/>
      <c r="D28" s="59"/>
      <c r="E28" s="59"/>
      <c r="F28" s="63"/>
      <c r="G28" s="54"/>
      <c r="H28" s="56"/>
      <c r="I28" s="56"/>
      <c r="J28" s="56"/>
      <c r="K28" s="56"/>
      <c r="L28" s="67">
        <v>0</v>
      </c>
      <c r="M28" s="54"/>
      <c r="N28" s="66"/>
      <c r="O28" s="66"/>
      <c r="P28" s="66"/>
      <c r="Q28" s="54"/>
      <c r="R28" s="67"/>
    </row>
    <row r="29" spans="1:18">
      <c r="A29" s="69" t="s">
        <v>59</v>
      </c>
      <c r="B29" s="54"/>
      <c r="C29" s="54"/>
      <c r="D29" s="59"/>
      <c r="E29" s="59"/>
      <c r="F29" s="63"/>
      <c r="G29" s="54"/>
      <c r="H29" s="56"/>
      <c r="I29" s="56"/>
      <c r="J29" s="56"/>
      <c r="K29" s="56"/>
      <c r="L29" s="67">
        <v>0</v>
      </c>
      <c r="M29" s="54"/>
      <c r="N29" s="66"/>
      <c r="O29" s="66"/>
      <c r="P29" s="66"/>
      <c r="Q29" s="54"/>
      <c r="R29" s="67"/>
    </row>
    <row r="30" spans="1:18">
      <c r="A30" s="69" t="s">
        <v>60</v>
      </c>
      <c r="B30" s="54"/>
      <c r="C30" s="54"/>
      <c r="D30" s="59"/>
      <c r="E30" s="59"/>
      <c r="F30" s="63"/>
      <c r="G30" s="54"/>
      <c r="H30" s="56"/>
      <c r="I30" s="56"/>
      <c r="J30" s="56"/>
      <c r="K30" s="56"/>
      <c r="L30" s="67">
        <v>0</v>
      </c>
      <c r="M30" s="54"/>
      <c r="N30" s="66"/>
      <c r="O30" s="66"/>
      <c r="P30" s="66"/>
      <c r="Q30" s="54"/>
      <c r="R30" s="67"/>
    </row>
    <row r="31" spans="1:18">
      <c r="A31" s="68" t="s">
        <v>61</v>
      </c>
      <c r="B31" s="54"/>
      <c r="C31" s="54"/>
      <c r="D31" s="59"/>
      <c r="E31" s="59"/>
      <c r="F31" s="63"/>
      <c r="G31" s="54"/>
      <c r="H31" s="64">
        <v>0</v>
      </c>
      <c r="I31" s="64">
        <v>0</v>
      </c>
      <c r="J31" s="64">
        <v>0</v>
      </c>
      <c r="K31" s="64">
        <v>0</v>
      </c>
      <c r="L31" s="65">
        <v>0</v>
      </c>
      <c r="M31" s="54"/>
      <c r="N31" s="66">
        <v>0</v>
      </c>
      <c r="O31" s="66">
        <v>0</v>
      </c>
      <c r="P31" s="66">
        <v>0</v>
      </c>
      <c r="Q31" s="66">
        <v>0</v>
      </c>
      <c r="R31" s="67">
        <v>0</v>
      </c>
    </row>
    <row r="32" spans="1:18">
      <c r="A32" s="69" t="s">
        <v>57</v>
      </c>
      <c r="B32" s="54"/>
      <c r="C32" s="54"/>
      <c r="D32" s="59"/>
      <c r="E32" s="59"/>
      <c r="F32" s="63"/>
      <c r="G32" s="54"/>
      <c r="H32" s="70">
        <v>0</v>
      </c>
      <c r="I32" s="70">
        <v>0</v>
      </c>
      <c r="J32" s="70">
        <v>0</v>
      </c>
      <c r="K32" s="70">
        <v>0</v>
      </c>
      <c r="L32" s="67">
        <v>0</v>
      </c>
      <c r="M32" s="54"/>
      <c r="N32" s="66"/>
      <c r="O32" s="66"/>
      <c r="P32" s="66"/>
      <c r="Q32" s="54"/>
      <c r="R32" s="67"/>
    </row>
    <row r="33" spans="1:18">
      <c r="A33" s="69" t="s">
        <v>58</v>
      </c>
      <c r="B33" s="54"/>
      <c r="C33" s="54"/>
      <c r="D33" s="59"/>
      <c r="E33" s="59"/>
      <c r="F33" s="63"/>
      <c r="G33" s="54"/>
      <c r="H33" s="56"/>
      <c r="I33" s="56"/>
      <c r="J33" s="56"/>
      <c r="K33" s="56"/>
      <c r="L33" s="67">
        <v>0</v>
      </c>
      <c r="M33" s="54"/>
      <c r="N33" s="66"/>
      <c r="O33" s="66"/>
      <c r="P33" s="66"/>
      <c r="Q33" s="54"/>
      <c r="R33" s="67"/>
    </row>
    <row r="34" spans="1:18">
      <c r="A34" s="69" t="s">
        <v>60</v>
      </c>
      <c r="B34" s="54"/>
      <c r="C34" s="54"/>
      <c r="D34" s="59"/>
      <c r="E34" s="59"/>
      <c r="F34" s="63"/>
      <c r="G34" s="54"/>
      <c r="H34" s="56"/>
      <c r="I34" s="56"/>
      <c r="J34" s="56"/>
      <c r="K34" s="56"/>
      <c r="L34" s="67">
        <v>0</v>
      </c>
      <c r="M34" s="54"/>
      <c r="N34" s="66"/>
      <c r="O34" s="66"/>
      <c r="P34" s="66"/>
      <c r="Q34" s="54"/>
      <c r="R34" s="67"/>
    </row>
    <row r="35" spans="1:18">
      <c r="A35" s="60" t="s">
        <v>68</v>
      </c>
      <c r="B35" s="57" t="s">
        <v>69</v>
      </c>
      <c r="C35" s="58" t="s">
        <v>53</v>
      </c>
      <c r="D35" s="59"/>
      <c r="E35" s="59"/>
      <c r="F35" s="63" t="s">
        <v>70</v>
      </c>
      <c r="G35" s="58" t="s">
        <v>71</v>
      </c>
      <c r="H35" s="64">
        <v>142154</v>
      </c>
      <c r="I35" s="64">
        <v>258315</v>
      </c>
      <c r="J35" s="64">
        <v>193511</v>
      </c>
      <c r="K35" s="64">
        <v>193511</v>
      </c>
      <c r="L35" s="65">
        <v>787491</v>
      </c>
      <c r="M35" s="74">
        <v>1</v>
      </c>
      <c r="N35" s="66">
        <v>142154</v>
      </c>
      <c r="O35" s="66">
        <v>258315</v>
      </c>
      <c r="P35" s="66">
        <v>193511</v>
      </c>
      <c r="Q35" s="66">
        <v>193511</v>
      </c>
      <c r="R35" s="67">
        <v>787491</v>
      </c>
    </row>
    <row r="36" spans="1:18">
      <c r="A36" s="68" t="s">
        <v>56</v>
      </c>
      <c r="B36" s="54"/>
      <c r="C36" s="54"/>
      <c r="D36" s="59"/>
      <c r="E36" s="59"/>
      <c r="F36" s="63"/>
      <c r="G36" s="54"/>
      <c r="H36" s="64">
        <v>0</v>
      </c>
      <c r="I36" s="64">
        <v>0</v>
      </c>
      <c r="J36" s="64">
        <v>0</v>
      </c>
      <c r="K36" s="64">
        <v>0</v>
      </c>
      <c r="L36" s="65">
        <v>0</v>
      </c>
      <c r="M36" s="54"/>
      <c r="N36" s="66">
        <v>0</v>
      </c>
      <c r="O36" s="66">
        <v>0</v>
      </c>
      <c r="P36" s="66">
        <v>0</v>
      </c>
      <c r="Q36" s="66">
        <v>0</v>
      </c>
      <c r="R36" s="67">
        <v>0</v>
      </c>
    </row>
    <row r="37" spans="1:18">
      <c r="A37" s="69" t="s">
        <v>57</v>
      </c>
      <c r="B37" s="54"/>
      <c r="C37" s="54"/>
      <c r="D37" s="59"/>
      <c r="E37" s="59"/>
      <c r="F37" s="63"/>
      <c r="G37" s="54"/>
      <c r="H37" s="56"/>
      <c r="I37" s="56"/>
      <c r="J37" s="56"/>
      <c r="K37" s="56"/>
      <c r="L37" s="67">
        <v>0</v>
      </c>
      <c r="M37" s="54"/>
      <c r="N37" s="66"/>
      <c r="O37" s="66"/>
      <c r="P37" s="66"/>
      <c r="Q37" s="54"/>
      <c r="R37" s="67"/>
    </row>
    <row r="38" spans="1:18">
      <c r="A38" s="69" t="s">
        <v>58</v>
      </c>
      <c r="B38" s="54"/>
      <c r="C38" s="54"/>
      <c r="D38" s="59"/>
      <c r="E38" s="59"/>
      <c r="F38" s="63"/>
      <c r="G38" s="54"/>
      <c r="H38" s="56"/>
      <c r="I38" s="56"/>
      <c r="J38" s="56"/>
      <c r="K38" s="56"/>
      <c r="L38" s="67">
        <v>0</v>
      </c>
      <c r="M38" s="54"/>
      <c r="N38" s="66"/>
      <c r="O38" s="66"/>
      <c r="P38" s="66"/>
      <c r="Q38" s="54"/>
      <c r="R38" s="67"/>
    </row>
    <row r="39" spans="1:18">
      <c r="A39" s="69" t="s">
        <v>59</v>
      </c>
      <c r="B39" s="54"/>
      <c r="C39" s="54"/>
      <c r="D39" s="59"/>
      <c r="E39" s="59"/>
      <c r="F39" s="63"/>
      <c r="G39" s="54"/>
      <c r="H39" s="56"/>
      <c r="I39" s="56"/>
      <c r="J39" s="56"/>
      <c r="K39" s="56"/>
      <c r="L39" s="67">
        <v>0</v>
      </c>
      <c r="M39" s="54"/>
      <c r="N39" s="66"/>
      <c r="O39" s="66"/>
      <c r="P39" s="66"/>
      <c r="Q39" s="54"/>
      <c r="R39" s="67"/>
    </row>
    <row r="40" spans="1:18">
      <c r="A40" s="69" t="s">
        <v>60</v>
      </c>
      <c r="B40" s="54"/>
      <c r="C40" s="54"/>
      <c r="D40" s="59"/>
      <c r="E40" s="59"/>
      <c r="F40" s="63"/>
      <c r="G40" s="54"/>
      <c r="H40" s="56"/>
      <c r="I40" s="56"/>
      <c r="J40" s="56"/>
      <c r="K40" s="56"/>
      <c r="L40" s="67">
        <v>0</v>
      </c>
      <c r="M40" s="54"/>
      <c r="N40" s="66"/>
      <c r="O40" s="66"/>
      <c r="P40" s="66"/>
      <c r="Q40" s="54"/>
      <c r="R40" s="67"/>
    </row>
    <row r="41" spans="1:18">
      <c r="A41" s="68" t="s">
        <v>61</v>
      </c>
      <c r="B41" s="54"/>
      <c r="C41" s="54"/>
      <c r="D41" s="59"/>
      <c r="E41" s="59"/>
      <c r="F41" s="63"/>
      <c r="G41" s="54"/>
      <c r="H41" s="64">
        <v>142154</v>
      </c>
      <c r="I41" s="64">
        <v>258315</v>
      </c>
      <c r="J41" s="64">
        <v>193511</v>
      </c>
      <c r="K41" s="64">
        <v>193511</v>
      </c>
      <c r="L41" s="65">
        <v>787491</v>
      </c>
      <c r="M41" s="54"/>
      <c r="N41" s="66">
        <v>142154</v>
      </c>
      <c r="O41" s="66">
        <v>258315</v>
      </c>
      <c r="P41" s="66">
        <v>193511</v>
      </c>
      <c r="Q41" s="66">
        <v>193511</v>
      </c>
      <c r="R41" s="67">
        <v>787491</v>
      </c>
    </row>
    <row r="42" spans="1:18">
      <c r="A42" s="69" t="s">
        <v>57</v>
      </c>
      <c r="B42" s="54"/>
      <c r="C42" s="54"/>
      <c r="D42" s="59"/>
      <c r="E42" s="59"/>
      <c r="F42" s="63"/>
      <c r="G42" s="54"/>
      <c r="H42" s="70">
        <v>142154</v>
      </c>
      <c r="I42" s="70">
        <v>258315</v>
      </c>
      <c r="J42" s="70">
        <v>193511</v>
      </c>
      <c r="K42" s="70">
        <v>193511</v>
      </c>
      <c r="L42" s="67">
        <v>787491</v>
      </c>
      <c r="M42" s="54"/>
      <c r="N42" s="66"/>
      <c r="O42" s="66"/>
      <c r="P42" s="66"/>
      <c r="Q42" s="54"/>
      <c r="R42" s="67"/>
    </row>
    <row r="43" spans="1:18">
      <c r="A43" s="69" t="s">
        <v>58</v>
      </c>
      <c r="B43" s="54"/>
      <c r="C43" s="54"/>
      <c r="D43" s="59"/>
      <c r="E43" s="59"/>
      <c r="F43" s="63"/>
      <c r="G43" s="54"/>
      <c r="H43" s="56"/>
      <c r="I43" s="56"/>
      <c r="J43" s="56"/>
      <c r="K43" s="56"/>
      <c r="L43" s="67">
        <v>0</v>
      </c>
      <c r="M43" s="54"/>
      <c r="N43" s="66"/>
      <c r="O43" s="66"/>
      <c r="P43" s="66"/>
      <c r="Q43" s="54"/>
      <c r="R43" s="67"/>
    </row>
    <row r="44" spans="1:18">
      <c r="A44" s="69" t="s">
        <v>60</v>
      </c>
      <c r="B44" s="54"/>
      <c r="C44" s="54"/>
      <c r="D44" s="59"/>
      <c r="E44" s="59"/>
      <c r="F44" s="63"/>
      <c r="G44" s="54"/>
      <c r="H44" s="56"/>
      <c r="I44" s="56"/>
      <c r="J44" s="56"/>
      <c r="K44" s="56"/>
      <c r="L44" s="67">
        <v>0</v>
      </c>
      <c r="M44" s="54"/>
      <c r="N44" s="66"/>
      <c r="O44" s="66"/>
      <c r="P44" s="66"/>
      <c r="Q44" s="54"/>
      <c r="R44" s="67"/>
    </row>
    <row r="45" spans="1:18">
      <c r="A45" s="60" t="s">
        <v>72</v>
      </c>
      <c r="B45" s="57" t="s">
        <v>69</v>
      </c>
      <c r="C45" s="58" t="s">
        <v>53</v>
      </c>
      <c r="D45" s="59"/>
      <c r="E45" s="59"/>
      <c r="F45" s="63" t="s">
        <v>73</v>
      </c>
      <c r="G45" s="58" t="s">
        <v>74</v>
      </c>
      <c r="H45" s="64">
        <v>376495</v>
      </c>
      <c r="I45" s="64">
        <v>185245</v>
      </c>
      <c r="J45" s="64">
        <v>36711.5</v>
      </c>
      <c r="K45" s="64">
        <v>36711.5</v>
      </c>
      <c r="L45" s="65">
        <v>635163</v>
      </c>
      <c r="M45" s="74">
        <v>1</v>
      </c>
      <c r="N45" s="66">
        <v>376495</v>
      </c>
      <c r="O45" s="66">
        <v>185245</v>
      </c>
      <c r="P45" s="66">
        <v>36711.5</v>
      </c>
      <c r="Q45" s="66">
        <v>36711.5</v>
      </c>
      <c r="R45" s="67">
        <v>635163</v>
      </c>
    </row>
    <row r="46" spans="1:18">
      <c r="A46" s="68" t="s">
        <v>56</v>
      </c>
      <c r="B46" s="54"/>
      <c r="C46" s="54"/>
      <c r="D46" s="59"/>
      <c r="E46" s="59"/>
      <c r="F46" s="63"/>
      <c r="G46" s="54"/>
      <c r="H46" s="64">
        <v>0</v>
      </c>
      <c r="I46" s="64">
        <v>0</v>
      </c>
      <c r="J46" s="64">
        <v>0</v>
      </c>
      <c r="K46" s="64">
        <v>0</v>
      </c>
      <c r="L46" s="65">
        <v>0</v>
      </c>
      <c r="M46" s="54"/>
      <c r="N46" s="66">
        <v>0</v>
      </c>
      <c r="O46" s="66">
        <v>0</v>
      </c>
      <c r="P46" s="66">
        <v>0</v>
      </c>
      <c r="Q46" s="66">
        <v>0</v>
      </c>
      <c r="R46" s="67">
        <v>0</v>
      </c>
    </row>
    <row r="47" spans="1:18">
      <c r="A47" s="69" t="s">
        <v>57</v>
      </c>
      <c r="B47" s="54"/>
      <c r="C47" s="54"/>
      <c r="D47" s="59"/>
      <c r="E47" s="59"/>
      <c r="F47" s="63"/>
      <c r="G47" s="54"/>
      <c r="H47" s="56"/>
      <c r="I47" s="56"/>
      <c r="J47" s="56"/>
      <c r="K47" s="56"/>
      <c r="L47" s="67">
        <v>0</v>
      </c>
      <c r="M47" s="54"/>
      <c r="N47" s="66"/>
      <c r="O47" s="66"/>
      <c r="P47" s="66"/>
      <c r="Q47" s="54"/>
      <c r="R47" s="67"/>
    </row>
    <row r="48" spans="1:18">
      <c r="A48" s="69" t="s">
        <v>58</v>
      </c>
      <c r="B48" s="54"/>
      <c r="C48" s="54"/>
      <c r="D48" s="59"/>
      <c r="E48" s="59"/>
      <c r="F48" s="63"/>
      <c r="G48" s="54"/>
      <c r="H48" s="56"/>
      <c r="I48" s="56"/>
      <c r="J48" s="56"/>
      <c r="K48" s="56"/>
      <c r="L48" s="67">
        <v>0</v>
      </c>
      <c r="M48" s="54"/>
      <c r="N48" s="66"/>
      <c r="O48" s="66"/>
      <c r="P48" s="66"/>
      <c r="Q48" s="54"/>
      <c r="R48" s="67"/>
    </row>
    <row r="49" spans="1:18">
      <c r="A49" s="69" t="s">
        <v>59</v>
      </c>
      <c r="B49" s="54"/>
      <c r="C49" s="54"/>
      <c r="D49" s="59"/>
      <c r="E49" s="59"/>
      <c r="F49" s="63"/>
      <c r="G49" s="54"/>
      <c r="H49" s="56"/>
      <c r="I49" s="56"/>
      <c r="J49" s="56"/>
      <c r="K49" s="56"/>
      <c r="L49" s="67">
        <v>0</v>
      </c>
      <c r="M49" s="54"/>
      <c r="N49" s="66"/>
      <c r="O49" s="66"/>
      <c r="P49" s="66"/>
      <c r="Q49" s="54"/>
      <c r="R49" s="67"/>
    </row>
    <row r="50" spans="1:18">
      <c r="A50" s="69" t="s">
        <v>60</v>
      </c>
      <c r="B50" s="54"/>
      <c r="C50" s="54"/>
      <c r="D50" s="59"/>
      <c r="E50" s="59"/>
      <c r="F50" s="63"/>
      <c r="G50" s="54"/>
      <c r="H50" s="56"/>
      <c r="I50" s="56"/>
      <c r="J50" s="56"/>
      <c r="K50" s="56"/>
      <c r="L50" s="67">
        <v>0</v>
      </c>
      <c r="M50" s="54"/>
      <c r="N50" s="66"/>
      <c r="O50" s="66"/>
      <c r="P50" s="66"/>
      <c r="Q50" s="54"/>
      <c r="R50" s="67"/>
    </row>
    <row r="51" spans="1:18">
      <c r="A51" s="68" t="s">
        <v>61</v>
      </c>
      <c r="B51" s="54"/>
      <c r="C51" s="54"/>
      <c r="D51" s="59"/>
      <c r="E51" s="59"/>
      <c r="F51" s="63"/>
      <c r="G51" s="54"/>
      <c r="H51" s="64">
        <v>376495</v>
      </c>
      <c r="I51" s="64">
        <v>185245</v>
      </c>
      <c r="J51" s="64">
        <v>36711.5</v>
      </c>
      <c r="K51" s="64">
        <v>36711.5</v>
      </c>
      <c r="L51" s="65">
        <v>635163</v>
      </c>
      <c r="M51" s="54"/>
      <c r="N51" s="66">
        <v>376495</v>
      </c>
      <c r="O51" s="66">
        <v>185245</v>
      </c>
      <c r="P51" s="66">
        <v>36711.5</v>
      </c>
      <c r="Q51" s="66">
        <v>36711.5</v>
      </c>
      <c r="R51" s="67">
        <v>635163</v>
      </c>
    </row>
    <row r="52" spans="1:18">
      <c r="A52" s="69" t="s">
        <v>57</v>
      </c>
      <c r="B52" s="54"/>
      <c r="C52" s="54"/>
      <c r="D52" s="59"/>
      <c r="E52" s="59"/>
      <c r="F52" s="63"/>
      <c r="G52" s="54"/>
      <c r="H52" s="70">
        <v>301495</v>
      </c>
      <c r="I52" s="70">
        <v>110245</v>
      </c>
      <c r="J52" s="70">
        <v>36711.5</v>
      </c>
      <c r="K52" s="70">
        <v>36711.5</v>
      </c>
      <c r="L52" s="67">
        <v>485163</v>
      </c>
      <c r="M52" s="54"/>
      <c r="N52" s="66"/>
      <c r="O52" s="66"/>
      <c r="P52" s="66"/>
      <c r="Q52" s="54"/>
      <c r="R52" s="67"/>
    </row>
    <row r="53" spans="1:18">
      <c r="A53" s="69" t="s">
        <v>58</v>
      </c>
      <c r="B53" s="54"/>
      <c r="C53" s="54"/>
      <c r="D53" s="59"/>
      <c r="E53" s="59"/>
      <c r="F53" s="63"/>
      <c r="G53" s="54"/>
      <c r="H53" s="56">
        <v>75000</v>
      </c>
      <c r="I53" s="56">
        <v>75000</v>
      </c>
      <c r="J53" s="56"/>
      <c r="K53" s="56"/>
      <c r="L53" s="67">
        <v>150000</v>
      </c>
      <c r="M53" s="54"/>
      <c r="N53" s="66"/>
      <c r="O53" s="66"/>
      <c r="P53" s="66"/>
      <c r="Q53" s="54"/>
      <c r="R53" s="67"/>
    </row>
    <row r="54" spans="1:18">
      <c r="A54" s="69" t="s">
        <v>60</v>
      </c>
      <c r="B54" s="54"/>
      <c r="C54" s="54"/>
      <c r="D54" s="59"/>
      <c r="E54" s="59"/>
      <c r="F54" s="63"/>
      <c r="G54" s="54"/>
      <c r="H54" s="66"/>
      <c r="I54" s="66"/>
      <c r="J54" s="66"/>
      <c r="K54" s="54"/>
      <c r="L54" s="67">
        <v>0</v>
      </c>
      <c r="M54" s="54"/>
      <c r="N54" s="66"/>
      <c r="O54" s="66"/>
      <c r="P54" s="66"/>
      <c r="Q54" s="54"/>
      <c r="R54" s="67"/>
    </row>
    <row r="55" spans="1:18">
      <c r="A55" s="60" t="s">
        <v>75</v>
      </c>
      <c r="B55" s="57" t="s">
        <v>69</v>
      </c>
      <c r="C55" s="58" t="s">
        <v>53</v>
      </c>
      <c r="D55" s="59"/>
      <c r="E55" s="59"/>
      <c r="F55" s="63" t="s">
        <v>67</v>
      </c>
      <c r="G55" s="58" t="s">
        <v>64</v>
      </c>
      <c r="H55" s="64">
        <v>250000</v>
      </c>
      <c r="I55" s="64">
        <v>0</v>
      </c>
      <c r="J55" s="64">
        <v>0</v>
      </c>
      <c r="K55" s="64">
        <v>0</v>
      </c>
      <c r="L55" s="65">
        <v>250000</v>
      </c>
      <c r="M55" s="74">
        <v>1</v>
      </c>
      <c r="N55" s="66">
        <v>250000</v>
      </c>
      <c r="O55" s="66">
        <v>0</v>
      </c>
      <c r="P55" s="66">
        <v>0</v>
      </c>
      <c r="Q55" s="66">
        <v>0</v>
      </c>
      <c r="R55" s="67">
        <v>250000</v>
      </c>
    </row>
    <row r="56" spans="1:18">
      <c r="A56" s="68" t="s">
        <v>56</v>
      </c>
      <c r="B56" s="54"/>
      <c r="C56" s="54"/>
      <c r="D56" s="59"/>
      <c r="E56" s="59"/>
      <c r="F56" s="63"/>
      <c r="G56" s="54"/>
      <c r="H56" s="64">
        <v>0</v>
      </c>
      <c r="I56" s="64">
        <v>0</v>
      </c>
      <c r="J56" s="64">
        <v>0</v>
      </c>
      <c r="K56" s="64">
        <v>0</v>
      </c>
      <c r="L56" s="65">
        <v>0</v>
      </c>
      <c r="M56" s="54"/>
      <c r="N56" s="66">
        <v>0</v>
      </c>
      <c r="O56" s="66">
        <v>0</v>
      </c>
      <c r="P56" s="66">
        <v>0</v>
      </c>
      <c r="Q56" s="66">
        <v>0</v>
      </c>
      <c r="R56" s="67">
        <v>0</v>
      </c>
    </row>
    <row r="57" spans="1:18">
      <c r="A57" s="69" t="s">
        <v>57</v>
      </c>
      <c r="B57" s="54"/>
      <c r="C57" s="54"/>
      <c r="D57" s="59"/>
      <c r="E57" s="59"/>
      <c r="F57" s="63"/>
      <c r="G57" s="54"/>
      <c r="H57" s="56"/>
      <c r="I57" s="56"/>
      <c r="J57" s="56"/>
      <c r="K57" s="56"/>
      <c r="L57" s="67">
        <v>0</v>
      </c>
      <c r="M57" s="54"/>
      <c r="N57" s="66"/>
      <c r="O57" s="66"/>
      <c r="P57" s="66"/>
      <c r="Q57" s="54"/>
      <c r="R57" s="67"/>
    </row>
    <row r="58" spans="1:18">
      <c r="A58" s="69" t="s">
        <v>58</v>
      </c>
      <c r="B58" s="54"/>
      <c r="C58" s="54"/>
      <c r="D58" s="59"/>
      <c r="E58" s="59"/>
      <c r="F58" s="63"/>
      <c r="G58" s="54"/>
      <c r="H58" s="56"/>
      <c r="I58" s="56"/>
      <c r="J58" s="56"/>
      <c r="K58" s="56"/>
      <c r="L58" s="67">
        <v>0</v>
      </c>
      <c r="M58" s="54"/>
      <c r="N58" s="66"/>
      <c r="O58" s="66"/>
      <c r="P58" s="66"/>
      <c r="Q58" s="54"/>
      <c r="R58" s="67"/>
    </row>
    <row r="59" spans="1:18">
      <c r="A59" s="69" t="s">
        <v>59</v>
      </c>
      <c r="B59" s="54"/>
      <c r="C59" s="54"/>
      <c r="D59" s="59"/>
      <c r="E59" s="59"/>
      <c r="F59" s="63"/>
      <c r="G59" s="54"/>
      <c r="H59" s="56"/>
      <c r="I59" s="56"/>
      <c r="J59" s="56"/>
      <c r="K59" s="56"/>
      <c r="L59" s="67">
        <v>0</v>
      </c>
      <c r="M59" s="54"/>
      <c r="N59" s="66"/>
      <c r="O59" s="66"/>
      <c r="P59" s="66"/>
      <c r="Q59" s="54"/>
      <c r="R59" s="67"/>
    </row>
    <row r="60" spans="1:18">
      <c r="A60" s="69" t="s">
        <v>60</v>
      </c>
      <c r="B60" s="54"/>
      <c r="C60" s="54"/>
      <c r="D60" s="59"/>
      <c r="E60" s="59"/>
      <c r="F60" s="63"/>
      <c r="G60" s="54"/>
      <c r="H60" s="56"/>
      <c r="I60" s="56"/>
      <c r="J60" s="56"/>
      <c r="K60" s="56"/>
      <c r="L60" s="67">
        <v>0</v>
      </c>
      <c r="M60" s="54"/>
      <c r="N60" s="66"/>
      <c r="O60" s="66"/>
      <c r="P60" s="66"/>
      <c r="Q60" s="54"/>
      <c r="R60" s="67"/>
    </row>
    <row r="61" spans="1:18">
      <c r="A61" s="68" t="s">
        <v>61</v>
      </c>
      <c r="B61" s="54"/>
      <c r="C61" s="54"/>
      <c r="D61" s="59"/>
      <c r="E61" s="59"/>
      <c r="F61" s="63"/>
      <c r="G61" s="54"/>
      <c r="H61" s="64">
        <v>250000</v>
      </c>
      <c r="I61" s="64">
        <v>0</v>
      </c>
      <c r="J61" s="64">
        <v>0</v>
      </c>
      <c r="K61" s="64">
        <v>0</v>
      </c>
      <c r="L61" s="65">
        <v>250000</v>
      </c>
      <c r="M61" s="54"/>
      <c r="N61" s="66">
        <v>250000</v>
      </c>
      <c r="O61" s="66">
        <v>0</v>
      </c>
      <c r="P61" s="66">
        <v>0</v>
      </c>
      <c r="Q61" s="66">
        <v>0</v>
      </c>
      <c r="R61" s="67">
        <v>250000</v>
      </c>
    </row>
    <row r="62" spans="1:18">
      <c r="A62" s="69" t="s">
        <v>57</v>
      </c>
      <c r="B62" s="54"/>
      <c r="C62" s="54"/>
      <c r="D62" s="59"/>
      <c r="E62" s="59"/>
      <c r="F62" s="63"/>
      <c r="G62" s="54"/>
      <c r="H62" s="70">
        <v>0</v>
      </c>
      <c r="I62" s="70">
        <v>0</v>
      </c>
      <c r="J62" s="70">
        <v>0</v>
      </c>
      <c r="K62" s="70">
        <v>0</v>
      </c>
      <c r="L62" s="67">
        <v>0</v>
      </c>
      <c r="M62" s="54"/>
      <c r="N62" s="66"/>
      <c r="O62" s="66"/>
      <c r="P62" s="66"/>
      <c r="Q62" s="54"/>
      <c r="R62" s="67"/>
    </row>
    <row r="63" spans="1:18">
      <c r="A63" s="69" t="s">
        <v>58</v>
      </c>
      <c r="B63" s="54"/>
      <c r="C63" s="54"/>
      <c r="D63" s="59"/>
      <c r="E63" s="59"/>
      <c r="F63" s="63"/>
      <c r="G63" s="54"/>
      <c r="H63" s="56">
        <v>250000</v>
      </c>
      <c r="I63" s="56"/>
      <c r="J63" s="56"/>
      <c r="K63" s="56"/>
      <c r="L63" s="67">
        <v>250000</v>
      </c>
      <c r="M63" s="54"/>
      <c r="N63" s="66"/>
      <c r="O63" s="66"/>
      <c r="P63" s="66"/>
      <c r="Q63" s="54"/>
      <c r="R63" s="67"/>
    </row>
    <row r="64" spans="1:18">
      <c r="A64" s="69" t="s">
        <v>60</v>
      </c>
      <c r="B64" s="54"/>
      <c r="C64" s="54"/>
      <c r="D64" s="59"/>
      <c r="E64" s="59"/>
      <c r="F64" s="63"/>
      <c r="G64" s="54"/>
      <c r="H64" s="56"/>
      <c r="I64" s="56"/>
      <c r="J64" s="56"/>
      <c r="K64" s="56"/>
      <c r="L64" s="67">
        <v>0</v>
      </c>
      <c r="M64" s="54"/>
      <c r="N64" s="66"/>
      <c r="O64" s="66"/>
      <c r="P64" s="66"/>
      <c r="Q64" s="54"/>
      <c r="R64" s="67"/>
    </row>
    <row r="65" spans="1:18">
      <c r="A65" s="60" t="s">
        <v>76</v>
      </c>
      <c r="B65" s="57" t="s">
        <v>69</v>
      </c>
      <c r="C65" s="58" t="s">
        <v>77</v>
      </c>
      <c r="D65" s="59"/>
      <c r="E65" s="59"/>
      <c r="F65" s="63" t="s">
        <v>78</v>
      </c>
      <c r="G65" s="58" t="s">
        <v>79</v>
      </c>
      <c r="H65" s="64">
        <v>1200000</v>
      </c>
      <c r="I65" s="64">
        <v>3300000</v>
      </c>
      <c r="J65" s="64">
        <v>0</v>
      </c>
      <c r="K65" s="64">
        <v>0</v>
      </c>
      <c r="L65" s="65">
        <v>4500000</v>
      </c>
      <c r="M65" s="74">
        <v>1</v>
      </c>
      <c r="N65" s="66">
        <v>1200000</v>
      </c>
      <c r="O65" s="66">
        <v>3300000</v>
      </c>
      <c r="P65" s="66">
        <v>0</v>
      </c>
      <c r="Q65" s="66">
        <v>0</v>
      </c>
      <c r="R65" s="67">
        <v>4500000</v>
      </c>
    </row>
    <row r="66" spans="1:18">
      <c r="A66" s="68" t="s">
        <v>56</v>
      </c>
      <c r="B66" s="54"/>
      <c r="C66" s="54"/>
      <c r="D66" s="59"/>
      <c r="E66" s="59"/>
      <c r="F66" s="63"/>
      <c r="G66" s="54"/>
      <c r="H66" s="64">
        <v>1200000</v>
      </c>
      <c r="I66" s="64">
        <v>3300000</v>
      </c>
      <c r="J66" s="64">
        <v>0</v>
      </c>
      <c r="K66" s="64">
        <v>0</v>
      </c>
      <c r="L66" s="65">
        <v>4500000</v>
      </c>
      <c r="M66" s="54"/>
      <c r="N66" s="66">
        <v>1200000</v>
      </c>
      <c r="O66" s="66">
        <v>3300000</v>
      </c>
      <c r="P66" s="66">
        <v>0</v>
      </c>
      <c r="Q66" s="66">
        <v>0</v>
      </c>
      <c r="R66" s="67">
        <v>4500000</v>
      </c>
    </row>
    <row r="67" spans="1:18">
      <c r="A67" s="69" t="s">
        <v>57</v>
      </c>
      <c r="B67" s="54"/>
      <c r="C67" s="54"/>
      <c r="D67" s="59"/>
      <c r="E67" s="59"/>
      <c r="F67" s="63"/>
      <c r="G67" s="54"/>
      <c r="H67" s="56"/>
      <c r="I67" s="56"/>
      <c r="J67" s="56"/>
      <c r="K67" s="56"/>
      <c r="L67" s="67">
        <v>0</v>
      </c>
      <c r="M67" s="54"/>
      <c r="N67" s="66"/>
      <c r="O67" s="66"/>
      <c r="P67" s="66"/>
      <c r="Q67" s="54"/>
      <c r="R67" s="67"/>
    </row>
    <row r="68" spans="1:18">
      <c r="A68" s="69" t="s">
        <v>58</v>
      </c>
      <c r="B68" s="54"/>
      <c r="C68" s="54"/>
      <c r="D68" s="59"/>
      <c r="E68" s="59"/>
      <c r="F68" s="63"/>
      <c r="G68" s="54"/>
      <c r="H68" s="56">
        <v>200000</v>
      </c>
      <c r="I68" s="56">
        <v>300000</v>
      </c>
      <c r="J68" s="56"/>
      <c r="K68" s="56"/>
      <c r="L68" s="67">
        <v>500000</v>
      </c>
      <c r="M68" s="54"/>
      <c r="N68" s="66"/>
      <c r="O68" s="66"/>
      <c r="P68" s="66"/>
      <c r="Q68" s="54"/>
      <c r="R68" s="67"/>
    </row>
    <row r="69" spans="1:18">
      <c r="A69" s="69" t="s">
        <v>59</v>
      </c>
      <c r="B69" s="54"/>
      <c r="C69" s="54"/>
      <c r="D69" s="59"/>
      <c r="E69" s="59"/>
      <c r="F69" s="63"/>
      <c r="G69" s="54"/>
      <c r="H69" s="56"/>
      <c r="I69" s="56"/>
      <c r="J69" s="56"/>
      <c r="K69" s="56"/>
      <c r="L69" s="67">
        <v>0</v>
      </c>
      <c r="M69" s="54"/>
      <c r="N69" s="66"/>
      <c r="O69" s="66"/>
      <c r="P69" s="66"/>
      <c r="Q69" s="54"/>
      <c r="R69" s="67"/>
    </row>
    <row r="70" spans="1:18">
      <c r="A70" s="69" t="s">
        <v>60</v>
      </c>
      <c r="B70" s="54"/>
      <c r="C70" s="54"/>
      <c r="D70" s="59"/>
      <c r="E70" s="59"/>
      <c r="F70" s="63"/>
      <c r="G70" s="54"/>
      <c r="H70" s="56">
        <v>1000000</v>
      </c>
      <c r="I70" s="56">
        <v>3000000</v>
      </c>
      <c r="J70" s="56"/>
      <c r="K70" s="56"/>
      <c r="L70" s="67">
        <v>4000000</v>
      </c>
      <c r="M70" s="54"/>
      <c r="N70" s="66"/>
      <c r="O70" s="66"/>
      <c r="P70" s="66"/>
      <c r="Q70" s="54"/>
      <c r="R70" s="67"/>
    </row>
    <row r="71" spans="1:18">
      <c r="A71" s="68" t="s">
        <v>61</v>
      </c>
      <c r="B71" s="54"/>
      <c r="C71" s="54"/>
      <c r="D71" s="59"/>
      <c r="E71" s="59"/>
      <c r="F71" s="63"/>
      <c r="G71" s="54"/>
      <c r="H71" s="64">
        <v>0</v>
      </c>
      <c r="I71" s="64">
        <v>0</v>
      </c>
      <c r="J71" s="64">
        <v>0</v>
      </c>
      <c r="K71" s="64">
        <v>0</v>
      </c>
      <c r="L71" s="65">
        <v>0</v>
      </c>
      <c r="M71" s="54"/>
      <c r="N71" s="66">
        <v>0</v>
      </c>
      <c r="O71" s="66">
        <v>0</v>
      </c>
      <c r="P71" s="66">
        <v>0</v>
      </c>
      <c r="Q71" s="66">
        <v>0</v>
      </c>
      <c r="R71" s="67">
        <v>0</v>
      </c>
    </row>
    <row r="72" spans="1:18">
      <c r="A72" s="69" t="s">
        <v>57</v>
      </c>
      <c r="B72" s="54"/>
      <c r="C72" s="54"/>
      <c r="D72" s="59"/>
      <c r="E72" s="59"/>
      <c r="F72" s="63"/>
      <c r="G72" s="54"/>
      <c r="H72" s="70">
        <v>0</v>
      </c>
      <c r="I72" s="70">
        <v>0</v>
      </c>
      <c r="J72" s="70">
        <v>0</v>
      </c>
      <c r="K72" s="70">
        <v>0</v>
      </c>
      <c r="L72" s="67">
        <v>0</v>
      </c>
      <c r="M72" s="54"/>
      <c r="N72" s="66"/>
      <c r="O72" s="66"/>
      <c r="P72" s="66"/>
      <c r="Q72" s="54"/>
      <c r="R72" s="67"/>
    </row>
    <row r="73" spans="1:18">
      <c r="A73" s="69" t="s">
        <v>58</v>
      </c>
      <c r="B73" s="54"/>
      <c r="C73" s="54"/>
      <c r="D73" s="59"/>
      <c r="E73" s="59"/>
      <c r="F73" s="63"/>
      <c r="G73" s="54"/>
      <c r="H73" s="56"/>
      <c r="I73" s="56"/>
      <c r="J73" s="56"/>
      <c r="K73" s="56"/>
      <c r="L73" s="67">
        <v>0</v>
      </c>
      <c r="M73" s="54"/>
      <c r="N73" s="66"/>
      <c r="O73" s="66"/>
      <c r="P73" s="66"/>
      <c r="Q73" s="54"/>
      <c r="R73" s="67"/>
    </row>
    <row r="74" spans="1:18">
      <c r="A74" s="69" t="s">
        <v>60</v>
      </c>
      <c r="B74" s="54"/>
      <c r="C74" s="54"/>
      <c r="D74" s="59"/>
      <c r="E74" s="59"/>
      <c r="F74" s="63"/>
      <c r="G74" s="54"/>
      <c r="H74" s="56"/>
      <c r="I74" s="56"/>
      <c r="J74" s="56"/>
      <c r="K74" s="56"/>
      <c r="L74" s="67">
        <v>0</v>
      </c>
      <c r="M74" s="54"/>
      <c r="N74" s="66"/>
      <c r="O74" s="66"/>
      <c r="P74" s="66"/>
      <c r="Q74" s="54"/>
      <c r="R74" s="67"/>
    </row>
    <row r="75" spans="1:18">
      <c r="A75" s="60" t="s">
        <v>80</v>
      </c>
      <c r="B75" s="57" t="s">
        <v>69</v>
      </c>
      <c r="C75" s="58" t="s">
        <v>77</v>
      </c>
      <c r="D75" s="59"/>
      <c r="E75" s="59"/>
      <c r="F75" s="63" t="s">
        <v>81</v>
      </c>
      <c r="G75" s="58" t="s">
        <v>71</v>
      </c>
      <c r="H75" s="64">
        <v>0</v>
      </c>
      <c r="I75" s="64">
        <v>900000</v>
      </c>
      <c r="J75" s="64">
        <v>0</v>
      </c>
      <c r="K75" s="64">
        <v>0</v>
      </c>
      <c r="L75" s="65">
        <v>900000</v>
      </c>
      <c r="M75" s="74">
        <v>1</v>
      </c>
      <c r="N75" s="66">
        <v>0</v>
      </c>
      <c r="O75" s="66">
        <v>900000</v>
      </c>
      <c r="P75" s="66">
        <v>0</v>
      </c>
      <c r="Q75" s="66">
        <v>0</v>
      </c>
      <c r="R75" s="67">
        <v>900000</v>
      </c>
    </row>
    <row r="76" spans="1:18">
      <c r="A76" s="68" t="s">
        <v>56</v>
      </c>
      <c r="B76" s="54"/>
      <c r="C76" s="54"/>
      <c r="D76" s="59"/>
      <c r="E76" s="59"/>
      <c r="F76" s="63"/>
      <c r="G76" s="54"/>
      <c r="H76" s="64">
        <v>0</v>
      </c>
      <c r="I76" s="64">
        <v>900000</v>
      </c>
      <c r="J76" s="64">
        <v>0</v>
      </c>
      <c r="K76" s="64">
        <v>0</v>
      </c>
      <c r="L76" s="65">
        <v>900000</v>
      </c>
      <c r="M76" s="54"/>
      <c r="N76" s="66">
        <v>0</v>
      </c>
      <c r="O76" s="66">
        <v>900000</v>
      </c>
      <c r="P76" s="66">
        <v>0</v>
      </c>
      <c r="Q76" s="66">
        <v>0</v>
      </c>
      <c r="R76" s="67">
        <v>900000</v>
      </c>
    </row>
    <row r="77" spans="1:18">
      <c r="A77" s="69" t="s">
        <v>57</v>
      </c>
      <c r="B77" s="54"/>
      <c r="C77" s="54"/>
      <c r="D77" s="59"/>
      <c r="E77" s="59"/>
      <c r="F77" s="63"/>
      <c r="G77" s="54"/>
      <c r="H77" s="56"/>
      <c r="I77" s="56"/>
      <c r="J77" s="56"/>
      <c r="K77" s="56"/>
      <c r="L77" s="67">
        <v>0</v>
      </c>
      <c r="M77" s="54"/>
      <c r="N77" s="66"/>
      <c r="O77" s="66"/>
      <c r="P77" s="66"/>
      <c r="Q77" s="54"/>
      <c r="R77" s="67"/>
    </row>
    <row r="78" spans="1:18">
      <c r="A78" s="69" t="s">
        <v>58</v>
      </c>
      <c r="B78" s="54"/>
      <c r="C78" s="54"/>
      <c r="D78" s="59"/>
      <c r="E78" s="59"/>
      <c r="F78" s="63"/>
      <c r="G78" s="54"/>
      <c r="H78" s="56"/>
      <c r="I78" s="56">
        <v>500000</v>
      </c>
      <c r="J78" s="56"/>
      <c r="K78" s="56"/>
      <c r="L78" s="67">
        <v>500000</v>
      </c>
      <c r="M78" s="54"/>
      <c r="N78" s="66"/>
      <c r="O78" s="66"/>
      <c r="P78" s="66"/>
      <c r="Q78" s="54"/>
      <c r="R78" s="67"/>
    </row>
    <row r="79" spans="1:18">
      <c r="A79" s="69" t="s">
        <v>59</v>
      </c>
      <c r="B79" s="54"/>
      <c r="C79" s="54"/>
      <c r="D79" s="59"/>
      <c r="E79" s="59"/>
      <c r="F79" s="63"/>
      <c r="G79" s="54"/>
      <c r="H79" s="56"/>
      <c r="I79" s="56"/>
      <c r="J79" s="56"/>
      <c r="K79" s="56"/>
      <c r="L79" s="67">
        <v>0</v>
      </c>
      <c r="M79" s="54"/>
      <c r="N79" s="66"/>
      <c r="O79" s="66"/>
      <c r="P79" s="66"/>
      <c r="Q79" s="54"/>
      <c r="R79" s="67"/>
    </row>
    <row r="80" spans="1:18">
      <c r="A80" s="69" t="s">
        <v>60</v>
      </c>
      <c r="B80" s="54"/>
      <c r="C80" s="54"/>
      <c r="D80" s="59"/>
      <c r="E80" s="59"/>
      <c r="F80" s="63"/>
      <c r="G80" s="54"/>
      <c r="H80" s="56"/>
      <c r="I80" s="56">
        <v>400000</v>
      </c>
      <c r="J80" s="56"/>
      <c r="K80" s="56"/>
      <c r="L80" s="67">
        <v>400000</v>
      </c>
      <c r="M80" s="54"/>
      <c r="N80" s="66"/>
      <c r="O80" s="66"/>
      <c r="P80" s="66"/>
      <c r="Q80" s="54"/>
      <c r="R80" s="67"/>
    </row>
    <row r="81" spans="1:18">
      <c r="A81" s="68" t="s">
        <v>61</v>
      </c>
      <c r="B81" s="54"/>
      <c r="C81" s="54"/>
      <c r="D81" s="59"/>
      <c r="E81" s="59"/>
      <c r="F81" s="63"/>
      <c r="G81" s="54"/>
      <c r="H81" s="64">
        <v>0</v>
      </c>
      <c r="I81" s="64">
        <v>0</v>
      </c>
      <c r="J81" s="64">
        <v>0</v>
      </c>
      <c r="K81" s="64">
        <v>0</v>
      </c>
      <c r="L81" s="65">
        <v>0</v>
      </c>
      <c r="M81" s="54"/>
      <c r="N81" s="66">
        <v>0</v>
      </c>
      <c r="O81" s="66">
        <v>0</v>
      </c>
      <c r="P81" s="66">
        <v>0</v>
      </c>
      <c r="Q81" s="66">
        <v>0</v>
      </c>
      <c r="R81" s="67">
        <v>0</v>
      </c>
    </row>
    <row r="82" spans="1:18">
      <c r="A82" s="69" t="s">
        <v>57</v>
      </c>
      <c r="B82" s="54"/>
      <c r="C82" s="54"/>
      <c r="D82" s="59"/>
      <c r="E82" s="59"/>
      <c r="F82" s="63"/>
      <c r="G82" s="54"/>
      <c r="H82" s="70">
        <v>0</v>
      </c>
      <c r="I82" s="70">
        <v>0</v>
      </c>
      <c r="J82" s="70">
        <v>0</v>
      </c>
      <c r="K82" s="70">
        <v>0</v>
      </c>
      <c r="L82" s="67">
        <v>0</v>
      </c>
      <c r="M82" s="54"/>
      <c r="N82" s="66"/>
      <c r="O82" s="66"/>
      <c r="P82" s="66"/>
      <c r="Q82" s="54"/>
      <c r="R82" s="67"/>
    </row>
    <row r="83" spans="1:18">
      <c r="A83" s="69" t="s">
        <v>58</v>
      </c>
      <c r="B83" s="54"/>
      <c r="C83" s="54"/>
      <c r="D83" s="59"/>
      <c r="E83" s="59"/>
      <c r="F83" s="63"/>
      <c r="G83" s="54"/>
      <c r="H83" s="56"/>
      <c r="I83" s="56"/>
      <c r="J83" s="56"/>
      <c r="K83" s="56"/>
      <c r="L83" s="67">
        <v>0</v>
      </c>
      <c r="M83" s="54"/>
      <c r="N83" s="66"/>
      <c r="O83" s="66"/>
      <c r="P83" s="66"/>
      <c r="Q83" s="54"/>
      <c r="R83" s="67"/>
    </row>
    <row r="84" spans="1:18">
      <c r="A84" s="69" t="s">
        <v>60</v>
      </c>
      <c r="B84" s="54"/>
      <c r="C84" s="54"/>
      <c r="D84" s="59"/>
      <c r="E84" s="59"/>
      <c r="F84" s="63"/>
      <c r="G84" s="54"/>
      <c r="H84" s="56"/>
      <c r="I84" s="56"/>
      <c r="J84" s="56"/>
      <c r="K84" s="56"/>
      <c r="L84" s="67">
        <v>0</v>
      </c>
      <c r="M84" s="54"/>
      <c r="N84" s="66"/>
      <c r="O84" s="66"/>
      <c r="P84" s="66"/>
      <c r="Q84" s="54"/>
      <c r="R84" s="67"/>
    </row>
    <row r="85" spans="1:18">
      <c r="A85" s="60" t="s">
        <v>82</v>
      </c>
      <c r="B85" s="57" t="s">
        <v>69</v>
      </c>
      <c r="C85" s="58" t="s">
        <v>83</v>
      </c>
      <c r="D85" s="59"/>
      <c r="E85" s="59"/>
      <c r="F85" s="63" t="s">
        <v>84</v>
      </c>
      <c r="G85" s="58" t="s">
        <v>71</v>
      </c>
      <c r="H85" s="64">
        <v>811370</v>
      </c>
      <c r="I85" s="64">
        <v>322740</v>
      </c>
      <c r="J85" s="64">
        <v>122740</v>
      </c>
      <c r="K85" s="64">
        <v>122740</v>
      </c>
      <c r="L85" s="65">
        <v>1379590</v>
      </c>
      <c r="M85" s="74">
        <v>1</v>
      </c>
      <c r="N85" s="66">
        <v>811370</v>
      </c>
      <c r="O85" s="66">
        <v>322740</v>
      </c>
      <c r="P85" s="66">
        <v>122740</v>
      </c>
      <c r="Q85" s="66">
        <v>122740</v>
      </c>
      <c r="R85" s="67">
        <v>1379590</v>
      </c>
    </row>
    <row r="86" spans="1:18">
      <c r="A86" s="68" t="s">
        <v>56</v>
      </c>
      <c r="B86" s="54"/>
      <c r="C86" s="54"/>
      <c r="D86" s="59"/>
      <c r="E86" s="59"/>
      <c r="F86" s="63"/>
      <c r="G86" s="54"/>
      <c r="H86" s="64">
        <v>750000</v>
      </c>
      <c r="I86" s="64">
        <v>200000</v>
      </c>
      <c r="J86" s="64">
        <v>0</v>
      </c>
      <c r="K86" s="64">
        <v>0</v>
      </c>
      <c r="L86" s="65">
        <v>950000</v>
      </c>
      <c r="M86" s="54"/>
      <c r="N86" s="66">
        <v>750000</v>
      </c>
      <c r="O86" s="66">
        <v>200000</v>
      </c>
      <c r="P86" s="66">
        <v>0</v>
      </c>
      <c r="Q86" s="66">
        <v>0</v>
      </c>
      <c r="R86" s="67">
        <v>950000</v>
      </c>
    </row>
    <row r="87" spans="1:18">
      <c r="A87" s="69" t="s">
        <v>57</v>
      </c>
      <c r="B87" s="54"/>
      <c r="C87" s="54"/>
      <c r="D87" s="59"/>
      <c r="E87" s="59"/>
      <c r="F87" s="63"/>
      <c r="G87" s="54"/>
      <c r="H87" s="56"/>
      <c r="I87" s="56"/>
      <c r="J87" s="56"/>
      <c r="K87" s="56"/>
      <c r="L87" s="67">
        <v>0</v>
      </c>
      <c r="M87" s="54"/>
      <c r="N87" s="66"/>
      <c r="O87" s="66"/>
      <c r="P87" s="66"/>
      <c r="Q87" s="54"/>
      <c r="R87" s="67"/>
    </row>
    <row r="88" spans="1:18">
      <c r="A88" s="69" t="s">
        <v>58</v>
      </c>
      <c r="B88" s="54"/>
      <c r="C88" s="54"/>
      <c r="D88" s="59"/>
      <c r="E88" s="59"/>
      <c r="F88" s="63"/>
      <c r="G88" s="54"/>
      <c r="H88" s="56">
        <v>150000</v>
      </c>
      <c r="I88" s="56"/>
      <c r="J88" s="56"/>
      <c r="K88" s="56"/>
      <c r="L88" s="67">
        <v>150000</v>
      </c>
      <c r="M88" s="54"/>
      <c r="N88" s="66"/>
      <c r="O88" s="66"/>
      <c r="P88" s="66"/>
      <c r="Q88" s="54"/>
      <c r="R88" s="67"/>
    </row>
    <row r="89" spans="1:18">
      <c r="A89" s="69" t="s">
        <v>59</v>
      </c>
      <c r="B89" s="54"/>
      <c r="C89" s="54"/>
      <c r="D89" s="59"/>
      <c r="E89" s="59"/>
      <c r="F89" s="63"/>
      <c r="G89" s="54"/>
      <c r="H89" s="56"/>
      <c r="I89" s="56"/>
      <c r="J89" s="56"/>
      <c r="K89" s="56"/>
      <c r="L89" s="67">
        <v>0</v>
      </c>
      <c r="M89" s="54"/>
      <c r="N89" s="66"/>
      <c r="O89" s="66"/>
      <c r="P89" s="66"/>
      <c r="Q89" s="54"/>
      <c r="R89" s="67"/>
    </row>
    <row r="90" spans="1:18">
      <c r="A90" s="69" t="s">
        <v>60</v>
      </c>
      <c r="B90" s="54"/>
      <c r="C90" s="54"/>
      <c r="D90" s="59"/>
      <c r="E90" s="59"/>
      <c r="F90" s="63"/>
      <c r="G90" s="54"/>
      <c r="H90" s="56">
        <v>600000</v>
      </c>
      <c r="I90" s="56">
        <v>200000</v>
      </c>
      <c r="J90" s="56"/>
      <c r="K90" s="56"/>
      <c r="L90" s="67">
        <v>800000</v>
      </c>
      <c r="M90" s="54"/>
      <c r="N90" s="66"/>
      <c r="O90" s="66"/>
      <c r="P90" s="66"/>
      <c r="Q90" s="54"/>
      <c r="R90" s="67"/>
    </row>
    <row r="91" spans="1:18">
      <c r="A91" s="68" t="s">
        <v>61</v>
      </c>
      <c r="B91" s="54"/>
      <c r="C91" s="54"/>
      <c r="D91" s="59"/>
      <c r="E91" s="59"/>
      <c r="F91" s="63"/>
      <c r="G91" s="54"/>
      <c r="H91" s="64">
        <v>61370</v>
      </c>
      <c r="I91" s="64">
        <v>122740</v>
      </c>
      <c r="J91" s="64">
        <v>122740</v>
      </c>
      <c r="K91" s="64">
        <v>122740</v>
      </c>
      <c r="L91" s="65">
        <v>429590</v>
      </c>
      <c r="M91" s="54"/>
      <c r="N91" s="66">
        <v>61370</v>
      </c>
      <c r="O91" s="66">
        <v>122740</v>
      </c>
      <c r="P91" s="66">
        <v>122740</v>
      </c>
      <c r="Q91" s="66">
        <v>122740</v>
      </c>
      <c r="R91" s="67">
        <v>429590</v>
      </c>
    </row>
    <row r="92" spans="1:18">
      <c r="A92" s="69" t="s">
        <v>57</v>
      </c>
      <c r="B92" s="54"/>
      <c r="C92" s="54"/>
      <c r="D92" s="59"/>
      <c r="E92" s="59"/>
      <c r="F92" s="63"/>
      <c r="G92" s="54"/>
      <c r="H92" s="70">
        <v>61370</v>
      </c>
      <c r="I92" s="70">
        <v>122740</v>
      </c>
      <c r="J92" s="70">
        <v>122740</v>
      </c>
      <c r="K92" s="70">
        <v>122740</v>
      </c>
      <c r="L92" s="67">
        <v>429590</v>
      </c>
      <c r="M92" s="54"/>
      <c r="N92" s="66"/>
      <c r="O92" s="66"/>
      <c r="P92" s="66"/>
      <c r="Q92" s="54"/>
      <c r="R92" s="67"/>
    </row>
    <row r="93" spans="1:18">
      <c r="A93" s="69" t="s">
        <v>58</v>
      </c>
      <c r="B93" s="54"/>
      <c r="C93" s="54"/>
      <c r="D93" s="59"/>
      <c r="E93" s="59"/>
      <c r="F93" s="63"/>
      <c r="G93" s="54"/>
      <c r="H93" s="56"/>
      <c r="I93" s="56"/>
      <c r="J93" s="56"/>
      <c r="K93" s="56"/>
      <c r="L93" s="67">
        <v>0</v>
      </c>
      <c r="M93" s="54"/>
      <c r="N93" s="66"/>
      <c r="O93" s="66"/>
      <c r="P93" s="66"/>
      <c r="Q93" s="54"/>
      <c r="R93" s="67"/>
    </row>
    <row r="94" spans="1:18">
      <c r="A94" s="69" t="s">
        <v>60</v>
      </c>
      <c r="B94" s="54"/>
      <c r="C94" s="54"/>
      <c r="D94" s="59"/>
      <c r="E94" s="59"/>
      <c r="F94" s="63"/>
      <c r="G94" s="54"/>
      <c r="H94" s="56"/>
      <c r="I94" s="56"/>
      <c r="J94" s="56"/>
      <c r="K94" s="56"/>
      <c r="L94" s="67">
        <v>0</v>
      </c>
      <c r="M94" s="54"/>
      <c r="N94" s="66"/>
      <c r="O94" s="66"/>
      <c r="P94" s="66"/>
      <c r="Q94" s="54"/>
      <c r="R94" s="67"/>
    </row>
    <row r="95" spans="1:18">
      <c r="A95" s="60" t="s">
        <v>85</v>
      </c>
      <c r="B95" s="57" t="s">
        <v>69</v>
      </c>
      <c r="C95" s="58" t="s">
        <v>77</v>
      </c>
      <c r="D95" s="59"/>
      <c r="E95" s="59"/>
      <c r="F95" s="63" t="s">
        <v>86</v>
      </c>
      <c r="G95" s="58" t="s">
        <v>79</v>
      </c>
      <c r="H95" s="64">
        <v>4044375</v>
      </c>
      <c r="I95" s="64">
        <v>4244375</v>
      </c>
      <c r="J95" s="64">
        <v>244375</v>
      </c>
      <c r="K95" s="64">
        <v>244375</v>
      </c>
      <c r="L95" s="65">
        <v>8777500</v>
      </c>
      <c r="M95" s="74">
        <v>1</v>
      </c>
      <c r="N95" s="66">
        <v>4044375</v>
      </c>
      <c r="O95" s="66">
        <v>4244375</v>
      </c>
      <c r="P95" s="66">
        <v>244375</v>
      </c>
      <c r="Q95" s="66">
        <v>244375</v>
      </c>
      <c r="R95" s="67">
        <v>8777500</v>
      </c>
    </row>
    <row r="96" spans="1:18">
      <c r="A96" s="68" t="s">
        <v>56</v>
      </c>
      <c r="B96" s="54"/>
      <c r="C96" s="54"/>
      <c r="D96" s="59"/>
      <c r="E96" s="59"/>
      <c r="F96" s="63"/>
      <c r="G96" s="54"/>
      <c r="H96" s="64">
        <v>3800000</v>
      </c>
      <c r="I96" s="64">
        <v>4000000</v>
      </c>
      <c r="J96" s="64">
        <v>0</v>
      </c>
      <c r="K96" s="64">
        <v>0</v>
      </c>
      <c r="L96" s="65">
        <v>7800000</v>
      </c>
      <c r="M96" s="54"/>
      <c r="N96" s="66">
        <v>3800000</v>
      </c>
      <c r="O96" s="66">
        <v>4000000</v>
      </c>
      <c r="P96" s="66">
        <v>0</v>
      </c>
      <c r="Q96" s="66">
        <v>0</v>
      </c>
      <c r="R96" s="67">
        <v>7800000</v>
      </c>
    </row>
    <row r="97" spans="1:18">
      <c r="A97" s="69" t="s">
        <v>57</v>
      </c>
      <c r="B97" s="54"/>
      <c r="C97" s="54"/>
      <c r="D97" s="59"/>
      <c r="E97" s="59"/>
      <c r="F97" s="63"/>
      <c r="G97" s="54"/>
      <c r="H97" s="56"/>
      <c r="I97" s="56"/>
      <c r="J97" s="56"/>
      <c r="K97" s="56"/>
      <c r="L97" s="67">
        <v>0</v>
      </c>
      <c r="M97" s="54"/>
      <c r="N97" s="66"/>
      <c r="O97" s="66"/>
      <c r="P97" s="66"/>
      <c r="Q97" s="54"/>
      <c r="R97" s="67"/>
    </row>
    <row r="98" spans="1:18">
      <c r="A98" s="69" t="s">
        <v>58</v>
      </c>
      <c r="B98" s="54"/>
      <c r="C98" s="54"/>
      <c r="D98" s="59"/>
      <c r="E98" s="59"/>
      <c r="F98" s="63"/>
      <c r="G98" s="54"/>
      <c r="H98" s="56">
        <v>300000</v>
      </c>
      <c r="I98" s="56"/>
      <c r="J98" s="56"/>
      <c r="K98" s="56"/>
      <c r="L98" s="67">
        <v>300000</v>
      </c>
      <c r="M98" s="54"/>
      <c r="N98" s="66"/>
      <c r="O98" s="66"/>
      <c r="P98" s="66"/>
      <c r="Q98" s="54"/>
      <c r="R98" s="67"/>
    </row>
    <row r="99" spans="1:18">
      <c r="A99" s="69" t="s">
        <v>59</v>
      </c>
      <c r="B99" s="54"/>
      <c r="C99" s="54"/>
      <c r="D99" s="59"/>
      <c r="E99" s="59"/>
      <c r="F99" s="63"/>
      <c r="G99" s="54"/>
      <c r="H99" s="56"/>
      <c r="I99" s="56"/>
      <c r="J99" s="56"/>
      <c r="K99" s="56"/>
      <c r="L99" s="67">
        <v>0</v>
      </c>
      <c r="M99" s="54"/>
      <c r="N99" s="66"/>
      <c r="O99" s="66"/>
      <c r="P99" s="66"/>
      <c r="Q99" s="54"/>
      <c r="R99" s="67"/>
    </row>
    <row r="100" spans="1:18">
      <c r="A100" s="69" t="s">
        <v>60</v>
      </c>
      <c r="B100" s="54"/>
      <c r="C100" s="54"/>
      <c r="D100" s="59"/>
      <c r="E100" s="59"/>
      <c r="F100" s="63"/>
      <c r="G100" s="54"/>
      <c r="H100" s="56">
        <v>3500000</v>
      </c>
      <c r="I100" s="56">
        <v>4000000</v>
      </c>
      <c r="J100" s="56"/>
      <c r="K100" s="56"/>
      <c r="L100" s="67">
        <v>7500000</v>
      </c>
      <c r="M100" s="54"/>
      <c r="N100" s="66"/>
      <c r="O100" s="66"/>
      <c r="P100" s="66"/>
      <c r="Q100" s="54"/>
      <c r="R100" s="67"/>
    </row>
    <row r="101" spans="1:18">
      <c r="A101" s="68" t="s">
        <v>61</v>
      </c>
      <c r="B101" s="54"/>
      <c r="C101" s="54"/>
      <c r="D101" s="59"/>
      <c r="E101" s="59"/>
      <c r="F101" s="63"/>
      <c r="G101" s="54"/>
      <c r="H101" s="64">
        <v>244375</v>
      </c>
      <c r="I101" s="64">
        <v>244375</v>
      </c>
      <c r="J101" s="64">
        <v>244375</v>
      </c>
      <c r="K101" s="64">
        <v>244375</v>
      </c>
      <c r="L101" s="65">
        <v>977500</v>
      </c>
      <c r="M101" s="54"/>
      <c r="N101" s="66">
        <v>244375</v>
      </c>
      <c r="O101" s="66">
        <v>244375</v>
      </c>
      <c r="P101" s="66">
        <v>244375</v>
      </c>
      <c r="Q101" s="66">
        <v>244375</v>
      </c>
      <c r="R101" s="67">
        <v>977500</v>
      </c>
    </row>
    <row r="102" spans="1:18">
      <c r="A102" s="69" t="s">
        <v>57</v>
      </c>
      <c r="B102" s="54"/>
      <c r="C102" s="54"/>
      <c r="D102" s="59"/>
      <c r="E102" s="59"/>
      <c r="F102" s="63"/>
      <c r="G102" s="54"/>
      <c r="H102" s="70">
        <v>244375</v>
      </c>
      <c r="I102" s="70">
        <v>244375</v>
      </c>
      <c r="J102" s="70">
        <v>244375</v>
      </c>
      <c r="K102" s="70">
        <v>244375</v>
      </c>
      <c r="L102" s="67">
        <v>977500</v>
      </c>
      <c r="M102" s="54"/>
      <c r="N102" s="66"/>
      <c r="O102" s="66"/>
      <c r="P102" s="66"/>
      <c r="Q102" s="54"/>
      <c r="R102" s="67"/>
    </row>
    <row r="103" spans="1:18">
      <c r="A103" s="69" t="s">
        <v>58</v>
      </c>
      <c r="B103" s="54"/>
      <c r="C103" s="54"/>
      <c r="D103" s="59"/>
      <c r="E103" s="59"/>
      <c r="F103" s="63"/>
      <c r="G103" s="54"/>
      <c r="H103" s="56"/>
      <c r="I103" s="56"/>
      <c r="J103" s="56"/>
      <c r="K103" s="56"/>
      <c r="L103" s="67">
        <v>0</v>
      </c>
      <c r="M103" s="54"/>
      <c r="N103" s="66"/>
      <c r="O103" s="66"/>
      <c r="P103" s="66"/>
      <c r="Q103" s="54"/>
      <c r="R103" s="67"/>
    </row>
    <row r="104" spans="1:18">
      <c r="A104" s="69" t="s">
        <v>60</v>
      </c>
      <c r="B104" s="54"/>
      <c r="C104" s="54"/>
      <c r="D104" s="59"/>
      <c r="E104" s="59"/>
      <c r="F104" s="63"/>
      <c r="G104" s="54"/>
      <c r="H104" s="56"/>
      <c r="I104" s="56"/>
      <c r="J104" s="56"/>
      <c r="K104" s="56"/>
      <c r="L104" s="67">
        <v>0</v>
      </c>
      <c r="M104" s="54"/>
      <c r="N104" s="66"/>
      <c r="O104" s="66"/>
      <c r="P104" s="66"/>
      <c r="Q104" s="54"/>
      <c r="R104" s="67"/>
    </row>
    <row r="105" spans="1:18">
      <c r="A105" s="60" t="s">
        <v>87</v>
      </c>
      <c r="B105" s="57" t="s">
        <v>69</v>
      </c>
      <c r="C105" s="58" t="s">
        <v>53</v>
      </c>
      <c r="D105" s="59"/>
      <c r="E105" s="59"/>
      <c r="F105" s="63" t="s">
        <v>88</v>
      </c>
      <c r="G105" s="58" t="s">
        <v>64</v>
      </c>
      <c r="H105" s="64">
        <v>0</v>
      </c>
      <c r="I105" s="64">
        <v>0</v>
      </c>
      <c r="J105" s="64">
        <v>950000</v>
      </c>
      <c r="K105" s="64">
        <v>0</v>
      </c>
      <c r="L105" s="65">
        <v>950000</v>
      </c>
      <c r="M105" s="74">
        <v>1</v>
      </c>
      <c r="N105" s="66">
        <v>0</v>
      </c>
      <c r="O105" s="66">
        <v>0</v>
      </c>
      <c r="P105" s="66">
        <v>950000</v>
      </c>
      <c r="Q105" s="66">
        <v>0</v>
      </c>
      <c r="R105" s="67">
        <v>950000</v>
      </c>
    </row>
    <row r="106" spans="1:18">
      <c r="A106" s="68" t="s">
        <v>56</v>
      </c>
      <c r="B106" s="54"/>
      <c r="C106" s="54"/>
      <c r="D106" s="59"/>
      <c r="E106" s="59"/>
      <c r="F106" s="63"/>
      <c r="G106" s="54"/>
      <c r="H106" s="64">
        <v>0</v>
      </c>
      <c r="I106" s="64">
        <v>0</v>
      </c>
      <c r="J106" s="64">
        <v>950000</v>
      </c>
      <c r="K106" s="64">
        <v>0</v>
      </c>
      <c r="L106" s="65">
        <v>950000</v>
      </c>
      <c r="M106" s="54"/>
      <c r="N106" s="66">
        <v>0</v>
      </c>
      <c r="O106" s="66">
        <v>0</v>
      </c>
      <c r="P106" s="66">
        <v>950000</v>
      </c>
      <c r="Q106" s="66">
        <v>0</v>
      </c>
      <c r="R106" s="67">
        <v>950000</v>
      </c>
    </row>
    <row r="107" spans="1:18">
      <c r="A107" s="69" t="s">
        <v>57</v>
      </c>
      <c r="B107" s="54"/>
      <c r="C107" s="54"/>
      <c r="D107" s="59"/>
      <c r="E107" s="59"/>
      <c r="F107" s="63"/>
      <c r="G107" s="54"/>
      <c r="H107" s="56"/>
      <c r="I107" s="56"/>
      <c r="J107" s="56"/>
      <c r="K107" s="56"/>
      <c r="L107" s="67">
        <v>0</v>
      </c>
      <c r="M107" s="54"/>
      <c r="N107" s="66"/>
      <c r="O107" s="66"/>
      <c r="P107" s="66"/>
      <c r="Q107" s="54"/>
      <c r="R107" s="67"/>
    </row>
    <row r="108" spans="1:18">
      <c r="A108" s="69" t="s">
        <v>58</v>
      </c>
      <c r="B108" s="54"/>
      <c r="C108" s="54"/>
      <c r="D108" s="59"/>
      <c r="E108" s="59"/>
      <c r="F108" s="63"/>
      <c r="G108" s="54"/>
      <c r="H108" s="56"/>
      <c r="I108" s="56"/>
      <c r="J108" s="56">
        <v>150000</v>
      </c>
      <c r="K108" s="56"/>
      <c r="L108" s="67">
        <v>150000</v>
      </c>
      <c r="M108" s="54"/>
      <c r="N108" s="66"/>
      <c r="O108" s="66"/>
      <c r="P108" s="66"/>
      <c r="Q108" s="54"/>
      <c r="R108" s="67"/>
    </row>
    <row r="109" spans="1:18">
      <c r="A109" s="69" t="s">
        <v>59</v>
      </c>
      <c r="B109" s="54"/>
      <c r="C109" s="54"/>
      <c r="D109" s="59"/>
      <c r="E109" s="59"/>
      <c r="F109" s="63"/>
      <c r="G109" s="54"/>
      <c r="H109" s="56"/>
      <c r="I109" s="56"/>
      <c r="J109" s="56"/>
      <c r="K109" s="56"/>
      <c r="L109" s="67">
        <v>0</v>
      </c>
      <c r="M109" s="54"/>
      <c r="N109" s="66"/>
      <c r="O109" s="66"/>
      <c r="P109" s="66"/>
      <c r="Q109" s="54"/>
      <c r="R109" s="67"/>
    </row>
    <row r="110" spans="1:18">
      <c r="A110" s="69" t="s">
        <v>60</v>
      </c>
      <c r="B110" s="54"/>
      <c r="C110" s="54"/>
      <c r="D110" s="59"/>
      <c r="E110" s="59"/>
      <c r="F110" s="63"/>
      <c r="G110" s="54"/>
      <c r="H110" s="56"/>
      <c r="I110" s="56"/>
      <c r="J110" s="56">
        <v>800000</v>
      </c>
      <c r="K110" s="56"/>
      <c r="L110" s="67">
        <v>800000</v>
      </c>
      <c r="M110" s="54"/>
      <c r="N110" s="66"/>
      <c r="O110" s="66"/>
      <c r="P110" s="66"/>
      <c r="Q110" s="54"/>
      <c r="R110" s="67"/>
    </row>
    <row r="111" spans="1:18">
      <c r="A111" s="68" t="s">
        <v>61</v>
      </c>
      <c r="B111" s="54"/>
      <c r="C111" s="54"/>
      <c r="D111" s="59"/>
      <c r="E111" s="59"/>
      <c r="F111" s="63"/>
      <c r="G111" s="54"/>
      <c r="H111" s="64">
        <v>0</v>
      </c>
      <c r="I111" s="64">
        <v>0</v>
      </c>
      <c r="J111" s="64">
        <v>0</v>
      </c>
      <c r="K111" s="64">
        <v>0</v>
      </c>
      <c r="L111" s="65">
        <v>0</v>
      </c>
      <c r="M111" s="54"/>
      <c r="N111" s="66">
        <v>0</v>
      </c>
      <c r="O111" s="66">
        <v>0</v>
      </c>
      <c r="P111" s="66">
        <v>0</v>
      </c>
      <c r="Q111" s="66">
        <v>0</v>
      </c>
      <c r="R111" s="67">
        <v>0</v>
      </c>
    </row>
    <row r="112" spans="1:18">
      <c r="A112" s="69" t="s">
        <v>57</v>
      </c>
      <c r="B112" s="54"/>
      <c r="C112" s="54"/>
      <c r="D112" s="59"/>
      <c r="E112" s="59"/>
      <c r="F112" s="63"/>
      <c r="G112" s="54"/>
      <c r="H112" s="70">
        <v>0</v>
      </c>
      <c r="I112" s="70">
        <v>0</v>
      </c>
      <c r="J112" s="70">
        <v>0</v>
      </c>
      <c r="K112" s="70">
        <v>0</v>
      </c>
      <c r="L112" s="67">
        <v>0</v>
      </c>
      <c r="M112" s="54"/>
      <c r="N112" s="66"/>
      <c r="O112" s="66"/>
      <c r="P112" s="66"/>
      <c r="Q112" s="54"/>
      <c r="R112" s="67"/>
    </row>
    <row r="113" spans="1:18">
      <c r="A113" s="69" t="s">
        <v>58</v>
      </c>
      <c r="B113" s="54"/>
      <c r="C113" s="54"/>
      <c r="D113" s="59"/>
      <c r="E113" s="59"/>
      <c r="F113" s="63"/>
      <c r="G113" s="54"/>
      <c r="H113" s="56"/>
      <c r="I113" s="56"/>
      <c r="J113" s="56"/>
      <c r="K113" s="56"/>
      <c r="L113" s="67">
        <v>0</v>
      </c>
      <c r="M113" s="54"/>
      <c r="N113" s="66"/>
      <c r="O113" s="66"/>
      <c r="P113" s="66"/>
      <c r="Q113" s="54"/>
      <c r="R113" s="67"/>
    </row>
    <row r="114" spans="1:18">
      <c r="A114" s="69" t="s">
        <v>60</v>
      </c>
      <c r="B114" s="54"/>
      <c r="C114" s="54"/>
      <c r="D114" s="59"/>
      <c r="E114" s="59"/>
      <c r="F114" s="63"/>
      <c r="G114" s="54"/>
      <c r="H114" s="56"/>
      <c r="I114" s="56"/>
      <c r="J114" s="56"/>
      <c r="K114" s="56"/>
      <c r="L114" s="67">
        <v>0</v>
      </c>
      <c r="M114" s="54"/>
      <c r="N114" s="66"/>
      <c r="O114" s="66"/>
      <c r="P114" s="66"/>
      <c r="Q114" s="54"/>
      <c r="R114" s="67"/>
    </row>
    <row r="115" spans="1:18">
      <c r="A115" s="60" t="s">
        <v>89</v>
      </c>
      <c r="B115" s="57" t="s">
        <v>69</v>
      </c>
      <c r="C115" s="58" t="s">
        <v>83</v>
      </c>
      <c r="D115" s="59"/>
      <c r="E115" s="59"/>
      <c r="F115" s="63" t="s">
        <v>86</v>
      </c>
      <c r="G115" s="58" t="s">
        <v>79</v>
      </c>
      <c r="H115" s="64">
        <v>0</v>
      </c>
      <c r="I115" s="64">
        <v>1150000</v>
      </c>
      <c r="J115" s="64">
        <v>0</v>
      </c>
      <c r="K115" s="64">
        <v>0</v>
      </c>
      <c r="L115" s="65">
        <v>1150000</v>
      </c>
      <c r="M115" s="74">
        <v>1</v>
      </c>
      <c r="N115" s="66">
        <v>0</v>
      </c>
      <c r="O115" s="66">
        <v>1150000</v>
      </c>
      <c r="P115" s="66">
        <v>0</v>
      </c>
      <c r="Q115" s="66">
        <v>0</v>
      </c>
      <c r="R115" s="67">
        <v>1150000</v>
      </c>
    </row>
    <row r="116" spans="1:18">
      <c r="A116" s="68" t="s">
        <v>56</v>
      </c>
      <c r="B116" s="54"/>
      <c r="C116" s="54"/>
      <c r="D116" s="59"/>
      <c r="E116" s="59"/>
      <c r="F116" s="63"/>
      <c r="G116" s="54"/>
      <c r="H116" s="64">
        <v>0</v>
      </c>
      <c r="I116" s="64">
        <v>1150000</v>
      </c>
      <c r="J116" s="64">
        <v>0</v>
      </c>
      <c r="K116" s="64">
        <v>0</v>
      </c>
      <c r="L116" s="65">
        <v>1150000</v>
      </c>
      <c r="M116" s="54"/>
      <c r="N116" s="66">
        <v>0</v>
      </c>
      <c r="O116" s="66">
        <v>1150000</v>
      </c>
      <c r="P116" s="66">
        <v>0</v>
      </c>
      <c r="Q116" s="66">
        <v>0</v>
      </c>
      <c r="R116" s="67">
        <v>1150000</v>
      </c>
    </row>
    <row r="117" spans="1:18">
      <c r="A117" s="69" t="s">
        <v>57</v>
      </c>
      <c r="B117" s="54"/>
      <c r="C117" s="54"/>
      <c r="D117" s="59"/>
      <c r="E117" s="59"/>
      <c r="F117" s="63"/>
      <c r="G117" s="54"/>
      <c r="H117" s="56"/>
      <c r="I117" s="56"/>
      <c r="J117" s="56"/>
      <c r="K117" s="56"/>
      <c r="L117" s="67">
        <v>0</v>
      </c>
      <c r="M117" s="54"/>
      <c r="N117" s="66"/>
      <c r="O117" s="66"/>
      <c r="P117" s="66"/>
      <c r="Q117" s="54"/>
      <c r="R117" s="67"/>
    </row>
    <row r="118" spans="1:18">
      <c r="A118" s="69" t="s">
        <v>58</v>
      </c>
      <c r="B118" s="54"/>
      <c r="C118" s="54"/>
      <c r="D118" s="59"/>
      <c r="E118" s="59"/>
      <c r="F118" s="63"/>
      <c r="G118" s="54"/>
      <c r="H118" s="56"/>
      <c r="I118" s="56">
        <v>150000</v>
      </c>
      <c r="J118" s="56"/>
      <c r="K118" s="56"/>
      <c r="L118" s="67">
        <v>150000</v>
      </c>
      <c r="M118" s="54"/>
      <c r="N118" s="66"/>
      <c r="O118" s="66"/>
      <c r="P118" s="66"/>
      <c r="Q118" s="54"/>
      <c r="R118" s="67"/>
    </row>
    <row r="119" spans="1:18">
      <c r="A119" s="69" t="s">
        <v>59</v>
      </c>
      <c r="B119" s="54"/>
      <c r="C119" s="54"/>
      <c r="D119" s="59"/>
      <c r="E119" s="59"/>
      <c r="F119" s="63"/>
      <c r="G119" s="54"/>
      <c r="H119" s="56"/>
      <c r="I119" s="56"/>
      <c r="J119" s="56"/>
      <c r="K119" s="56"/>
      <c r="L119" s="67">
        <v>0</v>
      </c>
      <c r="M119" s="54"/>
      <c r="N119" s="66"/>
      <c r="O119" s="66"/>
      <c r="P119" s="66"/>
      <c r="Q119" s="54"/>
      <c r="R119" s="67"/>
    </row>
    <row r="120" spans="1:18">
      <c r="A120" s="69" t="s">
        <v>60</v>
      </c>
      <c r="B120" s="54"/>
      <c r="C120" s="54"/>
      <c r="D120" s="59"/>
      <c r="E120" s="59"/>
      <c r="F120" s="63"/>
      <c r="G120" s="54"/>
      <c r="H120" s="56"/>
      <c r="I120" s="56">
        <v>1000000</v>
      </c>
      <c r="J120" s="56"/>
      <c r="K120" s="56"/>
      <c r="L120" s="67">
        <v>1000000</v>
      </c>
      <c r="M120" s="54"/>
      <c r="N120" s="66"/>
      <c r="O120" s="66"/>
      <c r="P120" s="66"/>
      <c r="Q120" s="54"/>
      <c r="R120" s="67"/>
    </row>
    <row r="121" spans="1:18">
      <c r="A121" s="68" t="s">
        <v>61</v>
      </c>
      <c r="B121" s="54"/>
      <c r="C121" s="54"/>
      <c r="D121" s="59"/>
      <c r="E121" s="59"/>
      <c r="F121" s="63"/>
      <c r="G121" s="54"/>
      <c r="H121" s="64">
        <v>0</v>
      </c>
      <c r="I121" s="64">
        <v>0</v>
      </c>
      <c r="J121" s="64">
        <v>0</v>
      </c>
      <c r="K121" s="64">
        <v>0</v>
      </c>
      <c r="L121" s="65">
        <v>0</v>
      </c>
      <c r="M121" s="54"/>
      <c r="N121" s="66">
        <v>0</v>
      </c>
      <c r="O121" s="66">
        <v>0</v>
      </c>
      <c r="P121" s="66">
        <v>0</v>
      </c>
      <c r="Q121" s="66">
        <v>0</v>
      </c>
      <c r="R121" s="67">
        <v>0</v>
      </c>
    </row>
    <row r="122" spans="1:18">
      <c r="A122" s="69" t="s">
        <v>57</v>
      </c>
      <c r="B122" s="54"/>
      <c r="C122" s="54"/>
      <c r="D122" s="59"/>
      <c r="E122" s="59"/>
      <c r="F122" s="63"/>
      <c r="G122" s="54"/>
      <c r="H122" s="70">
        <v>0</v>
      </c>
      <c r="I122" s="70">
        <v>0</v>
      </c>
      <c r="J122" s="70">
        <v>0</v>
      </c>
      <c r="K122" s="70">
        <v>0</v>
      </c>
      <c r="L122" s="67">
        <v>0</v>
      </c>
      <c r="M122" s="54"/>
      <c r="N122" s="66"/>
      <c r="O122" s="66"/>
      <c r="P122" s="66"/>
      <c r="Q122" s="54"/>
      <c r="R122" s="67"/>
    </row>
    <row r="123" spans="1:18">
      <c r="A123" s="69" t="s">
        <v>58</v>
      </c>
      <c r="B123" s="54"/>
      <c r="C123" s="54"/>
      <c r="D123" s="59"/>
      <c r="E123" s="59"/>
      <c r="F123" s="63"/>
      <c r="G123" s="54"/>
      <c r="H123" s="56"/>
      <c r="I123" s="56"/>
      <c r="J123" s="56"/>
      <c r="K123" s="56"/>
      <c r="L123" s="67">
        <v>0</v>
      </c>
      <c r="M123" s="54"/>
      <c r="N123" s="66"/>
      <c r="O123" s="66"/>
      <c r="P123" s="66"/>
      <c r="Q123" s="54"/>
      <c r="R123" s="67"/>
    </row>
    <row r="124" spans="1:18">
      <c r="A124" s="69" t="s">
        <v>60</v>
      </c>
      <c r="B124" s="54"/>
      <c r="C124" s="54"/>
      <c r="D124" s="59"/>
      <c r="E124" s="59"/>
      <c r="F124" s="63"/>
      <c r="G124" s="54"/>
      <c r="H124" s="56"/>
      <c r="I124" s="56"/>
      <c r="J124" s="56"/>
      <c r="K124" s="56"/>
      <c r="L124" s="67">
        <v>0</v>
      </c>
      <c r="M124" s="54"/>
      <c r="N124" s="66"/>
      <c r="O124" s="66"/>
      <c r="P124" s="66"/>
      <c r="Q124" s="54"/>
      <c r="R124" s="67"/>
    </row>
    <row r="125" spans="1:18">
      <c r="A125" s="60" t="s">
        <v>90</v>
      </c>
      <c r="B125" s="57" t="s">
        <v>66</v>
      </c>
      <c r="C125" s="58" t="s">
        <v>53</v>
      </c>
      <c r="D125" s="59"/>
      <c r="E125" s="59"/>
      <c r="F125" s="63"/>
      <c r="G125" s="58" t="s">
        <v>64</v>
      </c>
      <c r="H125" s="64">
        <v>75000</v>
      </c>
      <c r="I125" s="64">
        <v>0</v>
      </c>
      <c r="J125" s="64">
        <v>0</v>
      </c>
      <c r="K125" s="64">
        <v>0</v>
      </c>
      <c r="L125" s="65">
        <v>75000</v>
      </c>
      <c r="M125" s="74">
        <v>1</v>
      </c>
      <c r="N125" s="66">
        <v>75000</v>
      </c>
      <c r="O125" s="66">
        <v>0</v>
      </c>
      <c r="P125" s="66">
        <v>0</v>
      </c>
      <c r="Q125" s="66">
        <v>0</v>
      </c>
      <c r="R125" s="67">
        <v>75000</v>
      </c>
    </row>
    <row r="126" spans="1:18">
      <c r="A126" s="68" t="s">
        <v>56</v>
      </c>
      <c r="B126" s="54"/>
      <c r="C126" s="54"/>
      <c r="D126" s="59"/>
      <c r="E126" s="59"/>
      <c r="F126" s="63"/>
      <c r="G126" s="54"/>
      <c r="H126" s="64">
        <v>0</v>
      </c>
      <c r="I126" s="64">
        <v>0</v>
      </c>
      <c r="J126" s="64">
        <v>0</v>
      </c>
      <c r="K126" s="64">
        <v>0</v>
      </c>
      <c r="L126" s="65">
        <v>0</v>
      </c>
      <c r="M126" s="54"/>
      <c r="N126" s="66">
        <v>0</v>
      </c>
      <c r="O126" s="66">
        <v>0</v>
      </c>
      <c r="P126" s="66">
        <v>0</v>
      </c>
      <c r="Q126" s="66">
        <v>0</v>
      </c>
      <c r="R126" s="67">
        <v>0</v>
      </c>
    </row>
    <row r="127" spans="1:18">
      <c r="A127" s="69" t="s">
        <v>57</v>
      </c>
      <c r="B127" s="54"/>
      <c r="C127" s="54"/>
      <c r="D127" s="59"/>
      <c r="E127" s="59"/>
      <c r="F127" s="63"/>
      <c r="G127" s="54"/>
      <c r="H127" s="56"/>
      <c r="I127" s="56"/>
      <c r="J127" s="56"/>
      <c r="K127" s="56"/>
      <c r="L127" s="67">
        <v>0</v>
      </c>
      <c r="M127" s="54"/>
      <c r="N127" s="66"/>
      <c r="O127" s="66"/>
      <c r="P127" s="66"/>
      <c r="Q127" s="54"/>
      <c r="R127" s="67"/>
    </row>
    <row r="128" spans="1:18">
      <c r="A128" s="69" t="s">
        <v>58</v>
      </c>
      <c r="B128" s="54"/>
      <c r="C128" s="54"/>
      <c r="D128" s="59"/>
      <c r="E128" s="59"/>
      <c r="F128" s="63"/>
      <c r="G128" s="54"/>
      <c r="H128" s="56"/>
      <c r="I128" s="56"/>
      <c r="J128" s="56"/>
      <c r="K128" s="56"/>
      <c r="L128" s="67">
        <v>0</v>
      </c>
      <c r="M128" s="54"/>
      <c r="N128" s="66"/>
      <c r="O128" s="66"/>
      <c r="P128" s="66"/>
      <c r="Q128" s="54"/>
      <c r="R128" s="67"/>
    </row>
    <row r="129" spans="1:18">
      <c r="A129" s="69" t="s">
        <v>59</v>
      </c>
      <c r="B129" s="54"/>
      <c r="C129" s="54"/>
      <c r="D129" s="59"/>
      <c r="E129" s="59"/>
      <c r="F129" s="63"/>
      <c r="G129" s="54"/>
      <c r="H129" s="56"/>
      <c r="I129" s="56"/>
      <c r="J129" s="56"/>
      <c r="K129" s="56"/>
      <c r="L129" s="67">
        <v>0</v>
      </c>
      <c r="M129" s="54"/>
      <c r="N129" s="66"/>
      <c r="O129" s="66"/>
      <c r="P129" s="66"/>
      <c r="Q129" s="54"/>
      <c r="R129" s="67"/>
    </row>
    <row r="130" spans="1:18">
      <c r="A130" s="69" t="s">
        <v>60</v>
      </c>
      <c r="B130" s="54"/>
      <c r="C130" s="54"/>
      <c r="D130" s="59"/>
      <c r="E130" s="59"/>
      <c r="F130" s="63"/>
      <c r="G130" s="54"/>
      <c r="H130" s="56"/>
      <c r="I130" s="56"/>
      <c r="J130" s="56"/>
      <c r="K130" s="56"/>
      <c r="L130" s="67">
        <v>0</v>
      </c>
      <c r="M130" s="54"/>
      <c r="N130" s="66"/>
      <c r="O130" s="66"/>
      <c r="P130" s="66"/>
      <c r="Q130" s="54"/>
      <c r="R130" s="67"/>
    </row>
    <row r="131" spans="1:18">
      <c r="A131" s="68" t="s">
        <v>61</v>
      </c>
      <c r="B131" s="54"/>
      <c r="C131" s="54"/>
      <c r="D131" s="59"/>
      <c r="E131" s="59"/>
      <c r="F131" s="63"/>
      <c r="G131" s="54"/>
      <c r="H131" s="64">
        <v>75000</v>
      </c>
      <c r="I131" s="64">
        <v>0</v>
      </c>
      <c r="J131" s="64">
        <v>0</v>
      </c>
      <c r="K131" s="64">
        <v>0</v>
      </c>
      <c r="L131" s="65">
        <v>75000</v>
      </c>
      <c r="M131" s="54"/>
      <c r="N131" s="66">
        <v>75000</v>
      </c>
      <c r="O131" s="66">
        <v>0</v>
      </c>
      <c r="P131" s="66">
        <v>0</v>
      </c>
      <c r="Q131" s="66">
        <v>0</v>
      </c>
      <c r="R131" s="67">
        <v>75000</v>
      </c>
    </row>
    <row r="132" spans="1:18">
      <c r="A132" s="69" t="s">
        <v>57</v>
      </c>
      <c r="B132" s="54"/>
      <c r="C132" s="54"/>
      <c r="D132" s="59"/>
      <c r="E132" s="59"/>
      <c r="F132" s="63"/>
      <c r="G132" s="54"/>
      <c r="H132" s="70">
        <v>0</v>
      </c>
      <c r="I132" s="70">
        <v>0</v>
      </c>
      <c r="J132" s="70">
        <v>0</v>
      </c>
      <c r="K132" s="70">
        <v>0</v>
      </c>
      <c r="L132" s="67">
        <v>0</v>
      </c>
      <c r="M132" s="54"/>
      <c r="N132" s="66"/>
      <c r="O132" s="66"/>
      <c r="P132" s="66"/>
      <c r="Q132" s="54"/>
      <c r="R132" s="67"/>
    </row>
    <row r="133" spans="1:18">
      <c r="A133" s="69" t="s">
        <v>58</v>
      </c>
      <c r="B133" s="54"/>
      <c r="C133" s="54"/>
      <c r="D133" s="59"/>
      <c r="E133" s="59"/>
      <c r="F133" s="63"/>
      <c r="G133" s="54"/>
      <c r="H133" s="56">
        <v>75000</v>
      </c>
      <c r="I133" s="56"/>
      <c r="J133" s="56"/>
      <c r="K133" s="56"/>
      <c r="L133" s="67">
        <v>75000</v>
      </c>
      <c r="M133" s="54"/>
      <c r="N133" s="66"/>
      <c r="O133" s="66"/>
      <c r="P133" s="66"/>
      <c r="Q133" s="54"/>
      <c r="R133" s="67"/>
    </row>
    <row r="134" spans="1:18">
      <c r="A134" s="69" t="s">
        <v>60</v>
      </c>
      <c r="B134" s="54"/>
      <c r="C134" s="54"/>
      <c r="D134" s="59"/>
      <c r="E134" s="59"/>
      <c r="F134" s="63"/>
      <c r="G134" s="54"/>
      <c r="H134" s="56"/>
      <c r="I134" s="56"/>
      <c r="J134" s="56"/>
      <c r="K134" s="56"/>
      <c r="L134" s="67">
        <v>0</v>
      </c>
      <c r="M134" s="54"/>
      <c r="N134" s="66"/>
      <c r="O134" s="66"/>
      <c r="P134" s="66"/>
      <c r="Q134" s="54"/>
      <c r="R134" s="67"/>
    </row>
    <row r="135" spans="1:18">
      <c r="A135" s="60" t="s">
        <v>91</v>
      </c>
      <c r="B135" s="57" t="s">
        <v>66</v>
      </c>
      <c r="C135" s="58" t="s">
        <v>77</v>
      </c>
      <c r="D135" s="59"/>
      <c r="E135" s="59"/>
      <c r="F135" s="63" t="s">
        <v>92</v>
      </c>
      <c r="G135" s="58" t="s">
        <v>55</v>
      </c>
      <c r="H135" s="64">
        <v>0</v>
      </c>
      <c r="I135" s="64">
        <v>122740</v>
      </c>
      <c r="J135" s="64">
        <v>0</v>
      </c>
      <c r="K135" s="64">
        <v>0</v>
      </c>
      <c r="L135" s="65">
        <v>122740</v>
      </c>
      <c r="M135" s="74">
        <v>1</v>
      </c>
      <c r="N135" s="66">
        <v>0</v>
      </c>
      <c r="O135" s="66">
        <v>122740</v>
      </c>
      <c r="P135" s="66">
        <v>0</v>
      </c>
      <c r="Q135" s="66">
        <v>0</v>
      </c>
      <c r="R135" s="67">
        <v>122740</v>
      </c>
    </row>
    <row r="136" spans="1:18">
      <c r="A136" s="68" t="s">
        <v>56</v>
      </c>
      <c r="B136" s="54"/>
      <c r="C136" s="54"/>
      <c r="D136" s="59"/>
      <c r="E136" s="59"/>
      <c r="F136" s="63"/>
      <c r="G136" s="54"/>
      <c r="H136" s="64">
        <v>0</v>
      </c>
      <c r="I136" s="64">
        <v>0</v>
      </c>
      <c r="J136" s="64">
        <v>0</v>
      </c>
      <c r="K136" s="64">
        <v>0</v>
      </c>
      <c r="L136" s="65">
        <v>0</v>
      </c>
      <c r="M136" s="54"/>
      <c r="N136" s="66">
        <v>0</v>
      </c>
      <c r="O136" s="66">
        <v>0</v>
      </c>
      <c r="P136" s="66">
        <v>0</v>
      </c>
      <c r="Q136" s="66">
        <v>0</v>
      </c>
      <c r="R136" s="67">
        <v>0</v>
      </c>
    </row>
    <row r="137" spans="1:18">
      <c r="A137" s="69" t="s">
        <v>57</v>
      </c>
      <c r="B137" s="54"/>
      <c r="C137" s="54"/>
      <c r="D137" s="59"/>
      <c r="E137" s="59"/>
      <c r="F137" s="63"/>
      <c r="G137" s="54"/>
      <c r="H137" s="56"/>
      <c r="I137" s="56"/>
      <c r="J137" s="56"/>
      <c r="K137" s="56"/>
      <c r="L137" s="67">
        <v>0</v>
      </c>
      <c r="M137" s="54"/>
      <c r="N137" s="66"/>
      <c r="O137" s="66"/>
      <c r="P137" s="66"/>
      <c r="Q137" s="54"/>
      <c r="R137" s="67"/>
    </row>
    <row r="138" spans="1:18">
      <c r="A138" s="69" t="s">
        <v>58</v>
      </c>
      <c r="B138" s="54"/>
      <c r="C138" s="54"/>
      <c r="D138" s="59"/>
      <c r="E138" s="59"/>
      <c r="F138" s="63"/>
      <c r="G138" s="54"/>
      <c r="H138" s="56"/>
      <c r="I138" s="56"/>
      <c r="J138" s="56"/>
      <c r="K138" s="56"/>
      <c r="L138" s="67">
        <v>0</v>
      </c>
      <c r="M138" s="54"/>
      <c r="N138" s="66"/>
      <c r="O138" s="66"/>
      <c r="P138" s="66"/>
      <c r="Q138" s="54"/>
      <c r="R138" s="67"/>
    </row>
    <row r="139" spans="1:18">
      <c r="A139" s="69" t="s">
        <v>59</v>
      </c>
      <c r="B139" s="54"/>
      <c r="C139" s="54"/>
      <c r="D139" s="59"/>
      <c r="E139" s="59"/>
      <c r="F139" s="63"/>
      <c r="G139" s="54"/>
      <c r="H139" s="56"/>
      <c r="I139" s="56"/>
      <c r="J139" s="56"/>
      <c r="K139" s="56"/>
      <c r="L139" s="67">
        <v>0</v>
      </c>
      <c r="M139" s="54"/>
      <c r="N139" s="66"/>
      <c r="O139" s="66"/>
      <c r="P139" s="66"/>
      <c r="Q139" s="54"/>
      <c r="R139" s="67"/>
    </row>
    <row r="140" spans="1:18">
      <c r="A140" s="69" t="s">
        <v>60</v>
      </c>
      <c r="B140" s="54"/>
      <c r="C140" s="54"/>
      <c r="D140" s="59"/>
      <c r="E140" s="59"/>
      <c r="F140" s="63"/>
      <c r="G140" s="54"/>
      <c r="H140" s="56"/>
      <c r="I140" s="56"/>
      <c r="J140" s="56"/>
      <c r="K140" s="56"/>
      <c r="L140" s="67">
        <v>0</v>
      </c>
      <c r="M140" s="54"/>
      <c r="N140" s="66"/>
      <c r="O140" s="66"/>
      <c r="P140" s="66"/>
      <c r="Q140" s="54"/>
      <c r="R140" s="67"/>
    </row>
    <row r="141" spans="1:18">
      <c r="A141" s="68" t="s">
        <v>61</v>
      </c>
      <c r="B141" s="54"/>
      <c r="C141" s="54"/>
      <c r="D141" s="59"/>
      <c r="E141" s="59"/>
      <c r="F141" s="63"/>
      <c r="G141" s="54"/>
      <c r="H141" s="64">
        <v>0</v>
      </c>
      <c r="I141" s="64">
        <v>122740</v>
      </c>
      <c r="J141" s="64">
        <v>0</v>
      </c>
      <c r="K141" s="64">
        <v>0</v>
      </c>
      <c r="L141" s="65">
        <v>122740</v>
      </c>
      <c r="M141" s="54"/>
      <c r="N141" s="66">
        <v>0</v>
      </c>
      <c r="O141" s="66">
        <v>122740</v>
      </c>
      <c r="P141" s="66">
        <v>0</v>
      </c>
      <c r="Q141" s="66">
        <v>0</v>
      </c>
      <c r="R141" s="67">
        <v>122740</v>
      </c>
    </row>
    <row r="142" spans="1:18">
      <c r="A142" s="69" t="s">
        <v>57</v>
      </c>
      <c r="B142" s="54"/>
      <c r="C142" s="54"/>
      <c r="D142" s="59"/>
      <c r="E142" s="59"/>
      <c r="F142" s="63"/>
      <c r="G142" s="54"/>
      <c r="H142" s="70">
        <v>0</v>
      </c>
      <c r="I142" s="70">
        <v>122740</v>
      </c>
      <c r="J142" s="70">
        <v>0</v>
      </c>
      <c r="K142" s="70">
        <v>0</v>
      </c>
      <c r="L142" s="67">
        <v>122740</v>
      </c>
      <c r="M142" s="54"/>
      <c r="N142" s="66"/>
      <c r="O142" s="66"/>
      <c r="P142" s="66"/>
      <c r="Q142" s="54"/>
      <c r="R142" s="67"/>
    </row>
    <row r="143" spans="1:18">
      <c r="A143" s="69" t="s">
        <v>58</v>
      </c>
      <c r="B143" s="54"/>
      <c r="C143" s="54"/>
      <c r="D143" s="59"/>
      <c r="E143" s="59"/>
      <c r="F143" s="63"/>
      <c r="G143" s="54"/>
      <c r="H143" s="56"/>
      <c r="I143" s="56"/>
      <c r="J143" s="56"/>
      <c r="K143" s="56"/>
      <c r="L143" s="67">
        <v>0</v>
      </c>
      <c r="M143" s="54"/>
      <c r="N143" s="66"/>
      <c r="O143" s="66"/>
      <c r="P143" s="66"/>
      <c r="Q143" s="54"/>
      <c r="R143" s="67"/>
    </row>
    <row r="144" spans="1:18">
      <c r="A144" s="69" t="s">
        <v>60</v>
      </c>
      <c r="B144" s="54"/>
      <c r="C144" s="54"/>
      <c r="D144" s="59"/>
      <c r="E144" s="59"/>
      <c r="F144" s="63"/>
      <c r="G144" s="54"/>
      <c r="H144" s="56"/>
      <c r="I144" s="56"/>
      <c r="J144" s="56"/>
      <c r="K144" s="56"/>
      <c r="L144" s="67">
        <v>0</v>
      </c>
      <c r="M144" s="54"/>
      <c r="N144" s="66"/>
      <c r="O144" s="66"/>
      <c r="P144" s="66"/>
      <c r="Q144" s="54"/>
      <c r="R144" s="67"/>
    </row>
    <row r="145" spans="1:18">
      <c r="A145" s="60" t="s">
        <v>93</v>
      </c>
      <c r="B145" s="57" t="s">
        <v>94</v>
      </c>
      <c r="C145" s="58" t="s">
        <v>53</v>
      </c>
      <c r="D145" s="59"/>
      <c r="E145" s="59"/>
      <c r="F145" s="63"/>
      <c r="G145" s="58" t="s">
        <v>95</v>
      </c>
      <c r="H145" s="64">
        <v>290502.5</v>
      </c>
      <c r="I145" s="64">
        <v>138252.5</v>
      </c>
      <c r="J145" s="64">
        <v>97750</v>
      </c>
      <c r="K145" s="64">
        <v>97750</v>
      </c>
      <c r="L145" s="65">
        <v>624255</v>
      </c>
      <c r="M145" s="74">
        <v>1</v>
      </c>
      <c r="N145" s="66">
        <v>290502.5</v>
      </c>
      <c r="O145" s="66">
        <v>138252.5</v>
      </c>
      <c r="P145" s="66">
        <v>97750</v>
      </c>
      <c r="Q145" s="66">
        <v>97750</v>
      </c>
      <c r="R145" s="67">
        <v>624255</v>
      </c>
    </row>
    <row r="146" spans="1:18">
      <c r="A146" s="68" t="s">
        <v>56</v>
      </c>
      <c r="B146" s="54"/>
      <c r="C146" s="54"/>
      <c r="D146" s="59"/>
      <c r="E146" s="59"/>
      <c r="F146" s="63"/>
      <c r="G146" s="54"/>
      <c r="H146" s="64">
        <v>0</v>
      </c>
      <c r="I146" s="64">
        <v>0</v>
      </c>
      <c r="J146" s="64">
        <v>0</v>
      </c>
      <c r="K146" s="64">
        <v>0</v>
      </c>
      <c r="L146" s="65">
        <v>0</v>
      </c>
      <c r="M146" s="54"/>
      <c r="N146" s="66">
        <v>0</v>
      </c>
      <c r="O146" s="66">
        <v>0</v>
      </c>
      <c r="P146" s="66">
        <v>0</v>
      </c>
      <c r="Q146" s="66">
        <v>0</v>
      </c>
      <c r="R146" s="67">
        <v>0</v>
      </c>
    </row>
    <row r="147" spans="1:18">
      <c r="A147" s="69" t="s">
        <v>57</v>
      </c>
      <c r="B147" s="54"/>
      <c r="C147" s="54"/>
      <c r="D147" s="59"/>
      <c r="E147" s="59"/>
      <c r="F147" s="63"/>
      <c r="G147" s="54"/>
      <c r="H147" s="54"/>
      <c r="I147" s="56"/>
      <c r="J147" s="56"/>
      <c r="K147" s="56"/>
      <c r="L147" s="67">
        <v>0</v>
      </c>
      <c r="M147" s="54"/>
      <c r="N147" s="66"/>
      <c r="O147" s="66"/>
      <c r="P147" s="66"/>
      <c r="Q147" s="54"/>
      <c r="R147" s="67"/>
    </row>
    <row r="148" spans="1:18">
      <c r="A148" s="69" t="s">
        <v>58</v>
      </c>
      <c r="B148" s="54"/>
      <c r="C148" s="54"/>
      <c r="D148" s="59"/>
      <c r="E148" s="59"/>
      <c r="F148" s="63"/>
      <c r="G148" s="54"/>
      <c r="H148" s="56"/>
      <c r="I148" s="56"/>
      <c r="J148" s="56"/>
      <c r="K148" s="56"/>
      <c r="L148" s="67">
        <v>0</v>
      </c>
      <c r="M148" s="54"/>
      <c r="N148" s="66"/>
      <c r="O148" s="66"/>
      <c r="P148" s="66"/>
      <c r="Q148" s="54"/>
      <c r="R148" s="67"/>
    </row>
    <row r="149" spans="1:18">
      <c r="A149" s="69" t="s">
        <v>59</v>
      </c>
      <c r="B149" s="54"/>
      <c r="C149" s="54"/>
      <c r="D149" s="59"/>
      <c r="E149" s="59"/>
      <c r="F149" s="63"/>
      <c r="G149" s="54"/>
      <c r="H149" s="56"/>
      <c r="I149" s="56"/>
      <c r="J149" s="56"/>
      <c r="K149" s="56"/>
      <c r="L149" s="67">
        <v>0</v>
      </c>
      <c r="M149" s="54"/>
      <c r="N149" s="66"/>
      <c r="O149" s="66"/>
      <c r="P149" s="66"/>
      <c r="Q149" s="54"/>
      <c r="R149" s="67"/>
    </row>
    <row r="150" spans="1:18">
      <c r="A150" s="69" t="s">
        <v>60</v>
      </c>
      <c r="B150" s="54"/>
      <c r="C150" s="54"/>
      <c r="D150" s="59"/>
      <c r="E150" s="59"/>
      <c r="F150" s="63"/>
      <c r="G150" s="54"/>
      <c r="H150" s="56"/>
      <c r="I150" s="56"/>
      <c r="J150" s="56"/>
      <c r="K150" s="56"/>
      <c r="L150" s="67">
        <v>0</v>
      </c>
      <c r="M150" s="54"/>
      <c r="N150" s="66"/>
      <c r="O150" s="66"/>
      <c r="P150" s="66"/>
      <c r="Q150" s="54"/>
      <c r="R150" s="67"/>
    </row>
    <row r="151" spans="1:18">
      <c r="A151" s="68" t="s">
        <v>61</v>
      </c>
      <c r="B151" s="54"/>
      <c r="C151" s="54"/>
      <c r="D151" s="59"/>
      <c r="E151" s="59"/>
      <c r="F151" s="63"/>
      <c r="G151" s="54"/>
      <c r="H151" s="64">
        <v>290502.5</v>
      </c>
      <c r="I151" s="64">
        <v>138252.5</v>
      </c>
      <c r="J151" s="64">
        <v>97750</v>
      </c>
      <c r="K151" s="64">
        <v>97750</v>
      </c>
      <c r="L151" s="65">
        <v>624255</v>
      </c>
      <c r="M151" s="54"/>
      <c r="N151" s="66">
        <v>290502.5</v>
      </c>
      <c r="O151" s="66">
        <v>138252.5</v>
      </c>
      <c r="P151" s="66">
        <v>97750</v>
      </c>
      <c r="Q151" s="66">
        <v>97750</v>
      </c>
      <c r="R151" s="67">
        <v>624255</v>
      </c>
    </row>
    <row r="152" spans="1:18">
      <c r="A152" s="69" t="s">
        <v>57</v>
      </c>
      <c r="B152" s="54"/>
      <c r="C152" s="54"/>
      <c r="D152" s="59"/>
      <c r="E152" s="59"/>
      <c r="F152" s="63"/>
      <c r="G152" s="54"/>
      <c r="H152" s="70">
        <v>40502.5</v>
      </c>
      <c r="I152" s="70">
        <v>138252.5</v>
      </c>
      <c r="J152" s="70">
        <v>97750</v>
      </c>
      <c r="K152" s="70">
        <v>97750</v>
      </c>
      <c r="L152" s="67">
        <v>374255</v>
      </c>
      <c r="M152" s="54"/>
      <c r="N152" s="66"/>
      <c r="O152" s="66"/>
      <c r="P152" s="66"/>
      <c r="Q152" s="54"/>
      <c r="R152" s="67"/>
    </row>
    <row r="153" spans="1:18">
      <c r="A153" s="69" t="s">
        <v>58</v>
      </c>
      <c r="B153" s="54"/>
      <c r="C153" s="54"/>
      <c r="D153" s="59"/>
      <c r="E153" s="59"/>
      <c r="F153" s="63"/>
      <c r="G153" s="54"/>
      <c r="H153" s="56">
        <v>250000</v>
      </c>
      <c r="I153" s="56"/>
      <c r="J153" s="56"/>
      <c r="K153" s="56"/>
      <c r="L153" s="67">
        <v>250000</v>
      </c>
      <c r="M153" s="54"/>
      <c r="N153" s="66"/>
      <c r="O153" s="66"/>
      <c r="P153" s="66"/>
      <c r="Q153" s="54"/>
      <c r="R153" s="67"/>
    </row>
    <row r="154" spans="1:18">
      <c r="A154" s="69" t="s">
        <v>60</v>
      </c>
      <c r="B154" s="54"/>
      <c r="C154" s="54"/>
      <c r="D154" s="59"/>
      <c r="E154" s="59"/>
      <c r="F154" s="63"/>
      <c r="G154" s="54"/>
      <c r="H154" s="56"/>
      <c r="I154" s="56"/>
      <c r="J154" s="56"/>
      <c r="K154" s="56"/>
      <c r="L154" s="67">
        <v>0</v>
      </c>
      <c r="M154" s="54"/>
      <c r="N154" s="66"/>
      <c r="O154" s="66"/>
      <c r="P154" s="66"/>
      <c r="Q154" s="54"/>
      <c r="R154" s="67"/>
    </row>
    <row r="155" spans="1:18">
      <c r="A155" s="60" t="s">
        <v>96</v>
      </c>
      <c r="B155" s="57" t="s">
        <v>94</v>
      </c>
      <c r="C155" s="58" t="s">
        <v>53</v>
      </c>
      <c r="D155" s="59"/>
      <c r="E155" s="59"/>
      <c r="F155" s="63"/>
      <c r="G155" s="58" t="s">
        <v>97</v>
      </c>
      <c r="H155" s="64">
        <v>290502.5</v>
      </c>
      <c r="I155" s="64">
        <v>138252.5</v>
      </c>
      <c r="J155" s="64">
        <v>97750</v>
      </c>
      <c r="K155" s="64">
        <v>97750</v>
      </c>
      <c r="L155" s="65">
        <v>624255</v>
      </c>
      <c r="M155" s="74">
        <v>1</v>
      </c>
      <c r="N155" s="66">
        <v>290502.5</v>
      </c>
      <c r="O155" s="66">
        <v>138252.5</v>
      </c>
      <c r="P155" s="66">
        <v>97750</v>
      </c>
      <c r="Q155" s="66">
        <v>97750</v>
      </c>
      <c r="R155" s="67">
        <v>624255</v>
      </c>
    </row>
    <row r="156" spans="1:18">
      <c r="A156" s="68" t="s">
        <v>56</v>
      </c>
      <c r="B156" s="54"/>
      <c r="C156" s="54"/>
      <c r="D156" s="59"/>
      <c r="E156" s="59"/>
      <c r="F156" s="63"/>
      <c r="G156" s="54"/>
      <c r="H156" s="64">
        <v>0</v>
      </c>
      <c r="I156" s="64">
        <v>0</v>
      </c>
      <c r="J156" s="64">
        <v>0</v>
      </c>
      <c r="K156" s="64">
        <v>0</v>
      </c>
      <c r="L156" s="65">
        <v>0</v>
      </c>
      <c r="M156" s="54"/>
      <c r="N156" s="66">
        <v>0</v>
      </c>
      <c r="O156" s="66">
        <v>0</v>
      </c>
      <c r="P156" s="66">
        <v>0</v>
      </c>
      <c r="Q156" s="66">
        <v>0</v>
      </c>
      <c r="R156" s="67">
        <v>0</v>
      </c>
    </row>
    <row r="157" spans="1:18">
      <c r="A157" s="69" t="s">
        <v>57</v>
      </c>
      <c r="B157" s="54"/>
      <c r="C157" s="54"/>
      <c r="D157" s="59"/>
      <c r="E157" s="59"/>
      <c r="F157" s="63"/>
      <c r="G157" s="54"/>
      <c r="H157" s="56"/>
      <c r="I157" s="56"/>
      <c r="J157" s="56"/>
      <c r="K157" s="56"/>
      <c r="L157" s="67">
        <v>0</v>
      </c>
      <c r="M157" s="54"/>
      <c r="N157" s="66"/>
      <c r="O157" s="66"/>
      <c r="P157" s="66"/>
      <c r="Q157" s="54"/>
      <c r="R157" s="67"/>
    </row>
    <row r="158" spans="1:18">
      <c r="A158" s="69" t="s">
        <v>58</v>
      </c>
      <c r="B158" s="54"/>
      <c r="C158" s="54"/>
      <c r="D158" s="59"/>
      <c r="E158" s="59"/>
      <c r="F158" s="63"/>
      <c r="G158" s="54"/>
      <c r="H158" s="56"/>
      <c r="I158" s="56"/>
      <c r="J158" s="56"/>
      <c r="K158" s="56"/>
      <c r="L158" s="67">
        <v>0</v>
      </c>
      <c r="M158" s="54"/>
      <c r="N158" s="66"/>
      <c r="O158" s="66"/>
      <c r="P158" s="66"/>
      <c r="Q158" s="54"/>
      <c r="R158" s="67"/>
    </row>
    <row r="159" spans="1:18">
      <c r="A159" s="69" t="s">
        <v>59</v>
      </c>
      <c r="B159" s="54"/>
      <c r="C159" s="54"/>
      <c r="D159" s="59"/>
      <c r="E159" s="59"/>
      <c r="F159" s="63"/>
      <c r="G159" s="54"/>
      <c r="H159" s="56"/>
      <c r="I159" s="56"/>
      <c r="J159" s="56"/>
      <c r="K159" s="56"/>
      <c r="L159" s="67">
        <v>0</v>
      </c>
      <c r="M159" s="54"/>
      <c r="N159" s="66"/>
      <c r="O159" s="66"/>
      <c r="P159" s="66"/>
      <c r="Q159" s="54"/>
      <c r="R159" s="67"/>
    </row>
    <row r="160" spans="1:18">
      <c r="A160" s="69" t="s">
        <v>60</v>
      </c>
      <c r="B160" s="54"/>
      <c r="C160" s="54"/>
      <c r="D160" s="59"/>
      <c r="E160" s="59"/>
      <c r="F160" s="63"/>
      <c r="G160" s="54"/>
      <c r="H160" s="56"/>
      <c r="I160" s="56"/>
      <c r="J160" s="56"/>
      <c r="K160" s="56"/>
      <c r="L160" s="67">
        <v>0</v>
      </c>
      <c r="M160" s="54"/>
      <c r="N160" s="66"/>
      <c r="O160" s="66"/>
      <c r="P160" s="66"/>
      <c r="Q160" s="54"/>
      <c r="R160" s="67"/>
    </row>
    <row r="161" spans="1:18">
      <c r="A161" s="68" t="s">
        <v>61</v>
      </c>
      <c r="B161" s="54"/>
      <c r="C161" s="54"/>
      <c r="D161" s="59"/>
      <c r="E161" s="59"/>
      <c r="F161" s="63"/>
      <c r="G161" s="54"/>
      <c r="H161" s="64">
        <v>290502.5</v>
      </c>
      <c r="I161" s="64">
        <v>138252.5</v>
      </c>
      <c r="J161" s="64">
        <v>97750</v>
      </c>
      <c r="K161" s="64">
        <v>97750</v>
      </c>
      <c r="L161" s="65">
        <v>624255</v>
      </c>
      <c r="M161" s="54"/>
      <c r="N161" s="66">
        <v>290502.5</v>
      </c>
      <c r="O161" s="66">
        <v>138252.5</v>
      </c>
      <c r="P161" s="66">
        <v>97750</v>
      </c>
      <c r="Q161" s="66">
        <v>97750</v>
      </c>
      <c r="R161" s="67">
        <v>624255</v>
      </c>
    </row>
    <row r="162" spans="1:18">
      <c r="A162" s="69" t="s">
        <v>57</v>
      </c>
      <c r="B162" s="54"/>
      <c r="C162" s="54"/>
      <c r="D162" s="59"/>
      <c r="E162" s="59"/>
      <c r="F162" s="63"/>
      <c r="G162" s="54"/>
      <c r="H162" s="70">
        <v>40502.5</v>
      </c>
      <c r="I162" s="70">
        <v>138252.5</v>
      </c>
      <c r="J162" s="70">
        <v>97750</v>
      </c>
      <c r="K162" s="70">
        <v>97750</v>
      </c>
      <c r="L162" s="67">
        <v>374255</v>
      </c>
      <c r="M162" s="54"/>
      <c r="N162" s="66"/>
      <c r="O162" s="66"/>
      <c r="P162" s="66"/>
      <c r="Q162" s="54"/>
      <c r="R162" s="67"/>
    </row>
    <row r="163" spans="1:18">
      <c r="A163" s="69" t="s">
        <v>58</v>
      </c>
      <c r="B163" s="54"/>
      <c r="C163" s="54"/>
      <c r="D163" s="59"/>
      <c r="E163" s="59"/>
      <c r="F163" s="63"/>
      <c r="G163" s="54"/>
      <c r="H163" s="56">
        <v>250000</v>
      </c>
      <c r="I163" s="56"/>
      <c r="J163" s="56"/>
      <c r="K163" s="56"/>
      <c r="L163" s="67">
        <v>250000</v>
      </c>
      <c r="M163" s="54"/>
      <c r="N163" s="66"/>
      <c r="O163" s="66"/>
      <c r="P163" s="66"/>
      <c r="Q163" s="54"/>
      <c r="R163" s="67"/>
    </row>
    <row r="164" spans="1:18">
      <c r="A164" s="69" t="s">
        <v>60</v>
      </c>
      <c r="B164" s="54"/>
      <c r="C164" s="54"/>
      <c r="D164" s="59"/>
      <c r="E164" s="59"/>
      <c r="F164" s="63"/>
      <c r="G164" s="54"/>
      <c r="H164" s="56"/>
      <c r="I164" s="56"/>
      <c r="J164" s="56"/>
      <c r="K164" s="56"/>
      <c r="L164" s="67">
        <v>0</v>
      </c>
      <c r="M164" s="54"/>
      <c r="N164" s="66"/>
      <c r="O164" s="66"/>
      <c r="P164" s="66"/>
      <c r="Q164" s="54"/>
      <c r="R164" s="67"/>
    </row>
    <row r="165" spans="1:18">
      <c r="A165" s="60" t="s">
        <v>98</v>
      </c>
      <c r="B165" s="57" t="s">
        <v>94</v>
      </c>
      <c r="C165" s="58" t="s">
        <v>53</v>
      </c>
      <c r="D165" s="59"/>
      <c r="E165" s="59"/>
      <c r="F165" s="63"/>
      <c r="G165" s="58" t="s">
        <v>99</v>
      </c>
      <c r="H165" s="64">
        <v>290502.5</v>
      </c>
      <c r="I165" s="64">
        <v>97750</v>
      </c>
      <c r="J165" s="64">
        <v>97750</v>
      </c>
      <c r="K165" s="64">
        <v>97750</v>
      </c>
      <c r="L165" s="65">
        <v>583752.5</v>
      </c>
      <c r="M165" s="74">
        <v>1</v>
      </c>
      <c r="N165" s="66">
        <v>290502.5</v>
      </c>
      <c r="O165" s="66">
        <v>97750</v>
      </c>
      <c r="P165" s="66">
        <v>97750</v>
      </c>
      <c r="Q165" s="66">
        <v>97750</v>
      </c>
      <c r="R165" s="67">
        <v>583752.5</v>
      </c>
    </row>
    <row r="166" spans="1:18">
      <c r="A166" s="68" t="s">
        <v>56</v>
      </c>
      <c r="B166" s="54"/>
      <c r="C166" s="54"/>
      <c r="D166" s="59"/>
      <c r="E166" s="59"/>
      <c r="F166" s="63"/>
      <c r="G166" s="54"/>
      <c r="H166" s="64">
        <v>0</v>
      </c>
      <c r="I166" s="64">
        <v>0</v>
      </c>
      <c r="J166" s="64">
        <v>0</v>
      </c>
      <c r="K166" s="64">
        <v>0</v>
      </c>
      <c r="L166" s="65">
        <v>0</v>
      </c>
      <c r="M166" s="54"/>
      <c r="N166" s="66">
        <v>0</v>
      </c>
      <c r="O166" s="66">
        <v>0</v>
      </c>
      <c r="P166" s="66">
        <v>0</v>
      </c>
      <c r="Q166" s="66">
        <v>0</v>
      </c>
      <c r="R166" s="67">
        <v>0</v>
      </c>
    </row>
    <row r="167" spans="1:18">
      <c r="A167" s="69" t="s">
        <v>57</v>
      </c>
      <c r="B167" s="54"/>
      <c r="C167" s="54"/>
      <c r="D167" s="59"/>
      <c r="E167" s="59"/>
      <c r="F167" s="63"/>
      <c r="G167" s="54"/>
      <c r="H167" s="56"/>
      <c r="I167" s="56"/>
      <c r="J167" s="56"/>
      <c r="K167" s="56"/>
      <c r="L167" s="67">
        <v>0</v>
      </c>
      <c r="M167" s="54"/>
      <c r="N167" s="66"/>
      <c r="O167" s="66"/>
      <c r="P167" s="66"/>
      <c r="Q167" s="54"/>
      <c r="R167" s="67"/>
    </row>
    <row r="168" spans="1:18">
      <c r="A168" s="69" t="s">
        <v>58</v>
      </c>
      <c r="B168" s="54"/>
      <c r="C168" s="54"/>
      <c r="D168" s="59"/>
      <c r="E168" s="59"/>
      <c r="F168" s="63"/>
      <c r="G168" s="54"/>
      <c r="H168" s="56"/>
      <c r="I168" s="56"/>
      <c r="J168" s="56"/>
      <c r="K168" s="56"/>
      <c r="L168" s="67">
        <v>0</v>
      </c>
      <c r="M168" s="54"/>
      <c r="N168" s="66"/>
      <c r="O168" s="66"/>
      <c r="P168" s="66"/>
      <c r="Q168" s="54"/>
      <c r="R168" s="67"/>
    </row>
    <row r="169" spans="1:18">
      <c r="A169" s="69" t="s">
        <v>59</v>
      </c>
      <c r="B169" s="54"/>
      <c r="C169" s="54"/>
      <c r="D169" s="59"/>
      <c r="E169" s="59"/>
      <c r="F169" s="63"/>
      <c r="G169" s="54"/>
      <c r="H169" s="56"/>
      <c r="I169" s="56"/>
      <c r="J169" s="56"/>
      <c r="K169" s="56"/>
      <c r="L169" s="67">
        <v>0</v>
      </c>
      <c r="M169" s="54"/>
      <c r="N169" s="66"/>
      <c r="O169" s="66"/>
      <c r="P169" s="66"/>
      <c r="Q169" s="54"/>
      <c r="R169" s="67"/>
    </row>
    <row r="170" spans="1:18">
      <c r="A170" s="69" t="s">
        <v>60</v>
      </c>
      <c r="B170" s="54"/>
      <c r="C170" s="54"/>
      <c r="D170" s="59"/>
      <c r="E170" s="59"/>
      <c r="F170" s="63"/>
      <c r="G170" s="54"/>
      <c r="H170" s="56"/>
      <c r="I170" s="56"/>
      <c r="J170" s="56"/>
      <c r="K170" s="56"/>
      <c r="L170" s="67">
        <v>0</v>
      </c>
      <c r="M170" s="54"/>
      <c r="N170" s="66"/>
      <c r="O170" s="66"/>
      <c r="P170" s="66"/>
      <c r="Q170" s="54"/>
      <c r="R170" s="67"/>
    </row>
    <row r="171" spans="1:18">
      <c r="A171" s="68" t="s">
        <v>61</v>
      </c>
      <c r="B171" s="54"/>
      <c r="C171" s="54"/>
      <c r="D171" s="59"/>
      <c r="E171" s="59"/>
      <c r="F171" s="63"/>
      <c r="G171" s="54"/>
      <c r="H171" s="64">
        <v>290502.5</v>
      </c>
      <c r="I171" s="64">
        <v>97750</v>
      </c>
      <c r="J171" s="64">
        <v>97750</v>
      </c>
      <c r="K171" s="64">
        <v>97750</v>
      </c>
      <c r="L171" s="65">
        <v>583752.5</v>
      </c>
      <c r="M171" s="54"/>
      <c r="N171" s="66">
        <v>290502.5</v>
      </c>
      <c r="O171" s="66">
        <v>97750</v>
      </c>
      <c r="P171" s="66">
        <v>97750</v>
      </c>
      <c r="Q171" s="66">
        <v>97750</v>
      </c>
      <c r="R171" s="67">
        <v>583752.5</v>
      </c>
    </row>
    <row r="172" spans="1:18">
      <c r="A172" s="69" t="s">
        <v>57</v>
      </c>
      <c r="B172" s="54"/>
      <c r="C172" s="54"/>
      <c r="D172" s="59"/>
      <c r="E172" s="59"/>
      <c r="F172" s="63"/>
      <c r="G172" s="54"/>
      <c r="H172" s="70">
        <v>40502.5</v>
      </c>
      <c r="I172" s="70">
        <v>97750</v>
      </c>
      <c r="J172" s="70">
        <v>97750</v>
      </c>
      <c r="K172" s="70">
        <v>97750</v>
      </c>
      <c r="L172" s="67">
        <v>333752.5</v>
      </c>
      <c r="M172" s="54"/>
      <c r="N172" s="66"/>
      <c r="O172" s="66"/>
      <c r="P172" s="66"/>
      <c r="Q172" s="54"/>
      <c r="R172" s="67"/>
    </row>
    <row r="173" spans="1:18">
      <c r="A173" s="69" t="s">
        <v>58</v>
      </c>
      <c r="B173" s="54"/>
      <c r="C173" s="54"/>
      <c r="D173" s="59"/>
      <c r="E173" s="59"/>
      <c r="F173" s="63"/>
      <c r="G173" s="54"/>
      <c r="H173" s="56">
        <v>250000</v>
      </c>
      <c r="I173" s="56"/>
      <c r="J173" s="56"/>
      <c r="K173" s="56"/>
      <c r="L173" s="67">
        <v>250000</v>
      </c>
      <c r="M173" s="54"/>
      <c r="N173" s="66"/>
      <c r="O173" s="66"/>
      <c r="P173" s="66"/>
      <c r="Q173" s="54"/>
      <c r="R173" s="67"/>
    </row>
    <row r="174" spans="1:18">
      <c r="A174" s="69" t="s">
        <v>60</v>
      </c>
      <c r="B174" s="54"/>
      <c r="C174" s="54"/>
      <c r="D174" s="59"/>
      <c r="E174" s="59"/>
      <c r="F174" s="63"/>
      <c r="G174" s="54"/>
      <c r="H174" s="56"/>
      <c r="I174" s="56"/>
      <c r="J174" s="56"/>
      <c r="K174" s="56"/>
      <c r="L174" s="67">
        <v>0</v>
      </c>
      <c r="M174" s="54"/>
      <c r="N174" s="66"/>
      <c r="O174" s="66"/>
      <c r="P174" s="66"/>
      <c r="Q174" s="54"/>
      <c r="R174" s="67"/>
    </row>
    <row r="175" spans="1:18">
      <c r="A175" s="60" t="s">
        <v>100</v>
      </c>
      <c r="B175" s="57" t="s">
        <v>94</v>
      </c>
      <c r="C175" s="58" t="s">
        <v>101</v>
      </c>
      <c r="D175" s="59"/>
      <c r="E175" s="59"/>
      <c r="F175" s="63"/>
      <c r="G175" s="58" t="s">
        <v>102</v>
      </c>
      <c r="H175" s="64">
        <v>5962737</v>
      </c>
      <c r="I175" s="64">
        <v>1839763</v>
      </c>
      <c r="J175" s="64">
        <v>0</v>
      </c>
      <c r="K175" s="64">
        <v>0</v>
      </c>
      <c r="L175" s="65">
        <v>7802500</v>
      </c>
      <c r="M175" s="74">
        <v>1</v>
      </c>
      <c r="N175" s="66">
        <v>5962737</v>
      </c>
      <c r="O175" s="66">
        <v>1839763</v>
      </c>
      <c r="P175" s="66">
        <v>0</v>
      </c>
      <c r="Q175" s="66">
        <v>0</v>
      </c>
      <c r="R175" s="67">
        <v>7802500</v>
      </c>
    </row>
    <row r="176" spans="1:18">
      <c r="A176" s="68" t="s">
        <v>56</v>
      </c>
      <c r="B176" s="54"/>
      <c r="C176" s="54"/>
      <c r="D176" s="59"/>
      <c r="E176" s="59"/>
      <c r="F176" s="63" t="s">
        <v>103</v>
      </c>
      <c r="G176" s="54"/>
      <c r="H176" s="76">
        <v>5962737</v>
      </c>
      <c r="I176" s="76">
        <v>1839763</v>
      </c>
      <c r="J176" s="77">
        <v>0</v>
      </c>
      <c r="K176" s="77">
        <v>0</v>
      </c>
      <c r="L176" s="65">
        <v>7802500</v>
      </c>
      <c r="M176" s="54"/>
      <c r="N176" s="66">
        <v>5962737</v>
      </c>
      <c r="O176" s="66">
        <v>1839763</v>
      </c>
      <c r="P176" s="66">
        <v>0</v>
      </c>
      <c r="Q176" s="66">
        <v>0</v>
      </c>
      <c r="R176" s="67">
        <v>7802500</v>
      </c>
    </row>
    <row r="177" spans="1:18">
      <c r="A177" s="69" t="s">
        <v>57</v>
      </c>
      <c r="B177" s="54"/>
      <c r="C177" s="54"/>
      <c r="D177" s="59"/>
      <c r="E177" s="59"/>
      <c r="F177" s="63"/>
      <c r="G177" s="54"/>
      <c r="H177" s="56"/>
      <c r="I177" s="56"/>
      <c r="J177" s="56"/>
      <c r="K177" s="56"/>
      <c r="L177" s="67">
        <v>0</v>
      </c>
      <c r="M177" s="54"/>
      <c r="N177" s="66"/>
      <c r="O177" s="66"/>
      <c r="P177" s="66"/>
      <c r="Q177" s="54"/>
      <c r="R177" s="67"/>
    </row>
    <row r="178" spans="1:18">
      <c r="A178" s="69" t="s">
        <v>58</v>
      </c>
      <c r="B178" s="54"/>
      <c r="C178" s="54"/>
      <c r="D178" s="59"/>
      <c r="E178" s="59"/>
      <c r="F178" s="63"/>
      <c r="G178" s="54"/>
      <c r="H178" s="56"/>
      <c r="I178" s="56"/>
      <c r="J178" s="56"/>
      <c r="K178" s="56"/>
      <c r="L178" s="67">
        <v>0</v>
      </c>
      <c r="M178" s="54"/>
      <c r="N178" s="66"/>
      <c r="O178" s="66"/>
      <c r="P178" s="66"/>
      <c r="Q178" s="54"/>
      <c r="R178" s="67"/>
    </row>
    <row r="179" spans="1:18">
      <c r="A179" s="69" t="s">
        <v>59</v>
      </c>
      <c r="B179" s="54"/>
      <c r="C179" s="54"/>
      <c r="D179" s="59"/>
      <c r="E179" s="59"/>
      <c r="F179" s="63"/>
      <c r="G179" s="54"/>
      <c r="H179" s="56"/>
      <c r="I179" s="56"/>
      <c r="J179" s="56"/>
      <c r="K179" s="56"/>
      <c r="L179" s="67">
        <v>0</v>
      </c>
      <c r="M179" s="54"/>
      <c r="N179" s="66"/>
      <c r="O179" s="66"/>
      <c r="P179" s="66"/>
      <c r="Q179" s="54"/>
      <c r="R179" s="67"/>
    </row>
    <row r="180" spans="1:18">
      <c r="A180" s="69" t="s">
        <v>60</v>
      </c>
      <c r="B180" s="54"/>
      <c r="C180" s="54"/>
      <c r="D180" s="59"/>
      <c r="E180" s="59"/>
      <c r="F180" s="63"/>
      <c r="G180" s="54"/>
      <c r="H180" s="56"/>
      <c r="I180" s="56"/>
      <c r="J180" s="56"/>
      <c r="K180" s="56"/>
      <c r="L180" s="67">
        <v>0</v>
      </c>
      <c r="M180" s="54"/>
      <c r="N180" s="66"/>
      <c r="O180" s="66"/>
      <c r="P180" s="66"/>
      <c r="Q180" s="54"/>
      <c r="R180" s="67"/>
    </row>
    <row r="181" spans="1:18">
      <c r="A181" s="68" t="s">
        <v>61</v>
      </c>
      <c r="B181" s="54"/>
      <c r="C181" s="54"/>
      <c r="D181" s="59"/>
      <c r="E181" s="59"/>
      <c r="F181" s="63"/>
      <c r="G181" s="54"/>
      <c r="H181" s="64">
        <v>0</v>
      </c>
      <c r="I181" s="64">
        <v>0</v>
      </c>
      <c r="J181" s="64">
        <v>0</v>
      </c>
      <c r="K181" s="64">
        <v>0</v>
      </c>
      <c r="L181" s="65">
        <v>0</v>
      </c>
      <c r="M181" s="54"/>
      <c r="N181" s="66">
        <v>0</v>
      </c>
      <c r="O181" s="66">
        <v>0</v>
      </c>
      <c r="P181" s="66">
        <v>0</v>
      </c>
      <c r="Q181" s="66">
        <v>0</v>
      </c>
      <c r="R181" s="67">
        <v>0</v>
      </c>
    </row>
    <row r="182" spans="1:18">
      <c r="A182" s="69" t="s">
        <v>57</v>
      </c>
      <c r="B182" s="54"/>
      <c r="C182" s="54"/>
      <c r="D182" s="59"/>
      <c r="E182" s="59"/>
      <c r="F182" s="63"/>
      <c r="G182" s="54"/>
      <c r="H182" s="70">
        <v>0</v>
      </c>
      <c r="I182" s="70">
        <v>0</v>
      </c>
      <c r="J182" s="70">
        <v>0</v>
      </c>
      <c r="K182" s="70">
        <v>0</v>
      </c>
      <c r="L182" s="67">
        <v>0</v>
      </c>
      <c r="M182" s="54"/>
      <c r="N182" s="66"/>
      <c r="O182" s="66"/>
      <c r="P182" s="66"/>
      <c r="Q182" s="54"/>
      <c r="R182" s="67"/>
    </row>
    <row r="183" spans="1:18">
      <c r="A183" s="69" t="s">
        <v>58</v>
      </c>
      <c r="B183" s="54"/>
      <c r="C183" s="54"/>
      <c r="D183" s="59"/>
      <c r="E183" s="59"/>
      <c r="F183" s="63"/>
      <c r="G183" s="54"/>
      <c r="H183" s="56"/>
      <c r="I183" s="56"/>
      <c r="J183" s="56"/>
      <c r="K183" s="56"/>
      <c r="L183" s="67">
        <v>0</v>
      </c>
      <c r="M183" s="54"/>
      <c r="N183" s="66"/>
      <c r="O183" s="66"/>
      <c r="P183" s="66"/>
      <c r="Q183" s="54"/>
      <c r="R183" s="67"/>
    </row>
    <row r="184" spans="1:18">
      <c r="A184" s="69" t="s">
        <v>60</v>
      </c>
      <c r="B184" s="54"/>
      <c r="C184" s="54"/>
      <c r="D184" s="59"/>
      <c r="E184" s="59"/>
      <c r="F184" s="63"/>
      <c r="G184" s="54"/>
      <c r="H184" s="56"/>
      <c r="I184" s="56"/>
      <c r="J184" s="56"/>
      <c r="K184" s="56"/>
      <c r="L184" s="67">
        <v>0</v>
      </c>
      <c r="M184" s="54"/>
      <c r="N184" s="66"/>
      <c r="O184" s="66"/>
      <c r="P184" s="66"/>
      <c r="Q184" s="54"/>
      <c r="R184" s="67"/>
    </row>
    <row r="185" spans="1:18">
      <c r="A185" s="78" t="s">
        <v>104</v>
      </c>
      <c r="B185" s="79"/>
      <c r="C185" s="80"/>
      <c r="D185" s="81"/>
      <c r="E185" s="81"/>
      <c r="F185" s="80"/>
      <c r="G185" s="80"/>
      <c r="H185" s="82">
        <v>13894446</v>
      </c>
      <c r="I185" s="82">
        <v>12697433</v>
      </c>
      <c r="J185" s="82">
        <v>1895710</v>
      </c>
      <c r="K185" s="82">
        <v>1090587.5</v>
      </c>
      <c r="L185" s="82">
        <v>29578176.5</v>
      </c>
      <c r="M185" s="83"/>
      <c r="N185" s="82">
        <v>13894446</v>
      </c>
      <c r="O185" s="82">
        <v>12697433</v>
      </c>
      <c r="P185" s="82">
        <v>1895710</v>
      </c>
      <c r="Q185" s="82">
        <v>1090587.5</v>
      </c>
      <c r="R185" s="82">
        <v>29578176.5</v>
      </c>
    </row>
    <row r="186" spans="1:18">
      <c r="A186" s="68" t="s">
        <v>56</v>
      </c>
      <c r="B186" s="54"/>
      <c r="C186" s="54"/>
      <c r="D186" s="59"/>
      <c r="E186" s="59"/>
      <c r="F186" s="54"/>
      <c r="G186" s="54"/>
      <c r="H186" s="71">
        <v>11787737</v>
      </c>
      <c r="I186" s="71">
        <v>11389763</v>
      </c>
      <c r="J186" s="71">
        <v>950000</v>
      </c>
      <c r="K186" s="71">
        <v>200000</v>
      </c>
      <c r="L186" s="71">
        <v>24327500</v>
      </c>
      <c r="M186" s="54"/>
      <c r="N186" s="71">
        <v>11787737</v>
      </c>
      <c r="O186" s="71">
        <v>11389763</v>
      </c>
      <c r="P186" s="71">
        <v>950000</v>
      </c>
      <c r="Q186" s="71">
        <v>200000</v>
      </c>
      <c r="R186" s="71">
        <v>24327500</v>
      </c>
    </row>
    <row r="187" spans="1:18">
      <c r="A187" s="68" t="s">
        <v>61</v>
      </c>
      <c r="B187" s="54"/>
      <c r="C187" s="54"/>
      <c r="D187" s="59"/>
      <c r="E187" s="59"/>
      <c r="F187" s="54"/>
      <c r="G187" s="54"/>
      <c r="H187" s="71">
        <v>2106709</v>
      </c>
      <c r="I187" s="71">
        <v>1307670</v>
      </c>
      <c r="J187" s="71">
        <v>945710</v>
      </c>
      <c r="K187" s="71">
        <v>890587.5</v>
      </c>
      <c r="L187" s="71">
        <v>5250676.5</v>
      </c>
      <c r="M187" s="54"/>
      <c r="N187" s="71">
        <v>2106709</v>
      </c>
      <c r="O187" s="71">
        <v>1307670</v>
      </c>
      <c r="P187" s="71">
        <v>945710</v>
      </c>
      <c r="Q187" s="71">
        <v>890587.5</v>
      </c>
      <c r="R187" s="71">
        <v>5250676.5</v>
      </c>
    </row>
    <row r="188" spans="1:18">
      <c r="A188" s="69"/>
      <c r="B188" s="54"/>
      <c r="C188" s="54"/>
      <c r="D188" s="59"/>
      <c r="E188" s="59"/>
      <c r="F188" s="54"/>
      <c r="G188" s="54"/>
      <c r="H188" s="72">
        <f>SUM(H176,H96,H86,H66,H6)</f>
        <v>11787737</v>
      </c>
      <c r="I188" s="72"/>
      <c r="J188" s="72"/>
      <c r="K188" s="72"/>
      <c r="L188" s="54"/>
      <c r="M188" s="54"/>
      <c r="N188" s="72"/>
      <c r="O188" s="72"/>
      <c r="P188" s="72"/>
      <c r="Q188" s="72"/>
      <c r="R188" s="54"/>
    </row>
    <row r="189" spans="1:18">
      <c r="A189" s="54"/>
      <c r="B189" s="54"/>
      <c r="C189" s="54"/>
      <c r="D189" s="59"/>
      <c r="E189" s="59"/>
      <c r="F189" s="54"/>
      <c r="G189" s="54"/>
      <c r="H189" s="54"/>
      <c r="I189" s="54"/>
      <c r="J189" s="54"/>
      <c r="K189" s="54"/>
      <c r="L189" s="54"/>
      <c r="M189" s="54"/>
      <c r="N189" s="54"/>
      <c r="O189" s="54"/>
      <c r="P189" s="54"/>
      <c r="Q189" s="54"/>
      <c r="R189" s="54"/>
    </row>
    <row r="190" spans="1:18">
      <c r="A190" s="73" t="s">
        <v>105</v>
      </c>
      <c r="B190" s="54"/>
      <c r="C190" s="54"/>
      <c r="D190" s="59"/>
      <c r="E190" s="59"/>
      <c r="F190" s="54"/>
      <c r="G190" s="54"/>
      <c r="H190" s="54"/>
      <c r="I190" s="54"/>
      <c r="J190" s="54"/>
      <c r="K190" s="54"/>
      <c r="L190" s="54"/>
      <c r="M190" s="54"/>
      <c r="N190" s="54"/>
      <c r="O190" s="54"/>
      <c r="P190" s="54"/>
      <c r="Q190" s="54"/>
      <c r="R190" s="54"/>
    </row>
    <row r="191" spans="1:18">
      <c r="A191" s="60" t="s">
        <v>106</v>
      </c>
      <c r="B191" s="57" t="s">
        <v>66</v>
      </c>
      <c r="C191" s="58" t="s">
        <v>83</v>
      </c>
      <c r="D191" s="59"/>
      <c r="E191" s="59"/>
      <c r="F191" s="63" t="s">
        <v>107</v>
      </c>
      <c r="G191" s="58" t="s">
        <v>102</v>
      </c>
      <c r="H191" s="64">
        <v>827571</v>
      </c>
      <c r="I191" s="64">
        <v>685759.66666666674</v>
      </c>
      <c r="J191" s="64">
        <v>685759.66666666674</v>
      </c>
      <c r="K191" s="64">
        <v>685759.66666666674</v>
      </c>
      <c r="L191" s="65">
        <v>2884850</v>
      </c>
      <c r="M191" s="74">
        <v>1</v>
      </c>
      <c r="N191" s="66">
        <v>827571</v>
      </c>
      <c r="O191" s="66">
        <v>685759.66666666674</v>
      </c>
      <c r="P191" s="66">
        <v>685759.66666666674</v>
      </c>
      <c r="Q191" s="66">
        <v>685759.66666666674</v>
      </c>
      <c r="R191" s="67">
        <v>2884850</v>
      </c>
    </row>
    <row r="192" spans="1:18">
      <c r="A192" s="68" t="s">
        <v>56</v>
      </c>
      <c r="B192" s="54"/>
      <c r="C192" s="54"/>
      <c r="D192" s="59"/>
      <c r="E192" s="59"/>
      <c r="F192" s="63"/>
      <c r="G192" s="54"/>
      <c r="H192" s="64">
        <v>750000</v>
      </c>
      <c r="I192" s="64">
        <v>0</v>
      </c>
      <c r="J192" s="64">
        <v>0</v>
      </c>
      <c r="K192" s="64">
        <v>0</v>
      </c>
      <c r="L192" s="65">
        <v>750000</v>
      </c>
      <c r="M192" s="54"/>
      <c r="N192" s="66">
        <v>750000</v>
      </c>
      <c r="O192" s="66">
        <v>0</v>
      </c>
      <c r="P192" s="66">
        <v>0</v>
      </c>
      <c r="Q192" s="66">
        <v>0</v>
      </c>
      <c r="R192" s="67">
        <v>750000</v>
      </c>
    </row>
    <row r="193" spans="1:18">
      <c r="A193" s="69" t="s">
        <v>57</v>
      </c>
      <c r="B193" s="54"/>
      <c r="C193" s="54"/>
      <c r="D193" s="59"/>
      <c r="E193" s="59"/>
      <c r="F193" s="63"/>
      <c r="G193" s="54"/>
      <c r="H193" s="56"/>
      <c r="I193" s="56"/>
      <c r="J193" s="56"/>
      <c r="K193" s="56"/>
      <c r="L193" s="67">
        <v>0</v>
      </c>
      <c r="M193" s="54"/>
      <c r="N193" s="66"/>
      <c r="O193" s="66"/>
      <c r="P193" s="66"/>
      <c r="Q193" s="54"/>
      <c r="R193" s="67"/>
    </row>
    <row r="194" spans="1:18">
      <c r="A194" s="69" t="s">
        <v>58</v>
      </c>
      <c r="B194" s="54"/>
      <c r="C194" s="54"/>
      <c r="D194" s="59"/>
      <c r="E194" s="59"/>
      <c r="F194" s="63"/>
      <c r="G194" s="54"/>
      <c r="H194" s="56">
        <v>750000</v>
      </c>
      <c r="I194" s="54"/>
      <c r="J194" s="56"/>
      <c r="K194" s="56"/>
      <c r="L194" s="67">
        <v>750000</v>
      </c>
      <c r="M194" s="54"/>
      <c r="N194" s="66"/>
      <c r="O194" s="66"/>
      <c r="P194" s="66"/>
      <c r="Q194" s="54"/>
      <c r="R194" s="67"/>
    </row>
    <row r="195" spans="1:18">
      <c r="A195" s="69" t="s">
        <v>59</v>
      </c>
      <c r="B195" s="54"/>
      <c r="C195" s="54"/>
      <c r="D195" s="59"/>
      <c r="E195" s="59"/>
      <c r="F195" s="63"/>
      <c r="G195" s="54"/>
      <c r="H195" s="56"/>
      <c r="I195" s="56"/>
      <c r="J195" s="56"/>
      <c r="K195" s="56"/>
      <c r="L195" s="67">
        <v>0</v>
      </c>
      <c r="M195" s="54"/>
      <c r="N195" s="66"/>
      <c r="O195" s="66"/>
      <c r="P195" s="66"/>
      <c r="Q195" s="54"/>
      <c r="R195" s="67"/>
    </row>
    <row r="196" spans="1:18">
      <c r="A196" s="69" t="s">
        <v>60</v>
      </c>
      <c r="B196" s="54"/>
      <c r="C196" s="54"/>
      <c r="D196" s="59"/>
      <c r="E196" s="59"/>
      <c r="F196" s="63"/>
      <c r="G196" s="54"/>
      <c r="H196" s="56"/>
      <c r="I196" s="56"/>
      <c r="J196" s="56"/>
      <c r="K196" s="56"/>
      <c r="L196" s="67">
        <v>0</v>
      </c>
      <c r="M196" s="54"/>
      <c r="N196" s="66"/>
      <c r="O196" s="66"/>
      <c r="P196" s="66"/>
      <c r="Q196" s="54"/>
      <c r="R196" s="67"/>
    </row>
    <row r="197" spans="1:18">
      <c r="A197" s="68" t="s">
        <v>61</v>
      </c>
      <c r="B197" s="54"/>
      <c r="C197" s="54"/>
      <c r="D197" s="59"/>
      <c r="E197" s="59"/>
      <c r="F197" s="63"/>
      <c r="G197" s="54"/>
      <c r="H197" s="64">
        <v>77571</v>
      </c>
      <c r="I197" s="64">
        <v>685759.66666666674</v>
      </c>
      <c r="J197" s="64">
        <v>685759.66666666674</v>
      </c>
      <c r="K197" s="64">
        <v>685759.66666666674</v>
      </c>
      <c r="L197" s="65">
        <v>2134850</v>
      </c>
      <c r="M197" s="54"/>
      <c r="N197" s="66">
        <v>77571</v>
      </c>
      <c r="O197" s="66">
        <v>685759.66666666674</v>
      </c>
      <c r="P197" s="66">
        <v>685759.66666666674</v>
      </c>
      <c r="Q197" s="66">
        <v>685759.66666666674</v>
      </c>
      <c r="R197" s="67">
        <v>2134850</v>
      </c>
    </row>
    <row r="198" spans="1:18">
      <c r="A198" s="69" t="s">
        <v>57</v>
      </c>
      <c r="B198" s="54"/>
      <c r="C198" s="54"/>
      <c r="D198" s="59"/>
      <c r="E198" s="59"/>
      <c r="F198" s="63"/>
      <c r="G198" s="54"/>
      <c r="H198" s="70">
        <v>77571</v>
      </c>
      <c r="I198" s="70">
        <v>269093</v>
      </c>
      <c r="J198" s="70">
        <v>269093</v>
      </c>
      <c r="K198" s="70">
        <v>269093</v>
      </c>
      <c r="L198" s="67">
        <v>884850</v>
      </c>
      <c r="M198" s="54"/>
      <c r="N198" s="66"/>
      <c r="O198" s="66"/>
      <c r="P198" s="66"/>
      <c r="Q198" s="54"/>
      <c r="R198" s="67"/>
    </row>
    <row r="199" spans="1:18">
      <c r="A199" s="69" t="s">
        <v>58</v>
      </c>
      <c r="B199" s="54"/>
      <c r="C199" s="54"/>
      <c r="D199" s="59"/>
      <c r="E199" s="59"/>
      <c r="F199" s="63"/>
      <c r="G199" s="54"/>
      <c r="H199" s="56">
        <v>0</v>
      </c>
      <c r="I199" s="56">
        <v>416666.66666666669</v>
      </c>
      <c r="J199" s="56">
        <v>416666.66666666669</v>
      </c>
      <c r="K199" s="56">
        <v>416666.66666666669</v>
      </c>
      <c r="L199" s="67">
        <v>1250000</v>
      </c>
      <c r="M199" s="54"/>
      <c r="N199" s="66"/>
      <c r="O199" s="66"/>
      <c r="P199" s="66"/>
      <c r="Q199" s="54"/>
      <c r="R199" s="67"/>
    </row>
    <row r="200" spans="1:18">
      <c r="A200" s="69" t="s">
        <v>60</v>
      </c>
      <c r="B200" s="54"/>
      <c r="C200" s="54"/>
      <c r="D200" s="59"/>
      <c r="E200" s="59"/>
      <c r="F200" s="63"/>
      <c r="G200" s="54"/>
      <c r="H200" s="56"/>
      <c r="I200" s="56"/>
      <c r="J200" s="56"/>
      <c r="K200" s="56"/>
      <c r="L200" s="67">
        <v>0</v>
      </c>
      <c r="M200" s="54"/>
      <c r="N200" s="66"/>
      <c r="O200" s="66"/>
      <c r="P200" s="66"/>
      <c r="Q200" s="54"/>
      <c r="R200" s="67"/>
    </row>
    <row r="201" spans="1:18">
      <c r="A201" s="60" t="s">
        <v>108</v>
      </c>
      <c r="B201" s="57" t="s">
        <v>66</v>
      </c>
      <c r="C201" s="58" t="s">
        <v>101</v>
      </c>
      <c r="D201" s="59"/>
      <c r="E201" s="59"/>
      <c r="F201" s="63" t="s">
        <v>109</v>
      </c>
      <c r="G201" s="58" t="s">
        <v>102</v>
      </c>
      <c r="H201" s="64">
        <v>248900</v>
      </c>
      <c r="I201" s="64">
        <v>248900</v>
      </c>
      <c r="J201" s="64">
        <v>248900</v>
      </c>
      <c r="K201" s="64">
        <v>0</v>
      </c>
      <c r="L201" s="65">
        <v>746700</v>
      </c>
      <c r="M201" s="74">
        <v>0.2</v>
      </c>
      <c r="N201" s="66">
        <v>49780</v>
      </c>
      <c r="O201" s="66">
        <v>49780</v>
      </c>
      <c r="P201" s="66">
        <v>49780</v>
      </c>
      <c r="Q201" s="66">
        <v>0</v>
      </c>
      <c r="R201" s="67">
        <v>149340</v>
      </c>
    </row>
    <row r="202" spans="1:18">
      <c r="A202" s="68" t="s">
        <v>56</v>
      </c>
      <c r="B202" s="54"/>
      <c r="C202" s="54"/>
      <c r="D202" s="59"/>
      <c r="E202" s="59"/>
      <c r="F202" s="63" t="s">
        <v>103</v>
      </c>
      <c r="G202" s="54"/>
      <c r="H202" s="77">
        <v>248900</v>
      </c>
      <c r="I202" s="77">
        <v>248900</v>
      </c>
      <c r="J202" s="77">
        <v>248900</v>
      </c>
      <c r="K202" s="77"/>
      <c r="L202" s="75">
        <v>746700</v>
      </c>
      <c r="M202" s="54"/>
      <c r="N202" s="66">
        <v>49780</v>
      </c>
      <c r="O202" s="66">
        <v>49780</v>
      </c>
      <c r="P202" s="66">
        <v>49780</v>
      </c>
      <c r="Q202" s="66">
        <v>0</v>
      </c>
      <c r="R202" s="67">
        <v>149340</v>
      </c>
    </row>
    <row r="203" spans="1:18">
      <c r="A203" s="69" t="s">
        <v>57</v>
      </c>
      <c r="B203" s="54"/>
      <c r="C203" s="54"/>
      <c r="D203" s="59"/>
      <c r="E203" s="59"/>
      <c r="F203" s="63"/>
      <c r="G203" s="54"/>
      <c r="H203" s="56"/>
      <c r="I203" s="56"/>
      <c r="J203" s="56"/>
      <c r="K203" s="56"/>
      <c r="L203" s="67">
        <v>0</v>
      </c>
      <c r="M203" s="54"/>
      <c r="N203" s="66"/>
      <c r="O203" s="66"/>
      <c r="P203" s="66"/>
      <c r="Q203" s="54"/>
      <c r="R203" s="67"/>
    </row>
    <row r="204" spans="1:18">
      <c r="A204" s="69" t="s">
        <v>58</v>
      </c>
      <c r="B204" s="54"/>
      <c r="C204" s="54"/>
      <c r="D204" s="59"/>
      <c r="E204" s="59"/>
      <c r="F204" s="63"/>
      <c r="G204" s="54"/>
      <c r="H204" s="56"/>
      <c r="I204" s="56"/>
      <c r="J204" s="56"/>
      <c r="K204" s="56"/>
      <c r="L204" s="67">
        <v>0</v>
      </c>
      <c r="M204" s="54"/>
      <c r="N204" s="66"/>
      <c r="O204" s="66"/>
      <c r="P204" s="66"/>
      <c r="Q204" s="54"/>
      <c r="R204" s="67"/>
    </row>
    <row r="205" spans="1:18">
      <c r="A205" s="69" t="s">
        <v>59</v>
      </c>
      <c r="B205" s="54"/>
      <c r="C205" s="54"/>
      <c r="D205" s="59"/>
      <c r="E205" s="59"/>
      <c r="F205" s="63"/>
      <c r="G205" s="54"/>
      <c r="H205" s="56"/>
      <c r="I205" s="56"/>
      <c r="J205" s="56"/>
      <c r="K205" s="56"/>
      <c r="L205" s="67">
        <v>0</v>
      </c>
      <c r="M205" s="54"/>
      <c r="N205" s="66"/>
      <c r="O205" s="66"/>
      <c r="P205" s="66"/>
      <c r="Q205" s="54"/>
      <c r="R205" s="67"/>
    </row>
    <row r="206" spans="1:18">
      <c r="A206" s="69" t="s">
        <v>60</v>
      </c>
      <c r="B206" s="54"/>
      <c r="C206" s="54"/>
      <c r="D206" s="59"/>
      <c r="E206" s="59"/>
      <c r="F206" s="63"/>
      <c r="G206" s="54"/>
      <c r="H206" s="56"/>
      <c r="I206" s="56"/>
      <c r="J206" s="56"/>
      <c r="K206" s="56"/>
      <c r="L206" s="67">
        <v>0</v>
      </c>
      <c r="M206" s="54"/>
      <c r="N206" s="66"/>
      <c r="O206" s="66"/>
      <c r="P206" s="66"/>
      <c r="Q206" s="54"/>
      <c r="R206" s="67"/>
    </row>
    <row r="207" spans="1:18">
      <c r="A207" s="68" t="s">
        <v>61</v>
      </c>
      <c r="B207" s="54"/>
      <c r="C207" s="54"/>
      <c r="D207" s="59"/>
      <c r="E207" s="59"/>
      <c r="F207" s="63"/>
      <c r="G207" s="54"/>
      <c r="H207" s="64">
        <v>0</v>
      </c>
      <c r="I207" s="64">
        <v>0</v>
      </c>
      <c r="J207" s="64">
        <v>0</v>
      </c>
      <c r="K207" s="64">
        <v>0</v>
      </c>
      <c r="L207" s="65">
        <v>0</v>
      </c>
      <c r="M207" s="54"/>
      <c r="N207" s="66">
        <v>0</v>
      </c>
      <c r="O207" s="66">
        <v>0</v>
      </c>
      <c r="P207" s="66">
        <v>0</v>
      </c>
      <c r="Q207" s="66">
        <v>0</v>
      </c>
      <c r="R207" s="67">
        <v>0</v>
      </c>
    </row>
    <row r="208" spans="1:18">
      <c r="A208" s="69" t="s">
        <v>57</v>
      </c>
      <c r="B208" s="54"/>
      <c r="C208" s="54"/>
      <c r="D208" s="59"/>
      <c r="E208" s="59"/>
      <c r="F208" s="63"/>
      <c r="G208" s="54"/>
      <c r="H208" s="70">
        <v>0</v>
      </c>
      <c r="I208" s="70">
        <v>0</v>
      </c>
      <c r="J208" s="70">
        <v>0</v>
      </c>
      <c r="K208" s="70">
        <v>0</v>
      </c>
      <c r="L208" s="67">
        <v>0</v>
      </c>
      <c r="M208" s="54"/>
      <c r="N208" s="66"/>
      <c r="O208" s="66"/>
      <c r="P208" s="66"/>
      <c r="Q208" s="54"/>
      <c r="R208" s="67"/>
    </row>
    <row r="209" spans="1:18">
      <c r="A209" s="69" t="s">
        <v>58</v>
      </c>
      <c r="B209" s="54"/>
      <c r="C209" s="54"/>
      <c r="D209" s="59"/>
      <c r="E209" s="59"/>
      <c r="F209" s="63"/>
      <c r="G209" s="54"/>
      <c r="H209" s="56"/>
      <c r="I209" s="56"/>
      <c r="J209" s="56"/>
      <c r="K209" s="56"/>
      <c r="L209" s="67">
        <v>0</v>
      </c>
      <c r="M209" s="54"/>
      <c r="N209" s="66"/>
      <c r="O209" s="66"/>
      <c r="P209" s="66"/>
      <c r="Q209" s="54"/>
      <c r="R209" s="67"/>
    </row>
    <row r="210" spans="1:18">
      <c r="A210" s="69" t="s">
        <v>60</v>
      </c>
      <c r="B210" s="54"/>
      <c r="C210" s="54"/>
      <c r="D210" s="59"/>
      <c r="E210" s="59"/>
      <c r="F210" s="63"/>
      <c r="G210" s="54"/>
      <c r="H210" s="56"/>
      <c r="I210" s="56"/>
      <c r="J210" s="56"/>
      <c r="K210" s="56"/>
      <c r="L210" s="67">
        <v>0</v>
      </c>
      <c r="M210" s="54"/>
      <c r="N210" s="66"/>
      <c r="O210" s="66"/>
      <c r="P210" s="66"/>
      <c r="Q210" s="54"/>
      <c r="R210" s="67"/>
    </row>
    <row r="211" spans="1:18">
      <c r="A211" s="60" t="s">
        <v>110</v>
      </c>
      <c r="B211" s="57" t="s">
        <v>66</v>
      </c>
      <c r="C211" s="58" t="s">
        <v>101</v>
      </c>
      <c r="D211" s="59"/>
      <c r="E211" s="59"/>
      <c r="F211" s="63"/>
      <c r="G211" s="58" t="s">
        <v>102</v>
      </c>
      <c r="H211" s="64">
        <v>3500000</v>
      </c>
      <c r="I211" s="64">
        <v>30000</v>
      </c>
      <c r="J211" s="64">
        <v>30000</v>
      </c>
      <c r="K211" s="64">
        <v>30000</v>
      </c>
      <c r="L211" s="65">
        <v>3590000</v>
      </c>
      <c r="M211" s="74">
        <v>1</v>
      </c>
      <c r="N211" s="66">
        <v>3500000</v>
      </c>
      <c r="O211" s="66">
        <v>30000</v>
      </c>
      <c r="P211" s="66">
        <v>30000</v>
      </c>
      <c r="Q211" s="66">
        <v>30000</v>
      </c>
      <c r="R211" s="67">
        <v>3590000</v>
      </c>
    </row>
    <row r="212" spans="1:18">
      <c r="A212" s="68" t="s">
        <v>56</v>
      </c>
      <c r="B212" s="54"/>
      <c r="C212" s="54"/>
      <c r="D212" s="59"/>
      <c r="E212" s="59"/>
      <c r="F212" s="63" t="s">
        <v>103</v>
      </c>
      <c r="G212" s="54"/>
      <c r="H212" s="77">
        <v>3500000</v>
      </c>
      <c r="I212" s="77">
        <v>30000</v>
      </c>
      <c r="J212" s="77">
        <v>30000</v>
      </c>
      <c r="K212" s="77">
        <v>30000</v>
      </c>
      <c r="L212" s="75">
        <v>3590000</v>
      </c>
      <c r="M212" s="54"/>
      <c r="N212" s="66">
        <v>3500000</v>
      </c>
      <c r="O212" s="66">
        <v>30000</v>
      </c>
      <c r="P212" s="66">
        <v>30000</v>
      </c>
      <c r="Q212" s="66">
        <v>30000</v>
      </c>
      <c r="R212" s="67">
        <v>3590000</v>
      </c>
    </row>
    <row r="213" spans="1:18">
      <c r="A213" s="69" t="s">
        <v>57</v>
      </c>
      <c r="B213" s="54"/>
      <c r="C213" s="54"/>
      <c r="D213" s="59"/>
      <c r="E213" s="59"/>
      <c r="F213" s="63"/>
      <c r="G213" s="54"/>
      <c r="H213" s="56"/>
      <c r="I213" s="56"/>
      <c r="J213" s="56"/>
      <c r="K213" s="56"/>
      <c r="L213" s="67">
        <v>0</v>
      </c>
      <c r="M213" s="54"/>
      <c r="N213" s="66"/>
      <c r="O213" s="66"/>
      <c r="P213" s="66"/>
      <c r="Q213" s="54"/>
      <c r="R213" s="67"/>
    </row>
    <row r="214" spans="1:18">
      <c r="A214" s="69" t="s">
        <v>58</v>
      </c>
      <c r="B214" s="54"/>
      <c r="C214" s="54"/>
      <c r="D214" s="59"/>
      <c r="E214" s="59"/>
      <c r="F214" s="63"/>
      <c r="G214" s="54"/>
      <c r="H214" s="56"/>
      <c r="I214" s="56"/>
      <c r="J214" s="56"/>
      <c r="K214" s="56"/>
      <c r="L214" s="67">
        <v>0</v>
      </c>
      <c r="M214" s="54"/>
      <c r="N214" s="66"/>
      <c r="O214" s="66"/>
      <c r="P214" s="66"/>
      <c r="Q214" s="54"/>
      <c r="R214" s="67"/>
    </row>
    <row r="215" spans="1:18">
      <c r="A215" s="69" t="s">
        <v>59</v>
      </c>
      <c r="B215" s="54"/>
      <c r="C215" s="54"/>
      <c r="D215" s="59"/>
      <c r="E215" s="59"/>
      <c r="F215" s="63"/>
      <c r="G215" s="54"/>
      <c r="H215" s="56"/>
      <c r="I215" s="56"/>
      <c r="J215" s="56"/>
      <c r="K215" s="56"/>
      <c r="L215" s="67">
        <v>0</v>
      </c>
      <c r="M215" s="54"/>
      <c r="N215" s="66"/>
      <c r="O215" s="66"/>
      <c r="P215" s="66"/>
      <c r="Q215" s="54"/>
      <c r="R215" s="67"/>
    </row>
    <row r="216" spans="1:18">
      <c r="A216" s="69" t="s">
        <v>60</v>
      </c>
      <c r="B216" s="54"/>
      <c r="C216" s="54"/>
      <c r="D216" s="59"/>
      <c r="E216" s="59"/>
      <c r="F216" s="63"/>
      <c r="G216" s="54"/>
      <c r="H216" s="56"/>
      <c r="I216" s="56"/>
      <c r="J216" s="56"/>
      <c r="K216" s="56"/>
      <c r="L216" s="67">
        <v>0</v>
      </c>
      <c r="M216" s="54"/>
      <c r="N216" s="66"/>
      <c r="O216" s="66"/>
      <c r="P216" s="66"/>
      <c r="Q216" s="54"/>
      <c r="R216" s="67"/>
    </row>
    <row r="217" spans="1:18">
      <c r="A217" s="68" t="s">
        <v>61</v>
      </c>
      <c r="B217" s="54"/>
      <c r="C217" s="54"/>
      <c r="D217" s="59"/>
      <c r="E217" s="59"/>
      <c r="F217" s="63"/>
      <c r="G217" s="54"/>
      <c r="H217" s="64">
        <v>0</v>
      </c>
      <c r="I217" s="64">
        <v>0</v>
      </c>
      <c r="J217" s="64">
        <v>0</v>
      </c>
      <c r="K217" s="64">
        <v>0</v>
      </c>
      <c r="L217" s="65">
        <v>0</v>
      </c>
      <c r="M217" s="54"/>
      <c r="N217" s="66">
        <v>0</v>
      </c>
      <c r="O217" s="66">
        <v>0</v>
      </c>
      <c r="P217" s="66">
        <v>0</v>
      </c>
      <c r="Q217" s="66">
        <v>0</v>
      </c>
      <c r="R217" s="67">
        <v>0</v>
      </c>
    </row>
    <row r="218" spans="1:18">
      <c r="A218" s="69" t="s">
        <v>57</v>
      </c>
      <c r="B218" s="54"/>
      <c r="C218" s="54"/>
      <c r="D218" s="59"/>
      <c r="E218" s="59"/>
      <c r="F218" s="63"/>
      <c r="G218" s="54"/>
      <c r="H218" s="70">
        <v>0</v>
      </c>
      <c r="I218" s="70">
        <v>0</v>
      </c>
      <c r="J218" s="70">
        <v>0</v>
      </c>
      <c r="K218" s="70">
        <v>0</v>
      </c>
      <c r="L218" s="67">
        <v>0</v>
      </c>
      <c r="M218" s="54"/>
      <c r="N218" s="66"/>
      <c r="O218" s="66"/>
      <c r="P218" s="66"/>
      <c r="Q218" s="54"/>
      <c r="R218" s="67"/>
    </row>
    <row r="219" spans="1:18">
      <c r="A219" s="69" t="s">
        <v>58</v>
      </c>
      <c r="B219" s="54"/>
      <c r="C219" s="54"/>
      <c r="D219" s="59"/>
      <c r="E219" s="59"/>
      <c r="F219" s="63"/>
      <c r="G219" s="54"/>
      <c r="H219" s="56"/>
      <c r="I219" s="56"/>
      <c r="J219" s="56"/>
      <c r="K219" s="56"/>
      <c r="L219" s="67">
        <v>0</v>
      </c>
      <c r="M219" s="54"/>
      <c r="N219" s="66"/>
      <c r="O219" s="66"/>
      <c r="P219" s="66"/>
      <c r="Q219" s="54"/>
      <c r="R219" s="67"/>
    </row>
    <row r="220" spans="1:18">
      <c r="A220" s="69" t="s">
        <v>60</v>
      </c>
      <c r="B220" s="54"/>
      <c r="C220" s="54"/>
      <c r="D220" s="59"/>
      <c r="E220" s="59"/>
      <c r="F220" s="63"/>
      <c r="G220" s="54"/>
      <c r="H220" s="56"/>
      <c r="I220" s="56"/>
      <c r="J220" s="56"/>
      <c r="K220" s="56"/>
      <c r="L220" s="67">
        <v>0</v>
      </c>
      <c r="M220" s="54"/>
      <c r="N220" s="66"/>
      <c r="O220" s="66"/>
      <c r="P220" s="66"/>
      <c r="Q220" s="54"/>
      <c r="R220" s="67"/>
    </row>
    <row r="221" spans="1:18">
      <c r="A221" s="60" t="s">
        <v>111</v>
      </c>
      <c r="B221" s="57" t="s">
        <v>66</v>
      </c>
      <c r="C221" s="58" t="s">
        <v>77</v>
      </c>
      <c r="D221" s="59"/>
      <c r="E221" s="59"/>
      <c r="F221" s="63" t="s">
        <v>112</v>
      </c>
      <c r="G221" s="54"/>
      <c r="H221" s="64">
        <v>0</v>
      </c>
      <c r="I221" s="64">
        <v>0</v>
      </c>
      <c r="J221" s="64">
        <v>1920218</v>
      </c>
      <c r="K221" s="64">
        <v>220218</v>
      </c>
      <c r="L221" s="65">
        <v>2140436</v>
      </c>
      <c r="M221" s="74">
        <v>1</v>
      </c>
      <c r="N221" s="66">
        <v>0</v>
      </c>
      <c r="O221" s="66">
        <v>0</v>
      </c>
      <c r="P221" s="66">
        <v>1920218</v>
      </c>
      <c r="Q221" s="66">
        <v>220218</v>
      </c>
      <c r="R221" s="67">
        <v>2140436</v>
      </c>
    </row>
    <row r="222" spans="1:18">
      <c r="A222" s="68" t="s">
        <v>56</v>
      </c>
      <c r="B222" s="54"/>
      <c r="C222" s="54"/>
      <c r="D222" s="59"/>
      <c r="E222" s="59"/>
      <c r="F222" s="63"/>
      <c r="G222" s="54"/>
      <c r="H222" s="64">
        <v>0</v>
      </c>
      <c r="I222" s="64">
        <v>0</v>
      </c>
      <c r="J222" s="64">
        <v>1700000</v>
      </c>
      <c r="K222" s="64">
        <v>0</v>
      </c>
      <c r="L222" s="65">
        <v>1700000</v>
      </c>
      <c r="M222" s="54"/>
      <c r="N222" s="66">
        <v>0</v>
      </c>
      <c r="O222" s="66">
        <v>0</v>
      </c>
      <c r="P222" s="66">
        <v>1700000</v>
      </c>
      <c r="Q222" s="66">
        <v>0</v>
      </c>
      <c r="R222" s="67">
        <v>1700000</v>
      </c>
    </row>
    <row r="223" spans="1:18">
      <c r="A223" s="69" t="s">
        <v>57</v>
      </c>
      <c r="B223" s="54"/>
      <c r="C223" s="54"/>
      <c r="D223" s="59"/>
      <c r="E223" s="59"/>
      <c r="F223" s="63"/>
      <c r="G223" s="54"/>
      <c r="H223" s="56"/>
      <c r="I223" s="56"/>
      <c r="J223" s="56"/>
      <c r="K223" s="56"/>
      <c r="L223" s="67">
        <v>0</v>
      </c>
      <c r="M223" s="54"/>
      <c r="N223" s="66"/>
      <c r="O223" s="66"/>
      <c r="P223" s="66"/>
      <c r="Q223" s="54"/>
      <c r="R223" s="67"/>
    </row>
    <row r="224" spans="1:18">
      <c r="A224" s="69" t="s">
        <v>58</v>
      </c>
      <c r="B224" s="54"/>
      <c r="C224" s="54"/>
      <c r="D224" s="59"/>
      <c r="E224" s="59"/>
      <c r="F224" s="63"/>
      <c r="G224" s="54"/>
      <c r="H224" s="56"/>
      <c r="I224" s="56"/>
      <c r="J224" s="56">
        <v>1500000</v>
      </c>
      <c r="K224" s="56"/>
      <c r="L224" s="67">
        <v>1500000</v>
      </c>
      <c r="M224" s="54"/>
      <c r="N224" s="66"/>
      <c r="O224" s="66"/>
      <c r="P224" s="66"/>
      <c r="Q224" s="54"/>
      <c r="R224" s="67"/>
    </row>
    <row r="225" spans="1:18">
      <c r="A225" s="69" t="s">
        <v>59</v>
      </c>
      <c r="B225" s="54"/>
      <c r="C225" s="54"/>
      <c r="D225" s="59"/>
      <c r="E225" s="59"/>
      <c r="F225" s="63"/>
      <c r="G225" s="54"/>
      <c r="H225" s="56"/>
      <c r="I225" s="56"/>
      <c r="J225" s="56"/>
      <c r="K225" s="56"/>
      <c r="L225" s="67">
        <v>0</v>
      </c>
      <c r="M225" s="54"/>
      <c r="N225" s="66"/>
      <c r="O225" s="66"/>
      <c r="P225" s="66"/>
      <c r="Q225" s="54"/>
      <c r="R225" s="67"/>
    </row>
    <row r="226" spans="1:18">
      <c r="A226" s="69" t="s">
        <v>60</v>
      </c>
      <c r="B226" s="54"/>
      <c r="C226" s="54"/>
      <c r="D226" s="59"/>
      <c r="E226" s="59"/>
      <c r="F226" s="63"/>
      <c r="G226" s="54"/>
      <c r="H226" s="56"/>
      <c r="I226" s="56"/>
      <c r="J226" s="56">
        <v>200000</v>
      </c>
      <c r="K226" s="56"/>
      <c r="L226" s="67">
        <v>200000</v>
      </c>
      <c r="M226" s="54"/>
      <c r="N226" s="66"/>
      <c r="O226" s="66"/>
      <c r="P226" s="66"/>
      <c r="Q226" s="54"/>
      <c r="R226" s="67"/>
    </row>
    <row r="227" spans="1:18">
      <c r="A227" s="68" t="s">
        <v>61</v>
      </c>
      <c r="B227" s="54"/>
      <c r="C227" s="54"/>
      <c r="D227" s="59"/>
      <c r="E227" s="59"/>
      <c r="F227" s="63"/>
      <c r="G227" s="54"/>
      <c r="H227" s="64">
        <v>0</v>
      </c>
      <c r="I227" s="64">
        <v>0</v>
      </c>
      <c r="J227" s="64">
        <v>220218</v>
      </c>
      <c r="K227" s="64">
        <v>220218</v>
      </c>
      <c r="L227" s="65">
        <v>440436</v>
      </c>
      <c r="M227" s="54"/>
      <c r="N227" s="66">
        <v>0</v>
      </c>
      <c r="O227" s="66">
        <v>0</v>
      </c>
      <c r="P227" s="66">
        <v>220218</v>
      </c>
      <c r="Q227" s="66">
        <v>220218</v>
      </c>
      <c r="R227" s="67">
        <v>440436</v>
      </c>
    </row>
    <row r="228" spans="1:18">
      <c r="A228" s="69" t="s">
        <v>57</v>
      </c>
      <c r="B228" s="54"/>
      <c r="C228" s="54"/>
      <c r="D228" s="59"/>
      <c r="E228" s="59"/>
      <c r="F228" s="63"/>
      <c r="G228" s="54"/>
      <c r="H228" s="70">
        <v>0</v>
      </c>
      <c r="I228" s="70">
        <v>0</v>
      </c>
      <c r="J228" s="70">
        <v>220218</v>
      </c>
      <c r="K228" s="70">
        <v>220218</v>
      </c>
      <c r="L228" s="67">
        <v>440436</v>
      </c>
      <c r="M228" s="54"/>
      <c r="N228" s="66"/>
      <c r="O228" s="66"/>
      <c r="P228" s="66"/>
      <c r="Q228" s="54"/>
      <c r="R228" s="67"/>
    </row>
    <row r="229" spans="1:18">
      <c r="A229" s="69" t="s">
        <v>58</v>
      </c>
      <c r="B229" s="54"/>
      <c r="C229" s="54"/>
      <c r="D229" s="59"/>
      <c r="E229" s="59"/>
      <c r="F229" s="63"/>
      <c r="G229" s="54"/>
      <c r="H229" s="56"/>
      <c r="I229" s="56"/>
      <c r="J229" s="56"/>
      <c r="K229" s="56"/>
      <c r="L229" s="67">
        <v>0</v>
      </c>
      <c r="M229" s="54"/>
      <c r="N229" s="66"/>
      <c r="O229" s="66"/>
      <c r="P229" s="66"/>
      <c r="Q229" s="54"/>
      <c r="R229" s="67"/>
    </row>
    <row r="230" spans="1:18">
      <c r="A230" s="69" t="s">
        <v>60</v>
      </c>
      <c r="B230" s="54"/>
      <c r="C230" s="54"/>
      <c r="D230" s="59"/>
      <c r="E230" s="59"/>
      <c r="F230" s="63"/>
      <c r="G230" s="54"/>
      <c r="H230" s="56"/>
      <c r="I230" s="56"/>
      <c r="J230" s="56"/>
      <c r="K230" s="56"/>
      <c r="L230" s="67">
        <v>0</v>
      </c>
      <c r="M230" s="54"/>
      <c r="N230" s="66"/>
      <c r="O230" s="66"/>
      <c r="P230" s="66"/>
      <c r="Q230" s="54"/>
      <c r="R230" s="67"/>
    </row>
    <row r="231" spans="1:18">
      <c r="A231" s="60" t="s">
        <v>113</v>
      </c>
      <c r="B231" s="57" t="s">
        <v>94</v>
      </c>
      <c r="C231" s="58" t="s">
        <v>101</v>
      </c>
      <c r="D231" s="59"/>
      <c r="E231" s="59"/>
      <c r="F231" s="63"/>
      <c r="G231" s="58" t="s">
        <v>95</v>
      </c>
      <c r="H231" s="64">
        <v>6501177</v>
      </c>
      <c r="I231" s="64">
        <v>945922</v>
      </c>
      <c r="J231" s="64">
        <v>0</v>
      </c>
      <c r="K231" s="64">
        <v>0</v>
      </c>
      <c r="L231" s="65">
        <v>7447099</v>
      </c>
      <c r="M231" s="74">
        <v>0</v>
      </c>
      <c r="N231" s="66">
        <v>0</v>
      </c>
      <c r="O231" s="66">
        <v>0</v>
      </c>
      <c r="P231" s="66">
        <v>0</v>
      </c>
      <c r="Q231" s="66">
        <v>0</v>
      </c>
      <c r="R231" s="67">
        <v>0</v>
      </c>
    </row>
    <row r="232" spans="1:18">
      <c r="A232" s="68" t="s">
        <v>56</v>
      </c>
      <c r="B232" s="54"/>
      <c r="C232" s="54"/>
      <c r="D232" s="59"/>
      <c r="E232" s="59"/>
      <c r="F232" s="63" t="s">
        <v>103</v>
      </c>
      <c r="G232" s="54"/>
      <c r="H232" s="77">
        <v>6501177</v>
      </c>
      <c r="I232" s="77">
        <v>945922</v>
      </c>
      <c r="J232" s="77"/>
      <c r="K232" s="77"/>
      <c r="L232" s="75">
        <v>7447099</v>
      </c>
      <c r="M232" s="54"/>
      <c r="N232" s="66">
        <v>0</v>
      </c>
      <c r="O232" s="66">
        <v>0</v>
      </c>
      <c r="P232" s="66">
        <v>0</v>
      </c>
      <c r="Q232" s="66">
        <v>0</v>
      </c>
      <c r="R232" s="67">
        <v>0</v>
      </c>
    </row>
    <row r="233" spans="1:18">
      <c r="A233" s="69" t="s">
        <v>57</v>
      </c>
      <c r="B233" s="54"/>
      <c r="C233" s="54"/>
      <c r="D233" s="59"/>
      <c r="E233" s="59"/>
      <c r="F233" s="63"/>
      <c r="G233" s="54"/>
      <c r="H233" s="56"/>
      <c r="I233" s="56"/>
      <c r="J233" s="56"/>
      <c r="K233" s="56"/>
      <c r="L233" s="67">
        <v>0</v>
      </c>
      <c r="M233" s="54"/>
      <c r="N233" s="66"/>
      <c r="O233" s="66"/>
      <c r="P233" s="66"/>
      <c r="Q233" s="54"/>
      <c r="R233" s="67"/>
    </row>
    <row r="234" spans="1:18">
      <c r="A234" s="69" t="s">
        <v>58</v>
      </c>
      <c r="B234" s="54"/>
      <c r="C234" s="54"/>
      <c r="D234" s="59"/>
      <c r="E234" s="59"/>
      <c r="F234" s="63"/>
      <c r="G234" s="54"/>
      <c r="H234" s="56"/>
      <c r="I234" s="56"/>
      <c r="J234" s="56"/>
      <c r="K234" s="56"/>
      <c r="L234" s="67">
        <v>0</v>
      </c>
      <c r="M234" s="54"/>
      <c r="N234" s="66"/>
      <c r="O234" s="66"/>
      <c r="P234" s="66"/>
      <c r="Q234" s="54"/>
      <c r="R234" s="67"/>
    </row>
    <row r="235" spans="1:18">
      <c r="A235" s="69" t="s">
        <v>59</v>
      </c>
      <c r="B235" s="54"/>
      <c r="C235" s="54"/>
      <c r="D235" s="59"/>
      <c r="E235" s="59"/>
      <c r="F235" s="63"/>
      <c r="G235" s="54"/>
      <c r="H235" s="56"/>
      <c r="I235" s="56"/>
      <c r="J235" s="56"/>
      <c r="K235" s="56"/>
      <c r="L235" s="67">
        <v>0</v>
      </c>
      <c r="M235" s="54"/>
      <c r="N235" s="66"/>
      <c r="O235" s="66"/>
      <c r="P235" s="66"/>
      <c r="Q235" s="54"/>
      <c r="R235" s="67"/>
    </row>
    <row r="236" spans="1:18">
      <c r="A236" s="69" t="s">
        <v>60</v>
      </c>
      <c r="B236" s="54"/>
      <c r="C236" s="54"/>
      <c r="D236" s="59"/>
      <c r="E236" s="59"/>
      <c r="F236" s="63"/>
      <c r="G236" s="54"/>
      <c r="H236" s="56"/>
      <c r="I236" s="56"/>
      <c r="J236" s="56"/>
      <c r="K236" s="56"/>
      <c r="L236" s="67">
        <v>0</v>
      </c>
      <c r="M236" s="54"/>
      <c r="N236" s="66"/>
      <c r="O236" s="66"/>
      <c r="P236" s="66"/>
      <c r="Q236" s="54"/>
      <c r="R236" s="67"/>
    </row>
    <row r="237" spans="1:18">
      <c r="A237" s="68" t="s">
        <v>61</v>
      </c>
      <c r="B237" s="54"/>
      <c r="C237" s="54"/>
      <c r="D237" s="59"/>
      <c r="E237" s="59"/>
      <c r="F237" s="63"/>
      <c r="G237" s="54"/>
      <c r="H237" s="64">
        <v>0</v>
      </c>
      <c r="I237" s="64">
        <v>0</v>
      </c>
      <c r="J237" s="64">
        <v>0</v>
      </c>
      <c r="K237" s="64">
        <v>0</v>
      </c>
      <c r="L237" s="65">
        <v>0</v>
      </c>
      <c r="M237" s="54"/>
      <c r="N237" s="66">
        <v>0</v>
      </c>
      <c r="O237" s="66">
        <v>0</v>
      </c>
      <c r="P237" s="66">
        <v>0</v>
      </c>
      <c r="Q237" s="66">
        <v>0</v>
      </c>
      <c r="R237" s="67">
        <v>0</v>
      </c>
    </row>
    <row r="238" spans="1:18">
      <c r="A238" s="69" t="s">
        <v>57</v>
      </c>
      <c r="B238" s="54"/>
      <c r="C238" s="54"/>
      <c r="D238" s="59"/>
      <c r="E238" s="59"/>
      <c r="F238" s="63"/>
      <c r="G238" s="54"/>
      <c r="H238" s="70">
        <v>0</v>
      </c>
      <c r="I238" s="70">
        <v>0</v>
      </c>
      <c r="J238" s="70">
        <v>0</v>
      </c>
      <c r="K238" s="70">
        <v>0</v>
      </c>
      <c r="L238" s="67">
        <v>0</v>
      </c>
      <c r="M238" s="54"/>
      <c r="N238" s="66"/>
      <c r="O238" s="66"/>
      <c r="P238" s="66"/>
      <c r="Q238" s="54"/>
      <c r="R238" s="67"/>
    </row>
    <row r="239" spans="1:18">
      <c r="A239" s="69" t="s">
        <v>58</v>
      </c>
      <c r="B239" s="54"/>
      <c r="C239" s="54"/>
      <c r="D239" s="59"/>
      <c r="E239" s="59"/>
      <c r="F239" s="63"/>
      <c r="G239" s="54"/>
      <c r="H239" s="56"/>
      <c r="I239" s="56"/>
      <c r="J239" s="56"/>
      <c r="K239" s="56"/>
      <c r="L239" s="67">
        <v>0</v>
      </c>
      <c r="M239" s="54"/>
      <c r="N239" s="66"/>
      <c r="O239" s="66"/>
      <c r="P239" s="66"/>
      <c r="Q239" s="54"/>
      <c r="R239" s="67"/>
    </row>
    <row r="240" spans="1:18">
      <c r="A240" s="69" t="s">
        <v>60</v>
      </c>
      <c r="B240" s="54"/>
      <c r="C240" s="54"/>
      <c r="D240" s="59"/>
      <c r="E240" s="59"/>
      <c r="F240" s="63"/>
      <c r="G240" s="54"/>
      <c r="H240" s="56"/>
      <c r="I240" s="56"/>
      <c r="J240" s="56"/>
      <c r="K240" s="56"/>
      <c r="L240" s="67">
        <v>0</v>
      </c>
      <c r="M240" s="54"/>
      <c r="N240" s="66"/>
      <c r="O240" s="66"/>
      <c r="P240" s="66"/>
      <c r="Q240" s="54"/>
      <c r="R240" s="67"/>
    </row>
    <row r="241" spans="1:18">
      <c r="A241" s="60" t="s">
        <v>114</v>
      </c>
      <c r="B241" s="57" t="s">
        <v>94</v>
      </c>
      <c r="C241" s="58" t="s">
        <v>83</v>
      </c>
      <c r="D241" s="59"/>
      <c r="E241" s="59"/>
      <c r="F241" s="63" t="s">
        <v>115</v>
      </c>
      <c r="G241" s="58" t="s">
        <v>116</v>
      </c>
      <c r="H241" s="64">
        <v>0</v>
      </c>
      <c r="I241" s="64">
        <v>0</v>
      </c>
      <c r="J241" s="64">
        <v>0</v>
      </c>
      <c r="K241" s="64">
        <v>0</v>
      </c>
      <c r="L241" s="65">
        <v>0</v>
      </c>
      <c r="M241" s="74">
        <v>1</v>
      </c>
      <c r="N241" s="66">
        <v>0</v>
      </c>
      <c r="O241" s="66">
        <v>0</v>
      </c>
      <c r="P241" s="66">
        <v>0</v>
      </c>
      <c r="Q241" s="66">
        <v>0</v>
      </c>
      <c r="R241" s="67">
        <v>0</v>
      </c>
    </row>
    <row r="242" spans="1:18">
      <c r="A242" s="68" t="s">
        <v>56</v>
      </c>
      <c r="B242" s="54"/>
      <c r="C242" s="54"/>
      <c r="D242" s="59"/>
      <c r="E242" s="59"/>
      <c r="F242" s="63"/>
      <c r="G242" s="54"/>
      <c r="H242" s="64">
        <v>0</v>
      </c>
      <c r="I242" s="64">
        <v>0</v>
      </c>
      <c r="J242" s="64">
        <v>0</v>
      </c>
      <c r="K242" s="64">
        <v>0</v>
      </c>
      <c r="L242" s="65">
        <v>0</v>
      </c>
      <c r="M242" s="54"/>
      <c r="N242" s="66">
        <v>0</v>
      </c>
      <c r="O242" s="66">
        <v>0</v>
      </c>
      <c r="P242" s="66">
        <v>0</v>
      </c>
      <c r="Q242" s="66">
        <v>0</v>
      </c>
      <c r="R242" s="67">
        <v>0</v>
      </c>
    </row>
    <row r="243" spans="1:18">
      <c r="A243" s="69" t="s">
        <v>57</v>
      </c>
      <c r="B243" s="54"/>
      <c r="C243" s="54"/>
      <c r="D243" s="59"/>
      <c r="E243" s="59"/>
      <c r="F243" s="63"/>
      <c r="G243" s="54"/>
      <c r="H243" s="56"/>
      <c r="I243" s="56"/>
      <c r="J243" s="56"/>
      <c r="K243" s="56"/>
      <c r="L243" s="67">
        <v>0</v>
      </c>
      <c r="M243" s="54"/>
      <c r="N243" s="66"/>
      <c r="O243" s="66"/>
      <c r="P243" s="66"/>
      <c r="Q243" s="54"/>
      <c r="R243" s="67"/>
    </row>
    <row r="244" spans="1:18">
      <c r="A244" s="69" t="s">
        <v>58</v>
      </c>
      <c r="B244" s="54"/>
      <c r="C244" s="54"/>
      <c r="D244" s="59"/>
      <c r="E244" s="59"/>
      <c r="F244" s="63"/>
      <c r="G244" s="54"/>
      <c r="H244" s="56"/>
      <c r="I244" s="56"/>
      <c r="J244" s="56"/>
      <c r="K244" s="56"/>
      <c r="L244" s="67">
        <v>0</v>
      </c>
      <c r="M244" s="54"/>
      <c r="N244" s="66"/>
      <c r="O244" s="66"/>
      <c r="P244" s="66"/>
      <c r="Q244" s="54"/>
      <c r="R244" s="67"/>
    </row>
    <row r="245" spans="1:18">
      <c r="A245" s="69" t="s">
        <v>59</v>
      </c>
      <c r="B245" s="54"/>
      <c r="C245" s="54"/>
      <c r="D245" s="59"/>
      <c r="E245" s="59"/>
      <c r="F245" s="63"/>
      <c r="G245" s="54"/>
      <c r="H245" s="56"/>
      <c r="I245" s="56"/>
      <c r="J245" s="56"/>
      <c r="K245" s="56"/>
      <c r="L245" s="67">
        <v>0</v>
      </c>
      <c r="M245" s="54"/>
      <c r="N245" s="66"/>
      <c r="O245" s="66"/>
      <c r="P245" s="66"/>
      <c r="Q245" s="54"/>
      <c r="R245" s="67"/>
    </row>
    <row r="246" spans="1:18">
      <c r="A246" s="69" t="s">
        <v>60</v>
      </c>
      <c r="B246" s="54"/>
      <c r="C246" s="54"/>
      <c r="D246" s="59"/>
      <c r="E246" s="59"/>
      <c r="F246" s="63"/>
      <c r="G246" s="54"/>
      <c r="H246" s="56"/>
      <c r="I246" s="56"/>
      <c r="J246" s="56"/>
      <c r="K246" s="56"/>
      <c r="L246" s="67">
        <v>0</v>
      </c>
      <c r="M246" s="54"/>
      <c r="N246" s="66"/>
      <c r="O246" s="66"/>
      <c r="P246" s="66"/>
      <c r="Q246" s="54"/>
      <c r="R246" s="67"/>
    </row>
    <row r="247" spans="1:18">
      <c r="A247" s="68" t="s">
        <v>61</v>
      </c>
      <c r="B247" s="54"/>
      <c r="C247" s="54"/>
      <c r="D247" s="59"/>
      <c r="E247" s="59"/>
      <c r="F247" s="63"/>
      <c r="G247" s="54"/>
      <c r="H247" s="64">
        <v>0</v>
      </c>
      <c r="I247" s="64">
        <v>0</v>
      </c>
      <c r="J247" s="64">
        <v>0</v>
      </c>
      <c r="K247" s="64">
        <v>0</v>
      </c>
      <c r="L247" s="65">
        <v>0</v>
      </c>
      <c r="M247" s="54"/>
      <c r="N247" s="66">
        <v>0</v>
      </c>
      <c r="O247" s="66">
        <v>0</v>
      </c>
      <c r="P247" s="66">
        <v>0</v>
      </c>
      <c r="Q247" s="66">
        <v>0</v>
      </c>
      <c r="R247" s="67">
        <v>0</v>
      </c>
    </row>
    <row r="248" spans="1:18">
      <c r="A248" s="69" t="s">
        <v>57</v>
      </c>
      <c r="B248" s="54"/>
      <c r="C248" s="54"/>
      <c r="D248" s="59"/>
      <c r="E248" s="59"/>
      <c r="F248" s="63"/>
      <c r="G248" s="54"/>
      <c r="H248" s="70">
        <v>0</v>
      </c>
      <c r="I248" s="70">
        <v>0</v>
      </c>
      <c r="J248" s="70">
        <v>0</v>
      </c>
      <c r="K248" s="70">
        <v>0</v>
      </c>
      <c r="L248" s="67">
        <v>0</v>
      </c>
      <c r="M248" s="54"/>
      <c r="N248" s="66"/>
      <c r="O248" s="66"/>
      <c r="P248" s="66"/>
      <c r="Q248" s="54"/>
      <c r="R248" s="67"/>
    </row>
    <row r="249" spans="1:18">
      <c r="A249" s="69" t="s">
        <v>58</v>
      </c>
      <c r="B249" s="54"/>
      <c r="C249" s="54"/>
      <c r="D249" s="59"/>
      <c r="E249" s="59"/>
      <c r="F249" s="63"/>
      <c r="G249" s="54"/>
      <c r="H249" s="56"/>
      <c r="I249" s="56"/>
      <c r="J249" s="56"/>
      <c r="K249" s="56"/>
      <c r="L249" s="67">
        <v>0</v>
      </c>
      <c r="M249" s="54"/>
      <c r="N249" s="66"/>
      <c r="O249" s="66"/>
      <c r="P249" s="66"/>
      <c r="Q249" s="54"/>
      <c r="R249" s="67"/>
    </row>
    <row r="250" spans="1:18">
      <c r="A250" s="69" t="s">
        <v>60</v>
      </c>
      <c r="B250" s="54"/>
      <c r="C250" s="54"/>
      <c r="D250" s="59"/>
      <c r="E250" s="59"/>
      <c r="F250" s="63"/>
      <c r="G250" s="54"/>
      <c r="H250" s="56"/>
      <c r="I250" s="56"/>
      <c r="J250" s="56"/>
      <c r="K250" s="56"/>
      <c r="L250" s="67">
        <v>0</v>
      </c>
      <c r="M250" s="54"/>
      <c r="N250" s="66"/>
      <c r="O250" s="66"/>
      <c r="P250" s="66"/>
      <c r="Q250" s="54"/>
      <c r="R250" s="67"/>
    </row>
    <row r="251" spans="1:18">
      <c r="A251" s="60" t="s">
        <v>117</v>
      </c>
      <c r="B251" s="57" t="s">
        <v>94</v>
      </c>
      <c r="C251" s="58" t="s">
        <v>77</v>
      </c>
      <c r="D251" s="59"/>
      <c r="E251" s="59"/>
      <c r="F251" s="63" t="s">
        <v>118</v>
      </c>
      <c r="G251" s="58" t="s">
        <v>102</v>
      </c>
      <c r="H251" s="64">
        <v>0</v>
      </c>
      <c r="I251" s="64">
        <v>0</v>
      </c>
      <c r="J251" s="64">
        <v>475321</v>
      </c>
      <c r="K251" s="64">
        <v>3566843</v>
      </c>
      <c r="L251" s="65">
        <v>4042164</v>
      </c>
      <c r="M251" s="74">
        <v>1</v>
      </c>
      <c r="N251" s="66">
        <v>0</v>
      </c>
      <c r="O251" s="66">
        <v>0</v>
      </c>
      <c r="P251" s="66">
        <v>475321</v>
      </c>
      <c r="Q251" s="66">
        <v>3566843</v>
      </c>
      <c r="R251" s="67">
        <v>4042164</v>
      </c>
    </row>
    <row r="252" spans="1:18">
      <c r="A252" s="68" t="s">
        <v>56</v>
      </c>
      <c r="B252" s="54"/>
      <c r="C252" s="54"/>
      <c r="D252" s="59"/>
      <c r="E252" s="59"/>
      <c r="F252" s="63"/>
      <c r="G252" s="54"/>
      <c r="H252" s="64">
        <v>0</v>
      </c>
      <c r="I252" s="64">
        <v>0</v>
      </c>
      <c r="J252" s="64">
        <v>475321</v>
      </c>
      <c r="K252" s="64">
        <v>3566843</v>
      </c>
      <c r="L252" s="65">
        <v>4042164</v>
      </c>
      <c r="M252" s="54"/>
      <c r="N252" s="66">
        <v>0</v>
      </c>
      <c r="O252" s="66">
        <v>0</v>
      </c>
      <c r="P252" s="66">
        <v>475321</v>
      </c>
      <c r="Q252" s="66">
        <v>3566843</v>
      </c>
      <c r="R252" s="67">
        <v>4042164</v>
      </c>
    </row>
    <row r="253" spans="1:18">
      <c r="A253" s="69" t="s">
        <v>57</v>
      </c>
      <c r="B253" s="54"/>
      <c r="C253" s="54"/>
      <c r="D253" s="59"/>
      <c r="E253" s="59"/>
      <c r="F253" s="63"/>
      <c r="G253" s="54"/>
      <c r="H253" s="70">
        <v>0</v>
      </c>
      <c r="I253" s="70">
        <v>0</v>
      </c>
      <c r="J253" s="70">
        <v>175321</v>
      </c>
      <c r="K253" s="70">
        <v>366843</v>
      </c>
      <c r="L253" s="67">
        <v>542164</v>
      </c>
      <c r="M253" s="54"/>
      <c r="N253" s="66"/>
      <c r="O253" s="66"/>
      <c r="P253" s="66"/>
      <c r="Q253" s="54"/>
      <c r="R253" s="67"/>
    </row>
    <row r="254" spans="1:18">
      <c r="A254" s="69" t="s">
        <v>58</v>
      </c>
      <c r="B254" s="54"/>
      <c r="C254" s="54"/>
      <c r="D254" s="59"/>
      <c r="E254" s="59"/>
      <c r="F254" s="63"/>
      <c r="G254" s="54"/>
      <c r="H254" s="56"/>
      <c r="I254" s="56"/>
      <c r="J254" s="56">
        <v>300000</v>
      </c>
      <c r="K254" s="56">
        <v>1700000</v>
      </c>
      <c r="L254" s="67">
        <v>2000000</v>
      </c>
      <c r="M254" s="54"/>
      <c r="N254" s="66"/>
      <c r="O254" s="66"/>
      <c r="P254" s="66"/>
      <c r="Q254" s="54"/>
      <c r="R254" s="67"/>
    </row>
    <row r="255" spans="1:18">
      <c r="A255" s="69" t="s">
        <v>59</v>
      </c>
      <c r="B255" s="54"/>
      <c r="C255" s="54"/>
      <c r="D255" s="59"/>
      <c r="E255" s="59"/>
      <c r="F255" s="63"/>
      <c r="G255" s="54"/>
      <c r="H255" s="56"/>
      <c r="I255" s="56"/>
      <c r="J255" s="56"/>
      <c r="K255" s="56"/>
      <c r="L255" s="67">
        <v>0</v>
      </c>
      <c r="M255" s="54"/>
      <c r="N255" s="66"/>
      <c r="O255" s="66"/>
      <c r="P255" s="66"/>
      <c r="Q255" s="54"/>
      <c r="R255" s="67"/>
    </row>
    <row r="256" spans="1:18">
      <c r="A256" s="69" t="s">
        <v>60</v>
      </c>
      <c r="B256" s="54"/>
      <c r="C256" s="54"/>
      <c r="D256" s="59"/>
      <c r="E256" s="59"/>
      <c r="F256" s="63"/>
      <c r="G256" s="54"/>
      <c r="H256" s="56"/>
      <c r="I256" s="56"/>
      <c r="J256" s="56"/>
      <c r="K256" s="56">
        <v>1500000</v>
      </c>
      <c r="L256" s="67">
        <v>1500000</v>
      </c>
      <c r="M256" s="54"/>
      <c r="N256" s="66"/>
      <c r="O256" s="66"/>
      <c r="P256" s="66"/>
      <c r="Q256" s="54"/>
      <c r="R256" s="67"/>
    </row>
    <row r="257" spans="1:18">
      <c r="A257" s="68" t="s">
        <v>61</v>
      </c>
      <c r="B257" s="54"/>
      <c r="C257" s="54"/>
      <c r="D257" s="59"/>
      <c r="E257" s="59"/>
      <c r="F257" s="63"/>
      <c r="G257" s="54"/>
      <c r="H257" s="64">
        <v>0</v>
      </c>
      <c r="I257" s="64">
        <v>0</v>
      </c>
      <c r="J257" s="64">
        <v>0</v>
      </c>
      <c r="K257" s="64">
        <v>0</v>
      </c>
      <c r="L257" s="65">
        <v>0</v>
      </c>
      <c r="M257" s="54"/>
      <c r="N257" s="66">
        <v>0</v>
      </c>
      <c r="O257" s="66">
        <v>0</v>
      </c>
      <c r="P257" s="66">
        <v>0</v>
      </c>
      <c r="Q257" s="66">
        <v>0</v>
      </c>
      <c r="R257" s="67">
        <v>0</v>
      </c>
    </row>
    <row r="258" spans="1:18">
      <c r="A258" s="69" t="s">
        <v>57</v>
      </c>
      <c r="B258" s="54"/>
      <c r="C258" s="54"/>
      <c r="D258" s="59"/>
      <c r="E258" s="59"/>
      <c r="F258" s="63"/>
      <c r="G258" s="54"/>
      <c r="H258" s="70"/>
      <c r="I258" s="70"/>
      <c r="J258" s="70"/>
      <c r="K258" s="70"/>
      <c r="L258" s="67">
        <v>0</v>
      </c>
      <c r="M258" s="54"/>
      <c r="N258" s="66"/>
      <c r="O258" s="66"/>
      <c r="P258" s="66"/>
      <c r="Q258" s="54"/>
      <c r="R258" s="67"/>
    </row>
    <row r="259" spans="1:18">
      <c r="A259" s="69" t="s">
        <v>58</v>
      </c>
      <c r="B259" s="54"/>
      <c r="C259" s="54"/>
      <c r="D259" s="59"/>
      <c r="E259" s="59"/>
      <c r="F259" s="63"/>
      <c r="G259" s="54"/>
      <c r="H259" s="56"/>
      <c r="I259" s="56"/>
      <c r="J259" s="56"/>
      <c r="K259" s="56"/>
      <c r="L259" s="67">
        <v>0</v>
      </c>
      <c r="M259" s="54"/>
      <c r="N259" s="66"/>
      <c r="O259" s="66"/>
      <c r="P259" s="66"/>
      <c r="Q259" s="54"/>
      <c r="R259" s="67"/>
    </row>
    <row r="260" spans="1:18">
      <c r="A260" s="69" t="s">
        <v>60</v>
      </c>
      <c r="B260" s="54"/>
      <c r="C260" s="54"/>
      <c r="D260" s="59"/>
      <c r="E260" s="59"/>
      <c r="F260" s="63"/>
      <c r="G260" s="54"/>
      <c r="H260" s="56"/>
      <c r="I260" s="56"/>
      <c r="J260" s="56"/>
      <c r="K260" s="56"/>
      <c r="L260" s="67">
        <v>0</v>
      </c>
      <c r="M260" s="54"/>
      <c r="N260" s="66"/>
      <c r="O260" s="66"/>
      <c r="P260" s="66"/>
      <c r="Q260" s="54"/>
      <c r="R260" s="67"/>
    </row>
    <row r="261" spans="1:18">
      <c r="A261" s="54"/>
      <c r="B261" s="54"/>
      <c r="C261" s="54"/>
      <c r="D261" s="59"/>
      <c r="E261" s="59"/>
      <c r="F261" s="54"/>
      <c r="G261" s="54"/>
      <c r="H261" s="54"/>
      <c r="I261" s="54"/>
      <c r="J261" s="54"/>
      <c r="K261" s="54"/>
      <c r="L261" s="54"/>
      <c r="M261" s="54"/>
      <c r="N261" s="54"/>
      <c r="O261" s="54"/>
      <c r="P261" s="54"/>
      <c r="Q261" s="54"/>
      <c r="R261" s="54"/>
    </row>
    <row r="262" spans="1:18">
      <c r="A262" s="54"/>
      <c r="B262" s="54"/>
      <c r="C262" s="54"/>
      <c r="D262" s="59"/>
      <c r="E262" s="59"/>
      <c r="F262" s="54"/>
      <c r="G262" s="54"/>
      <c r="H262" s="54"/>
      <c r="I262" s="54"/>
      <c r="J262" s="54"/>
      <c r="K262" s="54"/>
      <c r="L262" s="54"/>
      <c r="M262" s="54"/>
      <c r="N262" s="54"/>
      <c r="O262" s="54"/>
      <c r="P262" s="54"/>
      <c r="Q262" s="54"/>
      <c r="R262" s="54"/>
    </row>
    <row r="263" spans="1:18">
      <c r="A263" s="54"/>
      <c r="B263" s="54"/>
      <c r="C263" s="54"/>
      <c r="D263" s="59"/>
      <c r="E263" s="59"/>
      <c r="F263" s="54"/>
      <c r="G263" s="54"/>
      <c r="H263" s="54"/>
      <c r="I263" s="54"/>
      <c r="J263" s="54"/>
      <c r="K263" s="54"/>
      <c r="L263" s="54"/>
      <c r="M263" s="54"/>
      <c r="N263" s="54"/>
      <c r="O263" s="54"/>
      <c r="P263" s="54"/>
      <c r="Q263" s="54"/>
      <c r="R263" s="54"/>
    </row>
    <row r="264" spans="1:18">
      <c r="A264" s="54"/>
      <c r="B264" s="54"/>
      <c r="C264" s="54"/>
      <c r="D264" s="59"/>
      <c r="E264" s="59"/>
      <c r="F264" s="54"/>
      <c r="G264" s="54"/>
      <c r="H264" s="54"/>
      <c r="I264" s="54"/>
      <c r="J264" s="54"/>
      <c r="K264" s="54"/>
      <c r="L264" s="54"/>
      <c r="M264" s="54"/>
      <c r="N264" s="54"/>
      <c r="O264" s="54"/>
      <c r="P264" s="54"/>
      <c r="Q264" s="54"/>
      <c r="R264" s="54"/>
    </row>
    <row r="265" spans="1:18">
      <c r="A265" s="54" t="s">
        <v>120</v>
      </c>
      <c r="B265" s="54"/>
      <c r="C265" s="54"/>
      <c r="D265" s="59"/>
      <c r="E265" s="59"/>
      <c r="F265" s="54"/>
      <c r="G265" s="54"/>
      <c r="H265" s="54"/>
      <c r="I265" s="54"/>
      <c r="J265" s="54"/>
      <c r="K265" s="54"/>
      <c r="L265" s="54"/>
      <c r="M265" s="54"/>
      <c r="N265" s="54"/>
      <c r="O265" s="54"/>
      <c r="P265" s="54"/>
      <c r="Q265" s="54"/>
      <c r="R265" s="54"/>
    </row>
    <row r="266" spans="1:18">
      <c r="A266" s="54" t="s">
        <v>56</v>
      </c>
      <c r="B266" s="54"/>
      <c r="C266" s="54"/>
      <c r="D266" s="59"/>
      <c r="E266" s="59"/>
      <c r="F266" s="54"/>
      <c r="G266" s="54"/>
      <c r="H266" s="53">
        <f>SUM(H6,H16,H26,H36,H46,H56,H66,H76,H86,H96,H106,H116,H126,H136,H146,H156,H166)</f>
        <v>5825000</v>
      </c>
      <c r="I266" s="53">
        <f t="shared" ref="I266:K266" si="0">SUM(I6,I16,I26,I36,I46,I56,I66,I76,I86,I96,I106,I116,I126,I136,I146,I156,I166)</f>
        <v>9550000</v>
      </c>
      <c r="J266" s="53">
        <f t="shared" si="0"/>
        <v>950000</v>
      </c>
      <c r="K266" s="53">
        <f t="shared" si="0"/>
        <v>200000</v>
      </c>
      <c r="L266" s="54"/>
      <c r="M266" s="54"/>
      <c r="N266" s="54"/>
      <c r="O266" s="54"/>
      <c r="P266" s="54"/>
      <c r="Q266" s="54"/>
      <c r="R266" s="54"/>
    </row>
    <row r="267" spans="1:18">
      <c r="A267" s="54" t="s">
        <v>61</v>
      </c>
      <c r="B267" s="54"/>
      <c r="C267" s="54"/>
      <c r="D267" s="59"/>
      <c r="E267" s="59"/>
      <c r="F267" s="54"/>
      <c r="G267" s="54"/>
      <c r="H267" s="53">
        <f>SUM(H11,H21,H31,H41,H51,H61,H71,H81,H91,H101,H111,H121,H131,H141,H151,H161,H171,)</f>
        <v>2106709</v>
      </c>
      <c r="I267" s="53">
        <f t="shared" ref="I267:K267" si="1">SUM(I11,I21,I31,I41,I51,I61,I71,I81,I91,I101,I111,I121,I131,I141,I151,I161,I171,)</f>
        <v>1307670</v>
      </c>
      <c r="J267" s="53">
        <f t="shared" si="1"/>
        <v>945710</v>
      </c>
      <c r="K267" s="53">
        <f t="shared" si="1"/>
        <v>890587.5</v>
      </c>
      <c r="L267" s="54"/>
      <c r="M267" s="54"/>
      <c r="N267" s="54"/>
      <c r="O267" s="54"/>
      <c r="P267" s="54"/>
      <c r="Q267" s="54"/>
      <c r="R267" s="54"/>
    </row>
    <row r="268" spans="1:18">
      <c r="A268" s="54"/>
      <c r="B268" s="54"/>
      <c r="C268" s="54"/>
      <c r="D268" s="59"/>
      <c r="E268" s="59"/>
      <c r="F268" s="54"/>
      <c r="G268" s="54"/>
      <c r="H268" s="54"/>
      <c r="I268" s="54"/>
      <c r="J268" s="54"/>
      <c r="K268" s="54"/>
      <c r="L268" s="54"/>
      <c r="M268" s="54"/>
      <c r="N268" s="54"/>
      <c r="O268" s="54"/>
      <c r="P268" s="54"/>
      <c r="Q268" s="54"/>
      <c r="R268" s="54"/>
    </row>
    <row r="269" spans="1:18">
      <c r="A269" s="54"/>
      <c r="B269" s="54"/>
      <c r="C269" s="54"/>
      <c r="D269" s="59"/>
      <c r="E269" s="59"/>
      <c r="F269" s="54"/>
      <c r="G269" s="54"/>
      <c r="H269" s="54"/>
      <c r="I269" s="54"/>
      <c r="J269" s="54"/>
      <c r="K269" s="54"/>
      <c r="L269" s="54"/>
      <c r="M269" s="54"/>
      <c r="N269" s="54"/>
      <c r="O269" s="54"/>
      <c r="P269" s="54"/>
      <c r="Q269" s="54"/>
      <c r="R269" s="54"/>
    </row>
    <row r="270" spans="1:18">
      <c r="A270" s="54"/>
      <c r="B270" s="54"/>
      <c r="C270" s="54"/>
      <c r="D270" s="59"/>
      <c r="E270" s="59"/>
      <c r="F270" s="54"/>
      <c r="G270" s="54"/>
      <c r="H270" s="54"/>
      <c r="I270" s="54"/>
      <c r="J270" s="54"/>
      <c r="K270" s="54"/>
      <c r="L270" s="54"/>
      <c r="M270" s="54"/>
      <c r="N270" s="54"/>
      <c r="O270" s="54"/>
      <c r="P270" s="54"/>
      <c r="Q270" s="54"/>
      <c r="R270" s="54"/>
    </row>
    <row r="271" spans="1:18">
      <c r="A271" s="54"/>
      <c r="B271" s="54"/>
      <c r="C271" s="54"/>
      <c r="D271" s="59"/>
      <c r="E271" s="59"/>
      <c r="F271" s="54"/>
      <c r="G271" s="54"/>
      <c r="H271" s="54"/>
      <c r="I271" s="54"/>
      <c r="J271" s="54"/>
      <c r="K271" s="54"/>
      <c r="L271" s="54"/>
      <c r="M271" s="54"/>
      <c r="N271" s="54"/>
      <c r="O271" s="54"/>
      <c r="P271" s="54"/>
      <c r="Q271" s="54"/>
      <c r="R271" s="54"/>
    </row>
    <row r="272" spans="1:18">
      <c r="A272" s="54"/>
      <c r="B272" s="54"/>
      <c r="C272" s="54"/>
      <c r="D272" s="59"/>
      <c r="E272" s="59"/>
      <c r="F272" s="54"/>
      <c r="G272" s="54"/>
      <c r="H272" s="54"/>
      <c r="I272" s="54"/>
      <c r="J272" s="54"/>
      <c r="K272" s="54"/>
      <c r="L272" s="54"/>
      <c r="M272" s="54"/>
      <c r="N272" s="54"/>
      <c r="O272" s="54"/>
      <c r="P272" s="54"/>
      <c r="Q272" s="54"/>
      <c r="R272" s="54"/>
    </row>
    <row r="273" spans="4:5">
      <c r="D273" s="59"/>
      <c r="E273" s="59"/>
    </row>
  </sheetData>
  <mergeCells count="2">
    <mergeCell ref="H1:L1"/>
    <mergeCell ref="N1:R1"/>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F15"/>
  <sheetViews>
    <sheetView workbookViewId="0">
      <selection activeCell="G44" sqref="G44"/>
    </sheetView>
  </sheetViews>
  <sheetFormatPr defaultRowHeight="15"/>
  <cols>
    <col min="1" max="1" width="19" customWidth="1"/>
    <col min="2" max="4" width="10" bestFit="1" customWidth="1"/>
    <col min="5" max="6" width="11" bestFit="1" customWidth="1"/>
  </cols>
  <sheetData>
    <row r="5" spans="1:6">
      <c r="A5" s="10" t="s">
        <v>35</v>
      </c>
    </row>
    <row r="6" spans="1:6">
      <c r="B6">
        <v>2022</v>
      </c>
      <c r="C6">
        <v>2023</v>
      </c>
      <c r="D6">
        <v>2024</v>
      </c>
      <c r="E6">
        <v>2025</v>
      </c>
      <c r="F6">
        <v>2026</v>
      </c>
    </row>
    <row r="7" spans="1:6">
      <c r="A7" t="s">
        <v>36</v>
      </c>
      <c r="B7">
        <v>5151692.5</v>
      </c>
      <c r="C7">
        <v>8511297.5</v>
      </c>
      <c r="D7">
        <v>8720832.5</v>
      </c>
      <c r="E7">
        <v>9136902.5</v>
      </c>
      <c r="F7">
        <v>9136902.5</v>
      </c>
    </row>
    <row r="8" spans="1:6">
      <c r="A8" t="s">
        <v>37</v>
      </c>
      <c r="B8">
        <v>960340</v>
      </c>
      <c r="C8">
        <v>749840</v>
      </c>
      <c r="D8">
        <v>749840</v>
      </c>
      <c r="E8">
        <v>749840</v>
      </c>
      <c r="F8">
        <v>749840</v>
      </c>
    </row>
    <row r="9" spans="1:6">
      <c r="A9" t="s">
        <v>38</v>
      </c>
      <c r="B9">
        <v>280400</v>
      </c>
      <c r="C9">
        <v>280400</v>
      </c>
      <c r="D9">
        <v>308440</v>
      </c>
      <c r="E9">
        <v>308440</v>
      </c>
      <c r="F9">
        <v>308440</v>
      </c>
    </row>
    <row r="11" spans="1:6">
      <c r="A11" t="s">
        <v>15</v>
      </c>
      <c r="B11">
        <v>6392432.5</v>
      </c>
      <c r="C11">
        <v>9541537.5</v>
      </c>
      <c r="D11">
        <v>9779112.5</v>
      </c>
      <c r="E11">
        <v>10195182.5</v>
      </c>
      <c r="F11">
        <v>10195182.5</v>
      </c>
    </row>
    <row r="15" spans="1:6">
      <c r="A15" t="s">
        <v>39</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L21"/>
  <sheetViews>
    <sheetView workbookViewId="0">
      <selection activeCell="E17" sqref="E17"/>
    </sheetView>
  </sheetViews>
  <sheetFormatPr defaultRowHeight="15"/>
  <cols>
    <col min="2" max="2" width="9.140625" style="54"/>
    <col min="3" max="3" width="32.28515625" customWidth="1"/>
    <col min="8" max="12" width="12.5703125" bestFit="1" customWidth="1"/>
  </cols>
  <sheetData>
    <row r="5" spans="1:12">
      <c r="A5" t="s">
        <v>121</v>
      </c>
      <c r="H5">
        <v>2022</v>
      </c>
      <c r="I5">
        <v>2023</v>
      </c>
      <c r="J5">
        <v>2024</v>
      </c>
      <c r="K5">
        <v>2025</v>
      </c>
      <c r="L5">
        <v>2026</v>
      </c>
    </row>
    <row r="6" spans="1:12" s="54" customFormat="1">
      <c r="D6" s="54" t="s">
        <v>126</v>
      </c>
      <c r="E6" s="54" t="s">
        <v>127</v>
      </c>
      <c r="F6" s="54" t="s">
        <v>128</v>
      </c>
    </row>
    <row r="7" spans="1:12">
      <c r="B7" s="54">
        <v>1.5</v>
      </c>
      <c r="C7" t="s">
        <v>123</v>
      </c>
      <c r="D7">
        <v>130000</v>
      </c>
      <c r="E7" s="84">
        <v>0.69</v>
      </c>
      <c r="F7" s="85">
        <v>2.5000000000000001E-2</v>
      </c>
      <c r="H7" s="55">
        <f>$B7*$D7*(1+$E7)*((1+$F7)^(H$5-$H$5))</f>
        <v>329550</v>
      </c>
      <c r="I7" s="55">
        <f t="shared" ref="I7:L7" si="0">$B7*$D7*(1+$E7)*((1+$F7)^(I$5-$H$5))</f>
        <v>337788.74999999994</v>
      </c>
      <c r="J7" s="55">
        <f t="shared" si="0"/>
        <v>346233.46875</v>
      </c>
      <c r="K7" s="55">
        <f t="shared" si="0"/>
        <v>354889.30546874995</v>
      </c>
      <c r="L7" s="55">
        <f t="shared" si="0"/>
        <v>363761.53810546867</v>
      </c>
    </row>
    <row r="8" spans="1:12">
      <c r="B8" s="54">
        <v>3</v>
      </c>
      <c r="C8" t="s">
        <v>131</v>
      </c>
      <c r="D8">
        <v>110000</v>
      </c>
      <c r="E8" s="84">
        <v>0.69</v>
      </c>
      <c r="F8" s="85">
        <v>2.5000000000000001E-2</v>
      </c>
      <c r="H8" s="55">
        <f t="shared" ref="H8:L10" si="1">$B8*$D8*(1+$E8)*((1+$F8)^(H$5-$H$5))</f>
        <v>557700</v>
      </c>
      <c r="I8" s="55">
        <f t="shared" si="1"/>
        <v>571642.5</v>
      </c>
      <c r="J8" s="55">
        <f t="shared" si="1"/>
        <v>585933.5625</v>
      </c>
      <c r="K8" s="55">
        <f t="shared" si="1"/>
        <v>600581.90156249993</v>
      </c>
      <c r="L8" s="55">
        <f t="shared" si="1"/>
        <v>615596.44910156238</v>
      </c>
    </row>
    <row r="9" spans="1:12">
      <c r="B9" s="54">
        <v>1</v>
      </c>
      <c r="C9" t="s">
        <v>124</v>
      </c>
      <c r="D9">
        <v>100000</v>
      </c>
      <c r="E9" s="84">
        <v>0.69</v>
      </c>
      <c r="F9" s="85">
        <v>2.5000000000000001E-2</v>
      </c>
      <c r="H9" s="55">
        <f t="shared" si="1"/>
        <v>169000</v>
      </c>
      <c r="I9" s="55">
        <f t="shared" si="1"/>
        <v>173224.99999999997</v>
      </c>
      <c r="J9" s="55">
        <f t="shared" si="1"/>
        <v>177555.625</v>
      </c>
      <c r="K9" s="55">
        <f t="shared" si="1"/>
        <v>181994.51562499997</v>
      </c>
      <c r="L9" s="55">
        <f t="shared" si="1"/>
        <v>186544.37851562497</v>
      </c>
    </row>
    <row r="10" spans="1:12">
      <c r="B10" s="54">
        <v>2</v>
      </c>
      <c r="C10" t="s">
        <v>130</v>
      </c>
      <c r="D10">
        <v>120000</v>
      </c>
      <c r="E10" s="84">
        <v>0.69</v>
      </c>
      <c r="F10" s="85">
        <v>2.5000000000000001E-2</v>
      </c>
      <c r="H10" s="55">
        <f t="shared" si="1"/>
        <v>405600</v>
      </c>
      <c r="I10" s="55">
        <f t="shared" si="1"/>
        <v>415739.99999999994</v>
      </c>
      <c r="J10" s="55">
        <f t="shared" si="1"/>
        <v>426133.49999999994</v>
      </c>
      <c r="K10" s="55">
        <f t="shared" si="1"/>
        <v>436786.83749999997</v>
      </c>
      <c r="L10" s="55">
        <f t="shared" si="1"/>
        <v>447706.50843749993</v>
      </c>
    </row>
    <row r="11" spans="1:12">
      <c r="H11" s="55"/>
      <c r="I11" s="55"/>
      <c r="J11" s="55"/>
      <c r="K11" s="55"/>
      <c r="L11" s="55"/>
    </row>
    <row r="12" spans="1:12">
      <c r="H12" s="55"/>
      <c r="I12" s="55"/>
      <c r="J12" s="55"/>
      <c r="K12" s="55"/>
      <c r="L12" s="55"/>
    </row>
    <row r="13" spans="1:12">
      <c r="H13" s="55"/>
      <c r="I13" s="55"/>
      <c r="J13" s="55"/>
      <c r="K13" s="55"/>
      <c r="L13" s="55"/>
    </row>
    <row r="14" spans="1:12">
      <c r="A14" t="s">
        <v>122</v>
      </c>
      <c r="H14" s="55"/>
      <c r="I14" s="55"/>
      <c r="J14" s="55"/>
      <c r="K14" s="55"/>
      <c r="L14" s="55"/>
    </row>
    <row r="15" spans="1:12">
      <c r="C15" t="s">
        <v>125</v>
      </c>
      <c r="H15" s="55">
        <v>200000</v>
      </c>
      <c r="I15" s="55">
        <v>200000</v>
      </c>
      <c r="J15" s="55">
        <v>200000</v>
      </c>
      <c r="K15" s="55">
        <v>200000</v>
      </c>
      <c r="L15" s="55">
        <v>200000</v>
      </c>
    </row>
    <row r="16" spans="1:12">
      <c r="C16" t="s">
        <v>129</v>
      </c>
      <c r="H16" s="55">
        <v>100000</v>
      </c>
      <c r="I16" s="55">
        <v>100000</v>
      </c>
      <c r="J16" s="55">
        <v>100000</v>
      </c>
      <c r="K16" s="55">
        <v>100000</v>
      </c>
      <c r="L16" s="55">
        <v>100000</v>
      </c>
    </row>
    <row r="21" spans="1:12">
      <c r="A21" t="s">
        <v>15</v>
      </c>
      <c r="H21" s="53">
        <f>SUM(H7:H20)</f>
        <v>1761850</v>
      </c>
      <c r="I21" s="53">
        <f t="shared" ref="I21:L21" si="2">SUM(I7:I20)</f>
        <v>1798396.25</v>
      </c>
      <c r="J21" s="53">
        <f t="shared" si="2"/>
        <v>1835856.15625</v>
      </c>
      <c r="K21" s="53">
        <f t="shared" si="2"/>
        <v>1874252.5601562497</v>
      </c>
      <c r="L21" s="53">
        <f t="shared" si="2"/>
        <v>1913608.8741601559</v>
      </c>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9"/>
  <sheetViews>
    <sheetView zoomScaleNormal="100" workbookViewId="0">
      <pane ySplit="2" topLeftCell="A3" activePane="bottomLeft" state="frozen"/>
      <selection activeCell="B28" sqref="B28"/>
      <selection pane="bottomLeft" activeCell="B28" sqref="B28"/>
    </sheetView>
  </sheetViews>
  <sheetFormatPr defaultColWidth="8.7109375" defaultRowHeight="12.75" outlineLevelRow="1"/>
  <cols>
    <col min="1" max="1" width="45.28515625" style="302" bestFit="1" customWidth="1"/>
    <col min="2" max="2" width="19.28515625" style="302" customWidth="1"/>
    <col min="3" max="3" width="13.5703125" style="302" bestFit="1" customWidth="1"/>
    <col min="4" max="4" width="12.42578125" style="302" bestFit="1" customWidth="1"/>
    <col min="5" max="6" width="12.5703125" style="302" bestFit="1" customWidth="1"/>
    <col min="7" max="7" width="12.42578125" style="302" bestFit="1" customWidth="1"/>
    <col min="8" max="8" width="13.28515625" style="308" customWidth="1"/>
    <col min="9" max="9" width="13.5703125" style="302" bestFit="1" customWidth="1"/>
    <col min="10" max="12" width="12.5703125" style="302" bestFit="1" customWidth="1"/>
    <col min="13" max="13" width="14.140625" style="302" customWidth="1"/>
    <col min="14" max="14" width="8.7109375" style="302"/>
    <col min="15" max="15" width="13.7109375" style="302" bestFit="1" customWidth="1"/>
    <col min="16" max="16384" width="8.7109375" style="302"/>
  </cols>
  <sheetData>
    <row r="1" spans="1:15" s="349" customFormat="1">
      <c r="B1" s="342"/>
      <c r="C1" s="768" t="s">
        <v>40</v>
      </c>
      <c r="D1" s="768"/>
      <c r="E1" s="768"/>
      <c r="F1" s="768"/>
      <c r="G1" s="768"/>
      <c r="H1" s="320"/>
      <c r="I1" s="768" t="s">
        <v>41</v>
      </c>
      <c r="J1" s="768"/>
      <c r="K1" s="768"/>
      <c r="L1" s="768"/>
      <c r="M1" s="769"/>
    </row>
    <row r="2" spans="1:15" ht="25.5">
      <c r="A2" s="303" t="s">
        <v>42</v>
      </c>
      <c r="B2" s="341" t="s">
        <v>43</v>
      </c>
      <c r="C2" s="320">
        <v>2022</v>
      </c>
      <c r="D2" s="320">
        <v>2023</v>
      </c>
      <c r="E2" s="320">
        <v>2024</v>
      </c>
      <c r="F2" s="320">
        <v>2025</v>
      </c>
      <c r="G2" s="311" t="s">
        <v>15</v>
      </c>
      <c r="H2" s="321" t="s">
        <v>49</v>
      </c>
      <c r="I2" s="320">
        <v>2022</v>
      </c>
      <c r="J2" s="320">
        <v>2023</v>
      </c>
      <c r="K2" s="320">
        <v>2024</v>
      </c>
      <c r="L2" s="320">
        <v>2025</v>
      </c>
      <c r="M2" s="348" t="s">
        <v>15</v>
      </c>
    </row>
    <row r="3" spans="1:15">
      <c r="A3" s="303"/>
      <c r="B3" s="341"/>
      <c r="C3" s="320"/>
      <c r="D3" s="320"/>
      <c r="E3" s="320"/>
      <c r="F3" s="320"/>
      <c r="G3" s="311"/>
      <c r="H3" s="321"/>
      <c r="I3" s="320"/>
      <c r="J3" s="320"/>
      <c r="K3" s="320"/>
      <c r="L3" s="320"/>
      <c r="M3" s="343"/>
    </row>
    <row r="4" spans="1:15">
      <c r="A4" s="305" t="s">
        <v>50</v>
      </c>
      <c r="B4" s="341"/>
      <c r="C4" s="320"/>
      <c r="D4" s="320"/>
      <c r="E4" s="320"/>
      <c r="F4" s="320"/>
      <c r="G4" s="311"/>
      <c r="H4" s="321"/>
      <c r="I4" s="320"/>
      <c r="J4" s="320"/>
      <c r="K4" s="320"/>
      <c r="L4" s="320"/>
      <c r="M4" s="343"/>
    </row>
    <row r="5" spans="1:15">
      <c r="A5" s="304" t="s">
        <v>51</v>
      </c>
      <c r="B5" s="342" t="s">
        <v>52</v>
      </c>
      <c r="C5" s="322">
        <v>782500</v>
      </c>
      <c r="D5" s="322">
        <v>382500</v>
      </c>
      <c r="E5" s="322">
        <v>382500</v>
      </c>
      <c r="F5" s="322">
        <v>382500</v>
      </c>
      <c r="G5" s="323">
        <v>1930000</v>
      </c>
      <c r="H5" s="324">
        <v>1</v>
      </c>
      <c r="I5" s="325">
        <v>782500</v>
      </c>
      <c r="J5" s="325">
        <v>382500</v>
      </c>
      <c r="K5" s="325">
        <v>382500</v>
      </c>
      <c r="L5" s="325">
        <v>382500</v>
      </c>
      <c r="M5" s="344">
        <v>1930000</v>
      </c>
      <c r="O5" s="306"/>
    </row>
    <row r="6" spans="1:15" outlineLevel="1">
      <c r="A6" s="307" t="s">
        <v>56</v>
      </c>
      <c r="B6" s="342" t="s">
        <v>52</v>
      </c>
      <c r="C6" s="322">
        <v>0</v>
      </c>
      <c r="D6" s="322">
        <v>0</v>
      </c>
      <c r="E6" s="322">
        <v>0</v>
      </c>
      <c r="F6" s="322">
        <v>0</v>
      </c>
      <c r="G6" s="323">
        <v>0</v>
      </c>
      <c r="H6" s="314"/>
      <c r="I6" s="325">
        <v>0</v>
      </c>
      <c r="J6" s="325">
        <v>0</v>
      </c>
      <c r="K6" s="325">
        <v>0</v>
      </c>
      <c r="L6" s="325">
        <v>0</v>
      </c>
      <c r="M6" s="344"/>
    </row>
    <row r="7" spans="1:15" outlineLevel="1">
      <c r="A7" s="309" t="s">
        <v>57</v>
      </c>
      <c r="B7" s="342" t="s">
        <v>52</v>
      </c>
      <c r="C7" s="327"/>
      <c r="D7" s="325"/>
      <c r="E7" s="325"/>
      <c r="F7" s="312"/>
      <c r="G7" s="326">
        <v>0</v>
      </c>
      <c r="H7" s="314"/>
      <c r="I7" s="325"/>
      <c r="J7" s="325"/>
      <c r="K7" s="325"/>
      <c r="L7" s="312"/>
      <c r="M7" s="344"/>
    </row>
    <row r="8" spans="1:15" outlineLevel="1">
      <c r="A8" s="309" t="s">
        <v>58</v>
      </c>
      <c r="B8" s="342" t="s">
        <v>52</v>
      </c>
      <c r="C8" s="327"/>
      <c r="D8" s="327"/>
      <c r="E8" s="327"/>
      <c r="F8" s="327"/>
      <c r="G8" s="326">
        <v>0</v>
      </c>
      <c r="H8" s="314"/>
      <c r="I8" s="325"/>
      <c r="J8" s="325"/>
      <c r="K8" s="325"/>
      <c r="L8" s="312"/>
      <c r="M8" s="344"/>
    </row>
    <row r="9" spans="1:15" outlineLevel="1">
      <c r="A9" s="309" t="s">
        <v>59</v>
      </c>
      <c r="B9" s="342" t="s">
        <v>52</v>
      </c>
      <c r="C9" s="327"/>
      <c r="D9" s="327"/>
      <c r="E9" s="327"/>
      <c r="F9" s="327"/>
      <c r="G9" s="326">
        <v>0</v>
      </c>
      <c r="H9" s="314"/>
      <c r="I9" s="325"/>
      <c r="J9" s="325"/>
      <c r="K9" s="325"/>
      <c r="L9" s="312"/>
      <c r="M9" s="344"/>
    </row>
    <row r="10" spans="1:15" outlineLevel="1">
      <c r="A10" s="309" t="s">
        <v>60</v>
      </c>
      <c r="B10" s="342" t="s">
        <v>52</v>
      </c>
      <c r="C10" s="327"/>
      <c r="D10" s="327"/>
      <c r="E10" s="327"/>
      <c r="F10" s="327"/>
      <c r="G10" s="326">
        <v>0</v>
      </c>
      <c r="H10" s="314"/>
      <c r="I10" s="325"/>
      <c r="J10" s="325"/>
      <c r="K10" s="325"/>
      <c r="L10" s="312"/>
      <c r="M10" s="344"/>
    </row>
    <row r="11" spans="1:15" outlineLevel="1">
      <c r="A11" s="307" t="s">
        <v>61</v>
      </c>
      <c r="B11" s="342" t="s">
        <v>52</v>
      </c>
      <c r="C11" s="322">
        <v>782500</v>
      </c>
      <c r="D11" s="322">
        <v>382500</v>
      </c>
      <c r="E11" s="322">
        <v>382500</v>
      </c>
      <c r="F11" s="322">
        <v>382500</v>
      </c>
      <c r="G11" s="323">
        <v>1930000</v>
      </c>
      <c r="H11" s="314"/>
      <c r="I11" s="325">
        <v>782500</v>
      </c>
      <c r="J11" s="325">
        <v>382500</v>
      </c>
      <c r="K11" s="325">
        <v>382500</v>
      </c>
      <c r="L11" s="325">
        <v>382500</v>
      </c>
      <c r="M11" s="344">
        <v>1930000</v>
      </c>
    </row>
    <row r="12" spans="1:15" outlineLevel="1">
      <c r="A12" s="309" t="s">
        <v>57</v>
      </c>
      <c r="B12" s="342" t="s">
        <v>52</v>
      </c>
      <c r="C12" s="328">
        <v>382500</v>
      </c>
      <c r="D12" s="328">
        <v>382500</v>
      </c>
      <c r="E12" s="328">
        <v>382500</v>
      </c>
      <c r="F12" s="328">
        <v>382500</v>
      </c>
      <c r="G12" s="326">
        <v>1530000</v>
      </c>
      <c r="H12" s="314"/>
      <c r="I12" s="325"/>
      <c r="J12" s="325"/>
      <c r="K12" s="325"/>
      <c r="L12" s="312"/>
      <c r="M12" s="344"/>
    </row>
    <row r="13" spans="1:15" outlineLevel="1">
      <c r="A13" s="309" t="s">
        <v>58</v>
      </c>
      <c r="B13" s="342" t="s">
        <v>52</v>
      </c>
      <c r="C13" s="327">
        <v>400000</v>
      </c>
      <c r="D13" s="327"/>
      <c r="E13" s="327"/>
      <c r="F13" s="327"/>
      <c r="G13" s="326">
        <v>400000</v>
      </c>
      <c r="H13" s="314"/>
      <c r="I13" s="325"/>
      <c r="J13" s="325"/>
      <c r="K13" s="325"/>
      <c r="L13" s="312"/>
      <c r="M13" s="344"/>
    </row>
    <row r="14" spans="1:15" outlineLevel="1">
      <c r="A14" s="309" t="s">
        <v>60</v>
      </c>
      <c r="B14" s="342" t="s">
        <v>52</v>
      </c>
      <c r="C14" s="327"/>
      <c r="D14" s="327"/>
      <c r="E14" s="327"/>
      <c r="F14" s="327"/>
      <c r="G14" s="326">
        <v>0</v>
      </c>
      <c r="H14" s="314"/>
      <c r="I14" s="325"/>
      <c r="J14" s="325"/>
      <c r="K14" s="325"/>
      <c r="L14" s="312"/>
      <c r="M14" s="344"/>
    </row>
    <row r="15" spans="1:15">
      <c r="A15" s="304" t="s">
        <v>62</v>
      </c>
      <c r="B15" s="342" t="s">
        <v>52</v>
      </c>
      <c r="C15" s="322">
        <v>0</v>
      </c>
      <c r="D15" s="322">
        <v>0</v>
      </c>
      <c r="E15" s="322">
        <v>0</v>
      </c>
      <c r="F15" s="322">
        <v>200000</v>
      </c>
      <c r="G15" s="323">
        <v>200000</v>
      </c>
      <c r="H15" s="324">
        <v>1</v>
      </c>
      <c r="I15" s="325">
        <v>0</v>
      </c>
      <c r="J15" s="325">
        <v>0</v>
      </c>
      <c r="K15" s="325">
        <v>0</v>
      </c>
      <c r="L15" s="325">
        <v>200000</v>
      </c>
      <c r="M15" s="344">
        <v>200000</v>
      </c>
    </row>
    <row r="16" spans="1:15" outlineLevel="1">
      <c r="A16" s="307" t="s">
        <v>56</v>
      </c>
      <c r="B16" s="342" t="s">
        <v>52</v>
      </c>
      <c r="C16" s="322">
        <v>0</v>
      </c>
      <c r="D16" s="322">
        <v>0</v>
      </c>
      <c r="E16" s="322">
        <v>0</v>
      </c>
      <c r="F16" s="322">
        <v>0</v>
      </c>
      <c r="G16" s="323">
        <v>0</v>
      </c>
      <c r="H16" s="314"/>
      <c r="I16" s="325">
        <v>0</v>
      </c>
      <c r="J16" s="325">
        <v>0</v>
      </c>
      <c r="K16" s="325">
        <v>0</v>
      </c>
      <c r="L16" s="325">
        <v>0</v>
      </c>
      <c r="M16" s="344">
        <v>0</v>
      </c>
    </row>
    <row r="17" spans="1:13" outlineLevel="1">
      <c r="A17" s="309" t="s">
        <v>57</v>
      </c>
      <c r="B17" s="342" t="s">
        <v>52</v>
      </c>
      <c r="C17" s="325"/>
      <c r="D17" s="325"/>
      <c r="E17" s="325"/>
      <c r="F17" s="312"/>
      <c r="G17" s="326">
        <v>0</v>
      </c>
      <c r="H17" s="314"/>
      <c r="I17" s="325"/>
      <c r="J17" s="325"/>
      <c r="K17" s="325"/>
      <c r="L17" s="312"/>
      <c r="M17" s="344"/>
    </row>
    <row r="18" spans="1:13" outlineLevel="1">
      <c r="A18" s="309" t="s">
        <v>58</v>
      </c>
      <c r="B18" s="342" t="s">
        <v>52</v>
      </c>
      <c r="C18" s="327"/>
      <c r="D18" s="327"/>
      <c r="E18" s="327"/>
      <c r="F18" s="327"/>
      <c r="G18" s="326">
        <v>0</v>
      </c>
      <c r="H18" s="314"/>
      <c r="I18" s="325"/>
      <c r="J18" s="325"/>
      <c r="K18" s="325"/>
      <c r="L18" s="312"/>
      <c r="M18" s="344"/>
    </row>
    <row r="19" spans="1:13" outlineLevel="1">
      <c r="A19" s="309" t="s">
        <v>59</v>
      </c>
      <c r="B19" s="342" t="s">
        <v>52</v>
      </c>
      <c r="C19" s="327"/>
      <c r="D19" s="327"/>
      <c r="E19" s="327"/>
      <c r="F19" s="327"/>
      <c r="G19" s="326">
        <v>0</v>
      </c>
      <c r="H19" s="314"/>
      <c r="I19" s="325"/>
      <c r="J19" s="325"/>
      <c r="K19" s="325"/>
      <c r="L19" s="312"/>
      <c r="M19" s="344"/>
    </row>
    <row r="20" spans="1:13" outlineLevel="1">
      <c r="A20" s="309" t="s">
        <v>60</v>
      </c>
      <c r="B20" s="342" t="s">
        <v>52</v>
      </c>
      <c r="C20" s="327"/>
      <c r="D20" s="327"/>
      <c r="E20" s="327"/>
      <c r="F20" s="327"/>
      <c r="G20" s="326">
        <v>0</v>
      </c>
      <c r="H20" s="314"/>
      <c r="I20" s="325"/>
      <c r="J20" s="325"/>
      <c r="K20" s="325"/>
      <c r="L20" s="312"/>
      <c r="M20" s="344"/>
    </row>
    <row r="21" spans="1:13" outlineLevel="1">
      <c r="A21" s="307" t="s">
        <v>61</v>
      </c>
      <c r="B21" s="342" t="s">
        <v>52</v>
      </c>
      <c r="C21" s="322">
        <v>0</v>
      </c>
      <c r="D21" s="322">
        <v>0</v>
      </c>
      <c r="E21" s="322">
        <v>0</v>
      </c>
      <c r="F21" s="322">
        <v>200000</v>
      </c>
      <c r="G21" s="323">
        <v>200000</v>
      </c>
      <c r="H21" s="314"/>
      <c r="I21" s="325">
        <v>0</v>
      </c>
      <c r="J21" s="325">
        <v>0</v>
      </c>
      <c r="K21" s="325">
        <v>0</v>
      </c>
      <c r="L21" s="325">
        <v>200000</v>
      </c>
      <c r="M21" s="344">
        <v>200000</v>
      </c>
    </row>
    <row r="22" spans="1:13" outlineLevel="1">
      <c r="A22" s="309" t="s">
        <v>57</v>
      </c>
      <c r="B22" s="342" t="s">
        <v>52</v>
      </c>
      <c r="C22" s="328">
        <v>0</v>
      </c>
      <c r="D22" s="328">
        <v>0</v>
      </c>
      <c r="E22" s="328">
        <v>0</v>
      </c>
      <c r="F22" s="328">
        <v>0</v>
      </c>
      <c r="G22" s="326">
        <v>0</v>
      </c>
      <c r="H22" s="314"/>
      <c r="I22" s="325"/>
      <c r="J22" s="325"/>
      <c r="K22" s="325"/>
      <c r="L22" s="312"/>
      <c r="M22" s="344"/>
    </row>
    <row r="23" spans="1:13" outlineLevel="1">
      <c r="A23" s="309" t="s">
        <v>58</v>
      </c>
      <c r="B23" s="342" t="s">
        <v>52</v>
      </c>
      <c r="C23" s="327"/>
      <c r="D23" s="327"/>
      <c r="E23" s="327"/>
      <c r="F23" s="327"/>
      <c r="G23" s="326">
        <v>0</v>
      </c>
      <c r="H23" s="314"/>
      <c r="I23" s="325"/>
      <c r="J23" s="325"/>
      <c r="K23" s="325"/>
      <c r="L23" s="312"/>
      <c r="M23" s="344"/>
    </row>
    <row r="24" spans="1:13" outlineLevel="1">
      <c r="A24" s="309" t="s">
        <v>60</v>
      </c>
      <c r="B24" s="342" t="s">
        <v>52</v>
      </c>
      <c r="C24" s="327"/>
      <c r="D24" s="327"/>
      <c r="E24" s="327"/>
      <c r="F24" s="327">
        <v>200000</v>
      </c>
      <c r="G24" s="326">
        <v>200000</v>
      </c>
      <c r="H24" s="314"/>
      <c r="I24" s="325"/>
      <c r="J24" s="325"/>
      <c r="K24" s="325"/>
      <c r="L24" s="312"/>
      <c r="M24" s="344"/>
    </row>
    <row r="25" spans="1:13">
      <c r="A25" s="304" t="s">
        <v>65</v>
      </c>
      <c r="B25" s="342" t="s">
        <v>66</v>
      </c>
      <c r="C25" s="322">
        <v>0</v>
      </c>
      <c r="D25" s="322">
        <v>0</v>
      </c>
      <c r="E25" s="322">
        <v>0</v>
      </c>
      <c r="F25" s="322">
        <v>0</v>
      </c>
      <c r="G25" s="323">
        <v>0</v>
      </c>
      <c r="H25" s="324">
        <v>1</v>
      </c>
      <c r="I25" s="325">
        <v>0</v>
      </c>
      <c r="J25" s="325">
        <v>0</v>
      </c>
      <c r="K25" s="325">
        <v>0</v>
      </c>
      <c r="L25" s="325">
        <v>0</v>
      </c>
      <c r="M25" s="344">
        <v>0</v>
      </c>
    </row>
    <row r="26" spans="1:13" outlineLevel="1">
      <c r="A26" s="307" t="s">
        <v>56</v>
      </c>
      <c r="B26" s="342" t="s">
        <v>66</v>
      </c>
      <c r="C26" s="322">
        <v>0</v>
      </c>
      <c r="D26" s="322">
        <v>0</v>
      </c>
      <c r="E26" s="322">
        <v>0</v>
      </c>
      <c r="F26" s="322">
        <v>0</v>
      </c>
      <c r="G26" s="323">
        <v>0</v>
      </c>
      <c r="H26" s="314"/>
      <c r="I26" s="325">
        <v>0</v>
      </c>
      <c r="J26" s="325">
        <v>0</v>
      </c>
      <c r="K26" s="325">
        <v>0</v>
      </c>
      <c r="L26" s="325">
        <v>0</v>
      </c>
      <c r="M26" s="344">
        <v>0</v>
      </c>
    </row>
    <row r="27" spans="1:13" outlineLevel="1">
      <c r="A27" s="309" t="s">
        <v>57</v>
      </c>
      <c r="B27" s="342" t="s">
        <v>66</v>
      </c>
      <c r="C27" s="327"/>
      <c r="D27" s="327"/>
      <c r="E27" s="327"/>
      <c r="F27" s="327"/>
      <c r="G27" s="326">
        <v>0</v>
      </c>
      <c r="H27" s="314"/>
      <c r="I27" s="325"/>
      <c r="J27" s="325"/>
      <c r="K27" s="325"/>
      <c r="L27" s="312"/>
      <c r="M27" s="344"/>
    </row>
    <row r="28" spans="1:13" outlineLevel="1">
      <c r="A28" s="309" t="s">
        <v>58</v>
      </c>
      <c r="B28" s="342" t="s">
        <v>66</v>
      </c>
      <c r="C28" s="327"/>
      <c r="D28" s="327"/>
      <c r="E28" s="327"/>
      <c r="F28" s="327"/>
      <c r="G28" s="326">
        <v>0</v>
      </c>
      <c r="H28" s="314"/>
      <c r="I28" s="325"/>
      <c r="J28" s="325"/>
      <c r="K28" s="325"/>
      <c r="L28" s="312"/>
      <c r="M28" s="344"/>
    </row>
    <row r="29" spans="1:13" outlineLevel="1">
      <c r="A29" s="309" t="s">
        <v>59</v>
      </c>
      <c r="B29" s="342" t="s">
        <v>66</v>
      </c>
      <c r="C29" s="327"/>
      <c r="D29" s="327"/>
      <c r="E29" s="327"/>
      <c r="F29" s="327"/>
      <c r="G29" s="326">
        <v>0</v>
      </c>
      <c r="H29" s="314"/>
      <c r="I29" s="325"/>
      <c r="J29" s="325"/>
      <c r="K29" s="325"/>
      <c r="L29" s="312"/>
      <c r="M29" s="344"/>
    </row>
    <row r="30" spans="1:13" outlineLevel="1">
      <c r="A30" s="309" t="s">
        <v>60</v>
      </c>
      <c r="B30" s="342" t="s">
        <v>66</v>
      </c>
      <c r="C30" s="327"/>
      <c r="D30" s="327"/>
      <c r="E30" s="327"/>
      <c r="F30" s="327"/>
      <c r="G30" s="326">
        <v>0</v>
      </c>
      <c r="H30" s="314"/>
      <c r="I30" s="325"/>
      <c r="J30" s="325"/>
      <c r="K30" s="325"/>
      <c r="L30" s="312"/>
      <c r="M30" s="344"/>
    </row>
    <row r="31" spans="1:13" outlineLevel="1">
      <c r="A31" s="307" t="s">
        <v>61</v>
      </c>
      <c r="B31" s="342" t="s">
        <v>66</v>
      </c>
      <c r="C31" s="322">
        <v>0</v>
      </c>
      <c r="D31" s="322">
        <v>0</v>
      </c>
      <c r="E31" s="322">
        <v>0</v>
      </c>
      <c r="F31" s="322">
        <v>0</v>
      </c>
      <c r="G31" s="323">
        <v>0</v>
      </c>
      <c r="H31" s="314"/>
      <c r="I31" s="325">
        <v>0</v>
      </c>
      <c r="J31" s="325">
        <v>0</v>
      </c>
      <c r="K31" s="325">
        <v>0</v>
      </c>
      <c r="L31" s="325">
        <v>0</v>
      </c>
      <c r="M31" s="344">
        <v>0</v>
      </c>
    </row>
    <row r="32" spans="1:13" outlineLevel="1">
      <c r="A32" s="309" t="s">
        <v>57</v>
      </c>
      <c r="B32" s="342" t="s">
        <v>66</v>
      </c>
      <c r="C32" s="328">
        <v>0</v>
      </c>
      <c r="D32" s="328">
        <v>0</v>
      </c>
      <c r="E32" s="328">
        <v>0</v>
      </c>
      <c r="F32" s="328">
        <v>0</v>
      </c>
      <c r="G32" s="326">
        <v>0</v>
      </c>
      <c r="H32" s="314"/>
      <c r="I32" s="325"/>
      <c r="J32" s="325"/>
      <c r="K32" s="325"/>
      <c r="L32" s="312"/>
      <c r="M32" s="344"/>
    </row>
    <row r="33" spans="1:13" outlineLevel="1">
      <c r="A33" s="309" t="s">
        <v>58</v>
      </c>
      <c r="B33" s="342" t="s">
        <v>66</v>
      </c>
      <c r="C33" s="327"/>
      <c r="D33" s="327"/>
      <c r="E33" s="327"/>
      <c r="F33" s="327"/>
      <c r="G33" s="326">
        <v>0</v>
      </c>
      <c r="H33" s="314"/>
      <c r="I33" s="325"/>
      <c r="J33" s="325"/>
      <c r="K33" s="325"/>
      <c r="L33" s="312"/>
      <c r="M33" s="344"/>
    </row>
    <row r="34" spans="1:13" outlineLevel="1">
      <c r="A34" s="309" t="s">
        <v>60</v>
      </c>
      <c r="B34" s="342" t="s">
        <v>66</v>
      </c>
      <c r="C34" s="327"/>
      <c r="D34" s="327"/>
      <c r="E34" s="327"/>
      <c r="F34" s="327"/>
      <c r="G34" s="326">
        <v>0</v>
      </c>
      <c r="H34" s="314"/>
      <c r="I34" s="325"/>
      <c r="J34" s="325"/>
      <c r="K34" s="325"/>
      <c r="L34" s="312"/>
      <c r="M34" s="344"/>
    </row>
    <row r="35" spans="1:13">
      <c r="A35" s="304" t="s">
        <v>68</v>
      </c>
      <c r="B35" s="342" t="s">
        <v>69</v>
      </c>
      <c r="C35" s="322">
        <v>162010</v>
      </c>
      <c r="D35" s="322">
        <v>162010</v>
      </c>
      <c r="E35" s="322">
        <v>162010</v>
      </c>
      <c r="F35" s="322">
        <v>162010</v>
      </c>
      <c r="G35" s="323">
        <v>648040</v>
      </c>
      <c r="H35" s="324">
        <v>1</v>
      </c>
      <c r="I35" s="325">
        <v>162010</v>
      </c>
      <c r="J35" s="325">
        <v>162010</v>
      </c>
      <c r="K35" s="325">
        <v>162010</v>
      </c>
      <c r="L35" s="325">
        <v>162010</v>
      </c>
      <c r="M35" s="344">
        <v>648040</v>
      </c>
    </row>
    <row r="36" spans="1:13" outlineLevel="1">
      <c r="A36" s="307" t="s">
        <v>56</v>
      </c>
      <c r="B36" s="342" t="s">
        <v>69</v>
      </c>
      <c r="C36" s="322">
        <v>0</v>
      </c>
      <c r="D36" s="322">
        <v>0</v>
      </c>
      <c r="E36" s="322">
        <v>0</v>
      </c>
      <c r="F36" s="322">
        <v>0</v>
      </c>
      <c r="G36" s="323">
        <v>0</v>
      </c>
      <c r="H36" s="314"/>
      <c r="I36" s="325">
        <v>0</v>
      </c>
      <c r="J36" s="325">
        <v>0</v>
      </c>
      <c r="K36" s="325">
        <v>0</v>
      </c>
      <c r="L36" s="325">
        <v>0</v>
      </c>
      <c r="M36" s="344">
        <v>0</v>
      </c>
    </row>
    <row r="37" spans="1:13" outlineLevel="1">
      <c r="A37" s="309" t="s">
        <v>57</v>
      </c>
      <c r="B37" s="342" t="s">
        <v>69</v>
      </c>
      <c r="C37" s="327"/>
      <c r="D37" s="327"/>
      <c r="E37" s="327"/>
      <c r="F37" s="327"/>
      <c r="G37" s="326">
        <v>0</v>
      </c>
      <c r="H37" s="314"/>
      <c r="I37" s="325"/>
      <c r="J37" s="325"/>
      <c r="K37" s="325"/>
      <c r="L37" s="312"/>
      <c r="M37" s="344"/>
    </row>
    <row r="38" spans="1:13" outlineLevel="1">
      <c r="A38" s="309" t="s">
        <v>58</v>
      </c>
      <c r="B38" s="342" t="s">
        <v>69</v>
      </c>
      <c r="C38" s="327"/>
      <c r="D38" s="327"/>
      <c r="E38" s="327"/>
      <c r="F38" s="327"/>
      <c r="G38" s="326">
        <v>0</v>
      </c>
      <c r="H38" s="314"/>
      <c r="I38" s="325"/>
      <c r="J38" s="325"/>
      <c r="K38" s="325"/>
      <c r="L38" s="312"/>
      <c r="M38" s="344"/>
    </row>
    <row r="39" spans="1:13" outlineLevel="1">
      <c r="A39" s="309" t="s">
        <v>59</v>
      </c>
      <c r="B39" s="342" t="s">
        <v>69</v>
      </c>
      <c r="C39" s="327"/>
      <c r="D39" s="327"/>
      <c r="E39" s="327"/>
      <c r="F39" s="327"/>
      <c r="G39" s="326">
        <v>0</v>
      </c>
      <c r="H39" s="314"/>
      <c r="I39" s="325"/>
      <c r="J39" s="325"/>
      <c r="K39" s="325"/>
      <c r="L39" s="312"/>
      <c r="M39" s="344"/>
    </row>
    <row r="40" spans="1:13" outlineLevel="1">
      <c r="A40" s="309" t="s">
        <v>60</v>
      </c>
      <c r="B40" s="342" t="s">
        <v>69</v>
      </c>
      <c r="C40" s="327"/>
      <c r="D40" s="327"/>
      <c r="E40" s="327"/>
      <c r="F40" s="327"/>
      <c r="G40" s="326">
        <v>0</v>
      </c>
      <c r="H40" s="314"/>
      <c r="I40" s="325"/>
      <c r="J40" s="325"/>
      <c r="K40" s="325"/>
      <c r="L40" s="312"/>
      <c r="M40" s="344"/>
    </row>
    <row r="41" spans="1:13" outlineLevel="1">
      <c r="A41" s="307" t="s">
        <v>61</v>
      </c>
      <c r="B41" s="342" t="s">
        <v>69</v>
      </c>
      <c r="C41" s="322">
        <v>162010</v>
      </c>
      <c r="D41" s="322">
        <v>162010</v>
      </c>
      <c r="E41" s="322">
        <v>162010</v>
      </c>
      <c r="F41" s="322">
        <v>162010</v>
      </c>
      <c r="G41" s="323">
        <v>648040</v>
      </c>
      <c r="H41" s="314"/>
      <c r="I41" s="325">
        <v>162010</v>
      </c>
      <c r="J41" s="325">
        <v>162010</v>
      </c>
      <c r="K41" s="325">
        <v>162010</v>
      </c>
      <c r="L41" s="325">
        <v>162010</v>
      </c>
      <c r="M41" s="344">
        <v>648040</v>
      </c>
    </row>
    <row r="42" spans="1:13" outlineLevel="1">
      <c r="A42" s="309" t="s">
        <v>57</v>
      </c>
      <c r="B42" s="342" t="s">
        <v>69</v>
      </c>
      <c r="C42" s="328">
        <v>162010</v>
      </c>
      <c r="D42" s="328">
        <v>162010</v>
      </c>
      <c r="E42" s="328">
        <v>162010</v>
      </c>
      <c r="F42" s="328">
        <v>162010</v>
      </c>
      <c r="G42" s="326">
        <v>648040</v>
      </c>
      <c r="H42" s="314"/>
      <c r="I42" s="325"/>
      <c r="J42" s="325"/>
      <c r="K42" s="325"/>
      <c r="L42" s="312"/>
      <c r="M42" s="344"/>
    </row>
    <row r="43" spans="1:13" outlineLevel="1">
      <c r="A43" s="309" t="s">
        <v>58</v>
      </c>
      <c r="B43" s="342" t="s">
        <v>69</v>
      </c>
      <c r="C43" s="327"/>
      <c r="D43" s="327"/>
      <c r="E43" s="327"/>
      <c r="F43" s="327"/>
      <c r="G43" s="326">
        <v>0</v>
      </c>
      <c r="H43" s="314"/>
      <c r="I43" s="325"/>
      <c r="J43" s="325"/>
      <c r="K43" s="325"/>
      <c r="L43" s="312"/>
      <c r="M43" s="344"/>
    </row>
    <row r="44" spans="1:13" outlineLevel="1">
      <c r="A44" s="309" t="s">
        <v>60</v>
      </c>
      <c r="B44" s="342" t="s">
        <v>69</v>
      </c>
      <c r="C44" s="327"/>
      <c r="D44" s="327"/>
      <c r="E44" s="327"/>
      <c r="F44" s="327"/>
      <c r="G44" s="326">
        <v>0</v>
      </c>
      <c r="H44" s="314"/>
      <c r="I44" s="325"/>
      <c r="J44" s="325"/>
      <c r="K44" s="325"/>
      <c r="L44" s="312"/>
      <c r="M44" s="344"/>
    </row>
    <row r="45" spans="1:13">
      <c r="A45" s="304" t="s">
        <v>72</v>
      </c>
      <c r="B45" s="342" t="s">
        <v>69</v>
      </c>
      <c r="C45" s="322">
        <v>376495</v>
      </c>
      <c r="D45" s="322">
        <v>185245</v>
      </c>
      <c r="E45" s="322">
        <v>36711.5</v>
      </c>
      <c r="F45" s="322">
        <v>36711.5</v>
      </c>
      <c r="G45" s="323">
        <v>635163</v>
      </c>
      <c r="H45" s="324">
        <v>1</v>
      </c>
      <c r="I45" s="325">
        <v>376495</v>
      </c>
      <c r="J45" s="325">
        <v>185245</v>
      </c>
      <c r="K45" s="325">
        <v>36711.5</v>
      </c>
      <c r="L45" s="325">
        <v>36711.5</v>
      </c>
      <c r="M45" s="344">
        <v>635163</v>
      </c>
    </row>
    <row r="46" spans="1:13" outlineLevel="1">
      <c r="A46" s="307" t="s">
        <v>56</v>
      </c>
      <c r="B46" s="342" t="s">
        <v>69</v>
      </c>
      <c r="C46" s="322">
        <v>0</v>
      </c>
      <c r="D46" s="322">
        <v>0</v>
      </c>
      <c r="E46" s="322">
        <v>0</v>
      </c>
      <c r="F46" s="322">
        <v>0</v>
      </c>
      <c r="G46" s="323">
        <v>0</v>
      </c>
      <c r="H46" s="314"/>
      <c r="I46" s="325">
        <v>0</v>
      </c>
      <c r="J46" s="325">
        <v>0</v>
      </c>
      <c r="K46" s="325">
        <v>0</v>
      </c>
      <c r="L46" s="325">
        <v>0</v>
      </c>
      <c r="M46" s="344">
        <v>0</v>
      </c>
    </row>
    <row r="47" spans="1:13" outlineLevel="1">
      <c r="A47" s="309" t="s">
        <v>57</v>
      </c>
      <c r="B47" s="342" t="s">
        <v>69</v>
      </c>
      <c r="C47" s="327"/>
      <c r="D47" s="327"/>
      <c r="E47" s="327"/>
      <c r="F47" s="327"/>
      <c r="G47" s="326">
        <v>0</v>
      </c>
      <c r="H47" s="314"/>
      <c r="I47" s="325"/>
      <c r="J47" s="325"/>
      <c r="K47" s="325"/>
      <c r="L47" s="312"/>
      <c r="M47" s="344"/>
    </row>
    <row r="48" spans="1:13" outlineLevel="1">
      <c r="A48" s="309" t="s">
        <v>58</v>
      </c>
      <c r="B48" s="342" t="s">
        <v>69</v>
      </c>
      <c r="C48" s="327"/>
      <c r="D48" s="327"/>
      <c r="E48" s="327"/>
      <c r="F48" s="327"/>
      <c r="G48" s="326">
        <v>0</v>
      </c>
      <c r="H48" s="314"/>
      <c r="I48" s="325"/>
      <c r="J48" s="325"/>
      <c r="K48" s="325"/>
      <c r="L48" s="312"/>
      <c r="M48" s="344"/>
    </row>
    <row r="49" spans="1:13" outlineLevel="1">
      <c r="A49" s="309" t="s">
        <v>59</v>
      </c>
      <c r="B49" s="342" t="s">
        <v>69</v>
      </c>
      <c r="C49" s="327"/>
      <c r="D49" s="327"/>
      <c r="E49" s="327"/>
      <c r="F49" s="327"/>
      <c r="G49" s="326">
        <v>0</v>
      </c>
      <c r="H49" s="314"/>
      <c r="I49" s="325"/>
      <c r="J49" s="325"/>
      <c r="K49" s="325"/>
      <c r="L49" s="312"/>
      <c r="M49" s="344"/>
    </row>
    <row r="50" spans="1:13" outlineLevel="1">
      <c r="A50" s="309" t="s">
        <v>60</v>
      </c>
      <c r="B50" s="342" t="s">
        <v>69</v>
      </c>
      <c r="C50" s="327"/>
      <c r="D50" s="327"/>
      <c r="E50" s="327"/>
      <c r="F50" s="327"/>
      <c r="G50" s="326">
        <v>0</v>
      </c>
      <c r="H50" s="314"/>
      <c r="I50" s="325"/>
      <c r="J50" s="325"/>
      <c r="K50" s="325"/>
      <c r="L50" s="312"/>
      <c r="M50" s="344"/>
    </row>
    <row r="51" spans="1:13" outlineLevel="1">
      <c r="A51" s="307" t="s">
        <v>61</v>
      </c>
      <c r="B51" s="342" t="s">
        <v>69</v>
      </c>
      <c r="C51" s="322">
        <v>376495</v>
      </c>
      <c r="D51" s="322">
        <v>185245</v>
      </c>
      <c r="E51" s="322">
        <v>36711.5</v>
      </c>
      <c r="F51" s="322">
        <v>36711.5</v>
      </c>
      <c r="G51" s="323">
        <v>635163</v>
      </c>
      <c r="H51" s="314"/>
      <c r="I51" s="325">
        <v>376495</v>
      </c>
      <c r="J51" s="325">
        <v>185245</v>
      </c>
      <c r="K51" s="325">
        <v>36711.5</v>
      </c>
      <c r="L51" s="325">
        <v>36711.5</v>
      </c>
      <c r="M51" s="344">
        <v>635163</v>
      </c>
    </row>
    <row r="52" spans="1:13" outlineLevel="1">
      <c r="A52" s="309" t="s">
        <v>57</v>
      </c>
      <c r="B52" s="342" t="s">
        <v>69</v>
      </c>
      <c r="C52" s="328">
        <v>301495</v>
      </c>
      <c r="D52" s="328">
        <v>110245</v>
      </c>
      <c r="E52" s="328">
        <v>36711.5</v>
      </c>
      <c r="F52" s="328">
        <v>36711.5</v>
      </c>
      <c r="G52" s="326">
        <v>485163</v>
      </c>
      <c r="H52" s="314"/>
      <c r="I52" s="325"/>
      <c r="J52" s="325"/>
      <c r="K52" s="325"/>
      <c r="L52" s="312"/>
      <c r="M52" s="344"/>
    </row>
    <row r="53" spans="1:13" outlineLevel="1">
      <c r="A53" s="309" t="s">
        <v>58</v>
      </c>
      <c r="B53" s="342" t="s">
        <v>69</v>
      </c>
      <c r="C53" s="327">
        <v>75000</v>
      </c>
      <c r="D53" s="327">
        <v>75000</v>
      </c>
      <c r="E53" s="327"/>
      <c r="F53" s="327"/>
      <c r="G53" s="326">
        <v>150000</v>
      </c>
      <c r="H53" s="314"/>
      <c r="I53" s="325"/>
      <c r="J53" s="325"/>
      <c r="K53" s="325"/>
      <c r="L53" s="312"/>
      <c r="M53" s="344"/>
    </row>
    <row r="54" spans="1:13" outlineLevel="1">
      <c r="A54" s="309" t="s">
        <v>60</v>
      </c>
      <c r="B54" s="342" t="s">
        <v>69</v>
      </c>
      <c r="C54" s="325"/>
      <c r="D54" s="325"/>
      <c r="E54" s="325"/>
      <c r="F54" s="312"/>
      <c r="G54" s="326">
        <v>0</v>
      </c>
      <c r="H54" s="314"/>
      <c r="I54" s="325"/>
      <c r="J54" s="325"/>
      <c r="K54" s="325"/>
      <c r="L54" s="312"/>
      <c r="M54" s="344"/>
    </row>
    <row r="55" spans="1:13">
      <c r="A55" s="304" t="s">
        <v>75</v>
      </c>
      <c r="B55" s="342" t="s">
        <v>69</v>
      </c>
      <c r="C55" s="322">
        <v>125000</v>
      </c>
      <c r="D55" s="322">
        <v>125000</v>
      </c>
      <c r="E55" s="322">
        <v>0</v>
      </c>
      <c r="F55" s="322">
        <v>0</v>
      </c>
      <c r="G55" s="323">
        <v>250000</v>
      </c>
      <c r="H55" s="324">
        <v>1</v>
      </c>
      <c r="I55" s="325">
        <v>125000</v>
      </c>
      <c r="J55" s="325">
        <v>125000</v>
      </c>
      <c r="K55" s="325">
        <v>0</v>
      </c>
      <c r="L55" s="325">
        <v>0</v>
      </c>
      <c r="M55" s="344">
        <v>250000</v>
      </c>
    </row>
    <row r="56" spans="1:13" outlineLevel="1">
      <c r="A56" s="307" t="s">
        <v>56</v>
      </c>
      <c r="B56" s="342" t="s">
        <v>69</v>
      </c>
      <c r="C56" s="322">
        <v>0</v>
      </c>
      <c r="D56" s="322">
        <v>0</v>
      </c>
      <c r="E56" s="322">
        <v>0</v>
      </c>
      <c r="F56" s="322">
        <v>0</v>
      </c>
      <c r="G56" s="323">
        <v>0</v>
      </c>
      <c r="H56" s="314"/>
      <c r="I56" s="325">
        <v>0</v>
      </c>
      <c r="J56" s="325">
        <v>0</v>
      </c>
      <c r="K56" s="325">
        <v>0</v>
      </c>
      <c r="L56" s="325">
        <v>0</v>
      </c>
      <c r="M56" s="344">
        <v>0</v>
      </c>
    </row>
    <row r="57" spans="1:13" outlineLevel="1">
      <c r="A57" s="309" t="s">
        <v>57</v>
      </c>
      <c r="B57" s="342" t="s">
        <v>69</v>
      </c>
      <c r="C57" s="327"/>
      <c r="D57" s="327"/>
      <c r="E57" s="327"/>
      <c r="F57" s="327"/>
      <c r="G57" s="326">
        <v>0</v>
      </c>
      <c r="H57" s="314"/>
      <c r="I57" s="325"/>
      <c r="J57" s="325"/>
      <c r="K57" s="325"/>
      <c r="L57" s="312"/>
      <c r="M57" s="344"/>
    </row>
    <row r="58" spans="1:13" outlineLevel="1">
      <c r="A58" s="309" t="s">
        <v>58</v>
      </c>
      <c r="B58" s="342" t="s">
        <v>69</v>
      </c>
      <c r="C58" s="327"/>
      <c r="D58" s="327"/>
      <c r="E58" s="327"/>
      <c r="F58" s="327"/>
      <c r="G58" s="326">
        <v>0</v>
      </c>
      <c r="H58" s="314"/>
      <c r="I58" s="325"/>
      <c r="J58" s="325"/>
      <c r="K58" s="325"/>
      <c r="L58" s="312"/>
      <c r="M58" s="344"/>
    </row>
    <row r="59" spans="1:13" outlineLevel="1">
      <c r="A59" s="309" t="s">
        <v>59</v>
      </c>
      <c r="B59" s="342" t="s">
        <v>69</v>
      </c>
      <c r="C59" s="327"/>
      <c r="D59" s="327"/>
      <c r="E59" s="327"/>
      <c r="F59" s="327"/>
      <c r="G59" s="326">
        <v>0</v>
      </c>
      <c r="H59" s="314"/>
      <c r="I59" s="325"/>
      <c r="J59" s="325"/>
      <c r="K59" s="325"/>
      <c r="L59" s="312"/>
      <c r="M59" s="344"/>
    </row>
    <row r="60" spans="1:13" outlineLevel="1">
      <c r="A60" s="309" t="s">
        <v>60</v>
      </c>
      <c r="B60" s="342" t="s">
        <v>69</v>
      </c>
      <c r="C60" s="327"/>
      <c r="D60" s="327"/>
      <c r="E60" s="327"/>
      <c r="F60" s="327"/>
      <c r="G60" s="326">
        <v>0</v>
      </c>
      <c r="H60" s="314"/>
      <c r="I60" s="325"/>
      <c r="J60" s="325"/>
      <c r="K60" s="325"/>
      <c r="L60" s="312"/>
      <c r="M60" s="344"/>
    </row>
    <row r="61" spans="1:13" outlineLevel="1">
      <c r="A61" s="307" t="s">
        <v>61</v>
      </c>
      <c r="B61" s="342" t="s">
        <v>69</v>
      </c>
      <c r="C61" s="322">
        <v>125000</v>
      </c>
      <c r="D61" s="322">
        <v>125000</v>
      </c>
      <c r="E61" s="322">
        <v>0</v>
      </c>
      <c r="F61" s="322">
        <v>0</v>
      </c>
      <c r="G61" s="323">
        <v>250000</v>
      </c>
      <c r="H61" s="314"/>
      <c r="I61" s="325">
        <v>125000</v>
      </c>
      <c r="J61" s="325">
        <v>125000</v>
      </c>
      <c r="K61" s="325">
        <v>0</v>
      </c>
      <c r="L61" s="325">
        <v>0</v>
      </c>
      <c r="M61" s="344">
        <v>250000</v>
      </c>
    </row>
    <row r="62" spans="1:13" outlineLevel="1">
      <c r="A62" s="309" t="s">
        <v>57</v>
      </c>
      <c r="B62" s="342" t="s">
        <v>69</v>
      </c>
      <c r="C62" s="328">
        <v>0</v>
      </c>
      <c r="D62" s="328">
        <v>0</v>
      </c>
      <c r="E62" s="328">
        <v>0</v>
      </c>
      <c r="F62" s="328">
        <v>0</v>
      </c>
      <c r="G62" s="326">
        <v>0</v>
      </c>
      <c r="H62" s="314"/>
      <c r="I62" s="325"/>
      <c r="J62" s="325"/>
      <c r="K62" s="325"/>
      <c r="L62" s="312"/>
      <c r="M62" s="344"/>
    </row>
    <row r="63" spans="1:13" outlineLevel="1">
      <c r="A63" s="309" t="s">
        <v>58</v>
      </c>
      <c r="B63" s="342" t="s">
        <v>69</v>
      </c>
      <c r="C63" s="327">
        <v>125000</v>
      </c>
      <c r="D63" s="327">
        <v>125000</v>
      </c>
      <c r="E63" s="327"/>
      <c r="F63" s="327"/>
      <c r="G63" s="326">
        <v>250000</v>
      </c>
      <c r="H63" s="314"/>
      <c r="I63" s="325"/>
      <c r="J63" s="325"/>
      <c r="K63" s="325"/>
      <c r="L63" s="312"/>
      <c r="M63" s="344"/>
    </row>
    <row r="64" spans="1:13" outlineLevel="1">
      <c r="A64" s="309" t="s">
        <v>60</v>
      </c>
      <c r="B64" s="342" t="s">
        <v>69</v>
      </c>
      <c r="C64" s="327"/>
      <c r="D64" s="327"/>
      <c r="E64" s="327"/>
      <c r="F64" s="327"/>
      <c r="G64" s="326">
        <v>0</v>
      </c>
      <c r="H64" s="314"/>
      <c r="I64" s="325"/>
      <c r="J64" s="325"/>
      <c r="K64" s="325"/>
      <c r="L64" s="312"/>
      <c r="M64" s="344"/>
    </row>
    <row r="65" spans="1:13">
      <c r="A65" s="304" t="s">
        <v>76</v>
      </c>
      <c r="B65" s="342" t="s">
        <v>69</v>
      </c>
      <c r="C65" s="322">
        <v>0</v>
      </c>
      <c r="D65" s="322">
        <v>672000</v>
      </c>
      <c r="E65" s="322">
        <v>2478000</v>
      </c>
      <c r="F65" s="322">
        <v>450000</v>
      </c>
      <c r="G65" s="323">
        <v>3600000</v>
      </c>
      <c r="H65" s="329">
        <v>0.5</v>
      </c>
      <c r="I65" s="325">
        <v>0</v>
      </c>
      <c r="J65" s="325">
        <v>336000</v>
      </c>
      <c r="K65" s="325">
        <v>1239000</v>
      </c>
      <c r="L65" s="325">
        <v>225000</v>
      </c>
      <c r="M65" s="344">
        <v>1800000</v>
      </c>
    </row>
    <row r="66" spans="1:13" outlineLevel="1">
      <c r="A66" s="307" t="s">
        <v>56</v>
      </c>
      <c r="B66" s="342" t="s">
        <v>69</v>
      </c>
      <c r="C66" s="322">
        <v>0</v>
      </c>
      <c r="D66" s="322">
        <v>672000</v>
      </c>
      <c r="E66" s="322">
        <v>2028000</v>
      </c>
      <c r="F66" s="322">
        <v>0</v>
      </c>
      <c r="G66" s="323">
        <v>2700000</v>
      </c>
      <c r="H66" s="314"/>
      <c r="I66" s="325">
        <v>0</v>
      </c>
      <c r="J66" s="325">
        <v>336000</v>
      </c>
      <c r="K66" s="325">
        <v>1014000</v>
      </c>
      <c r="L66" s="325">
        <v>0</v>
      </c>
      <c r="M66" s="344">
        <v>1350000</v>
      </c>
    </row>
    <row r="67" spans="1:13" outlineLevel="1">
      <c r="A67" s="309" t="s">
        <v>57</v>
      </c>
      <c r="B67" s="342" t="s">
        <v>69</v>
      </c>
      <c r="C67" s="327"/>
      <c r="D67" s="327"/>
      <c r="E67" s="327"/>
      <c r="F67" s="327"/>
      <c r="G67" s="326">
        <v>0</v>
      </c>
      <c r="H67" s="314"/>
      <c r="I67" s="325"/>
      <c r="J67" s="325"/>
      <c r="K67" s="325"/>
      <c r="L67" s="312"/>
      <c r="M67" s="344"/>
    </row>
    <row r="68" spans="1:13" outlineLevel="1">
      <c r="A68" s="309" t="s">
        <v>58</v>
      </c>
      <c r="B68" s="342" t="s">
        <v>69</v>
      </c>
      <c r="C68" s="327">
        <v>0</v>
      </c>
      <c r="D68" s="327">
        <v>0</v>
      </c>
      <c r="E68" s="327"/>
      <c r="F68" s="327"/>
      <c r="G68" s="326">
        <v>0</v>
      </c>
      <c r="H68" s="314"/>
      <c r="I68" s="325"/>
      <c r="J68" s="325"/>
      <c r="K68" s="325"/>
      <c r="L68" s="312"/>
      <c r="M68" s="344"/>
    </row>
    <row r="69" spans="1:13" outlineLevel="1">
      <c r="A69" s="309" t="s">
        <v>59</v>
      </c>
      <c r="B69" s="342" t="s">
        <v>69</v>
      </c>
      <c r="C69" s="327"/>
      <c r="D69" s="327"/>
      <c r="E69" s="327"/>
      <c r="F69" s="327"/>
      <c r="G69" s="326">
        <v>0</v>
      </c>
      <c r="H69" s="314"/>
      <c r="I69" s="325"/>
      <c r="J69" s="325"/>
      <c r="K69" s="325"/>
      <c r="L69" s="312"/>
      <c r="M69" s="344"/>
    </row>
    <row r="70" spans="1:13" outlineLevel="1">
      <c r="A70" s="309" t="s">
        <v>60</v>
      </c>
      <c r="B70" s="342" t="s">
        <v>69</v>
      </c>
      <c r="C70" s="327">
        <v>0</v>
      </c>
      <c r="D70" s="327">
        <v>672000</v>
      </c>
      <c r="E70" s="327">
        <v>2028000</v>
      </c>
      <c r="F70" s="327"/>
      <c r="G70" s="326">
        <v>2700000</v>
      </c>
      <c r="H70" s="314"/>
      <c r="I70" s="325"/>
      <c r="J70" s="325"/>
      <c r="K70" s="325"/>
      <c r="L70" s="312"/>
      <c r="M70" s="344"/>
    </row>
    <row r="71" spans="1:13" outlineLevel="1">
      <c r="A71" s="307" t="s">
        <v>61</v>
      </c>
      <c r="B71" s="342" t="s">
        <v>69</v>
      </c>
      <c r="C71" s="322">
        <v>0</v>
      </c>
      <c r="D71" s="322">
        <v>0</v>
      </c>
      <c r="E71" s="322">
        <v>450000</v>
      </c>
      <c r="F71" s="322">
        <v>450000</v>
      </c>
      <c r="G71" s="323">
        <v>900000</v>
      </c>
      <c r="H71" s="314"/>
      <c r="I71" s="325">
        <v>0</v>
      </c>
      <c r="J71" s="325">
        <v>0</v>
      </c>
      <c r="K71" s="325">
        <v>225000</v>
      </c>
      <c r="L71" s="325">
        <v>225000</v>
      </c>
      <c r="M71" s="344">
        <v>450000</v>
      </c>
    </row>
    <row r="72" spans="1:13" outlineLevel="1">
      <c r="A72" s="309" t="s">
        <v>57</v>
      </c>
      <c r="B72" s="342" t="s">
        <v>69</v>
      </c>
      <c r="C72" s="327"/>
      <c r="D72" s="327"/>
      <c r="E72" s="327">
        <v>50000</v>
      </c>
      <c r="F72" s="327">
        <v>50000</v>
      </c>
      <c r="G72" s="326">
        <v>100000</v>
      </c>
      <c r="H72" s="314"/>
      <c r="I72" s="325"/>
      <c r="J72" s="325"/>
      <c r="K72" s="325"/>
      <c r="L72" s="312"/>
      <c r="M72" s="344"/>
    </row>
    <row r="73" spans="1:13" outlineLevel="1">
      <c r="A73" s="309" t="s">
        <v>58</v>
      </c>
      <c r="B73" s="342" t="s">
        <v>69</v>
      </c>
      <c r="C73" s="327"/>
      <c r="D73" s="327"/>
      <c r="E73" s="327"/>
      <c r="F73" s="327"/>
      <c r="G73" s="326">
        <v>0</v>
      </c>
      <c r="H73" s="314"/>
      <c r="I73" s="325"/>
      <c r="J73" s="325"/>
      <c r="K73" s="325"/>
      <c r="L73" s="312"/>
      <c r="M73" s="344"/>
    </row>
    <row r="74" spans="1:13" outlineLevel="1">
      <c r="A74" s="309" t="s">
        <v>60</v>
      </c>
      <c r="B74" s="342" t="s">
        <v>69</v>
      </c>
      <c r="C74" s="327"/>
      <c r="D74" s="327"/>
      <c r="E74" s="327">
        <v>400000</v>
      </c>
      <c r="F74" s="327">
        <v>400000</v>
      </c>
      <c r="G74" s="326">
        <v>800000</v>
      </c>
      <c r="H74" s="314"/>
      <c r="I74" s="325"/>
      <c r="J74" s="325"/>
      <c r="K74" s="325"/>
      <c r="L74" s="312"/>
      <c r="M74" s="344"/>
    </row>
    <row r="75" spans="1:13">
      <c r="A75" s="304" t="s">
        <v>80</v>
      </c>
      <c r="B75" s="342" t="s">
        <v>69</v>
      </c>
      <c r="C75" s="322">
        <v>0</v>
      </c>
      <c r="D75" s="322">
        <v>1495000</v>
      </c>
      <c r="E75" s="322">
        <v>0</v>
      </c>
      <c r="F75" s="322">
        <v>0</v>
      </c>
      <c r="G75" s="323">
        <v>1495000</v>
      </c>
      <c r="H75" s="324">
        <v>1</v>
      </c>
      <c r="I75" s="325">
        <v>0</v>
      </c>
      <c r="J75" s="325">
        <v>1495000</v>
      </c>
      <c r="K75" s="325">
        <v>0</v>
      </c>
      <c r="L75" s="325">
        <v>0</v>
      </c>
      <c r="M75" s="344">
        <v>1495000</v>
      </c>
    </row>
    <row r="76" spans="1:13" outlineLevel="1">
      <c r="A76" s="307" t="s">
        <v>56</v>
      </c>
      <c r="B76" s="342" t="s">
        <v>69</v>
      </c>
      <c r="C76" s="330">
        <v>0</v>
      </c>
      <c r="D76" s="322">
        <v>1495000</v>
      </c>
      <c r="E76" s="322">
        <v>0</v>
      </c>
      <c r="F76" s="322">
        <v>0</v>
      </c>
      <c r="G76" s="323">
        <v>1495000</v>
      </c>
      <c r="H76" s="314"/>
      <c r="I76" s="325">
        <v>0</v>
      </c>
      <c r="J76" s="325">
        <v>1495000</v>
      </c>
      <c r="K76" s="325">
        <v>0</v>
      </c>
      <c r="L76" s="325">
        <v>0</v>
      </c>
      <c r="M76" s="344">
        <v>1495000</v>
      </c>
    </row>
    <row r="77" spans="1:13" outlineLevel="1">
      <c r="A77" s="309" t="s">
        <v>57</v>
      </c>
      <c r="B77" s="342" t="s">
        <v>69</v>
      </c>
      <c r="C77" s="327"/>
      <c r="D77" s="327"/>
      <c r="E77" s="327"/>
      <c r="F77" s="327"/>
      <c r="G77" s="326">
        <v>0</v>
      </c>
      <c r="H77" s="314"/>
      <c r="I77" s="325"/>
      <c r="J77" s="325"/>
      <c r="K77" s="325"/>
      <c r="L77" s="312"/>
      <c r="M77" s="344"/>
    </row>
    <row r="78" spans="1:13" outlineLevel="1">
      <c r="A78" s="309" t="s">
        <v>58</v>
      </c>
      <c r="B78" s="342" t="s">
        <v>69</v>
      </c>
      <c r="C78" s="327"/>
      <c r="D78" s="327"/>
      <c r="E78" s="327"/>
      <c r="F78" s="327"/>
      <c r="G78" s="326">
        <v>0</v>
      </c>
      <c r="H78" s="314"/>
      <c r="I78" s="325"/>
      <c r="J78" s="325"/>
      <c r="K78" s="325"/>
      <c r="L78" s="312"/>
      <c r="M78" s="344"/>
    </row>
    <row r="79" spans="1:13" outlineLevel="1">
      <c r="A79" s="309" t="s">
        <v>59</v>
      </c>
      <c r="B79" s="342" t="s">
        <v>69</v>
      </c>
      <c r="C79" s="327"/>
      <c r="D79" s="327"/>
      <c r="E79" s="327"/>
      <c r="F79" s="327"/>
      <c r="G79" s="326">
        <v>0</v>
      </c>
      <c r="H79" s="314"/>
      <c r="I79" s="325"/>
      <c r="J79" s="325"/>
      <c r="K79" s="325"/>
      <c r="L79" s="312"/>
      <c r="M79" s="344"/>
    </row>
    <row r="80" spans="1:13" outlineLevel="1">
      <c r="A80" s="309" t="s">
        <v>60</v>
      </c>
      <c r="B80" s="342" t="s">
        <v>69</v>
      </c>
      <c r="C80" s="327"/>
      <c r="D80" s="327"/>
      <c r="E80" s="327"/>
      <c r="F80" s="327"/>
      <c r="G80" s="326">
        <v>0</v>
      </c>
      <c r="H80" s="314"/>
      <c r="I80" s="325"/>
      <c r="J80" s="325"/>
      <c r="K80" s="325"/>
      <c r="L80" s="312"/>
      <c r="M80" s="344"/>
    </row>
    <row r="81" spans="1:13" outlineLevel="1">
      <c r="A81" s="307" t="s">
        <v>61</v>
      </c>
      <c r="B81" s="342" t="s">
        <v>69</v>
      </c>
      <c r="C81" s="322">
        <v>0</v>
      </c>
      <c r="D81" s="322">
        <v>0</v>
      </c>
      <c r="E81" s="322">
        <v>0</v>
      </c>
      <c r="F81" s="322">
        <v>0</v>
      </c>
      <c r="G81" s="323">
        <v>0</v>
      </c>
      <c r="H81" s="314"/>
      <c r="I81" s="325">
        <v>0</v>
      </c>
      <c r="J81" s="325">
        <v>0</v>
      </c>
      <c r="K81" s="325">
        <v>0</v>
      </c>
      <c r="L81" s="325">
        <v>0</v>
      </c>
      <c r="M81" s="344">
        <v>0</v>
      </c>
    </row>
    <row r="82" spans="1:13" outlineLevel="1">
      <c r="A82" s="309" t="s">
        <v>57</v>
      </c>
      <c r="B82" s="342" t="s">
        <v>69</v>
      </c>
      <c r="C82" s="328">
        <v>0</v>
      </c>
      <c r="D82" s="328">
        <v>0</v>
      </c>
      <c r="E82" s="328">
        <v>0</v>
      </c>
      <c r="F82" s="328">
        <v>0</v>
      </c>
      <c r="G82" s="326">
        <v>0</v>
      </c>
      <c r="H82" s="314"/>
      <c r="I82" s="325"/>
      <c r="J82" s="325"/>
      <c r="K82" s="325"/>
      <c r="L82" s="312"/>
      <c r="M82" s="344"/>
    </row>
    <row r="83" spans="1:13" outlineLevel="1">
      <c r="A83" s="309" t="s">
        <v>58</v>
      </c>
      <c r="B83" s="342" t="s">
        <v>69</v>
      </c>
      <c r="C83" s="327"/>
      <c r="D83" s="327"/>
      <c r="E83" s="327"/>
      <c r="F83" s="327"/>
      <c r="G83" s="326">
        <v>0</v>
      </c>
      <c r="H83" s="314"/>
      <c r="I83" s="325"/>
      <c r="J83" s="325"/>
      <c r="K83" s="325"/>
      <c r="L83" s="312"/>
      <c r="M83" s="344"/>
    </row>
    <row r="84" spans="1:13" outlineLevel="1">
      <c r="A84" s="309" t="s">
        <v>60</v>
      </c>
      <c r="B84" s="342" t="s">
        <v>69</v>
      </c>
      <c r="C84" s="327"/>
      <c r="D84" s="327"/>
      <c r="E84" s="327"/>
      <c r="F84" s="327"/>
      <c r="G84" s="326">
        <v>0</v>
      </c>
      <c r="H84" s="314"/>
      <c r="I84" s="325"/>
      <c r="J84" s="325"/>
      <c r="K84" s="325"/>
      <c r="L84" s="312"/>
      <c r="M84" s="344"/>
    </row>
    <row r="85" spans="1:13">
      <c r="A85" s="304" t="s">
        <v>82</v>
      </c>
      <c r="B85" s="342" t="s">
        <v>69</v>
      </c>
      <c r="C85" s="322">
        <v>0</v>
      </c>
      <c r="D85" s="322">
        <v>872740</v>
      </c>
      <c r="E85" s="322">
        <v>522740</v>
      </c>
      <c r="F85" s="322">
        <v>122740</v>
      </c>
      <c r="G85" s="323">
        <v>1518220</v>
      </c>
      <c r="H85" s="324">
        <v>1</v>
      </c>
      <c r="I85" s="325">
        <v>0</v>
      </c>
      <c r="J85" s="325">
        <v>872740</v>
      </c>
      <c r="K85" s="325">
        <v>522740</v>
      </c>
      <c r="L85" s="325">
        <v>122740</v>
      </c>
      <c r="M85" s="344">
        <v>1518220</v>
      </c>
    </row>
    <row r="86" spans="1:13" outlineLevel="1">
      <c r="A86" s="307" t="s">
        <v>56</v>
      </c>
      <c r="B86" s="342" t="s">
        <v>69</v>
      </c>
      <c r="C86" s="322">
        <v>0</v>
      </c>
      <c r="D86" s="322">
        <v>750000</v>
      </c>
      <c r="E86" s="322">
        <v>400000</v>
      </c>
      <c r="F86" s="322">
        <v>0</v>
      </c>
      <c r="G86" s="323">
        <v>1150000</v>
      </c>
      <c r="H86" s="314"/>
      <c r="I86" s="325">
        <v>0</v>
      </c>
      <c r="J86" s="325">
        <v>750000</v>
      </c>
      <c r="K86" s="325">
        <v>400000</v>
      </c>
      <c r="L86" s="325">
        <v>0</v>
      </c>
      <c r="M86" s="344">
        <v>1150000</v>
      </c>
    </row>
    <row r="87" spans="1:13" outlineLevel="1">
      <c r="A87" s="309" t="s">
        <v>57</v>
      </c>
      <c r="B87" s="342" t="s">
        <v>69</v>
      </c>
      <c r="C87" s="327"/>
      <c r="D87" s="327"/>
      <c r="E87" s="327"/>
      <c r="F87" s="327"/>
      <c r="G87" s="326">
        <v>0</v>
      </c>
      <c r="H87" s="314"/>
      <c r="I87" s="325"/>
      <c r="J87" s="325"/>
      <c r="K87" s="325"/>
      <c r="L87" s="312"/>
      <c r="M87" s="344"/>
    </row>
    <row r="88" spans="1:13" outlineLevel="1">
      <c r="A88" s="309" t="s">
        <v>58</v>
      </c>
      <c r="B88" s="342" t="s">
        <v>69</v>
      </c>
      <c r="C88" s="327">
        <v>0</v>
      </c>
      <c r="D88" s="327">
        <v>150000</v>
      </c>
      <c r="E88" s="327"/>
      <c r="F88" s="327"/>
      <c r="G88" s="326">
        <v>150000</v>
      </c>
      <c r="H88" s="314"/>
      <c r="I88" s="325"/>
      <c r="J88" s="325"/>
      <c r="K88" s="325"/>
      <c r="L88" s="312"/>
      <c r="M88" s="344"/>
    </row>
    <row r="89" spans="1:13" outlineLevel="1">
      <c r="A89" s="309" t="s">
        <v>59</v>
      </c>
      <c r="B89" s="342" t="s">
        <v>69</v>
      </c>
      <c r="C89" s="327"/>
      <c r="D89" s="327"/>
      <c r="E89" s="327"/>
      <c r="F89" s="327"/>
      <c r="G89" s="326">
        <v>0</v>
      </c>
      <c r="H89" s="314"/>
      <c r="I89" s="325"/>
      <c r="J89" s="325"/>
      <c r="K89" s="325"/>
      <c r="L89" s="312"/>
      <c r="M89" s="344"/>
    </row>
    <row r="90" spans="1:13" outlineLevel="1">
      <c r="A90" s="309" t="s">
        <v>60</v>
      </c>
      <c r="B90" s="342" t="s">
        <v>69</v>
      </c>
      <c r="C90" s="327">
        <v>0</v>
      </c>
      <c r="D90" s="327">
        <v>600000</v>
      </c>
      <c r="E90" s="327">
        <v>400000</v>
      </c>
      <c r="F90" s="327"/>
      <c r="G90" s="326">
        <v>1000000</v>
      </c>
      <c r="H90" s="314"/>
      <c r="I90" s="325"/>
      <c r="J90" s="325"/>
      <c r="K90" s="325"/>
      <c r="L90" s="312"/>
      <c r="M90" s="344"/>
    </row>
    <row r="91" spans="1:13" outlineLevel="1">
      <c r="A91" s="307" t="s">
        <v>61</v>
      </c>
      <c r="B91" s="342" t="s">
        <v>69</v>
      </c>
      <c r="C91" s="322">
        <v>0</v>
      </c>
      <c r="D91" s="322">
        <v>122740</v>
      </c>
      <c r="E91" s="322">
        <v>122740</v>
      </c>
      <c r="F91" s="322">
        <v>122740</v>
      </c>
      <c r="G91" s="323">
        <v>368220</v>
      </c>
      <c r="H91" s="314"/>
      <c r="I91" s="325">
        <v>0</v>
      </c>
      <c r="J91" s="325">
        <v>122740</v>
      </c>
      <c r="K91" s="325">
        <v>122740</v>
      </c>
      <c r="L91" s="325">
        <v>122740</v>
      </c>
      <c r="M91" s="344">
        <v>368220</v>
      </c>
    </row>
    <row r="92" spans="1:13" outlineLevel="1">
      <c r="A92" s="309" t="s">
        <v>57</v>
      </c>
      <c r="B92" s="342" t="s">
        <v>69</v>
      </c>
      <c r="C92" s="328">
        <v>0</v>
      </c>
      <c r="D92" s="328">
        <v>122740</v>
      </c>
      <c r="E92" s="328">
        <v>122740</v>
      </c>
      <c r="F92" s="328">
        <v>122740</v>
      </c>
      <c r="G92" s="326">
        <v>368220</v>
      </c>
      <c r="H92" s="314"/>
      <c r="I92" s="325"/>
      <c r="J92" s="325"/>
      <c r="K92" s="325"/>
      <c r="L92" s="312"/>
      <c r="M92" s="344"/>
    </row>
    <row r="93" spans="1:13" outlineLevel="1">
      <c r="A93" s="309" t="s">
        <v>58</v>
      </c>
      <c r="B93" s="342" t="s">
        <v>69</v>
      </c>
      <c r="C93" s="327"/>
      <c r="D93" s="327"/>
      <c r="E93" s="327"/>
      <c r="F93" s="327"/>
      <c r="G93" s="326">
        <v>0</v>
      </c>
      <c r="H93" s="314"/>
      <c r="I93" s="325"/>
      <c r="J93" s="325"/>
      <c r="K93" s="325"/>
      <c r="L93" s="312"/>
      <c r="M93" s="344"/>
    </row>
    <row r="94" spans="1:13" outlineLevel="1">
      <c r="A94" s="309" t="s">
        <v>60</v>
      </c>
      <c r="B94" s="342" t="s">
        <v>69</v>
      </c>
      <c r="C94" s="327"/>
      <c r="D94" s="327"/>
      <c r="E94" s="327"/>
      <c r="F94" s="327"/>
      <c r="G94" s="326">
        <v>0</v>
      </c>
      <c r="H94" s="314"/>
      <c r="I94" s="325"/>
      <c r="J94" s="325"/>
      <c r="K94" s="325"/>
      <c r="L94" s="312"/>
      <c r="M94" s="344"/>
    </row>
    <row r="95" spans="1:13">
      <c r="A95" s="304" t="s">
        <v>85</v>
      </c>
      <c r="B95" s="342" t="s">
        <v>69</v>
      </c>
      <c r="C95" s="322">
        <v>0</v>
      </c>
      <c r="D95" s="322">
        <v>2500000</v>
      </c>
      <c r="E95" s="322">
        <v>5050000</v>
      </c>
      <c r="F95" s="322">
        <v>50000</v>
      </c>
      <c r="G95" s="323">
        <v>7600000</v>
      </c>
      <c r="H95" s="329">
        <v>1</v>
      </c>
      <c r="I95" s="325">
        <v>0</v>
      </c>
      <c r="J95" s="325">
        <v>2500000</v>
      </c>
      <c r="K95" s="325">
        <v>5050000</v>
      </c>
      <c r="L95" s="325">
        <v>50000</v>
      </c>
      <c r="M95" s="344">
        <v>7600000</v>
      </c>
    </row>
    <row r="96" spans="1:13" outlineLevel="1">
      <c r="A96" s="307" t="s">
        <v>56</v>
      </c>
      <c r="B96" s="342" t="s">
        <v>69</v>
      </c>
      <c r="C96" s="322">
        <v>0</v>
      </c>
      <c r="D96" s="322">
        <v>2500000</v>
      </c>
      <c r="E96" s="322">
        <v>5000000</v>
      </c>
      <c r="F96" s="322">
        <v>0</v>
      </c>
      <c r="G96" s="323">
        <v>7500000</v>
      </c>
      <c r="H96" s="314"/>
      <c r="I96" s="325">
        <v>0</v>
      </c>
      <c r="J96" s="325">
        <v>2500000</v>
      </c>
      <c r="K96" s="325">
        <v>5000000</v>
      </c>
      <c r="L96" s="325">
        <v>0</v>
      </c>
      <c r="M96" s="344">
        <v>7500000</v>
      </c>
    </row>
    <row r="97" spans="1:13" outlineLevel="1">
      <c r="A97" s="309" t="s">
        <v>57</v>
      </c>
      <c r="B97" s="342" t="s">
        <v>69</v>
      </c>
      <c r="C97" s="327"/>
      <c r="D97" s="327"/>
      <c r="E97" s="327"/>
      <c r="F97" s="327"/>
      <c r="G97" s="326">
        <v>0</v>
      </c>
      <c r="H97" s="314"/>
      <c r="I97" s="325"/>
      <c r="J97" s="325"/>
      <c r="K97" s="325"/>
      <c r="L97" s="312"/>
      <c r="M97" s="344"/>
    </row>
    <row r="98" spans="1:13" outlineLevel="1">
      <c r="A98" s="309" t="s">
        <v>58</v>
      </c>
      <c r="B98" s="342" t="s">
        <v>69</v>
      </c>
      <c r="C98" s="327"/>
      <c r="D98" s="327"/>
      <c r="E98" s="327"/>
      <c r="F98" s="327"/>
      <c r="G98" s="326">
        <v>0</v>
      </c>
      <c r="H98" s="314"/>
      <c r="I98" s="325"/>
      <c r="J98" s="325"/>
      <c r="K98" s="325"/>
      <c r="L98" s="312"/>
      <c r="M98" s="344"/>
    </row>
    <row r="99" spans="1:13" outlineLevel="1">
      <c r="A99" s="309" t="s">
        <v>59</v>
      </c>
      <c r="B99" s="342" t="s">
        <v>69</v>
      </c>
      <c r="C99" s="327"/>
      <c r="D99" s="327"/>
      <c r="E99" s="327"/>
      <c r="F99" s="327"/>
      <c r="G99" s="326">
        <v>0</v>
      </c>
      <c r="H99" s="314"/>
      <c r="I99" s="325"/>
      <c r="J99" s="325"/>
      <c r="K99" s="325"/>
      <c r="L99" s="312"/>
      <c r="M99" s="344"/>
    </row>
    <row r="100" spans="1:13" outlineLevel="1">
      <c r="A100" s="309" t="s">
        <v>60</v>
      </c>
      <c r="B100" s="342" t="s">
        <v>69</v>
      </c>
      <c r="C100" s="327">
        <v>0</v>
      </c>
      <c r="D100" s="327">
        <v>2500000</v>
      </c>
      <c r="E100" s="327">
        <v>5000000</v>
      </c>
      <c r="F100" s="327"/>
      <c r="G100" s="326">
        <v>7500000</v>
      </c>
      <c r="H100" s="314"/>
      <c r="I100" s="325"/>
      <c r="J100" s="325"/>
      <c r="K100" s="325"/>
      <c r="L100" s="312"/>
      <c r="M100" s="344"/>
    </row>
    <row r="101" spans="1:13" outlineLevel="1">
      <c r="A101" s="307" t="s">
        <v>61</v>
      </c>
      <c r="B101" s="342" t="s">
        <v>69</v>
      </c>
      <c r="C101" s="322">
        <v>0</v>
      </c>
      <c r="D101" s="322">
        <v>0</v>
      </c>
      <c r="E101" s="322">
        <v>50000</v>
      </c>
      <c r="F101" s="322">
        <v>50000</v>
      </c>
      <c r="G101" s="323">
        <v>100000</v>
      </c>
      <c r="H101" s="314"/>
      <c r="I101" s="325">
        <v>0</v>
      </c>
      <c r="J101" s="325">
        <v>0</v>
      </c>
      <c r="K101" s="325">
        <v>50000</v>
      </c>
      <c r="L101" s="325">
        <v>50000</v>
      </c>
      <c r="M101" s="344">
        <v>100000</v>
      </c>
    </row>
    <row r="102" spans="1:13" outlineLevel="1">
      <c r="A102" s="310" t="s">
        <v>57</v>
      </c>
      <c r="B102" s="342" t="s">
        <v>69</v>
      </c>
      <c r="C102" s="327">
        <v>0</v>
      </c>
      <c r="D102" s="327">
        <v>0</v>
      </c>
      <c r="E102" s="327">
        <v>50000</v>
      </c>
      <c r="F102" s="327">
        <v>50000</v>
      </c>
      <c r="G102" s="326">
        <v>100000</v>
      </c>
      <c r="H102" s="314"/>
      <c r="I102" s="325"/>
      <c r="J102" s="325"/>
      <c r="K102" s="325"/>
      <c r="L102" s="312"/>
      <c r="M102" s="344"/>
    </row>
    <row r="103" spans="1:13" outlineLevel="1">
      <c r="A103" s="309" t="s">
        <v>58</v>
      </c>
      <c r="B103" s="342" t="s">
        <v>69</v>
      </c>
      <c r="C103" s="327"/>
      <c r="D103" s="327"/>
      <c r="E103" s="327"/>
      <c r="F103" s="327"/>
      <c r="G103" s="326">
        <v>0</v>
      </c>
      <c r="H103" s="314"/>
      <c r="I103" s="325"/>
      <c r="J103" s="325"/>
      <c r="K103" s="325"/>
      <c r="L103" s="312"/>
      <c r="M103" s="344"/>
    </row>
    <row r="104" spans="1:13" outlineLevel="1">
      <c r="A104" s="309" t="s">
        <v>60</v>
      </c>
      <c r="B104" s="342" t="s">
        <v>69</v>
      </c>
      <c r="C104" s="327"/>
      <c r="D104" s="327"/>
      <c r="E104" s="327"/>
      <c r="F104" s="327"/>
      <c r="G104" s="326">
        <v>0</v>
      </c>
      <c r="H104" s="314"/>
      <c r="I104" s="325"/>
      <c r="J104" s="325"/>
      <c r="K104" s="325"/>
      <c r="L104" s="312"/>
      <c r="M104" s="344"/>
    </row>
    <row r="105" spans="1:13">
      <c r="A105" s="304" t="s">
        <v>87</v>
      </c>
      <c r="B105" s="342" t="s">
        <v>69</v>
      </c>
      <c r="C105" s="322">
        <v>0</v>
      </c>
      <c r="D105" s="322">
        <v>0</v>
      </c>
      <c r="E105" s="322">
        <v>400000</v>
      </c>
      <c r="F105" s="322">
        <v>550000</v>
      </c>
      <c r="G105" s="323">
        <v>950000</v>
      </c>
      <c r="H105" s="324">
        <v>1</v>
      </c>
      <c r="I105" s="325">
        <v>0</v>
      </c>
      <c r="J105" s="325">
        <v>0</v>
      </c>
      <c r="K105" s="325">
        <v>400000</v>
      </c>
      <c r="L105" s="325">
        <v>550000</v>
      </c>
      <c r="M105" s="344">
        <v>950000</v>
      </c>
    </row>
    <row r="106" spans="1:13" outlineLevel="1">
      <c r="A106" s="307" t="s">
        <v>56</v>
      </c>
      <c r="B106" s="342" t="s">
        <v>69</v>
      </c>
      <c r="C106" s="322">
        <v>0</v>
      </c>
      <c r="D106" s="322">
        <v>0</v>
      </c>
      <c r="E106" s="322">
        <v>400000</v>
      </c>
      <c r="F106" s="322">
        <v>550000</v>
      </c>
      <c r="G106" s="323">
        <v>950000</v>
      </c>
      <c r="H106" s="314"/>
      <c r="I106" s="325">
        <v>0</v>
      </c>
      <c r="J106" s="325">
        <v>0</v>
      </c>
      <c r="K106" s="325">
        <v>400000</v>
      </c>
      <c r="L106" s="325">
        <v>550000</v>
      </c>
      <c r="M106" s="344">
        <v>950000</v>
      </c>
    </row>
    <row r="107" spans="1:13" outlineLevel="1">
      <c r="A107" s="309" t="s">
        <v>57</v>
      </c>
      <c r="B107" s="342" t="s">
        <v>69</v>
      </c>
      <c r="C107" s="327"/>
      <c r="D107" s="327"/>
      <c r="E107" s="327"/>
      <c r="F107" s="327"/>
      <c r="G107" s="326">
        <v>0</v>
      </c>
      <c r="H107" s="314"/>
      <c r="I107" s="325"/>
      <c r="J107" s="325"/>
      <c r="K107" s="325"/>
      <c r="L107" s="312"/>
      <c r="M107" s="344"/>
    </row>
    <row r="108" spans="1:13" outlineLevel="1">
      <c r="A108" s="309" t="s">
        <v>58</v>
      </c>
      <c r="B108" s="342" t="s">
        <v>69</v>
      </c>
      <c r="C108" s="327"/>
      <c r="D108" s="327"/>
      <c r="E108" s="327">
        <v>150000</v>
      </c>
      <c r="F108" s="327"/>
      <c r="G108" s="326">
        <v>150000</v>
      </c>
      <c r="H108" s="314"/>
      <c r="I108" s="325"/>
      <c r="J108" s="325"/>
      <c r="K108" s="325"/>
      <c r="L108" s="312"/>
      <c r="M108" s="344"/>
    </row>
    <row r="109" spans="1:13" outlineLevel="1">
      <c r="A109" s="309" t="s">
        <v>59</v>
      </c>
      <c r="B109" s="342" t="s">
        <v>69</v>
      </c>
      <c r="C109" s="327"/>
      <c r="D109" s="327"/>
      <c r="E109" s="327"/>
      <c r="F109" s="327"/>
      <c r="G109" s="326">
        <v>0</v>
      </c>
      <c r="H109" s="314"/>
      <c r="I109" s="325"/>
      <c r="J109" s="325"/>
      <c r="K109" s="325"/>
      <c r="L109" s="312"/>
      <c r="M109" s="344"/>
    </row>
    <row r="110" spans="1:13" outlineLevel="1">
      <c r="A110" s="309" t="s">
        <v>60</v>
      </c>
      <c r="B110" s="342" t="s">
        <v>69</v>
      </c>
      <c r="C110" s="327"/>
      <c r="D110" s="327"/>
      <c r="E110" s="327">
        <v>250000</v>
      </c>
      <c r="F110" s="327">
        <v>550000</v>
      </c>
      <c r="G110" s="326">
        <v>800000</v>
      </c>
      <c r="H110" s="314"/>
      <c r="I110" s="325"/>
      <c r="J110" s="325"/>
      <c r="K110" s="325"/>
      <c r="L110" s="312"/>
      <c r="M110" s="344"/>
    </row>
    <row r="111" spans="1:13" outlineLevel="1">
      <c r="A111" s="307" t="s">
        <v>61</v>
      </c>
      <c r="B111" s="342" t="s">
        <v>69</v>
      </c>
      <c r="C111" s="322">
        <v>0</v>
      </c>
      <c r="D111" s="322">
        <v>0</v>
      </c>
      <c r="E111" s="322">
        <v>0</v>
      </c>
      <c r="F111" s="322">
        <v>0</v>
      </c>
      <c r="G111" s="323">
        <v>0</v>
      </c>
      <c r="H111" s="314"/>
      <c r="I111" s="325">
        <v>0</v>
      </c>
      <c r="J111" s="325">
        <v>0</v>
      </c>
      <c r="K111" s="325">
        <v>0</v>
      </c>
      <c r="L111" s="325">
        <v>0</v>
      </c>
      <c r="M111" s="344">
        <v>0</v>
      </c>
    </row>
    <row r="112" spans="1:13" outlineLevel="1">
      <c r="A112" s="309" t="s">
        <v>57</v>
      </c>
      <c r="B112" s="342" t="s">
        <v>69</v>
      </c>
      <c r="C112" s="328">
        <v>0</v>
      </c>
      <c r="D112" s="328">
        <v>0</v>
      </c>
      <c r="E112" s="328">
        <v>0</v>
      </c>
      <c r="F112" s="328">
        <v>0</v>
      </c>
      <c r="G112" s="326">
        <v>0</v>
      </c>
      <c r="H112" s="314"/>
      <c r="I112" s="325"/>
      <c r="J112" s="325"/>
      <c r="K112" s="325"/>
      <c r="L112" s="312"/>
      <c r="M112" s="344"/>
    </row>
    <row r="113" spans="1:13" outlineLevel="1">
      <c r="A113" s="309" t="s">
        <v>58</v>
      </c>
      <c r="B113" s="342" t="s">
        <v>69</v>
      </c>
      <c r="C113" s="327"/>
      <c r="D113" s="327"/>
      <c r="E113" s="327"/>
      <c r="F113" s="327"/>
      <c r="G113" s="326">
        <v>0</v>
      </c>
      <c r="H113" s="314"/>
      <c r="I113" s="325"/>
      <c r="J113" s="325"/>
      <c r="K113" s="325"/>
      <c r="L113" s="312"/>
      <c r="M113" s="344"/>
    </row>
    <row r="114" spans="1:13" outlineLevel="1">
      <c r="A114" s="309" t="s">
        <v>60</v>
      </c>
      <c r="B114" s="342" t="s">
        <v>69</v>
      </c>
      <c r="C114" s="327"/>
      <c r="D114" s="327"/>
      <c r="E114" s="327"/>
      <c r="F114" s="327"/>
      <c r="G114" s="326">
        <v>0</v>
      </c>
      <c r="H114" s="314"/>
      <c r="I114" s="325"/>
      <c r="J114" s="325"/>
      <c r="K114" s="325"/>
      <c r="L114" s="312"/>
      <c r="M114" s="344"/>
    </row>
    <row r="115" spans="1:13">
      <c r="A115" s="304" t="s">
        <v>89</v>
      </c>
      <c r="B115" s="342" t="s">
        <v>69</v>
      </c>
      <c r="C115" s="322">
        <v>0</v>
      </c>
      <c r="D115" s="322">
        <v>150000</v>
      </c>
      <c r="E115" s="322">
        <v>0</v>
      </c>
      <c r="F115" s="322">
        <v>0</v>
      </c>
      <c r="G115" s="323">
        <v>150000</v>
      </c>
      <c r="H115" s="324">
        <v>1</v>
      </c>
      <c r="I115" s="325">
        <v>0</v>
      </c>
      <c r="J115" s="325">
        <v>150000</v>
      </c>
      <c r="K115" s="325">
        <v>0</v>
      </c>
      <c r="L115" s="325">
        <v>0</v>
      </c>
      <c r="M115" s="344">
        <v>150000</v>
      </c>
    </row>
    <row r="116" spans="1:13" outlineLevel="1">
      <c r="A116" s="307" t="s">
        <v>56</v>
      </c>
      <c r="B116" s="342" t="s">
        <v>69</v>
      </c>
      <c r="C116" s="322">
        <v>0</v>
      </c>
      <c r="D116" s="322">
        <v>150000</v>
      </c>
      <c r="E116" s="322">
        <v>0</v>
      </c>
      <c r="F116" s="322">
        <v>0</v>
      </c>
      <c r="G116" s="323">
        <v>150000</v>
      </c>
      <c r="H116" s="314"/>
      <c r="I116" s="325">
        <v>0</v>
      </c>
      <c r="J116" s="325">
        <v>150000</v>
      </c>
      <c r="K116" s="325">
        <v>0</v>
      </c>
      <c r="L116" s="325">
        <v>0</v>
      </c>
      <c r="M116" s="344">
        <v>150000</v>
      </c>
    </row>
    <row r="117" spans="1:13" outlineLevel="1">
      <c r="A117" s="309" t="s">
        <v>57</v>
      </c>
      <c r="B117" s="342" t="s">
        <v>69</v>
      </c>
      <c r="C117" s="327"/>
      <c r="D117" s="327"/>
      <c r="E117" s="327"/>
      <c r="F117" s="327"/>
      <c r="G117" s="326">
        <v>0</v>
      </c>
      <c r="H117" s="314"/>
      <c r="I117" s="325"/>
      <c r="J117" s="325"/>
      <c r="K117" s="325"/>
      <c r="L117" s="312"/>
      <c r="M117" s="344"/>
    </row>
    <row r="118" spans="1:13" outlineLevel="1">
      <c r="A118" s="309" t="s">
        <v>58</v>
      </c>
      <c r="B118" s="342" t="s">
        <v>69</v>
      </c>
      <c r="C118" s="327"/>
      <c r="D118" s="327">
        <v>150000</v>
      </c>
      <c r="E118" s="327"/>
      <c r="F118" s="327"/>
      <c r="G118" s="326">
        <v>150000</v>
      </c>
      <c r="H118" s="314"/>
      <c r="I118" s="325"/>
      <c r="J118" s="325"/>
      <c r="K118" s="325"/>
      <c r="L118" s="312"/>
      <c r="M118" s="344"/>
    </row>
    <row r="119" spans="1:13" outlineLevel="1">
      <c r="A119" s="309" t="s">
        <v>59</v>
      </c>
      <c r="B119" s="342" t="s">
        <v>69</v>
      </c>
      <c r="C119" s="327"/>
      <c r="D119" s="327"/>
      <c r="E119" s="327"/>
      <c r="F119" s="327"/>
      <c r="G119" s="326">
        <v>0</v>
      </c>
      <c r="H119" s="314"/>
      <c r="I119" s="325"/>
      <c r="J119" s="325"/>
      <c r="K119" s="325"/>
      <c r="L119" s="312"/>
      <c r="M119" s="344"/>
    </row>
    <row r="120" spans="1:13" outlineLevel="1">
      <c r="A120" s="309" t="s">
        <v>60</v>
      </c>
      <c r="B120" s="342" t="s">
        <v>69</v>
      </c>
      <c r="C120" s="327"/>
      <c r="D120" s="327"/>
      <c r="E120" s="327"/>
      <c r="F120" s="327"/>
      <c r="G120" s="326">
        <v>0</v>
      </c>
      <c r="H120" s="314"/>
      <c r="I120" s="325"/>
      <c r="J120" s="325"/>
      <c r="K120" s="325"/>
      <c r="L120" s="312"/>
      <c r="M120" s="344"/>
    </row>
    <row r="121" spans="1:13" outlineLevel="1">
      <c r="A121" s="307" t="s">
        <v>61</v>
      </c>
      <c r="B121" s="342" t="s">
        <v>69</v>
      </c>
      <c r="C121" s="322">
        <v>0</v>
      </c>
      <c r="D121" s="322">
        <v>0</v>
      </c>
      <c r="E121" s="322">
        <v>0</v>
      </c>
      <c r="F121" s="322">
        <v>0</v>
      </c>
      <c r="G121" s="323">
        <v>0</v>
      </c>
      <c r="H121" s="314"/>
      <c r="I121" s="325">
        <v>0</v>
      </c>
      <c r="J121" s="325">
        <v>0</v>
      </c>
      <c r="K121" s="325">
        <v>0</v>
      </c>
      <c r="L121" s="325">
        <v>0</v>
      </c>
      <c r="M121" s="344">
        <v>0</v>
      </c>
    </row>
    <row r="122" spans="1:13" outlineLevel="1">
      <c r="A122" s="309" t="s">
        <v>57</v>
      </c>
      <c r="B122" s="342" t="s">
        <v>69</v>
      </c>
      <c r="C122" s="328">
        <v>0</v>
      </c>
      <c r="D122" s="328">
        <v>0</v>
      </c>
      <c r="E122" s="328">
        <v>0</v>
      </c>
      <c r="F122" s="328">
        <v>0</v>
      </c>
      <c r="G122" s="326">
        <v>0</v>
      </c>
      <c r="H122" s="314"/>
      <c r="I122" s="325"/>
      <c r="J122" s="325"/>
      <c r="K122" s="325"/>
      <c r="L122" s="312"/>
      <c r="M122" s="344"/>
    </row>
    <row r="123" spans="1:13" outlineLevel="1">
      <c r="A123" s="309" t="s">
        <v>58</v>
      </c>
      <c r="B123" s="342" t="s">
        <v>69</v>
      </c>
      <c r="C123" s="327"/>
      <c r="D123" s="327"/>
      <c r="E123" s="327"/>
      <c r="F123" s="327"/>
      <c r="G123" s="326">
        <v>0</v>
      </c>
      <c r="H123" s="314"/>
      <c r="I123" s="325"/>
      <c r="J123" s="325"/>
      <c r="K123" s="325"/>
      <c r="L123" s="312"/>
      <c r="M123" s="344"/>
    </row>
    <row r="124" spans="1:13" outlineLevel="1">
      <c r="A124" s="309" t="s">
        <v>60</v>
      </c>
      <c r="B124" s="342" t="s">
        <v>69</v>
      </c>
      <c r="C124" s="327"/>
      <c r="D124" s="327"/>
      <c r="E124" s="327"/>
      <c r="F124" s="327"/>
      <c r="G124" s="326">
        <v>0</v>
      </c>
      <c r="H124" s="314"/>
      <c r="I124" s="325"/>
      <c r="J124" s="325"/>
      <c r="K124" s="325"/>
      <c r="L124" s="312"/>
      <c r="M124" s="344"/>
    </row>
    <row r="125" spans="1:13">
      <c r="A125" s="304" t="s">
        <v>90</v>
      </c>
      <c r="B125" s="342" t="s">
        <v>66</v>
      </c>
      <c r="C125" s="322">
        <v>237010</v>
      </c>
      <c r="D125" s="322">
        <v>162010</v>
      </c>
      <c r="E125" s="322">
        <v>162010</v>
      </c>
      <c r="F125" s="322">
        <v>162010</v>
      </c>
      <c r="G125" s="323">
        <v>723040</v>
      </c>
      <c r="H125" s="324">
        <v>1</v>
      </c>
      <c r="I125" s="325">
        <v>237010</v>
      </c>
      <c r="J125" s="325">
        <v>162010</v>
      </c>
      <c r="K125" s="325">
        <v>162010</v>
      </c>
      <c r="L125" s="325">
        <v>162010</v>
      </c>
      <c r="M125" s="344">
        <v>723040</v>
      </c>
    </row>
    <row r="126" spans="1:13" outlineLevel="1">
      <c r="A126" s="307" t="s">
        <v>56</v>
      </c>
      <c r="B126" s="342" t="s">
        <v>66</v>
      </c>
      <c r="C126" s="322">
        <v>0</v>
      </c>
      <c r="D126" s="322">
        <v>0</v>
      </c>
      <c r="E126" s="322">
        <v>0</v>
      </c>
      <c r="F126" s="322">
        <v>0</v>
      </c>
      <c r="G126" s="323">
        <v>0</v>
      </c>
      <c r="H126" s="314"/>
      <c r="I126" s="325">
        <v>0</v>
      </c>
      <c r="J126" s="325">
        <v>0</v>
      </c>
      <c r="K126" s="325">
        <v>0</v>
      </c>
      <c r="L126" s="325">
        <v>0</v>
      </c>
      <c r="M126" s="344">
        <v>0</v>
      </c>
    </row>
    <row r="127" spans="1:13" outlineLevel="1">
      <c r="A127" s="309" t="s">
        <v>57</v>
      </c>
      <c r="B127" s="342" t="s">
        <v>66</v>
      </c>
      <c r="C127" s="327"/>
      <c r="D127" s="327"/>
      <c r="E127" s="327"/>
      <c r="F127" s="327"/>
      <c r="G127" s="326">
        <v>0</v>
      </c>
      <c r="H127" s="314"/>
      <c r="I127" s="325"/>
      <c r="J127" s="325"/>
      <c r="K127" s="325"/>
      <c r="L127" s="312"/>
      <c r="M127" s="344"/>
    </row>
    <row r="128" spans="1:13" outlineLevel="1">
      <c r="A128" s="309" t="s">
        <v>58</v>
      </c>
      <c r="B128" s="342" t="s">
        <v>66</v>
      </c>
      <c r="C128" s="327"/>
      <c r="D128" s="327"/>
      <c r="E128" s="327"/>
      <c r="F128" s="327"/>
      <c r="G128" s="326">
        <v>0</v>
      </c>
      <c r="H128" s="314"/>
      <c r="I128" s="325"/>
      <c r="J128" s="325"/>
      <c r="K128" s="325"/>
      <c r="L128" s="312"/>
      <c r="M128" s="344"/>
    </row>
    <row r="129" spans="1:13" outlineLevel="1">
      <c r="A129" s="309" t="s">
        <v>59</v>
      </c>
      <c r="B129" s="342" t="s">
        <v>66</v>
      </c>
      <c r="C129" s="327"/>
      <c r="D129" s="327"/>
      <c r="E129" s="327"/>
      <c r="F129" s="327"/>
      <c r="G129" s="326">
        <v>0</v>
      </c>
      <c r="H129" s="314"/>
      <c r="I129" s="325"/>
      <c r="J129" s="325"/>
      <c r="K129" s="325"/>
      <c r="L129" s="312"/>
      <c r="M129" s="344"/>
    </row>
    <row r="130" spans="1:13" outlineLevel="1">
      <c r="A130" s="309" t="s">
        <v>60</v>
      </c>
      <c r="B130" s="342" t="s">
        <v>66</v>
      </c>
      <c r="C130" s="327"/>
      <c r="D130" s="327"/>
      <c r="E130" s="327"/>
      <c r="F130" s="327"/>
      <c r="G130" s="326">
        <v>0</v>
      </c>
      <c r="H130" s="314"/>
      <c r="I130" s="325"/>
      <c r="J130" s="325"/>
      <c r="K130" s="325"/>
      <c r="L130" s="312"/>
      <c r="M130" s="344"/>
    </row>
    <row r="131" spans="1:13" outlineLevel="1">
      <c r="A131" s="307" t="s">
        <v>61</v>
      </c>
      <c r="B131" s="342" t="s">
        <v>66</v>
      </c>
      <c r="C131" s="322">
        <v>237010</v>
      </c>
      <c r="D131" s="322">
        <v>162010</v>
      </c>
      <c r="E131" s="322">
        <v>162010</v>
      </c>
      <c r="F131" s="322">
        <v>162010</v>
      </c>
      <c r="G131" s="323">
        <v>723040</v>
      </c>
      <c r="H131" s="314"/>
      <c r="I131" s="325">
        <v>237010</v>
      </c>
      <c r="J131" s="325">
        <v>162010</v>
      </c>
      <c r="K131" s="325">
        <v>162010</v>
      </c>
      <c r="L131" s="325">
        <v>162010</v>
      </c>
      <c r="M131" s="344">
        <v>723040</v>
      </c>
    </row>
    <row r="132" spans="1:13" outlineLevel="1">
      <c r="A132" s="309" t="s">
        <v>57</v>
      </c>
      <c r="B132" s="342" t="s">
        <v>66</v>
      </c>
      <c r="C132" s="328">
        <v>162010</v>
      </c>
      <c r="D132" s="328">
        <v>162010</v>
      </c>
      <c r="E132" s="328">
        <v>162010</v>
      </c>
      <c r="F132" s="328">
        <v>162010</v>
      </c>
      <c r="G132" s="326">
        <v>648040</v>
      </c>
      <c r="H132" s="314"/>
      <c r="I132" s="325"/>
      <c r="J132" s="325"/>
      <c r="K132" s="325"/>
      <c r="L132" s="312"/>
      <c r="M132" s="344"/>
    </row>
    <row r="133" spans="1:13" outlineLevel="1">
      <c r="A133" s="309" t="s">
        <v>58</v>
      </c>
      <c r="B133" s="342" t="s">
        <v>66</v>
      </c>
      <c r="C133" s="327">
        <v>75000</v>
      </c>
      <c r="D133" s="327"/>
      <c r="E133" s="327"/>
      <c r="F133" s="327"/>
      <c r="G133" s="326">
        <v>75000</v>
      </c>
      <c r="H133" s="314"/>
      <c r="I133" s="325"/>
      <c r="J133" s="325"/>
      <c r="K133" s="325"/>
      <c r="L133" s="312"/>
      <c r="M133" s="344"/>
    </row>
    <row r="134" spans="1:13" outlineLevel="1">
      <c r="A134" s="309" t="s">
        <v>60</v>
      </c>
      <c r="B134" s="342" t="s">
        <v>66</v>
      </c>
      <c r="C134" s="327"/>
      <c r="D134" s="327"/>
      <c r="E134" s="327"/>
      <c r="F134" s="327"/>
      <c r="G134" s="326">
        <v>0</v>
      </c>
      <c r="H134" s="314"/>
      <c r="I134" s="325"/>
      <c r="J134" s="325"/>
      <c r="K134" s="325"/>
      <c r="L134" s="312"/>
      <c r="M134" s="344"/>
    </row>
    <row r="135" spans="1:13">
      <c r="A135" s="304" t="s">
        <v>91</v>
      </c>
      <c r="B135" s="342" t="s">
        <v>66</v>
      </c>
      <c r="C135" s="322">
        <v>0</v>
      </c>
      <c r="D135" s="322">
        <v>0</v>
      </c>
      <c r="E135" s="322">
        <v>0</v>
      </c>
      <c r="F135" s="322">
        <v>0</v>
      </c>
      <c r="G135" s="323">
        <v>0</v>
      </c>
      <c r="H135" s="324">
        <v>1</v>
      </c>
      <c r="I135" s="325">
        <v>0</v>
      </c>
      <c r="J135" s="325">
        <v>0</v>
      </c>
      <c r="K135" s="325">
        <v>0</v>
      </c>
      <c r="L135" s="325">
        <v>0</v>
      </c>
      <c r="M135" s="344">
        <v>0</v>
      </c>
    </row>
    <row r="136" spans="1:13" outlineLevel="1">
      <c r="A136" s="307" t="s">
        <v>56</v>
      </c>
      <c r="B136" s="342" t="s">
        <v>66</v>
      </c>
      <c r="C136" s="322">
        <v>0</v>
      </c>
      <c r="D136" s="322">
        <v>0</v>
      </c>
      <c r="E136" s="322">
        <v>0</v>
      </c>
      <c r="F136" s="322">
        <v>0</v>
      </c>
      <c r="G136" s="323">
        <v>0</v>
      </c>
      <c r="H136" s="314"/>
      <c r="I136" s="325">
        <v>0</v>
      </c>
      <c r="J136" s="325">
        <v>0</v>
      </c>
      <c r="K136" s="325">
        <v>0</v>
      </c>
      <c r="L136" s="325">
        <v>0</v>
      </c>
      <c r="M136" s="344">
        <v>0</v>
      </c>
    </row>
    <row r="137" spans="1:13" outlineLevel="1">
      <c r="A137" s="309" t="s">
        <v>57</v>
      </c>
      <c r="B137" s="342" t="s">
        <v>66</v>
      </c>
      <c r="C137" s="327"/>
      <c r="D137" s="327"/>
      <c r="E137" s="327"/>
      <c r="F137" s="327"/>
      <c r="G137" s="326">
        <v>0</v>
      </c>
      <c r="H137" s="314"/>
      <c r="I137" s="325"/>
      <c r="J137" s="325"/>
      <c r="K137" s="325"/>
      <c r="L137" s="312"/>
      <c r="M137" s="344"/>
    </row>
    <row r="138" spans="1:13" outlineLevel="1">
      <c r="A138" s="309" t="s">
        <v>58</v>
      </c>
      <c r="B138" s="342" t="s">
        <v>66</v>
      </c>
      <c r="C138" s="327"/>
      <c r="D138" s="327"/>
      <c r="E138" s="327"/>
      <c r="F138" s="327"/>
      <c r="G138" s="326">
        <v>0</v>
      </c>
      <c r="H138" s="314"/>
      <c r="I138" s="325"/>
      <c r="J138" s="325"/>
      <c r="K138" s="325"/>
      <c r="L138" s="312"/>
      <c r="M138" s="344"/>
    </row>
    <row r="139" spans="1:13" outlineLevel="1">
      <c r="A139" s="309" t="s">
        <v>59</v>
      </c>
      <c r="B139" s="342" t="s">
        <v>66</v>
      </c>
      <c r="C139" s="327"/>
      <c r="D139" s="327"/>
      <c r="E139" s="327"/>
      <c r="F139" s="327"/>
      <c r="G139" s="326">
        <v>0</v>
      </c>
      <c r="H139" s="314"/>
      <c r="I139" s="325"/>
      <c r="J139" s="325"/>
      <c r="K139" s="325"/>
      <c r="L139" s="312"/>
      <c r="M139" s="344"/>
    </row>
    <row r="140" spans="1:13" outlineLevel="1">
      <c r="A140" s="309" t="s">
        <v>60</v>
      </c>
      <c r="B140" s="342" t="s">
        <v>66</v>
      </c>
      <c r="C140" s="327"/>
      <c r="D140" s="327"/>
      <c r="E140" s="327"/>
      <c r="F140" s="327"/>
      <c r="G140" s="326">
        <v>0</v>
      </c>
      <c r="H140" s="314"/>
      <c r="I140" s="325"/>
      <c r="J140" s="325"/>
      <c r="K140" s="325"/>
      <c r="L140" s="312"/>
      <c r="M140" s="344"/>
    </row>
    <row r="141" spans="1:13" outlineLevel="1">
      <c r="A141" s="307" t="s">
        <v>61</v>
      </c>
      <c r="B141" s="342" t="s">
        <v>66</v>
      </c>
      <c r="C141" s="322">
        <v>0</v>
      </c>
      <c r="D141" s="322">
        <v>0</v>
      </c>
      <c r="E141" s="322">
        <v>0</v>
      </c>
      <c r="F141" s="322">
        <v>0</v>
      </c>
      <c r="G141" s="323">
        <v>0</v>
      </c>
      <c r="H141" s="314"/>
      <c r="I141" s="325">
        <v>0</v>
      </c>
      <c r="J141" s="325">
        <v>0</v>
      </c>
      <c r="K141" s="325">
        <v>0</v>
      </c>
      <c r="L141" s="325">
        <v>0</v>
      </c>
      <c r="M141" s="344">
        <v>0</v>
      </c>
    </row>
    <row r="142" spans="1:13" outlineLevel="1">
      <c r="A142" s="309" t="s">
        <v>57</v>
      </c>
      <c r="B142" s="342" t="s">
        <v>66</v>
      </c>
      <c r="C142" s="328">
        <v>0</v>
      </c>
      <c r="D142" s="328">
        <v>0</v>
      </c>
      <c r="E142" s="328">
        <v>0</v>
      </c>
      <c r="F142" s="328">
        <v>0</v>
      </c>
      <c r="G142" s="326">
        <v>0</v>
      </c>
      <c r="H142" s="314"/>
      <c r="I142" s="325"/>
      <c r="J142" s="325"/>
      <c r="K142" s="325"/>
      <c r="L142" s="312"/>
      <c r="M142" s="344"/>
    </row>
    <row r="143" spans="1:13" outlineLevel="1">
      <c r="A143" s="309" t="s">
        <v>58</v>
      </c>
      <c r="B143" s="342" t="s">
        <v>66</v>
      </c>
      <c r="C143" s="327"/>
      <c r="D143" s="327"/>
      <c r="E143" s="327"/>
      <c r="F143" s="327"/>
      <c r="G143" s="326">
        <v>0</v>
      </c>
      <c r="H143" s="314"/>
      <c r="I143" s="325"/>
      <c r="J143" s="325"/>
      <c r="K143" s="325"/>
      <c r="L143" s="312"/>
      <c r="M143" s="344"/>
    </row>
    <row r="144" spans="1:13" outlineLevel="1">
      <c r="A144" s="309" t="s">
        <v>60</v>
      </c>
      <c r="B144" s="342" t="s">
        <v>66</v>
      </c>
      <c r="C144" s="327"/>
      <c r="D144" s="327"/>
      <c r="E144" s="327"/>
      <c r="F144" s="327"/>
      <c r="G144" s="326">
        <v>0</v>
      </c>
      <c r="H144" s="314"/>
      <c r="I144" s="325"/>
      <c r="J144" s="325"/>
      <c r="K144" s="325"/>
      <c r="L144" s="312"/>
      <c r="M144" s="344"/>
    </row>
    <row r="145" spans="1:13">
      <c r="A145" s="304" t="s">
        <v>93</v>
      </c>
      <c r="B145" s="342" t="s">
        <v>94</v>
      </c>
      <c r="C145" s="322">
        <v>162010</v>
      </c>
      <c r="D145" s="322">
        <v>412010</v>
      </c>
      <c r="E145" s="322">
        <v>162010</v>
      </c>
      <c r="F145" s="322">
        <v>162010</v>
      </c>
      <c r="G145" s="323">
        <v>898040</v>
      </c>
      <c r="H145" s="324">
        <v>1</v>
      </c>
      <c r="I145" s="325">
        <v>162010</v>
      </c>
      <c r="J145" s="325">
        <v>412010</v>
      </c>
      <c r="K145" s="325">
        <v>162010</v>
      </c>
      <c r="L145" s="325">
        <v>162010</v>
      </c>
      <c r="M145" s="344">
        <v>898040</v>
      </c>
    </row>
    <row r="146" spans="1:13" outlineLevel="1">
      <c r="A146" s="307" t="s">
        <v>56</v>
      </c>
      <c r="B146" s="342" t="s">
        <v>94</v>
      </c>
      <c r="C146" s="322">
        <v>0</v>
      </c>
      <c r="D146" s="322">
        <v>0</v>
      </c>
      <c r="E146" s="322">
        <v>0</v>
      </c>
      <c r="F146" s="322">
        <v>0</v>
      </c>
      <c r="G146" s="323">
        <v>0</v>
      </c>
      <c r="H146" s="314"/>
      <c r="I146" s="325">
        <v>0</v>
      </c>
      <c r="J146" s="325">
        <v>0</v>
      </c>
      <c r="K146" s="325">
        <v>0</v>
      </c>
      <c r="L146" s="325">
        <v>0</v>
      </c>
      <c r="M146" s="344">
        <v>0</v>
      </c>
    </row>
    <row r="147" spans="1:13" outlineLevel="1">
      <c r="A147" s="309" t="s">
        <v>57</v>
      </c>
      <c r="B147" s="342" t="s">
        <v>94</v>
      </c>
      <c r="C147" s="312"/>
      <c r="D147" s="327"/>
      <c r="E147" s="327"/>
      <c r="F147" s="327"/>
      <c r="G147" s="326">
        <v>0</v>
      </c>
      <c r="H147" s="314"/>
      <c r="I147" s="325"/>
      <c r="J147" s="325"/>
      <c r="K147" s="325"/>
      <c r="L147" s="312"/>
      <c r="M147" s="344"/>
    </row>
    <row r="148" spans="1:13" outlineLevel="1">
      <c r="A148" s="309" t="s">
        <v>58</v>
      </c>
      <c r="B148" s="342" t="s">
        <v>94</v>
      </c>
      <c r="C148" s="327"/>
      <c r="D148" s="327"/>
      <c r="E148" s="327"/>
      <c r="F148" s="327"/>
      <c r="G148" s="326">
        <v>0</v>
      </c>
      <c r="H148" s="314"/>
      <c r="I148" s="325"/>
      <c r="J148" s="325"/>
      <c r="K148" s="325"/>
      <c r="L148" s="312"/>
      <c r="M148" s="344"/>
    </row>
    <row r="149" spans="1:13" outlineLevel="1">
      <c r="A149" s="309" t="s">
        <v>59</v>
      </c>
      <c r="B149" s="342" t="s">
        <v>94</v>
      </c>
      <c r="C149" s="327"/>
      <c r="D149" s="327"/>
      <c r="E149" s="327"/>
      <c r="F149" s="327"/>
      <c r="G149" s="326">
        <v>0</v>
      </c>
      <c r="H149" s="314"/>
      <c r="I149" s="325"/>
      <c r="J149" s="325"/>
      <c r="K149" s="325"/>
      <c r="L149" s="312"/>
      <c r="M149" s="344"/>
    </row>
    <row r="150" spans="1:13" outlineLevel="1">
      <c r="A150" s="309" t="s">
        <v>60</v>
      </c>
      <c r="B150" s="342" t="s">
        <v>94</v>
      </c>
      <c r="C150" s="327"/>
      <c r="D150" s="327"/>
      <c r="E150" s="327"/>
      <c r="F150" s="327"/>
      <c r="G150" s="326">
        <v>0</v>
      </c>
      <c r="H150" s="314"/>
      <c r="I150" s="325"/>
      <c r="J150" s="325"/>
      <c r="K150" s="325"/>
      <c r="L150" s="312"/>
      <c r="M150" s="344"/>
    </row>
    <row r="151" spans="1:13" outlineLevel="1">
      <c r="A151" s="307" t="s">
        <v>61</v>
      </c>
      <c r="B151" s="342" t="s">
        <v>94</v>
      </c>
      <c r="C151" s="322">
        <v>162010</v>
      </c>
      <c r="D151" s="322">
        <v>412010</v>
      </c>
      <c r="E151" s="322">
        <v>162010</v>
      </c>
      <c r="F151" s="322">
        <v>162010</v>
      </c>
      <c r="G151" s="323">
        <v>898040</v>
      </c>
      <c r="H151" s="314"/>
      <c r="I151" s="325">
        <v>162010</v>
      </c>
      <c r="J151" s="325">
        <v>412010</v>
      </c>
      <c r="K151" s="325">
        <v>162010</v>
      </c>
      <c r="L151" s="325">
        <v>162010</v>
      </c>
      <c r="M151" s="344">
        <v>898040</v>
      </c>
    </row>
    <row r="152" spans="1:13" outlineLevel="1">
      <c r="A152" s="309" t="s">
        <v>57</v>
      </c>
      <c r="B152" s="342" t="s">
        <v>94</v>
      </c>
      <c r="C152" s="328">
        <v>162010</v>
      </c>
      <c r="D152" s="328">
        <v>162010</v>
      </c>
      <c r="E152" s="328">
        <v>162010</v>
      </c>
      <c r="F152" s="328">
        <v>162010</v>
      </c>
      <c r="G152" s="326">
        <v>648040</v>
      </c>
      <c r="H152" s="314"/>
      <c r="I152" s="325"/>
      <c r="J152" s="325"/>
      <c r="K152" s="325"/>
      <c r="L152" s="312"/>
      <c r="M152" s="344"/>
    </row>
    <row r="153" spans="1:13" outlineLevel="1">
      <c r="A153" s="309" t="s">
        <v>58</v>
      </c>
      <c r="B153" s="342" t="s">
        <v>94</v>
      </c>
      <c r="C153" s="327">
        <v>0</v>
      </c>
      <c r="D153" s="327">
        <v>250000</v>
      </c>
      <c r="E153" s="327"/>
      <c r="F153" s="327"/>
      <c r="G153" s="326">
        <v>250000</v>
      </c>
      <c r="H153" s="314"/>
      <c r="I153" s="325"/>
      <c r="J153" s="325"/>
      <c r="K153" s="325"/>
      <c r="L153" s="312"/>
      <c r="M153" s="344"/>
    </row>
    <row r="154" spans="1:13" outlineLevel="1">
      <c r="A154" s="309" t="s">
        <v>60</v>
      </c>
      <c r="B154" s="342" t="s">
        <v>94</v>
      </c>
      <c r="C154" s="327"/>
      <c r="D154" s="327"/>
      <c r="E154" s="327"/>
      <c r="F154" s="327"/>
      <c r="G154" s="326">
        <v>0</v>
      </c>
      <c r="H154" s="314"/>
      <c r="I154" s="325"/>
      <c r="J154" s="325"/>
      <c r="K154" s="325"/>
      <c r="L154" s="312"/>
      <c r="M154" s="344"/>
    </row>
    <row r="155" spans="1:13">
      <c r="A155" s="304" t="s">
        <v>96</v>
      </c>
      <c r="B155" s="342" t="s">
        <v>94</v>
      </c>
      <c r="C155" s="322">
        <v>100000</v>
      </c>
      <c r="D155" s="322">
        <v>925710</v>
      </c>
      <c r="E155" s="322">
        <v>775710</v>
      </c>
      <c r="F155" s="322">
        <v>775710</v>
      </c>
      <c r="G155" s="323">
        <v>2577130</v>
      </c>
      <c r="H155" s="324">
        <v>1</v>
      </c>
      <c r="I155" s="325">
        <v>100000</v>
      </c>
      <c r="J155" s="325">
        <v>925710</v>
      </c>
      <c r="K155" s="325">
        <v>775710</v>
      </c>
      <c r="L155" s="325">
        <v>775710</v>
      </c>
      <c r="M155" s="344">
        <v>2577130</v>
      </c>
    </row>
    <row r="156" spans="1:13" outlineLevel="1">
      <c r="A156" s="307" t="s">
        <v>56</v>
      </c>
      <c r="B156" s="342" t="s">
        <v>94</v>
      </c>
      <c r="C156" s="322">
        <v>0</v>
      </c>
      <c r="D156" s="322">
        <v>0</v>
      </c>
      <c r="E156" s="322">
        <v>0</v>
      </c>
      <c r="F156" s="322">
        <v>0</v>
      </c>
      <c r="G156" s="323">
        <v>0</v>
      </c>
      <c r="H156" s="314"/>
      <c r="I156" s="325">
        <v>0</v>
      </c>
      <c r="J156" s="325">
        <v>0</v>
      </c>
      <c r="K156" s="325">
        <v>0</v>
      </c>
      <c r="L156" s="325">
        <v>0</v>
      </c>
      <c r="M156" s="344">
        <v>0</v>
      </c>
    </row>
    <row r="157" spans="1:13" outlineLevel="1">
      <c r="A157" s="309" t="s">
        <v>57</v>
      </c>
      <c r="B157" s="342" t="s">
        <v>94</v>
      </c>
      <c r="C157" s="327"/>
      <c r="D157" s="327"/>
      <c r="E157" s="327"/>
      <c r="F157" s="327"/>
      <c r="G157" s="326">
        <v>0</v>
      </c>
      <c r="H157" s="314"/>
      <c r="I157" s="325"/>
      <c r="J157" s="325"/>
      <c r="K157" s="325"/>
      <c r="L157" s="312"/>
      <c r="M157" s="344"/>
    </row>
    <row r="158" spans="1:13" outlineLevel="1">
      <c r="A158" s="309" t="s">
        <v>58</v>
      </c>
      <c r="B158" s="342" t="s">
        <v>94</v>
      </c>
      <c r="C158" s="327"/>
      <c r="D158" s="327"/>
      <c r="E158" s="327"/>
      <c r="F158" s="327"/>
      <c r="G158" s="326">
        <v>0</v>
      </c>
      <c r="H158" s="314"/>
      <c r="I158" s="325"/>
      <c r="J158" s="325"/>
      <c r="K158" s="325"/>
      <c r="L158" s="312"/>
      <c r="M158" s="344"/>
    </row>
    <row r="159" spans="1:13" outlineLevel="1">
      <c r="A159" s="309" t="s">
        <v>59</v>
      </c>
      <c r="B159" s="342" t="s">
        <v>94</v>
      </c>
      <c r="C159" s="327"/>
      <c r="D159" s="327"/>
      <c r="E159" s="327"/>
      <c r="F159" s="327"/>
      <c r="G159" s="326">
        <v>0</v>
      </c>
      <c r="H159" s="314"/>
      <c r="I159" s="325"/>
      <c r="J159" s="325"/>
      <c r="K159" s="325"/>
      <c r="L159" s="312"/>
      <c r="M159" s="344"/>
    </row>
    <row r="160" spans="1:13" outlineLevel="1">
      <c r="A160" s="309" t="s">
        <v>60</v>
      </c>
      <c r="B160" s="342" t="s">
        <v>94</v>
      </c>
      <c r="C160" s="327"/>
      <c r="D160" s="327"/>
      <c r="E160" s="327"/>
      <c r="F160" s="327"/>
      <c r="G160" s="326">
        <v>0</v>
      </c>
      <c r="H160" s="314"/>
      <c r="I160" s="325"/>
      <c r="J160" s="325"/>
      <c r="K160" s="325"/>
      <c r="L160" s="312"/>
      <c r="M160" s="344"/>
    </row>
    <row r="161" spans="1:13" outlineLevel="1">
      <c r="A161" s="307" t="s">
        <v>61</v>
      </c>
      <c r="B161" s="342" t="s">
        <v>94</v>
      </c>
      <c r="C161" s="322">
        <v>100000</v>
      </c>
      <c r="D161" s="322">
        <v>925710</v>
      </c>
      <c r="E161" s="322">
        <v>775710</v>
      </c>
      <c r="F161" s="322">
        <v>775710</v>
      </c>
      <c r="G161" s="323">
        <v>2577130</v>
      </c>
      <c r="H161" s="314"/>
      <c r="I161" s="325">
        <v>100000</v>
      </c>
      <c r="J161" s="325">
        <v>925710</v>
      </c>
      <c r="K161" s="325">
        <v>775710</v>
      </c>
      <c r="L161" s="325">
        <v>775710</v>
      </c>
      <c r="M161" s="344">
        <v>2577130</v>
      </c>
    </row>
    <row r="162" spans="1:13" outlineLevel="1">
      <c r="A162" s="309" t="s">
        <v>57</v>
      </c>
      <c r="B162" s="342" t="s">
        <v>94</v>
      </c>
      <c r="C162" s="328">
        <v>0</v>
      </c>
      <c r="D162" s="328">
        <v>775710</v>
      </c>
      <c r="E162" s="328">
        <v>775710</v>
      </c>
      <c r="F162" s="328">
        <v>775710</v>
      </c>
      <c r="G162" s="326">
        <v>2327130</v>
      </c>
      <c r="H162" s="314"/>
      <c r="I162" s="325"/>
      <c r="J162" s="325"/>
      <c r="K162" s="325"/>
      <c r="L162" s="312"/>
      <c r="M162" s="344"/>
    </row>
    <row r="163" spans="1:13" outlineLevel="1">
      <c r="A163" s="309" t="s">
        <v>58</v>
      </c>
      <c r="B163" s="342" t="s">
        <v>94</v>
      </c>
      <c r="C163" s="327">
        <v>100000</v>
      </c>
      <c r="D163" s="327">
        <v>150000</v>
      </c>
      <c r="E163" s="327"/>
      <c r="F163" s="327"/>
      <c r="G163" s="326">
        <v>250000</v>
      </c>
      <c r="H163" s="314"/>
      <c r="I163" s="325"/>
      <c r="J163" s="325"/>
      <c r="K163" s="325"/>
      <c r="L163" s="312"/>
      <c r="M163" s="344"/>
    </row>
    <row r="164" spans="1:13" outlineLevel="1">
      <c r="A164" s="309" t="s">
        <v>60</v>
      </c>
      <c r="B164" s="342" t="s">
        <v>94</v>
      </c>
      <c r="C164" s="327"/>
      <c r="D164" s="327"/>
      <c r="E164" s="327"/>
      <c r="F164" s="327"/>
      <c r="G164" s="326">
        <v>0</v>
      </c>
      <c r="H164" s="314"/>
      <c r="I164" s="325"/>
      <c r="J164" s="325"/>
      <c r="K164" s="325"/>
      <c r="L164" s="312"/>
      <c r="M164" s="344"/>
    </row>
    <row r="165" spans="1:13">
      <c r="A165" s="304" t="s">
        <v>98</v>
      </c>
      <c r="B165" s="342" t="s">
        <v>94</v>
      </c>
      <c r="C165" s="322">
        <v>100000</v>
      </c>
      <c r="D165" s="322">
        <v>640960</v>
      </c>
      <c r="E165" s="322">
        <v>490960</v>
      </c>
      <c r="F165" s="322">
        <v>490960</v>
      </c>
      <c r="G165" s="323">
        <v>1722880</v>
      </c>
      <c r="H165" s="324">
        <v>1</v>
      </c>
      <c r="I165" s="325">
        <v>100000</v>
      </c>
      <c r="J165" s="325">
        <v>640960</v>
      </c>
      <c r="K165" s="325">
        <v>490960</v>
      </c>
      <c r="L165" s="325">
        <v>490960</v>
      </c>
      <c r="M165" s="344">
        <v>1722880</v>
      </c>
    </row>
    <row r="166" spans="1:13" outlineLevel="1">
      <c r="A166" s="307" t="s">
        <v>56</v>
      </c>
      <c r="B166" s="342" t="s">
        <v>94</v>
      </c>
      <c r="C166" s="322">
        <v>0</v>
      </c>
      <c r="D166" s="322">
        <v>0</v>
      </c>
      <c r="E166" s="322">
        <v>0</v>
      </c>
      <c r="F166" s="322">
        <v>0</v>
      </c>
      <c r="G166" s="323">
        <v>0</v>
      </c>
      <c r="H166" s="314"/>
      <c r="I166" s="325">
        <v>0</v>
      </c>
      <c r="J166" s="325">
        <v>0</v>
      </c>
      <c r="K166" s="325">
        <v>0</v>
      </c>
      <c r="L166" s="325">
        <v>0</v>
      </c>
      <c r="M166" s="344">
        <v>0</v>
      </c>
    </row>
    <row r="167" spans="1:13" outlineLevel="1">
      <c r="A167" s="309" t="s">
        <v>57</v>
      </c>
      <c r="B167" s="342" t="s">
        <v>94</v>
      </c>
      <c r="C167" s="327"/>
      <c r="D167" s="327"/>
      <c r="E167" s="327"/>
      <c r="F167" s="327"/>
      <c r="G167" s="326">
        <v>0</v>
      </c>
      <c r="H167" s="314"/>
      <c r="I167" s="325"/>
      <c r="J167" s="325"/>
      <c r="K167" s="325"/>
      <c r="L167" s="312"/>
      <c r="M167" s="344"/>
    </row>
    <row r="168" spans="1:13" outlineLevel="1">
      <c r="A168" s="309" t="s">
        <v>58</v>
      </c>
      <c r="B168" s="342" t="s">
        <v>94</v>
      </c>
      <c r="C168" s="327"/>
      <c r="D168" s="327"/>
      <c r="E168" s="327"/>
      <c r="F168" s="327"/>
      <c r="G168" s="326">
        <v>0</v>
      </c>
      <c r="H168" s="314"/>
      <c r="I168" s="325"/>
      <c r="J168" s="325"/>
      <c r="K168" s="325"/>
      <c r="L168" s="312"/>
      <c r="M168" s="344"/>
    </row>
    <row r="169" spans="1:13" outlineLevel="1">
      <c r="A169" s="309" t="s">
        <v>59</v>
      </c>
      <c r="B169" s="342" t="s">
        <v>94</v>
      </c>
      <c r="C169" s="327"/>
      <c r="D169" s="327"/>
      <c r="E169" s="327"/>
      <c r="F169" s="327"/>
      <c r="G169" s="326">
        <v>0</v>
      </c>
      <c r="H169" s="314"/>
      <c r="I169" s="325"/>
      <c r="J169" s="325"/>
      <c r="K169" s="325"/>
      <c r="L169" s="312"/>
      <c r="M169" s="344"/>
    </row>
    <row r="170" spans="1:13" outlineLevel="1">
      <c r="A170" s="309" t="s">
        <v>60</v>
      </c>
      <c r="B170" s="342" t="s">
        <v>94</v>
      </c>
      <c r="C170" s="327"/>
      <c r="D170" s="327"/>
      <c r="E170" s="327"/>
      <c r="F170" s="327"/>
      <c r="G170" s="326">
        <v>0</v>
      </c>
      <c r="H170" s="314"/>
      <c r="I170" s="325"/>
      <c r="J170" s="325"/>
      <c r="K170" s="325"/>
      <c r="L170" s="312"/>
      <c r="M170" s="344"/>
    </row>
    <row r="171" spans="1:13" outlineLevel="1">
      <c r="A171" s="307" t="s">
        <v>61</v>
      </c>
      <c r="B171" s="342" t="s">
        <v>94</v>
      </c>
      <c r="C171" s="322">
        <v>100000</v>
      </c>
      <c r="D171" s="322">
        <v>640960</v>
      </c>
      <c r="E171" s="322">
        <v>490960</v>
      </c>
      <c r="F171" s="322">
        <v>490960</v>
      </c>
      <c r="G171" s="323">
        <v>1722880</v>
      </c>
      <c r="H171" s="314"/>
      <c r="I171" s="325">
        <v>100000</v>
      </c>
      <c r="J171" s="325">
        <v>640960</v>
      </c>
      <c r="K171" s="325">
        <v>490960</v>
      </c>
      <c r="L171" s="325">
        <v>490960</v>
      </c>
      <c r="M171" s="344">
        <v>1722880</v>
      </c>
    </row>
    <row r="172" spans="1:13" outlineLevel="1">
      <c r="A172" s="309" t="s">
        <v>57</v>
      </c>
      <c r="B172" s="342" t="s">
        <v>94</v>
      </c>
      <c r="C172" s="328">
        <v>0</v>
      </c>
      <c r="D172" s="328">
        <v>490960</v>
      </c>
      <c r="E172" s="328">
        <v>490960</v>
      </c>
      <c r="F172" s="328">
        <v>490960</v>
      </c>
      <c r="G172" s="326">
        <v>1472880</v>
      </c>
      <c r="H172" s="314"/>
      <c r="I172" s="325"/>
      <c r="J172" s="325"/>
      <c r="K172" s="325"/>
      <c r="L172" s="312"/>
      <c r="M172" s="344"/>
    </row>
    <row r="173" spans="1:13" outlineLevel="1">
      <c r="A173" s="309" t="s">
        <v>58</v>
      </c>
      <c r="B173" s="342" t="s">
        <v>94</v>
      </c>
      <c r="C173" s="327">
        <v>100000</v>
      </c>
      <c r="D173" s="327">
        <v>150000</v>
      </c>
      <c r="E173" s="327"/>
      <c r="F173" s="327"/>
      <c r="G173" s="326">
        <v>250000</v>
      </c>
      <c r="H173" s="314"/>
      <c r="I173" s="325"/>
      <c r="J173" s="325"/>
      <c r="K173" s="325"/>
      <c r="L173" s="312"/>
      <c r="M173" s="344"/>
    </row>
    <row r="174" spans="1:13" outlineLevel="1">
      <c r="A174" s="309" t="s">
        <v>60</v>
      </c>
      <c r="B174" s="342" t="s">
        <v>94</v>
      </c>
      <c r="C174" s="327"/>
      <c r="D174" s="327"/>
      <c r="E174" s="327"/>
      <c r="F174" s="327"/>
      <c r="G174" s="326">
        <v>0</v>
      </c>
      <c r="H174" s="314"/>
      <c r="I174" s="325"/>
      <c r="J174" s="325"/>
      <c r="K174" s="325"/>
      <c r="L174" s="312"/>
      <c r="M174" s="344"/>
    </row>
    <row r="175" spans="1:13">
      <c r="A175" s="304" t="s">
        <v>100</v>
      </c>
      <c r="B175" s="342" t="s">
        <v>94</v>
      </c>
      <c r="C175" s="322">
        <v>4356510</v>
      </c>
      <c r="D175" s="322">
        <v>4356510</v>
      </c>
      <c r="E175" s="322">
        <v>455260</v>
      </c>
      <c r="F175" s="322">
        <v>455260</v>
      </c>
      <c r="G175" s="323">
        <v>9623540</v>
      </c>
      <c r="H175" s="331">
        <v>1</v>
      </c>
      <c r="I175" s="325">
        <v>4356510</v>
      </c>
      <c r="J175" s="325">
        <v>4356510</v>
      </c>
      <c r="K175" s="325">
        <v>455260</v>
      </c>
      <c r="L175" s="325">
        <v>455260</v>
      </c>
      <c r="M175" s="344">
        <v>9623540</v>
      </c>
    </row>
    <row r="176" spans="1:13" outlineLevel="1">
      <c r="A176" s="307" t="s">
        <v>56</v>
      </c>
      <c r="B176" s="342" t="s">
        <v>94</v>
      </c>
      <c r="C176" s="332">
        <v>3901250</v>
      </c>
      <c r="D176" s="332">
        <v>3901250</v>
      </c>
      <c r="E176" s="330">
        <v>0</v>
      </c>
      <c r="F176" s="330">
        <v>0</v>
      </c>
      <c r="G176" s="323">
        <v>7802500</v>
      </c>
      <c r="H176" s="314"/>
      <c r="I176" s="325">
        <v>3901250</v>
      </c>
      <c r="J176" s="325">
        <v>3901250</v>
      </c>
      <c r="K176" s="325">
        <v>0</v>
      </c>
      <c r="L176" s="325">
        <v>0</v>
      </c>
      <c r="M176" s="344">
        <v>7802500</v>
      </c>
    </row>
    <row r="177" spans="1:13" outlineLevel="1">
      <c r="A177" s="309" t="s">
        <v>57</v>
      </c>
      <c r="B177" s="342" t="s">
        <v>94</v>
      </c>
      <c r="C177" s="327"/>
      <c r="D177" s="327"/>
      <c r="E177" s="327"/>
      <c r="F177" s="327"/>
      <c r="G177" s="326">
        <v>0</v>
      </c>
      <c r="H177" s="314"/>
      <c r="I177" s="325"/>
      <c r="J177" s="325"/>
      <c r="K177" s="325"/>
      <c r="L177" s="312"/>
      <c r="M177" s="344"/>
    </row>
    <row r="178" spans="1:13" outlineLevel="1">
      <c r="A178" s="309" t="s">
        <v>58</v>
      </c>
      <c r="B178" s="342" t="s">
        <v>94</v>
      </c>
      <c r="C178" s="327"/>
      <c r="D178" s="327"/>
      <c r="E178" s="327"/>
      <c r="F178" s="327"/>
      <c r="G178" s="326">
        <v>0</v>
      </c>
      <c r="H178" s="314"/>
      <c r="I178" s="325"/>
      <c r="J178" s="325"/>
      <c r="K178" s="325"/>
      <c r="L178" s="312"/>
      <c r="M178" s="344"/>
    </row>
    <row r="179" spans="1:13" outlineLevel="1">
      <c r="A179" s="309" t="s">
        <v>59</v>
      </c>
      <c r="B179" s="342" t="s">
        <v>94</v>
      </c>
      <c r="C179" s="327"/>
      <c r="D179" s="327"/>
      <c r="E179" s="327"/>
      <c r="F179" s="327"/>
      <c r="G179" s="326">
        <v>0</v>
      </c>
      <c r="H179" s="314"/>
      <c r="I179" s="325"/>
      <c r="J179" s="325"/>
      <c r="K179" s="325"/>
      <c r="L179" s="312"/>
      <c r="M179" s="344"/>
    </row>
    <row r="180" spans="1:13" outlineLevel="1">
      <c r="A180" s="309" t="s">
        <v>60</v>
      </c>
      <c r="B180" s="342" t="s">
        <v>94</v>
      </c>
      <c r="C180" s="327"/>
      <c r="D180" s="327"/>
      <c r="E180" s="327"/>
      <c r="F180" s="327"/>
      <c r="G180" s="326">
        <v>0</v>
      </c>
      <c r="H180" s="314"/>
      <c r="I180" s="325"/>
      <c r="J180" s="325"/>
      <c r="K180" s="325"/>
      <c r="L180" s="312"/>
      <c r="M180" s="344"/>
    </row>
    <row r="181" spans="1:13" outlineLevel="1">
      <c r="A181" s="307" t="s">
        <v>61</v>
      </c>
      <c r="B181" s="342" t="s">
        <v>94</v>
      </c>
      <c r="C181" s="322">
        <v>455260</v>
      </c>
      <c r="D181" s="322">
        <v>455260</v>
      </c>
      <c r="E181" s="322">
        <v>455260</v>
      </c>
      <c r="F181" s="322">
        <v>455260</v>
      </c>
      <c r="G181" s="323">
        <v>1821040</v>
      </c>
      <c r="H181" s="314"/>
      <c r="I181" s="325">
        <v>455260</v>
      </c>
      <c r="J181" s="325">
        <v>455260</v>
      </c>
      <c r="K181" s="325">
        <v>455260</v>
      </c>
      <c r="L181" s="325">
        <v>455260</v>
      </c>
      <c r="M181" s="344">
        <v>1821040</v>
      </c>
    </row>
    <row r="182" spans="1:13" outlineLevel="1">
      <c r="A182" s="309" t="s">
        <v>57</v>
      </c>
      <c r="B182" s="342" t="s">
        <v>94</v>
      </c>
      <c r="C182" s="328">
        <v>455260</v>
      </c>
      <c r="D182" s="328">
        <v>455260</v>
      </c>
      <c r="E182" s="328">
        <v>455260</v>
      </c>
      <c r="F182" s="328">
        <v>455260</v>
      </c>
      <c r="G182" s="326">
        <v>1821040</v>
      </c>
      <c r="H182" s="314"/>
      <c r="I182" s="325"/>
      <c r="J182" s="325"/>
      <c r="K182" s="325"/>
      <c r="L182" s="312"/>
      <c r="M182" s="344"/>
    </row>
    <row r="183" spans="1:13" outlineLevel="1">
      <c r="A183" s="309" t="s">
        <v>58</v>
      </c>
      <c r="B183" s="342" t="s">
        <v>94</v>
      </c>
      <c r="C183" s="327"/>
      <c r="D183" s="327"/>
      <c r="E183" s="327"/>
      <c r="F183" s="327"/>
      <c r="G183" s="326">
        <v>0</v>
      </c>
      <c r="H183" s="314"/>
      <c r="I183" s="325"/>
      <c r="J183" s="325"/>
      <c r="K183" s="325"/>
      <c r="L183" s="312"/>
      <c r="M183" s="344"/>
    </row>
    <row r="184" spans="1:13" outlineLevel="1">
      <c r="A184" s="309" t="s">
        <v>60</v>
      </c>
      <c r="B184" s="342" t="s">
        <v>94</v>
      </c>
      <c r="C184" s="327"/>
      <c r="D184" s="327"/>
      <c r="E184" s="327"/>
      <c r="F184" s="327"/>
      <c r="G184" s="326">
        <v>0</v>
      </c>
      <c r="H184" s="314"/>
      <c r="I184" s="325"/>
      <c r="J184" s="325"/>
      <c r="K184" s="325"/>
      <c r="L184" s="312"/>
      <c r="M184" s="344"/>
    </row>
    <row r="185" spans="1:13">
      <c r="A185" s="311" t="s">
        <v>104</v>
      </c>
      <c r="B185" s="342"/>
      <c r="C185" s="313">
        <v>6401535</v>
      </c>
      <c r="D185" s="313">
        <v>13041695</v>
      </c>
      <c r="E185" s="313">
        <v>11077911.5</v>
      </c>
      <c r="F185" s="313">
        <v>3999911.5</v>
      </c>
      <c r="G185" s="313">
        <v>34521053</v>
      </c>
      <c r="H185" s="314"/>
      <c r="I185" s="313">
        <v>6401535</v>
      </c>
      <c r="J185" s="313">
        <v>12705695</v>
      </c>
      <c r="K185" s="313">
        <v>9838911.5</v>
      </c>
      <c r="L185" s="313">
        <v>3774911.5</v>
      </c>
      <c r="M185" s="345">
        <v>32721053</v>
      </c>
    </row>
    <row r="186" spans="1:13">
      <c r="A186" s="307" t="s">
        <v>56</v>
      </c>
      <c r="B186" s="342"/>
      <c r="C186" s="313">
        <v>3901250</v>
      </c>
      <c r="D186" s="313">
        <v>9468250</v>
      </c>
      <c r="E186" s="313">
        <v>7828000</v>
      </c>
      <c r="F186" s="313">
        <v>550000</v>
      </c>
      <c r="G186" s="313">
        <v>21747500</v>
      </c>
      <c r="H186" s="314"/>
      <c r="I186" s="313">
        <v>3901250</v>
      </c>
      <c r="J186" s="313">
        <v>9132250</v>
      </c>
      <c r="K186" s="313">
        <v>6814000</v>
      </c>
      <c r="L186" s="313">
        <v>550000</v>
      </c>
      <c r="M186" s="345">
        <v>20397500</v>
      </c>
    </row>
    <row r="187" spans="1:13">
      <c r="A187" s="307" t="s">
        <v>61</v>
      </c>
      <c r="B187" s="342"/>
      <c r="C187" s="313">
        <v>2500285</v>
      </c>
      <c r="D187" s="313">
        <v>3573445</v>
      </c>
      <c r="E187" s="313">
        <v>3249911.5</v>
      </c>
      <c r="F187" s="313">
        <v>3449911.5</v>
      </c>
      <c r="G187" s="313">
        <v>12773553</v>
      </c>
      <c r="H187" s="314"/>
      <c r="I187" s="313">
        <v>2500285</v>
      </c>
      <c r="J187" s="313">
        <v>3573445</v>
      </c>
      <c r="K187" s="313">
        <v>3024911.5</v>
      </c>
      <c r="L187" s="313">
        <v>3224911.5</v>
      </c>
      <c r="M187" s="345">
        <v>12323553</v>
      </c>
    </row>
    <row r="188" spans="1:13">
      <c r="A188" s="309"/>
      <c r="B188" s="342"/>
      <c r="C188" s="333"/>
      <c r="D188" s="333"/>
      <c r="E188" s="333"/>
      <c r="F188" s="333"/>
      <c r="G188" s="312"/>
      <c r="H188" s="314"/>
      <c r="I188" s="333"/>
      <c r="J188" s="333"/>
      <c r="K188" s="333"/>
      <c r="L188" s="333"/>
      <c r="M188" s="346"/>
    </row>
    <row r="189" spans="1:13">
      <c r="B189" s="342"/>
      <c r="C189" s="312"/>
      <c r="D189" s="312"/>
      <c r="E189" s="312"/>
      <c r="F189" s="312"/>
      <c r="G189" s="312"/>
      <c r="H189" s="314"/>
      <c r="I189" s="312"/>
      <c r="J189" s="312"/>
      <c r="K189" s="312"/>
      <c r="L189" s="312"/>
      <c r="M189" s="346"/>
    </row>
    <row r="190" spans="1:13">
      <c r="A190" s="315" t="s">
        <v>105</v>
      </c>
      <c r="B190" s="342"/>
      <c r="C190" s="312"/>
      <c r="D190" s="312"/>
      <c r="E190" s="312"/>
      <c r="F190" s="312"/>
      <c r="G190" s="312"/>
      <c r="H190" s="314"/>
      <c r="I190" s="312"/>
      <c r="J190" s="312"/>
      <c r="K190" s="312"/>
      <c r="L190" s="312"/>
      <c r="M190" s="346"/>
    </row>
    <row r="191" spans="1:13">
      <c r="A191" s="304" t="s">
        <v>106</v>
      </c>
      <c r="B191" s="342" t="s">
        <v>66</v>
      </c>
      <c r="C191" s="322">
        <v>0</v>
      </c>
      <c r="D191" s="322">
        <v>0</v>
      </c>
      <c r="E191" s="322">
        <v>0</v>
      </c>
      <c r="F191" s="322">
        <v>0</v>
      </c>
      <c r="G191" s="323">
        <v>0</v>
      </c>
      <c r="H191" s="334">
        <v>0</v>
      </c>
      <c r="I191" s="325">
        <v>0</v>
      </c>
      <c r="J191" s="325">
        <v>0</v>
      </c>
      <c r="K191" s="325">
        <v>0</v>
      </c>
      <c r="L191" s="325">
        <v>0</v>
      </c>
      <c r="M191" s="344">
        <v>0</v>
      </c>
    </row>
    <row r="192" spans="1:13" outlineLevel="1">
      <c r="A192" s="307" t="s">
        <v>56</v>
      </c>
      <c r="B192" s="342" t="s">
        <v>66</v>
      </c>
      <c r="C192" s="322">
        <v>0</v>
      </c>
      <c r="D192" s="322">
        <v>0</v>
      </c>
      <c r="E192" s="322">
        <v>0</v>
      </c>
      <c r="F192" s="322">
        <v>0</v>
      </c>
      <c r="G192" s="323">
        <v>0</v>
      </c>
      <c r="H192" s="314"/>
      <c r="I192" s="325">
        <v>0</v>
      </c>
      <c r="J192" s="325">
        <v>0</v>
      </c>
      <c r="K192" s="325">
        <v>0</v>
      </c>
      <c r="L192" s="325">
        <v>0</v>
      </c>
      <c r="M192" s="344">
        <v>0</v>
      </c>
    </row>
    <row r="193" spans="1:13" outlineLevel="1">
      <c r="A193" s="309" t="s">
        <v>57</v>
      </c>
      <c r="B193" s="342" t="s">
        <v>66</v>
      </c>
      <c r="C193" s="327"/>
      <c r="D193" s="327"/>
      <c r="E193" s="327"/>
      <c r="F193" s="327"/>
      <c r="G193" s="326">
        <v>0</v>
      </c>
      <c r="H193" s="314"/>
      <c r="I193" s="325"/>
      <c r="J193" s="325"/>
      <c r="K193" s="325"/>
      <c r="L193" s="312"/>
      <c r="M193" s="344"/>
    </row>
    <row r="194" spans="1:13" outlineLevel="1">
      <c r="A194" s="309" t="s">
        <v>58</v>
      </c>
      <c r="B194" s="342" t="s">
        <v>66</v>
      </c>
      <c r="C194" s="312"/>
      <c r="D194" s="327">
        <v>0</v>
      </c>
      <c r="E194" s="327">
        <v>0</v>
      </c>
      <c r="F194" s="327"/>
      <c r="G194" s="326">
        <v>0</v>
      </c>
      <c r="H194" s="314"/>
      <c r="I194" s="325"/>
      <c r="J194" s="325"/>
      <c r="K194" s="325"/>
      <c r="L194" s="312"/>
      <c r="M194" s="344"/>
    </row>
    <row r="195" spans="1:13" outlineLevel="1">
      <c r="A195" s="309" t="s">
        <v>59</v>
      </c>
      <c r="B195" s="342" t="s">
        <v>66</v>
      </c>
      <c r="C195" s="327"/>
      <c r="D195" s="327"/>
      <c r="E195" s="327"/>
      <c r="F195" s="327"/>
      <c r="G195" s="326">
        <v>0</v>
      </c>
      <c r="H195" s="314"/>
      <c r="I195" s="325"/>
      <c r="J195" s="325"/>
      <c r="K195" s="325"/>
      <c r="L195" s="312"/>
      <c r="M195" s="344"/>
    </row>
    <row r="196" spans="1:13" outlineLevel="1">
      <c r="A196" s="309" t="s">
        <v>60</v>
      </c>
      <c r="B196" s="342" t="s">
        <v>66</v>
      </c>
      <c r="C196" s="327"/>
      <c r="D196" s="327"/>
      <c r="E196" s="327"/>
      <c r="F196" s="327"/>
      <c r="G196" s="326">
        <v>0</v>
      </c>
      <c r="H196" s="314"/>
      <c r="I196" s="325"/>
      <c r="J196" s="325"/>
      <c r="K196" s="325"/>
      <c r="L196" s="312"/>
      <c r="M196" s="344"/>
    </row>
    <row r="197" spans="1:13" outlineLevel="1">
      <c r="A197" s="307" t="s">
        <v>61</v>
      </c>
      <c r="B197" s="342" t="s">
        <v>66</v>
      </c>
      <c r="C197" s="322">
        <v>0</v>
      </c>
      <c r="D197" s="322">
        <v>0</v>
      </c>
      <c r="E197" s="322">
        <v>0</v>
      </c>
      <c r="F197" s="322">
        <v>0</v>
      </c>
      <c r="G197" s="323">
        <v>0</v>
      </c>
      <c r="H197" s="314"/>
      <c r="I197" s="325">
        <v>0</v>
      </c>
      <c r="J197" s="325">
        <v>0</v>
      </c>
      <c r="K197" s="325">
        <v>0</v>
      </c>
      <c r="L197" s="325">
        <v>0</v>
      </c>
      <c r="M197" s="344">
        <v>0</v>
      </c>
    </row>
    <row r="198" spans="1:13" outlineLevel="1">
      <c r="A198" s="309" t="s">
        <v>57</v>
      </c>
      <c r="B198" s="342" t="s">
        <v>66</v>
      </c>
      <c r="C198" s="328">
        <v>0</v>
      </c>
      <c r="D198" s="328">
        <v>0</v>
      </c>
      <c r="E198" s="328">
        <v>0</v>
      </c>
      <c r="F198" s="328">
        <v>0</v>
      </c>
      <c r="G198" s="326">
        <v>0</v>
      </c>
      <c r="H198" s="314"/>
      <c r="I198" s="325"/>
      <c r="J198" s="325"/>
      <c r="K198" s="325"/>
      <c r="L198" s="312"/>
      <c r="M198" s="344"/>
    </row>
    <row r="199" spans="1:13" outlineLevel="1">
      <c r="A199" s="309" t="s">
        <v>58</v>
      </c>
      <c r="B199" s="342" t="s">
        <v>66</v>
      </c>
      <c r="C199" s="327">
        <v>0</v>
      </c>
      <c r="D199" s="327">
        <v>0</v>
      </c>
      <c r="E199" s="327">
        <v>0</v>
      </c>
      <c r="F199" s="327">
        <v>0</v>
      </c>
      <c r="G199" s="326">
        <v>0</v>
      </c>
      <c r="H199" s="314"/>
      <c r="I199" s="325"/>
      <c r="J199" s="325"/>
      <c r="K199" s="325"/>
      <c r="L199" s="312"/>
      <c r="M199" s="344"/>
    </row>
    <row r="200" spans="1:13" outlineLevel="1">
      <c r="A200" s="309" t="s">
        <v>60</v>
      </c>
      <c r="B200" s="342" t="s">
        <v>66</v>
      </c>
      <c r="C200" s="327"/>
      <c r="D200" s="327"/>
      <c r="E200" s="327"/>
      <c r="F200" s="327"/>
      <c r="G200" s="326">
        <v>0</v>
      </c>
      <c r="H200" s="314"/>
      <c r="I200" s="325"/>
      <c r="J200" s="325"/>
      <c r="K200" s="325"/>
      <c r="L200" s="312"/>
      <c r="M200" s="344"/>
    </row>
    <row r="201" spans="1:13">
      <c r="A201" s="304" t="s">
        <v>108</v>
      </c>
      <c r="B201" s="342" t="s">
        <v>66</v>
      </c>
      <c r="C201" s="322">
        <v>0</v>
      </c>
      <c r="D201" s="322">
        <v>0</v>
      </c>
      <c r="E201" s="322">
        <v>0</v>
      </c>
      <c r="F201" s="322">
        <v>0</v>
      </c>
      <c r="G201" s="323">
        <v>0</v>
      </c>
      <c r="H201" s="334">
        <v>0</v>
      </c>
      <c r="I201" s="325">
        <v>0</v>
      </c>
      <c r="J201" s="325">
        <v>0</v>
      </c>
      <c r="K201" s="325">
        <v>0</v>
      </c>
      <c r="L201" s="325">
        <v>0</v>
      </c>
      <c r="M201" s="344">
        <v>0</v>
      </c>
    </row>
    <row r="202" spans="1:13" outlineLevel="1">
      <c r="A202" s="307" t="s">
        <v>56</v>
      </c>
      <c r="B202" s="342" t="s">
        <v>66</v>
      </c>
      <c r="C202" s="330">
        <v>0</v>
      </c>
      <c r="D202" s="330">
        <v>0</v>
      </c>
      <c r="E202" s="330">
        <v>0</v>
      </c>
      <c r="F202" s="330"/>
      <c r="G202" s="335">
        <v>0</v>
      </c>
      <c r="H202" s="314"/>
      <c r="I202" s="325">
        <v>0</v>
      </c>
      <c r="J202" s="325">
        <v>0</v>
      </c>
      <c r="K202" s="325">
        <v>0</v>
      </c>
      <c r="L202" s="325">
        <v>0</v>
      </c>
      <c r="M202" s="344">
        <v>0</v>
      </c>
    </row>
    <row r="203" spans="1:13" outlineLevel="1">
      <c r="A203" s="309" t="s">
        <v>57</v>
      </c>
      <c r="B203" s="342" t="s">
        <v>66</v>
      </c>
      <c r="C203" s="327"/>
      <c r="D203" s="327"/>
      <c r="E203" s="327"/>
      <c r="F203" s="327"/>
      <c r="G203" s="326">
        <v>0</v>
      </c>
      <c r="H203" s="314"/>
      <c r="I203" s="325"/>
      <c r="J203" s="325"/>
      <c r="K203" s="325"/>
      <c r="L203" s="312"/>
      <c r="M203" s="344"/>
    </row>
    <row r="204" spans="1:13" outlineLevel="1">
      <c r="A204" s="309" t="s">
        <v>58</v>
      </c>
      <c r="B204" s="342" t="s">
        <v>66</v>
      </c>
      <c r="C204" s="327"/>
      <c r="D204" s="327"/>
      <c r="E204" s="327"/>
      <c r="F204" s="327"/>
      <c r="G204" s="326">
        <v>0</v>
      </c>
      <c r="H204" s="314"/>
      <c r="I204" s="325"/>
      <c r="J204" s="325"/>
      <c r="K204" s="325"/>
      <c r="L204" s="312"/>
      <c r="M204" s="344"/>
    </row>
    <row r="205" spans="1:13" outlineLevel="1">
      <c r="A205" s="309" t="s">
        <v>59</v>
      </c>
      <c r="B205" s="342" t="s">
        <v>66</v>
      </c>
      <c r="C205" s="327"/>
      <c r="D205" s="327"/>
      <c r="E205" s="327"/>
      <c r="F205" s="327"/>
      <c r="G205" s="326">
        <v>0</v>
      </c>
      <c r="H205" s="314"/>
      <c r="I205" s="325"/>
      <c r="J205" s="325"/>
      <c r="K205" s="325"/>
      <c r="L205" s="312"/>
      <c r="M205" s="344"/>
    </row>
    <row r="206" spans="1:13" outlineLevel="1">
      <c r="A206" s="309" t="s">
        <v>60</v>
      </c>
      <c r="B206" s="342" t="s">
        <v>66</v>
      </c>
      <c r="C206" s="327"/>
      <c r="D206" s="327"/>
      <c r="E206" s="327"/>
      <c r="F206" s="327"/>
      <c r="G206" s="326">
        <v>0</v>
      </c>
      <c r="H206" s="314"/>
      <c r="I206" s="325"/>
      <c r="J206" s="325"/>
      <c r="K206" s="325"/>
      <c r="L206" s="312"/>
      <c r="M206" s="344"/>
    </row>
    <row r="207" spans="1:13" outlineLevel="1">
      <c r="A207" s="307" t="s">
        <v>61</v>
      </c>
      <c r="B207" s="342" t="s">
        <v>66</v>
      </c>
      <c r="C207" s="322">
        <v>0</v>
      </c>
      <c r="D207" s="322">
        <v>0</v>
      </c>
      <c r="E207" s="322">
        <v>0</v>
      </c>
      <c r="F207" s="322">
        <v>0</v>
      </c>
      <c r="G207" s="323">
        <v>0</v>
      </c>
      <c r="H207" s="314"/>
      <c r="I207" s="325">
        <v>0</v>
      </c>
      <c r="J207" s="325">
        <v>0</v>
      </c>
      <c r="K207" s="325">
        <v>0</v>
      </c>
      <c r="L207" s="325">
        <v>0</v>
      </c>
      <c r="M207" s="344">
        <v>0</v>
      </c>
    </row>
    <row r="208" spans="1:13" outlineLevel="1">
      <c r="A208" s="309" t="s">
        <v>57</v>
      </c>
      <c r="B208" s="342" t="s">
        <v>66</v>
      </c>
      <c r="C208" s="328">
        <v>0</v>
      </c>
      <c r="D208" s="328">
        <v>0</v>
      </c>
      <c r="E208" s="328">
        <v>0</v>
      </c>
      <c r="F208" s="328">
        <v>0</v>
      </c>
      <c r="G208" s="326">
        <v>0</v>
      </c>
      <c r="H208" s="314"/>
      <c r="I208" s="325"/>
      <c r="J208" s="325"/>
      <c r="K208" s="325"/>
      <c r="L208" s="312"/>
      <c r="M208" s="344"/>
    </row>
    <row r="209" spans="1:13" outlineLevel="1">
      <c r="A209" s="309" t="s">
        <v>58</v>
      </c>
      <c r="B209" s="342" t="s">
        <v>66</v>
      </c>
      <c r="C209" s="327"/>
      <c r="D209" s="327"/>
      <c r="E209" s="327"/>
      <c r="F209" s="327"/>
      <c r="G209" s="326">
        <v>0</v>
      </c>
      <c r="H209" s="314"/>
      <c r="I209" s="325"/>
      <c r="J209" s="325"/>
      <c r="K209" s="325"/>
      <c r="L209" s="312"/>
      <c r="M209" s="344"/>
    </row>
    <row r="210" spans="1:13" outlineLevel="1">
      <c r="A210" s="309" t="s">
        <v>60</v>
      </c>
      <c r="B210" s="342" t="s">
        <v>66</v>
      </c>
      <c r="C210" s="327"/>
      <c r="D210" s="327"/>
      <c r="E210" s="327"/>
      <c r="F210" s="327"/>
      <c r="G210" s="326">
        <v>0</v>
      </c>
      <c r="H210" s="314"/>
      <c r="I210" s="325"/>
      <c r="J210" s="325"/>
      <c r="K210" s="325"/>
      <c r="L210" s="312"/>
      <c r="M210" s="344"/>
    </row>
    <row r="211" spans="1:13">
      <c r="A211" s="304" t="s">
        <v>110</v>
      </c>
      <c r="B211" s="342" t="s">
        <v>66</v>
      </c>
      <c r="C211" s="322">
        <v>0</v>
      </c>
      <c r="D211" s="322">
        <v>5205382</v>
      </c>
      <c r="E211" s="322">
        <v>493447</v>
      </c>
      <c r="F211" s="322">
        <v>493447</v>
      </c>
      <c r="G211" s="323">
        <v>6192276</v>
      </c>
      <c r="H211" s="336">
        <v>1</v>
      </c>
      <c r="I211" s="325">
        <v>0</v>
      </c>
      <c r="J211" s="325">
        <v>5205382</v>
      </c>
      <c r="K211" s="325">
        <v>493447</v>
      </c>
      <c r="L211" s="325">
        <v>493447</v>
      </c>
      <c r="M211" s="344">
        <v>6192276</v>
      </c>
    </row>
    <row r="212" spans="1:13" outlineLevel="1">
      <c r="A212" s="307" t="s">
        <v>56</v>
      </c>
      <c r="B212" s="342" t="s">
        <v>66</v>
      </c>
      <c r="C212" s="330">
        <v>0</v>
      </c>
      <c r="D212" s="330">
        <v>5143755</v>
      </c>
      <c r="E212" s="330">
        <v>30000</v>
      </c>
      <c r="F212" s="330">
        <v>30000</v>
      </c>
      <c r="G212" s="335">
        <v>5203755</v>
      </c>
      <c r="H212" s="314"/>
      <c r="I212" s="325">
        <v>0</v>
      </c>
      <c r="J212" s="325">
        <v>5143755</v>
      </c>
      <c r="K212" s="325">
        <v>30000</v>
      </c>
      <c r="L212" s="325">
        <v>30000</v>
      </c>
      <c r="M212" s="344">
        <v>5203755</v>
      </c>
    </row>
    <row r="213" spans="1:13" outlineLevel="1">
      <c r="A213" s="309" t="s">
        <v>57</v>
      </c>
      <c r="B213" s="342" t="s">
        <v>66</v>
      </c>
      <c r="C213" s="327"/>
      <c r="D213" s="327"/>
      <c r="E213" s="327"/>
      <c r="F213" s="327"/>
      <c r="G213" s="326">
        <v>0</v>
      </c>
      <c r="H213" s="314"/>
      <c r="I213" s="325"/>
      <c r="J213" s="325"/>
      <c r="K213" s="325"/>
      <c r="L213" s="312"/>
      <c r="M213" s="344"/>
    </row>
    <row r="214" spans="1:13" outlineLevel="1">
      <c r="A214" s="309" t="s">
        <v>58</v>
      </c>
      <c r="B214" s="342" t="s">
        <v>66</v>
      </c>
      <c r="C214" s="327"/>
      <c r="D214" s="327"/>
      <c r="E214" s="327"/>
      <c r="F214" s="327"/>
      <c r="G214" s="326">
        <v>0</v>
      </c>
      <c r="H214" s="314"/>
      <c r="I214" s="325"/>
      <c r="J214" s="325"/>
      <c r="K214" s="325"/>
      <c r="L214" s="312"/>
      <c r="M214" s="344"/>
    </row>
    <row r="215" spans="1:13" outlineLevel="1">
      <c r="A215" s="309" t="s">
        <v>59</v>
      </c>
      <c r="B215" s="342" t="s">
        <v>66</v>
      </c>
      <c r="C215" s="327"/>
      <c r="D215" s="327"/>
      <c r="E215" s="327"/>
      <c r="F215" s="327"/>
      <c r="G215" s="326">
        <v>0</v>
      </c>
      <c r="H215" s="314"/>
      <c r="I215" s="325"/>
      <c r="J215" s="325"/>
      <c r="K215" s="325"/>
      <c r="L215" s="312"/>
      <c r="M215" s="344"/>
    </row>
    <row r="216" spans="1:13" outlineLevel="1">
      <c r="A216" s="309" t="s">
        <v>60</v>
      </c>
      <c r="B216" s="342" t="s">
        <v>66</v>
      </c>
      <c r="C216" s="327"/>
      <c r="D216" s="327"/>
      <c r="E216" s="327"/>
      <c r="F216" s="327"/>
      <c r="G216" s="326">
        <v>0</v>
      </c>
      <c r="H216" s="314"/>
      <c r="I216" s="325"/>
      <c r="J216" s="325"/>
      <c r="K216" s="325"/>
      <c r="L216" s="312"/>
      <c r="M216" s="344"/>
    </row>
    <row r="217" spans="1:13" outlineLevel="1">
      <c r="A217" s="307" t="s">
        <v>61</v>
      </c>
      <c r="B217" s="342" t="s">
        <v>66</v>
      </c>
      <c r="C217" s="322">
        <v>0</v>
      </c>
      <c r="D217" s="322">
        <v>61627</v>
      </c>
      <c r="E217" s="322">
        <v>463447</v>
      </c>
      <c r="F217" s="322">
        <v>463447</v>
      </c>
      <c r="G217" s="323">
        <v>988521</v>
      </c>
      <c r="H217" s="314"/>
      <c r="I217" s="325">
        <v>0</v>
      </c>
      <c r="J217" s="325">
        <v>61627</v>
      </c>
      <c r="K217" s="325">
        <v>463447</v>
      </c>
      <c r="L217" s="325">
        <v>463447</v>
      </c>
      <c r="M217" s="344">
        <v>988521</v>
      </c>
    </row>
    <row r="218" spans="1:13" outlineLevel="1">
      <c r="A218" s="309" t="s">
        <v>57</v>
      </c>
      <c r="B218" s="342" t="s">
        <v>66</v>
      </c>
      <c r="C218" s="328">
        <v>0</v>
      </c>
      <c r="D218" s="328">
        <v>0</v>
      </c>
      <c r="E218" s="328">
        <v>0</v>
      </c>
      <c r="F218" s="328">
        <v>0</v>
      </c>
      <c r="G218" s="326">
        <v>0</v>
      </c>
      <c r="H218" s="314"/>
      <c r="I218" s="325"/>
      <c r="J218" s="325"/>
      <c r="K218" s="325"/>
      <c r="L218" s="312"/>
      <c r="M218" s="344"/>
    </row>
    <row r="219" spans="1:13" outlineLevel="1">
      <c r="A219" s="309" t="s">
        <v>58</v>
      </c>
      <c r="B219" s="342" t="s">
        <v>66</v>
      </c>
      <c r="C219" s="327"/>
      <c r="D219" s="327"/>
      <c r="E219" s="327"/>
      <c r="F219" s="327"/>
      <c r="G219" s="326">
        <v>0</v>
      </c>
      <c r="H219" s="314"/>
      <c r="I219" s="325"/>
      <c r="J219" s="325"/>
      <c r="K219" s="325"/>
      <c r="L219" s="312"/>
      <c r="M219" s="344"/>
    </row>
    <row r="220" spans="1:13" outlineLevel="1">
      <c r="A220" s="309" t="s">
        <v>60</v>
      </c>
      <c r="B220" s="342" t="s">
        <v>66</v>
      </c>
      <c r="C220" s="327"/>
      <c r="D220" s="327"/>
      <c r="E220" s="327"/>
      <c r="F220" s="327"/>
      <c r="G220" s="326">
        <v>0</v>
      </c>
      <c r="H220" s="314"/>
      <c r="I220" s="325"/>
      <c r="J220" s="325"/>
      <c r="K220" s="325"/>
      <c r="L220" s="312"/>
      <c r="M220" s="344"/>
    </row>
    <row r="221" spans="1:13">
      <c r="A221" s="304" t="s">
        <v>111</v>
      </c>
      <c r="B221" s="342" t="s">
        <v>66</v>
      </c>
      <c r="C221" s="322">
        <v>0</v>
      </c>
      <c r="D221" s="322">
        <v>0</v>
      </c>
      <c r="E221" s="322">
        <v>1920218</v>
      </c>
      <c r="F221" s="322">
        <v>220218</v>
      </c>
      <c r="G221" s="323">
        <v>2140436</v>
      </c>
      <c r="H221" s="337">
        <v>0</v>
      </c>
      <c r="I221" s="325">
        <v>0</v>
      </c>
      <c r="J221" s="325">
        <v>0</v>
      </c>
      <c r="K221" s="325">
        <v>0</v>
      </c>
      <c r="L221" s="325">
        <v>0</v>
      </c>
      <c r="M221" s="344">
        <v>0</v>
      </c>
    </row>
    <row r="222" spans="1:13" outlineLevel="1">
      <c r="A222" s="307" t="s">
        <v>56</v>
      </c>
      <c r="B222" s="342" t="s">
        <v>66</v>
      </c>
      <c r="C222" s="322">
        <v>0</v>
      </c>
      <c r="D222" s="322">
        <v>0</v>
      </c>
      <c r="E222" s="322">
        <v>1700000</v>
      </c>
      <c r="F222" s="322">
        <v>0</v>
      </c>
      <c r="G222" s="323">
        <v>1700000</v>
      </c>
      <c r="H222" s="314"/>
      <c r="I222" s="325">
        <v>0</v>
      </c>
      <c r="J222" s="325">
        <v>0</v>
      </c>
      <c r="K222" s="325">
        <v>0</v>
      </c>
      <c r="L222" s="325">
        <v>0</v>
      </c>
      <c r="M222" s="344">
        <v>0</v>
      </c>
    </row>
    <row r="223" spans="1:13" outlineLevel="1">
      <c r="A223" s="309" t="s">
        <v>57</v>
      </c>
      <c r="B223" s="342" t="s">
        <v>66</v>
      </c>
      <c r="C223" s="327"/>
      <c r="D223" s="327"/>
      <c r="E223" s="327"/>
      <c r="F223" s="327"/>
      <c r="G223" s="326">
        <v>0</v>
      </c>
      <c r="H223" s="314"/>
      <c r="I223" s="325"/>
      <c r="J223" s="325"/>
      <c r="K223" s="325"/>
      <c r="L223" s="312"/>
      <c r="M223" s="344"/>
    </row>
    <row r="224" spans="1:13" outlineLevel="1">
      <c r="A224" s="309" t="s">
        <v>58</v>
      </c>
      <c r="B224" s="342" t="s">
        <v>66</v>
      </c>
      <c r="C224" s="327"/>
      <c r="D224" s="327"/>
      <c r="E224" s="327">
        <v>1500000</v>
      </c>
      <c r="F224" s="327"/>
      <c r="G224" s="326">
        <v>1500000</v>
      </c>
      <c r="H224" s="314"/>
      <c r="I224" s="325"/>
      <c r="J224" s="325"/>
      <c r="K224" s="325"/>
      <c r="L224" s="312"/>
      <c r="M224" s="344"/>
    </row>
    <row r="225" spans="1:13" outlineLevel="1">
      <c r="A225" s="309" t="s">
        <v>59</v>
      </c>
      <c r="B225" s="342" t="s">
        <v>66</v>
      </c>
      <c r="C225" s="327"/>
      <c r="D225" s="327"/>
      <c r="E225" s="327"/>
      <c r="F225" s="327"/>
      <c r="G225" s="326">
        <v>0</v>
      </c>
      <c r="H225" s="314"/>
      <c r="I225" s="325"/>
      <c r="J225" s="325"/>
      <c r="K225" s="325"/>
      <c r="L225" s="312"/>
      <c r="M225" s="344"/>
    </row>
    <row r="226" spans="1:13" outlineLevel="1">
      <c r="A226" s="309" t="s">
        <v>60</v>
      </c>
      <c r="B226" s="342" t="s">
        <v>66</v>
      </c>
      <c r="C226" s="327"/>
      <c r="D226" s="327"/>
      <c r="E226" s="327">
        <v>200000</v>
      </c>
      <c r="F226" s="327"/>
      <c r="G226" s="326">
        <v>200000</v>
      </c>
      <c r="H226" s="314"/>
      <c r="I226" s="325"/>
      <c r="J226" s="325"/>
      <c r="K226" s="325"/>
      <c r="L226" s="312"/>
      <c r="M226" s="344"/>
    </row>
    <row r="227" spans="1:13" outlineLevel="1">
      <c r="A227" s="307" t="s">
        <v>61</v>
      </c>
      <c r="B227" s="342" t="s">
        <v>66</v>
      </c>
      <c r="C227" s="322">
        <v>0</v>
      </c>
      <c r="D227" s="322">
        <v>0</v>
      </c>
      <c r="E227" s="322">
        <v>220218</v>
      </c>
      <c r="F227" s="322">
        <v>220218</v>
      </c>
      <c r="G227" s="323">
        <v>440436</v>
      </c>
      <c r="H227" s="314"/>
      <c r="I227" s="325">
        <v>0</v>
      </c>
      <c r="J227" s="325">
        <v>0</v>
      </c>
      <c r="K227" s="325">
        <v>0</v>
      </c>
      <c r="L227" s="325">
        <v>0</v>
      </c>
      <c r="M227" s="344">
        <v>0</v>
      </c>
    </row>
    <row r="228" spans="1:13" outlineLevel="1">
      <c r="A228" s="309" t="s">
        <v>57</v>
      </c>
      <c r="B228" s="342" t="s">
        <v>66</v>
      </c>
      <c r="C228" s="328">
        <v>0</v>
      </c>
      <c r="D228" s="328">
        <v>0</v>
      </c>
      <c r="E228" s="328">
        <v>220218</v>
      </c>
      <c r="F228" s="328">
        <v>220218</v>
      </c>
      <c r="G228" s="326">
        <v>440436</v>
      </c>
      <c r="H228" s="314"/>
      <c r="I228" s="325"/>
      <c r="J228" s="325"/>
      <c r="K228" s="325"/>
      <c r="L228" s="312"/>
      <c r="M228" s="344"/>
    </row>
    <row r="229" spans="1:13" outlineLevel="1">
      <c r="A229" s="309" t="s">
        <v>58</v>
      </c>
      <c r="B229" s="342" t="s">
        <v>66</v>
      </c>
      <c r="C229" s="327"/>
      <c r="D229" s="327"/>
      <c r="E229" s="327"/>
      <c r="F229" s="327"/>
      <c r="G229" s="326">
        <v>0</v>
      </c>
      <c r="H229" s="314"/>
      <c r="I229" s="325"/>
      <c r="J229" s="325"/>
      <c r="K229" s="325"/>
      <c r="L229" s="312"/>
      <c r="M229" s="344"/>
    </row>
    <row r="230" spans="1:13" outlineLevel="1">
      <c r="A230" s="309" t="s">
        <v>60</v>
      </c>
      <c r="B230" s="342" t="s">
        <v>66</v>
      </c>
      <c r="C230" s="327"/>
      <c r="D230" s="327"/>
      <c r="E230" s="327"/>
      <c r="F230" s="327"/>
      <c r="G230" s="326">
        <v>0</v>
      </c>
      <c r="H230" s="314"/>
      <c r="I230" s="325"/>
      <c r="J230" s="325"/>
      <c r="K230" s="325"/>
      <c r="L230" s="312"/>
      <c r="M230" s="344"/>
    </row>
    <row r="231" spans="1:13">
      <c r="A231" s="304" t="s">
        <v>113</v>
      </c>
      <c r="B231" s="342" t="s">
        <v>94</v>
      </c>
      <c r="C231" s="322">
        <v>6501177</v>
      </c>
      <c r="D231" s="322">
        <v>945922</v>
      </c>
      <c r="E231" s="322">
        <v>0</v>
      </c>
      <c r="F231" s="322">
        <v>0</v>
      </c>
      <c r="G231" s="323">
        <v>7447099</v>
      </c>
      <c r="H231" s="334">
        <v>0</v>
      </c>
      <c r="I231" s="325">
        <v>0</v>
      </c>
      <c r="J231" s="325">
        <v>0</v>
      </c>
      <c r="K231" s="325">
        <v>0</v>
      </c>
      <c r="L231" s="325">
        <v>0</v>
      </c>
      <c r="M231" s="344">
        <v>0</v>
      </c>
    </row>
    <row r="232" spans="1:13" outlineLevel="1">
      <c r="A232" s="307" t="s">
        <v>56</v>
      </c>
      <c r="B232" s="342" t="s">
        <v>94</v>
      </c>
      <c r="C232" s="330">
        <v>6501177</v>
      </c>
      <c r="D232" s="330">
        <v>945922</v>
      </c>
      <c r="E232" s="330"/>
      <c r="F232" s="330"/>
      <c r="G232" s="335">
        <v>7447099</v>
      </c>
      <c r="H232" s="314"/>
      <c r="I232" s="325">
        <v>0</v>
      </c>
      <c r="J232" s="325">
        <v>0</v>
      </c>
      <c r="K232" s="325">
        <v>0</v>
      </c>
      <c r="L232" s="325">
        <v>0</v>
      </c>
      <c r="M232" s="344">
        <v>0</v>
      </c>
    </row>
    <row r="233" spans="1:13" outlineLevel="1">
      <c r="A233" s="309" t="s">
        <v>57</v>
      </c>
      <c r="B233" s="342" t="s">
        <v>94</v>
      </c>
      <c r="C233" s="327"/>
      <c r="D233" s="327"/>
      <c r="E233" s="327"/>
      <c r="F233" s="327"/>
      <c r="G233" s="326">
        <v>0</v>
      </c>
      <c r="H233" s="314"/>
      <c r="I233" s="325"/>
      <c r="J233" s="325"/>
      <c r="K233" s="325"/>
      <c r="L233" s="312"/>
      <c r="M233" s="344"/>
    </row>
    <row r="234" spans="1:13" outlineLevel="1">
      <c r="A234" s="309" t="s">
        <v>58</v>
      </c>
      <c r="B234" s="342" t="s">
        <v>94</v>
      </c>
      <c r="C234" s="327"/>
      <c r="D234" s="327"/>
      <c r="E234" s="327"/>
      <c r="F234" s="327"/>
      <c r="G234" s="326">
        <v>0</v>
      </c>
      <c r="H234" s="314"/>
      <c r="I234" s="325"/>
      <c r="J234" s="325"/>
      <c r="K234" s="325"/>
      <c r="L234" s="312"/>
      <c r="M234" s="344"/>
    </row>
    <row r="235" spans="1:13" outlineLevel="1">
      <c r="A235" s="309" t="s">
        <v>59</v>
      </c>
      <c r="B235" s="342" t="s">
        <v>94</v>
      </c>
      <c r="C235" s="327"/>
      <c r="D235" s="327"/>
      <c r="E235" s="327"/>
      <c r="F235" s="327"/>
      <c r="G235" s="326">
        <v>0</v>
      </c>
      <c r="H235" s="314"/>
      <c r="I235" s="325"/>
      <c r="J235" s="325"/>
      <c r="K235" s="325"/>
      <c r="L235" s="312"/>
      <c r="M235" s="344"/>
    </row>
    <row r="236" spans="1:13" outlineLevel="1">
      <c r="A236" s="309" t="s">
        <v>60</v>
      </c>
      <c r="B236" s="342" t="s">
        <v>94</v>
      </c>
      <c r="C236" s="327"/>
      <c r="D236" s="327"/>
      <c r="E236" s="327"/>
      <c r="F236" s="327"/>
      <c r="G236" s="326">
        <v>0</v>
      </c>
      <c r="H236" s="314"/>
      <c r="I236" s="325"/>
      <c r="J236" s="325"/>
      <c r="K236" s="325"/>
      <c r="L236" s="312"/>
      <c r="M236" s="344"/>
    </row>
    <row r="237" spans="1:13" outlineLevel="1">
      <c r="A237" s="307" t="s">
        <v>61</v>
      </c>
      <c r="B237" s="342" t="s">
        <v>94</v>
      </c>
      <c r="C237" s="322">
        <v>0</v>
      </c>
      <c r="D237" s="322">
        <v>0</v>
      </c>
      <c r="E237" s="322">
        <v>0</v>
      </c>
      <c r="F237" s="322">
        <v>0</v>
      </c>
      <c r="G237" s="323">
        <v>0</v>
      </c>
      <c r="H237" s="314"/>
      <c r="I237" s="325">
        <v>0</v>
      </c>
      <c r="J237" s="325">
        <v>0</v>
      </c>
      <c r="K237" s="325">
        <v>0</v>
      </c>
      <c r="L237" s="325">
        <v>0</v>
      </c>
      <c r="M237" s="344">
        <v>0</v>
      </c>
    </row>
    <row r="238" spans="1:13" outlineLevel="1">
      <c r="A238" s="309" t="s">
        <v>57</v>
      </c>
      <c r="B238" s="342" t="s">
        <v>94</v>
      </c>
      <c r="C238" s="328">
        <v>0</v>
      </c>
      <c r="D238" s="328">
        <v>0</v>
      </c>
      <c r="E238" s="328">
        <v>0</v>
      </c>
      <c r="F238" s="328">
        <v>0</v>
      </c>
      <c r="G238" s="326">
        <v>0</v>
      </c>
      <c r="H238" s="314"/>
      <c r="I238" s="325"/>
      <c r="J238" s="325"/>
      <c r="K238" s="325"/>
      <c r="L238" s="312"/>
      <c r="M238" s="344"/>
    </row>
    <row r="239" spans="1:13" outlineLevel="1">
      <c r="A239" s="309" t="s">
        <v>58</v>
      </c>
      <c r="B239" s="342" t="s">
        <v>94</v>
      </c>
      <c r="C239" s="327"/>
      <c r="D239" s="327"/>
      <c r="E239" s="327"/>
      <c r="F239" s="327"/>
      <c r="G239" s="326">
        <v>0</v>
      </c>
      <c r="H239" s="314"/>
      <c r="I239" s="325"/>
      <c r="J239" s="325"/>
      <c r="K239" s="325"/>
      <c r="L239" s="312"/>
      <c r="M239" s="344"/>
    </row>
    <row r="240" spans="1:13" outlineLevel="1">
      <c r="A240" s="309" t="s">
        <v>60</v>
      </c>
      <c r="B240" s="342" t="s">
        <v>94</v>
      </c>
      <c r="C240" s="327"/>
      <c r="D240" s="327"/>
      <c r="E240" s="327"/>
      <c r="F240" s="327"/>
      <c r="G240" s="326">
        <v>0</v>
      </c>
      <c r="H240" s="314"/>
      <c r="I240" s="325"/>
      <c r="J240" s="325"/>
      <c r="K240" s="325"/>
      <c r="L240" s="312"/>
      <c r="M240" s="344"/>
    </row>
    <row r="241" spans="1:13" ht="25.5">
      <c r="A241" s="316" t="s">
        <v>219</v>
      </c>
      <c r="B241" s="342" t="s">
        <v>94</v>
      </c>
      <c r="C241" s="322">
        <v>0</v>
      </c>
      <c r="D241" s="322">
        <v>0</v>
      </c>
      <c r="E241" s="322">
        <v>0</v>
      </c>
      <c r="F241" s="322">
        <v>0</v>
      </c>
      <c r="G241" s="323">
        <v>0</v>
      </c>
      <c r="H241" s="324">
        <v>0</v>
      </c>
      <c r="I241" s="325">
        <v>0</v>
      </c>
      <c r="J241" s="325">
        <v>0</v>
      </c>
      <c r="K241" s="325">
        <v>0</v>
      </c>
      <c r="L241" s="325">
        <v>0</v>
      </c>
      <c r="M241" s="344">
        <v>0</v>
      </c>
    </row>
    <row r="242" spans="1:13" outlineLevel="1">
      <c r="A242" s="307" t="s">
        <v>56</v>
      </c>
      <c r="B242" s="342" t="s">
        <v>94</v>
      </c>
      <c r="C242" s="322">
        <v>0</v>
      </c>
      <c r="D242" s="322">
        <v>0</v>
      </c>
      <c r="E242" s="322">
        <v>0</v>
      </c>
      <c r="F242" s="322">
        <v>0</v>
      </c>
      <c r="G242" s="323">
        <v>0</v>
      </c>
      <c r="H242" s="314"/>
      <c r="I242" s="325">
        <v>0</v>
      </c>
      <c r="J242" s="325">
        <v>0</v>
      </c>
      <c r="K242" s="325">
        <v>0</v>
      </c>
      <c r="L242" s="325">
        <v>0</v>
      </c>
      <c r="M242" s="344">
        <v>0</v>
      </c>
    </row>
    <row r="243" spans="1:13" outlineLevel="1">
      <c r="A243" s="309" t="s">
        <v>57</v>
      </c>
      <c r="B243" s="342" t="s">
        <v>94</v>
      </c>
      <c r="C243" s="327"/>
      <c r="D243" s="327"/>
      <c r="E243" s="327"/>
      <c r="F243" s="327"/>
      <c r="G243" s="326">
        <v>0</v>
      </c>
      <c r="H243" s="314"/>
      <c r="I243" s="325"/>
      <c r="J243" s="325"/>
      <c r="K243" s="325"/>
      <c r="L243" s="312"/>
      <c r="M243" s="344"/>
    </row>
    <row r="244" spans="1:13" outlineLevel="1">
      <c r="A244" s="309" t="s">
        <v>58</v>
      </c>
      <c r="B244" s="342" t="s">
        <v>94</v>
      </c>
      <c r="C244" s="327"/>
      <c r="D244" s="327"/>
      <c r="E244" s="327"/>
      <c r="F244" s="327"/>
      <c r="G244" s="326">
        <v>0</v>
      </c>
      <c r="H244" s="314"/>
      <c r="I244" s="325"/>
      <c r="J244" s="325"/>
      <c r="K244" s="325"/>
      <c r="L244" s="312"/>
      <c r="M244" s="344"/>
    </row>
    <row r="245" spans="1:13" outlineLevel="1">
      <c r="A245" s="309" t="s">
        <v>59</v>
      </c>
      <c r="B245" s="342" t="s">
        <v>94</v>
      </c>
      <c r="C245" s="327"/>
      <c r="D245" s="327"/>
      <c r="E245" s="327"/>
      <c r="F245" s="327"/>
      <c r="G245" s="326">
        <v>0</v>
      </c>
      <c r="H245" s="314"/>
      <c r="I245" s="325"/>
      <c r="J245" s="325"/>
      <c r="K245" s="325"/>
      <c r="L245" s="312"/>
      <c r="M245" s="344"/>
    </row>
    <row r="246" spans="1:13" outlineLevel="1">
      <c r="A246" s="309" t="s">
        <v>60</v>
      </c>
      <c r="B246" s="342" t="s">
        <v>94</v>
      </c>
      <c r="C246" s="327"/>
      <c r="D246" s="327"/>
      <c r="E246" s="327"/>
      <c r="F246" s="327"/>
      <c r="G246" s="326">
        <v>0</v>
      </c>
      <c r="H246" s="314"/>
      <c r="I246" s="325"/>
      <c r="J246" s="325"/>
      <c r="K246" s="325"/>
      <c r="L246" s="312"/>
      <c r="M246" s="344"/>
    </row>
    <row r="247" spans="1:13" outlineLevel="1">
      <c r="A247" s="307" t="s">
        <v>61</v>
      </c>
      <c r="B247" s="342" t="s">
        <v>94</v>
      </c>
      <c r="C247" s="322">
        <v>0</v>
      </c>
      <c r="D247" s="322">
        <v>0</v>
      </c>
      <c r="E247" s="322">
        <v>0</v>
      </c>
      <c r="F247" s="322">
        <v>0</v>
      </c>
      <c r="G247" s="323">
        <v>0</v>
      </c>
      <c r="H247" s="314"/>
      <c r="I247" s="325">
        <v>0</v>
      </c>
      <c r="J247" s="325">
        <v>0</v>
      </c>
      <c r="K247" s="325">
        <v>0</v>
      </c>
      <c r="L247" s="325">
        <v>0</v>
      </c>
      <c r="M247" s="344">
        <v>0</v>
      </c>
    </row>
    <row r="248" spans="1:13" outlineLevel="1">
      <c r="A248" s="309" t="s">
        <v>57</v>
      </c>
      <c r="B248" s="342" t="s">
        <v>94</v>
      </c>
      <c r="C248" s="328">
        <v>0</v>
      </c>
      <c r="D248" s="328">
        <v>0</v>
      </c>
      <c r="E248" s="328">
        <v>0</v>
      </c>
      <c r="F248" s="328">
        <v>0</v>
      </c>
      <c r="G248" s="326">
        <v>0</v>
      </c>
      <c r="H248" s="314"/>
      <c r="I248" s="325"/>
      <c r="J248" s="325"/>
      <c r="K248" s="325"/>
      <c r="L248" s="312"/>
      <c r="M248" s="344"/>
    </row>
    <row r="249" spans="1:13" outlineLevel="1">
      <c r="A249" s="309" t="s">
        <v>58</v>
      </c>
      <c r="B249" s="342" t="s">
        <v>94</v>
      </c>
      <c r="C249" s="327"/>
      <c r="D249" s="327"/>
      <c r="E249" s="327"/>
      <c r="F249" s="327"/>
      <c r="G249" s="326">
        <v>0</v>
      </c>
      <c r="H249" s="314"/>
      <c r="I249" s="325"/>
      <c r="J249" s="325"/>
      <c r="K249" s="325"/>
      <c r="L249" s="312"/>
      <c r="M249" s="344"/>
    </row>
    <row r="250" spans="1:13" outlineLevel="1">
      <c r="A250" s="309" t="s">
        <v>60</v>
      </c>
      <c r="B250" s="342" t="s">
        <v>94</v>
      </c>
      <c r="C250" s="327"/>
      <c r="D250" s="327"/>
      <c r="E250" s="327"/>
      <c r="F250" s="327"/>
      <c r="G250" s="326">
        <v>0</v>
      </c>
      <c r="H250" s="314"/>
      <c r="I250" s="325"/>
      <c r="J250" s="325"/>
      <c r="K250" s="325"/>
      <c r="L250" s="312"/>
      <c r="M250" s="344"/>
    </row>
    <row r="251" spans="1:13">
      <c r="A251" s="304" t="s">
        <v>117</v>
      </c>
      <c r="B251" s="342" t="s">
        <v>94</v>
      </c>
      <c r="C251" s="322">
        <v>0</v>
      </c>
      <c r="D251" s="322">
        <v>0</v>
      </c>
      <c r="E251" s="322">
        <v>475000</v>
      </c>
      <c r="F251" s="322">
        <v>3500000</v>
      </c>
      <c r="G251" s="323">
        <v>3975000</v>
      </c>
      <c r="H251" s="324">
        <v>1</v>
      </c>
      <c r="I251" s="325">
        <v>0</v>
      </c>
      <c r="J251" s="325">
        <v>0</v>
      </c>
      <c r="K251" s="325">
        <v>475000</v>
      </c>
      <c r="L251" s="325">
        <v>3500000</v>
      </c>
      <c r="M251" s="344">
        <v>3975000</v>
      </c>
    </row>
    <row r="252" spans="1:13" outlineLevel="1">
      <c r="A252" s="307" t="s">
        <v>56</v>
      </c>
      <c r="B252" s="342" t="s">
        <v>94</v>
      </c>
      <c r="C252" s="322">
        <v>0</v>
      </c>
      <c r="D252" s="322">
        <v>0</v>
      </c>
      <c r="E252" s="330">
        <v>475000</v>
      </c>
      <c r="F252" s="330">
        <v>3500000</v>
      </c>
      <c r="G252" s="323">
        <v>3975000</v>
      </c>
      <c r="H252" s="314"/>
      <c r="I252" s="325">
        <v>0</v>
      </c>
      <c r="J252" s="325">
        <v>0</v>
      </c>
      <c r="K252" s="325">
        <v>475000</v>
      </c>
      <c r="L252" s="325">
        <v>3500000</v>
      </c>
      <c r="M252" s="344">
        <v>3975000</v>
      </c>
    </row>
    <row r="253" spans="1:13" outlineLevel="1">
      <c r="A253" s="309" t="s">
        <v>57</v>
      </c>
      <c r="B253" s="342" t="s">
        <v>94</v>
      </c>
      <c r="C253" s="328">
        <v>0</v>
      </c>
      <c r="D253" s="328">
        <v>0</v>
      </c>
      <c r="E253" s="328"/>
      <c r="F253" s="328"/>
      <c r="G253" s="326">
        <v>0</v>
      </c>
      <c r="H253" s="314"/>
      <c r="I253" s="325"/>
      <c r="J253" s="325"/>
      <c r="K253" s="325"/>
      <c r="L253" s="312"/>
      <c r="M253" s="344"/>
    </row>
    <row r="254" spans="1:13" outlineLevel="1">
      <c r="A254" s="309" t="s">
        <v>58</v>
      </c>
      <c r="B254" s="342" t="s">
        <v>94</v>
      </c>
      <c r="C254" s="327"/>
      <c r="D254" s="327"/>
      <c r="E254" s="327"/>
      <c r="F254" s="327"/>
      <c r="G254" s="326">
        <v>0</v>
      </c>
      <c r="H254" s="314"/>
      <c r="I254" s="325"/>
      <c r="J254" s="325"/>
      <c r="K254" s="325"/>
      <c r="L254" s="312"/>
      <c r="M254" s="344"/>
    </row>
    <row r="255" spans="1:13" outlineLevel="1">
      <c r="A255" s="309" t="s">
        <v>59</v>
      </c>
      <c r="B255" s="342" t="s">
        <v>94</v>
      </c>
      <c r="C255" s="327"/>
      <c r="D255" s="327"/>
      <c r="E255" s="327"/>
      <c r="F255" s="327"/>
      <c r="G255" s="326">
        <v>0</v>
      </c>
      <c r="H255" s="314"/>
      <c r="I255" s="325"/>
      <c r="J255" s="325"/>
      <c r="K255" s="325"/>
      <c r="L255" s="312"/>
      <c r="M255" s="344"/>
    </row>
    <row r="256" spans="1:13" outlineLevel="1">
      <c r="A256" s="309" t="s">
        <v>60</v>
      </c>
      <c r="B256" s="342" t="s">
        <v>94</v>
      </c>
      <c r="C256" s="327"/>
      <c r="D256" s="327"/>
      <c r="E256" s="327"/>
      <c r="F256" s="327"/>
      <c r="G256" s="326">
        <v>0</v>
      </c>
      <c r="H256" s="314"/>
      <c r="I256" s="325"/>
      <c r="J256" s="325"/>
      <c r="K256" s="325"/>
      <c r="L256" s="312"/>
      <c r="M256" s="344"/>
    </row>
    <row r="257" spans="1:13" outlineLevel="1">
      <c r="A257" s="307" t="s">
        <v>61</v>
      </c>
      <c r="B257" s="342" t="s">
        <v>94</v>
      </c>
      <c r="C257" s="322">
        <v>0</v>
      </c>
      <c r="D257" s="322">
        <v>0</v>
      </c>
      <c r="E257" s="322">
        <v>0</v>
      </c>
      <c r="F257" s="322">
        <v>0</v>
      </c>
      <c r="G257" s="323">
        <v>0</v>
      </c>
      <c r="H257" s="314"/>
      <c r="I257" s="325">
        <v>0</v>
      </c>
      <c r="J257" s="325">
        <v>0</v>
      </c>
      <c r="K257" s="325">
        <v>0</v>
      </c>
      <c r="L257" s="325">
        <v>0</v>
      </c>
      <c r="M257" s="344">
        <v>0</v>
      </c>
    </row>
    <row r="258" spans="1:13" outlineLevel="1">
      <c r="A258" s="309" t="s">
        <v>57</v>
      </c>
      <c r="B258" s="342" t="s">
        <v>94</v>
      </c>
      <c r="C258" s="328"/>
      <c r="D258" s="328"/>
      <c r="E258" s="328"/>
      <c r="F258" s="328"/>
      <c r="G258" s="326">
        <v>0</v>
      </c>
      <c r="H258" s="314"/>
      <c r="I258" s="325"/>
      <c r="J258" s="325"/>
      <c r="K258" s="325"/>
      <c r="L258" s="312"/>
      <c r="M258" s="344"/>
    </row>
    <row r="259" spans="1:13" outlineLevel="1">
      <c r="A259" s="309" t="s">
        <v>58</v>
      </c>
      <c r="B259" s="342" t="s">
        <v>94</v>
      </c>
      <c r="C259" s="327"/>
      <c r="D259" s="327"/>
      <c r="E259" s="327"/>
      <c r="F259" s="327"/>
      <c r="G259" s="326">
        <v>0</v>
      </c>
      <c r="H259" s="314"/>
      <c r="I259" s="325"/>
      <c r="J259" s="325"/>
      <c r="K259" s="325"/>
      <c r="L259" s="312"/>
      <c r="M259" s="344"/>
    </row>
    <row r="260" spans="1:13" outlineLevel="1">
      <c r="A260" s="317" t="s">
        <v>60</v>
      </c>
      <c r="B260" s="342" t="s">
        <v>94</v>
      </c>
      <c r="C260" s="327"/>
      <c r="D260" s="327"/>
      <c r="E260" s="327"/>
      <c r="F260" s="327"/>
      <c r="G260" s="326">
        <v>0</v>
      </c>
      <c r="H260" s="314"/>
      <c r="I260" s="325"/>
      <c r="J260" s="325"/>
      <c r="K260" s="325"/>
      <c r="L260" s="312"/>
      <c r="M260" s="344"/>
    </row>
    <row r="261" spans="1:13">
      <c r="A261" s="307" t="s">
        <v>56</v>
      </c>
      <c r="B261" s="342"/>
      <c r="C261" s="312"/>
      <c r="D261" s="312"/>
      <c r="E261" s="312"/>
      <c r="F261" s="312"/>
      <c r="G261" s="312"/>
      <c r="H261" s="314"/>
      <c r="I261" s="322">
        <v>0</v>
      </c>
      <c r="J261" s="322">
        <v>5143755</v>
      </c>
      <c r="K261" s="322">
        <v>505000</v>
      </c>
      <c r="L261" s="322">
        <v>3530000</v>
      </c>
      <c r="M261" s="347">
        <v>9178755</v>
      </c>
    </row>
    <row r="262" spans="1:13">
      <c r="A262" s="307" t="s">
        <v>61</v>
      </c>
      <c r="B262" s="342"/>
      <c r="C262" s="312"/>
      <c r="D262" s="312"/>
      <c r="E262" s="312"/>
      <c r="F262" s="312"/>
      <c r="G262" s="312"/>
      <c r="H262" s="314"/>
      <c r="I262" s="322">
        <v>0</v>
      </c>
      <c r="J262" s="322">
        <v>61627</v>
      </c>
      <c r="K262" s="322">
        <v>463447</v>
      </c>
      <c r="L262" s="322">
        <v>463447</v>
      </c>
      <c r="M262" s="347">
        <v>988521</v>
      </c>
    </row>
    <row r="263" spans="1:13">
      <c r="B263" s="342"/>
      <c r="C263" s="312"/>
      <c r="D263" s="312"/>
      <c r="E263" s="312"/>
      <c r="F263" s="312"/>
      <c r="G263" s="312"/>
      <c r="H263" s="314"/>
      <c r="I263" s="312"/>
      <c r="J263" s="312"/>
      <c r="K263" s="312"/>
      <c r="L263" s="312"/>
      <c r="M263" s="346"/>
    </row>
    <row r="264" spans="1:13">
      <c r="B264" s="342"/>
      <c r="C264" s="312"/>
      <c r="D264" s="312"/>
      <c r="E264" s="312"/>
      <c r="F264" s="312"/>
      <c r="G264" s="312"/>
      <c r="H264" s="314"/>
      <c r="I264" s="312"/>
      <c r="J264" s="312"/>
      <c r="K264" s="312"/>
      <c r="L264" s="312"/>
      <c r="M264" s="346"/>
    </row>
    <row r="265" spans="1:13">
      <c r="A265" s="315" t="s">
        <v>688</v>
      </c>
      <c r="B265" s="342"/>
      <c r="C265" s="312"/>
      <c r="D265" s="312"/>
      <c r="E265" s="312"/>
      <c r="F265" s="312"/>
      <c r="G265" s="312"/>
      <c r="H265" s="314"/>
      <c r="I265" s="312"/>
      <c r="J265" s="312"/>
      <c r="K265" s="312"/>
      <c r="L265" s="312"/>
      <c r="M265" s="346"/>
    </row>
    <row r="266" spans="1:13">
      <c r="A266" s="304" t="s">
        <v>689</v>
      </c>
      <c r="B266" s="342" t="s">
        <v>94</v>
      </c>
      <c r="C266" s="322">
        <v>647500</v>
      </c>
      <c r="D266" s="322">
        <v>1225000</v>
      </c>
      <c r="E266" s="322">
        <v>4100000</v>
      </c>
      <c r="F266" s="322">
        <v>4100000</v>
      </c>
      <c r="G266" s="323">
        <v>10072500</v>
      </c>
      <c r="H266" s="324">
        <v>0</v>
      </c>
      <c r="I266" s="325">
        <v>647500</v>
      </c>
      <c r="J266" s="325">
        <v>1225000</v>
      </c>
      <c r="K266" s="325">
        <v>4100000</v>
      </c>
      <c r="L266" s="325">
        <v>4100000</v>
      </c>
      <c r="M266" s="344">
        <v>10072500</v>
      </c>
    </row>
    <row r="267" spans="1:13" outlineLevel="1">
      <c r="A267" s="307" t="s">
        <v>56</v>
      </c>
      <c r="B267" s="342" t="s">
        <v>94</v>
      </c>
      <c r="C267" s="322">
        <v>612500</v>
      </c>
      <c r="D267" s="322">
        <v>1225000</v>
      </c>
      <c r="E267" s="330">
        <v>4000000</v>
      </c>
      <c r="F267" s="330">
        <v>4000000</v>
      </c>
      <c r="G267" s="323">
        <v>9837500</v>
      </c>
      <c r="H267" s="314"/>
      <c r="I267" s="325">
        <v>0</v>
      </c>
      <c r="J267" s="325">
        <v>0</v>
      </c>
      <c r="K267" s="325">
        <v>0</v>
      </c>
      <c r="L267" s="325">
        <v>0</v>
      </c>
      <c r="M267" s="344">
        <v>0</v>
      </c>
    </row>
    <row r="268" spans="1:13" outlineLevel="1">
      <c r="A268" s="309" t="s">
        <v>57</v>
      </c>
      <c r="B268" s="342" t="s">
        <v>94</v>
      </c>
      <c r="C268" s="328">
        <v>0</v>
      </c>
      <c r="D268" s="328">
        <v>0</v>
      </c>
      <c r="E268" s="328"/>
      <c r="F268" s="328"/>
      <c r="G268" s="326">
        <v>0</v>
      </c>
      <c r="H268" s="314"/>
      <c r="I268" s="325"/>
      <c r="J268" s="325"/>
      <c r="K268" s="325"/>
      <c r="L268" s="312"/>
      <c r="M268" s="344"/>
    </row>
    <row r="269" spans="1:13" outlineLevel="1">
      <c r="A269" s="309" t="s">
        <v>58</v>
      </c>
      <c r="B269" s="342" t="s">
        <v>94</v>
      </c>
      <c r="C269" s="327"/>
      <c r="D269" s="327"/>
      <c r="E269" s="327"/>
      <c r="F269" s="327"/>
      <c r="G269" s="326">
        <v>0</v>
      </c>
      <c r="H269" s="314"/>
      <c r="I269" s="325"/>
      <c r="J269" s="325"/>
      <c r="K269" s="325"/>
      <c r="L269" s="312"/>
      <c r="M269" s="344"/>
    </row>
    <row r="270" spans="1:13" outlineLevel="1">
      <c r="A270" s="309" t="s">
        <v>59</v>
      </c>
      <c r="B270" s="342" t="s">
        <v>94</v>
      </c>
      <c r="C270" s="327"/>
      <c r="D270" s="327"/>
      <c r="E270" s="327"/>
      <c r="F270" s="327"/>
      <c r="G270" s="326">
        <v>0</v>
      </c>
      <c r="H270" s="314"/>
      <c r="I270" s="325"/>
      <c r="J270" s="325"/>
      <c r="K270" s="325"/>
      <c r="L270" s="312"/>
      <c r="M270" s="344"/>
    </row>
    <row r="271" spans="1:13" outlineLevel="1">
      <c r="A271" s="309" t="s">
        <v>60</v>
      </c>
      <c r="B271" s="342" t="s">
        <v>94</v>
      </c>
      <c r="C271" s="327"/>
      <c r="D271" s="327"/>
      <c r="E271" s="327"/>
      <c r="F271" s="327"/>
      <c r="G271" s="326">
        <v>0</v>
      </c>
      <c r="H271" s="314"/>
      <c r="I271" s="325"/>
      <c r="J271" s="325"/>
      <c r="K271" s="325"/>
      <c r="L271" s="312"/>
      <c r="M271" s="344"/>
    </row>
    <row r="272" spans="1:13" outlineLevel="1">
      <c r="A272" s="307" t="s">
        <v>61</v>
      </c>
      <c r="B272" s="342" t="s">
        <v>94</v>
      </c>
      <c r="C272" s="338">
        <v>35000</v>
      </c>
      <c r="D272" s="338">
        <v>0</v>
      </c>
      <c r="E272" s="338">
        <v>100000</v>
      </c>
      <c r="F272" s="338">
        <v>100000</v>
      </c>
      <c r="G272" s="339">
        <v>235000</v>
      </c>
      <c r="H272" s="314"/>
      <c r="I272" s="325">
        <v>0</v>
      </c>
      <c r="J272" s="325">
        <v>0</v>
      </c>
      <c r="K272" s="325">
        <v>0</v>
      </c>
      <c r="L272" s="325">
        <v>0</v>
      </c>
      <c r="M272" s="344">
        <v>0</v>
      </c>
    </row>
    <row r="273" spans="1:13" outlineLevel="1">
      <c r="A273" s="309" t="s">
        <v>57</v>
      </c>
      <c r="B273" s="342" t="s">
        <v>94</v>
      </c>
      <c r="C273" s="328"/>
      <c r="D273" s="328"/>
      <c r="E273" s="328"/>
      <c r="F273" s="328"/>
      <c r="G273" s="326">
        <v>0</v>
      </c>
      <c r="H273" s="314"/>
      <c r="I273" s="325"/>
      <c r="J273" s="325"/>
      <c r="K273" s="325"/>
      <c r="L273" s="312"/>
      <c r="M273" s="344"/>
    </row>
    <row r="274" spans="1:13" outlineLevel="1">
      <c r="A274" s="309" t="s">
        <v>58</v>
      </c>
      <c r="B274" s="342" t="s">
        <v>94</v>
      </c>
      <c r="C274" s="327"/>
      <c r="D274" s="327"/>
      <c r="E274" s="327"/>
      <c r="F274" s="327"/>
      <c r="G274" s="326">
        <v>0</v>
      </c>
      <c r="H274" s="314"/>
      <c r="I274" s="325"/>
      <c r="J274" s="325"/>
      <c r="K274" s="325"/>
      <c r="L274" s="312"/>
      <c r="M274" s="344"/>
    </row>
    <row r="275" spans="1:13" outlineLevel="1">
      <c r="A275" s="317" t="s">
        <v>60</v>
      </c>
      <c r="B275" s="342" t="s">
        <v>94</v>
      </c>
      <c r="C275" s="327"/>
      <c r="D275" s="327"/>
      <c r="E275" s="327"/>
      <c r="F275" s="327"/>
      <c r="G275" s="326">
        <v>0</v>
      </c>
      <c r="H275" s="314"/>
      <c r="I275" s="325"/>
      <c r="J275" s="325"/>
      <c r="K275" s="325"/>
      <c r="L275" s="312"/>
      <c r="M275" s="344"/>
    </row>
    <row r="276" spans="1:13">
      <c r="A276" s="304" t="s">
        <v>220</v>
      </c>
      <c r="B276" s="342" t="s">
        <v>94</v>
      </c>
      <c r="C276" s="322">
        <v>7200000</v>
      </c>
      <c r="D276" s="322">
        <v>9600000</v>
      </c>
      <c r="E276" s="322">
        <v>12800000</v>
      </c>
      <c r="F276" s="322">
        <v>12800000</v>
      </c>
      <c r="G276" s="323">
        <v>42400000</v>
      </c>
      <c r="H276" s="324">
        <v>0.64</v>
      </c>
      <c r="I276" s="325">
        <v>7200000</v>
      </c>
      <c r="J276" s="325">
        <v>9600000</v>
      </c>
      <c r="K276" s="325">
        <v>12800000</v>
      </c>
      <c r="L276" s="325">
        <v>12800000</v>
      </c>
      <c r="M276" s="344">
        <v>42400000</v>
      </c>
    </row>
    <row r="277" spans="1:13" outlineLevel="1">
      <c r="A277" s="307" t="s">
        <v>56</v>
      </c>
      <c r="B277" s="342" t="s">
        <v>94</v>
      </c>
      <c r="C277" s="322">
        <v>7200000</v>
      </c>
      <c r="D277" s="322">
        <v>9600000</v>
      </c>
      <c r="E277" s="330">
        <v>12800000</v>
      </c>
      <c r="F277" s="330">
        <v>12800000</v>
      </c>
      <c r="G277" s="323">
        <v>42400000</v>
      </c>
      <c r="H277" s="314"/>
      <c r="I277" s="325">
        <v>4608000</v>
      </c>
      <c r="J277" s="325">
        <v>6144000</v>
      </c>
      <c r="K277" s="325">
        <v>8192000</v>
      </c>
      <c r="L277" s="325">
        <v>8192000</v>
      </c>
      <c r="M277" s="344">
        <v>27136000</v>
      </c>
    </row>
    <row r="278" spans="1:13" outlineLevel="1">
      <c r="A278" s="309" t="s">
        <v>57</v>
      </c>
      <c r="B278" s="342" t="s">
        <v>94</v>
      </c>
      <c r="C278" s="328">
        <v>0</v>
      </c>
      <c r="D278" s="328">
        <v>0</v>
      </c>
      <c r="E278" s="328"/>
      <c r="F278" s="328"/>
      <c r="G278" s="326">
        <v>0</v>
      </c>
      <c r="H278" s="314"/>
      <c r="I278" s="325"/>
      <c r="J278" s="325"/>
      <c r="K278" s="325"/>
      <c r="L278" s="312"/>
      <c r="M278" s="344"/>
    </row>
    <row r="279" spans="1:13" outlineLevel="1">
      <c r="A279" s="309" t="s">
        <v>58</v>
      </c>
      <c r="B279" s="342" t="s">
        <v>94</v>
      </c>
      <c r="C279" s="327"/>
      <c r="D279" s="327"/>
      <c r="E279" s="327"/>
      <c r="F279" s="327"/>
      <c r="G279" s="326">
        <v>0</v>
      </c>
      <c r="H279" s="314"/>
      <c r="I279" s="325"/>
      <c r="J279" s="325"/>
      <c r="K279" s="325"/>
      <c r="L279" s="312"/>
      <c r="M279" s="344"/>
    </row>
    <row r="280" spans="1:13" outlineLevel="1">
      <c r="A280" s="309" t="s">
        <v>59</v>
      </c>
      <c r="B280" s="342" t="s">
        <v>94</v>
      </c>
      <c r="C280" s="327"/>
      <c r="D280" s="327"/>
      <c r="E280" s="327"/>
      <c r="F280" s="327"/>
      <c r="G280" s="326">
        <v>0</v>
      </c>
      <c r="H280" s="314"/>
      <c r="I280" s="325"/>
      <c r="J280" s="325"/>
      <c r="K280" s="325"/>
      <c r="L280" s="312"/>
      <c r="M280" s="344"/>
    </row>
    <row r="281" spans="1:13" outlineLevel="1">
      <c r="A281" s="309" t="s">
        <v>60</v>
      </c>
      <c r="B281" s="342" t="s">
        <v>94</v>
      </c>
      <c r="C281" s="327"/>
      <c r="D281" s="327"/>
      <c r="E281" s="327"/>
      <c r="F281" s="327"/>
      <c r="G281" s="326">
        <v>0</v>
      </c>
      <c r="H281" s="314"/>
      <c r="I281" s="325"/>
      <c r="J281" s="325"/>
      <c r="K281" s="325"/>
      <c r="L281" s="312"/>
      <c r="M281" s="344"/>
    </row>
    <row r="282" spans="1:13" outlineLevel="1">
      <c r="A282" s="307" t="s">
        <v>61</v>
      </c>
      <c r="B282" s="342" t="s">
        <v>94</v>
      </c>
      <c r="C282" s="338">
        <v>0</v>
      </c>
      <c r="D282" s="338">
        <v>0</v>
      </c>
      <c r="E282" s="338">
        <v>0</v>
      </c>
      <c r="F282" s="338">
        <v>0</v>
      </c>
      <c r="G282" s="339">
        <v>0</v>
      </c>
      <c r="H282" s="314"/>
      <c r="I282" s="325">
        <v>0</v>
      </c>
      <c r="J282" s="325">
        <v>0</v>
      </c>
      <c r="K282" s="325">
        <v>0</v>
      </c>
      <c r="L282" s="325">
        <v>0</v>
      </c>
      <c r="M282" s="344">
        <v>0</v>
      </c>
    </row>
    <row r="283" spans="1:13" outlineLevel="1">
      <c r="A283" s="309" t="s">
        <v>57</v>
      </c>
      <c r="B283" s="342" t="s">
        <v>94</v>
      </c>
      <c r="C283" s="328"/>
      <c r="D283" s="328"/>
      <c r="E283" s="328"/>
      <c r="F283" s="328"/>
      <c r="G283" s="326">
        <v>0</v>
      </c>
      <c r="H283" s="314"/>
      <c r="I283" s="325"/>
      <c r="J283" s="325"/>
      <c r="K283" s="325"/>
      <c r="L283" s="312"/>
      <c r="M283" s="344"/>
    </row>
    <row r="284" spans="1:13" outlineLevel="1">
      <c r="A284" s="309" t="s">
        <v>58</v>
      </c>
      <c r="B284" s="342" t="s">
        <v>94</v>
      </c>
      <c r="C284" s="327"/>
      <c r="D284" s="327"/>
      <c r="E284" s="327"/>
      <c r="F284" s="327"/>
      <c r="G284" s="326">
        <v>0</v>
      </c>
      <c r="H284" s="314"/>
      <c r="I284" s="325"/>
      <c r="J284" s="325"/>
      <c r="K284" s="325"/>
      <c r="L284" s="312"/>
      <c r="M284" s="344"/>
    </row>
    <row r="285" spans="1:13" outlineLevel="1">
      <c r="A285" s="317" t="s">
        <v>60</v>
      </c>
      <c r="B285" s="342" t="s">
        <v>94</v>
      </c>
      <c r="C285" s="327"/>
      <c r="D285" s="327"/>
      <c r="E285" s="327"/>
      <c r="F285" s="327"/>
      <c r="G285" s="326">
        <v>0</v>
      </c>
      <c r="H285" s="314"/>
      <c r="I285" s="325"/>
      <c r="J285" s="325"/>
      <c r="K285" s="325"/>
      <c r="L285" s="312"/>
      <c r="M285" s="344"/>
    </row>
    <row r="286" spans="1:13">
      <c r="A286" s="304" t="s">
        <v>690</v>
      </c>
      <c r="B286" s="342" t="s">
        <v>94</v>
      </c>
      <c r="C286" s="322">
        <v>0</v>
      </c>
      <c r="D286" s="322">
        <v>1760000</v>
      </c>
      <c r="E286" s="322">
        <v>2260000</v>
      </c>
      <c r="F286" s="322">
        <v>3280000</v>
      </c>
      <c r="G286" s="323">
        <v>7300000</v>
      </c>
      <c r="H286" s="324">
        <v>0.5</v>
      </c>
      <c r="I286" s="325">
        <v>0</v>
      </c>
      <c r="J286" s="325">
        <v>1760000</v>
      </c>
      <c r="K286" s="325">
        <v>2260000</v>
      </c>
      <c r="L286" s="325">
        <v>3280000</v>
      </c>
      <c r="M286" s="344">
        <v>7300000</v>
      </c>
    </row>
    <row r="287" spans="1:13" outlineLevel="1">
      <c r="A287" s="307" t="s">
        <v>56</v>
      </c>
      <c r="B287" s="342" t="s">
        <v>94</v>
      </c>
      <c r="C287" s="322">
        <v>0</v>
      </c>
      <c r="D287" s="322">
        <v>1760000</v>
      </c>
      <c r="E287" s="330">
        <v>2260000</v>
      </c>
      <c r="F287" s="330">
        <v>3280000</v>
      </c>
      <c r="G287" s="323">
        <v>7300000</v>
      </c>
      <c r="H287" s="314"/>
      <c r="I287" s="325">
        <v>0</v>
      </c>
      <c r="J287" s="325">
        <v>880000</v>
      </c>
      <c r="K287" s="325">
        <v>1130000</v>
      </c>
      <c r="L287" s="325">
        <v>1640000</v>
      </c>
      <c r="M287" s="344">
        <v>3650000</v>
      </c>
    </row>
    <row r="288" spans="1:13" outlineLevel="1">
      <c r="A288" s="309" t="s">
        <v>57</v>
      </c>
      <c r="B288" s="342" t="s">
        <v>94</v>
      </c>
      <c r="C288" s="328">
        <v>0</v>
      </c>
      <c r="D288" s="328">
        <v>0</v>
      </c>
      <c r="E288" s="328"/>
      <c r="F288" s="328"/>
      <c r="G288" s="326">
        <v>0</v>
      </c>
      <c r="H288" s="314"/>
      <c r="I288" s="325"/>
      <c r="J288" s="325"/>
      <c r="K288" s="325"/>
      <c r="L288" s="312"/>
      <c r="M288" s="344"/>
    </row>
    <row r="289" spans="1:13" outlineLevel="1">
      <c r="A289" s="309" t="s">
        <v>58</v>
      </c>
      <c r="B289" s="342" t="s">
        <v>94</v>
      </c>
      <c r="C289" s="327"/>
      <c r="D289" s="327"/>
      <c r="E289" s="327"/>
      <c r="F289" s="327"/>
      <c r="G289" s="326">
        <v>0</v>
      </c>
      <c r="H289" s="314"/>
      <c r="I289" s="325"/>
      <c r="J289" s="325"/>
      <c r="K289" s="325"/>
      <c r="L289" s="312"/>
      <c r="M289" s="344"/>
    </row>
    <row r="290" spans="1:13" outlineLevel="1">
      <c r="A290" s="309" t="s">
        <v>59</v>
      </c>
      <c r="B290" s="342" t="s">
        <v>94</v>
      </c>
      <c r="C290" s="327"/>
      <c r="D290" s="327"/>
      <c r="E290" s="327"/>
      <c r="F290" s="327"/>
      <c r="G290" s="326">
        <v>0</v>
      </c>
      <c r="H290" s="314"/>
      <c r="I290" s="325"/>
      <c r="J290" s="325"/>
      <c r="K290" s="325"/>
      <c r="L290" s="312"/>
      <c r="M290" s="344"/>
    </row>
    <row r="291" spans="1:13" outlineLevel="1">
      <c r="A291" s="309" t="s">
        <v>60</v>
      </c>
      <c r="B291" s="342" t="s">
        <v>94</v>
      </c>
      <c r="C291" s="327"/>
      <c r="D291" s="327"/>
      <c r="E291" s="327"/>
      <c r="F291" s="327"/>
      <c r="G291" s="326">
        <v>0</v>
      </c>
      <c r="H291" s="314"/>
      <c r="I291" s="325"/>
      <c r="J291" s="325"/>
      <c r="K291" s="325"/>
      <c r="L291" s="312"/>
      <c r="M291" s="344"/>
    </row>
    <row r="292" spans="1:13" outlineLevel="1">
      <c r="A292" s="307" t="s">
        <v>61</v>
      </c>
      <c r="B292" s="342" t="s">
        <v>94</v>
      </c>
      <c r="C292" s="338">
        <v>0</v>
      </c>
      <c r="D292" s="338">
        <v>0</v>
      </c>
      <c r="E292" s="338">
        <v>0</v>
      </c>
      <c r="F292" s="338">
        <v>0</v>
      </c>
      <c r="G292" s="339">
        <v>0</v>
      </c>
      <c r="H292" s="314"/>
      <c r="I292" s="325">
        <v>0</v>
      </c>
      <c r="J292" s="325">
        <v>0</v>
      </c>
      <c r="K292" s="325">
        <v>0</v>
      </c>
      <c r="L292" s="325">
        <v>0</v>
      </c>
      <c r="M292" s="344">
        <v>0</v>
      </c>
    </row>
    <row r="293" spans="1:13" outlineLevel="1">
      <c r="A293" s="309" t="s">
        <v>57</v>
      </c>
      <c r="B293" s="342" t="s">
        <v>94</v>
      </c>
      <c r="C293" s="328"/>
      <c r="D293" s="328"/>
      <c r="E293" s="328"/>
      <c r="F293" s="328"/>
      <c r="G293" s="326">
        <v>0</v>
      </c>
      <c r="H293" s="314"/>
      <c r="I293" s="325"/>
      <c r="J293" s="325"/>
      <c r="K293" s="325"/>
      <c r="L293" s="312"/>
      <c r="M293" s="344"/>
    </row>
    <row r="294" spans="1:13" outlineLevel="1">
      <c r="A294" s="309" t="s">
        <v>58</v>
      </c>
      <c r="B294" s="342" t="s">
        <v>94</v>
      </c>
      <c r="C294" s="327"/>
      <c r="D294" s="327"/>
      <c r="E294" s="327"/>
      <c r="F294" s="327"/>
      <c r="G294" s="326">
        <v>0</v>
      </c>
      <c r="H294" s="314"/>
      <c r="I294" s="325"/>
      <c r="J294" s="325"/>
      <c r="K294" s="325"/>
      <c r="L294" s="312"/>
      <c r="M294" s="344"/>
    </row>
    <row r="295" spans="1:13" outlineLevel="1">
      <c r="A295" s="317" t="s">
        <v>60</v>
      </c>
      <c r="B295" s="342" t="s">
        <v>94</v>
      </c>
      <c r="C295" s="327"/>
      <c r="D295" s="327"/>
      <c r="E295" s="327"/>
      <c r="F295" s="327"/>
      <c r="G295" s="326">
        <v>0</v>
      </c>
      <c r="H295" s="314"/>
      <c r="I295" s="325"/>
      <c r="J295" s="325"/>
      <c r="K295" s="325"/>
      <c r="L295" s="312"/>
      <c r="M295" s="344"/>
    </row>
    <row r="296" spans="1:13">
      <c r="A296" s="304" t="s">
        <v>691</v>
      </c>
      <c r="B296" s="342" t="s">
        <v>94</v>
      </c>
      <c r="C296" s="322">
        <v>0</v>
      </c>
      <c r="D296" s="322">
        <v>15000000</v>
      </c>
      <c r="E296" s="322">
        <v>17500000</v>
      </c>
      <c r="F296" s="322">
        <v>25000000</v>
      </c>
      <c r="G296" s="323">
        <v>57500000</v>
      </c>
      <c r="H296" s="324">
        <v>1</v>
      </c>
      <c r="I296" s="325">
        <v>0</v>
      </c>
      <c r="J296" s="325">
        <v>15000000</v>
      </c>
      <c r="K296" s="325">
        <v>17500000</v>
      </c>
      <c r="L296" s="325">
        <v>25000000</v>
      </c>
      <c r="M296" s="344">
        <v>57500000</v>
      </c>
    </row>
    <row r="297" spans="1:13" outlineLevel="1">
      <c r="A297" s="307" t="s">
        <v>56</v>
      </c>
      <c r="B297" s="342" t="s">
        <v>94</v>
      </c>
      <c r="C297" s="322">
        <v>0</v>
      </c>
      <c r="D297" s="322">
        <v>15000000</v>
      </c>
      <c r="E297" s="330">
        <v>17500000</v>
      </c>
      <c r="F297" s="330">
        <v>25000000</v>
      </c>
      <c r="G297" s="323">
        <v>57500000</v>
      </c>
      <c r="H297" s="314"/>
      <c r="I297" s="325">
        <v>0</v>
      </c>
      <c r="J297" s="325">
        <v>15000000</v>
      </c>
      <c r="K297" s="325">
        <v>17500000</v>
      </c>
      <c r="L297" s="325">
        <v>25000000</v>
      </c>
      <c r="M297" s="344">
        <v>57500000</v>
      </c>
    </row>
    <row r="298" spans="1:13" outlineLevel="1">
      <c r="A298" s="309" t="s">
        <v>57</v>
      </c>
      <c r="B298" s="342" t="s">
        <v>94</v>
      </c>
      <c r="C298" s="328">
        <v>0</v>
      </c>
      <c r="D298" s="328">
        <v>0</v>
      </c>
      <c r="E298" s="328"/>
      <c r="F298" s="328"/>
      <c r="G298" s="326">
        <v>0</v>
      </c>
      <c r="H298" s="314"/>
      <c r="I298" s="325"/>
      <c r="J298" s="325"/>
      <c r="K298" s="325"/>
      <c r="L298" s="312"/>
      <c r="M298" s="344"/>
    </row>
    <row r="299" spans="1:13" outlineLevel="1">
      <c r="A299" s="309" t="s">
        <v>58</v>
      </c>
      <c r="B299" s="342" t="s">
        <v>94</v>
      </c>
      <c r="C299" s="327"/>
      <c r="D299" s="327"/>
      <c r="E299" s="327"/>
      <c r="F299" s="327"/>
      <c r="G299" s="326">
        <v>0</v>
      </c>
      <c r="H299" s="314"/>
      <c r="I299" s="325"/>
      <c r="J299" s="325"/>
      <c r="K299" s="325"/>
      <c r="L299" s="312"/>
      <c r="M299" s="344"/>
    </row>
    <row r="300" spans="1:13" outlineLevel="1">
      <c r="A300" s="309" t="s">
        <v>59</v>
      </c>
      <c r="B300" s="342" t="s">
        <v>94</v>
      </c>
      <c r="C300" s="327"/>
      <c r="D300" s="327"/>
      <c r="E300" s="327"/>
      <c r="F300" s="327"/>
      <c r="G300" s="326">
        <v>0</v>
      </c>
      <c r="H300" s="314"/>
      <c r="I300" s="325"/>
      <c r="J300" s="325"/>
      <c r="K300" s="325"/>
      <c r="L300" s="312"/>
      <c r="M300" s="344"/>
    </row>
    <row r="301" spans="1:13" outlineLevel="1">
      <c r="A301" s="309" t="s">
        <v>60</v>
      </c>
      <c r="B301" s="342" t="s">
        <v>94</v>
      </c>
      <c r="C301" s="327"/>
      <c r="D301" s="327"/>
      <c r="E301" s="327"/>
      <c r="F301" s="327"/>
      <c r="G301" s="326">
        <v>0</v>
      </c>
      <c r="H301" s="314"/>
      <c r="I301" s="325"/>
      <c r="J301" s="325"/>
      <c r="K301" s="325"/>
      <c r="L301" s="312"/>
      <c r="M301" s="344"/>
    </row>
    <row r="302" spans="1:13" outlineLevel="1">
      <c r="A302" s="307" t="s">
        <v>61</v>
      </c>
      <c r="B302" s="342" t="s">
        <v>94</v>
      </c>
      <c r="C302" s="338">
        <v>0</v>
      </c>
      <c r="D302" s="338">
        <v>0</v>
      </c>
      <c r="E302" s="338">
        <v>0</v>
      </c>
      <c r="F302" s="338">
        <v>0</v>
      </c>
      <c r="G302" s="339">
        <v>0</v>
      </c>
      <c r="H302" s="314"/>
      <c r="I302" s="325">
        <v>0</v>
      </c>
      <c r="J302" s="325">
        <v>0</v>
      </c>
      <c r="K302" s="325">
        <v>0</v>
      </c>
      <c r="L302" s="325">
        <v>0</v>
      </c>
      <c r="M302" s="344">
        <v>0</v>
      </c>
    </row>
    <row r="303" spans="1:13" outlineLevel="1">
      <c r="A303" s="309" t="s">
        <v>57</v>
      </c>
      <c r="B303" s="342" t="s">
        <v>94</v>
      </c>
      <c r="C303" s="328"/>
      <c r="D303" s="328"/>
      <c r="E303" s="328"/>
      <c r="F303" s="328"/>
      <c r="G303" s="326">
        <v>0</v>
      </c>
      <c r="H303" s="314"/>
      <c r="I303" s="325"/>
      <c r="J303" s="325"/>
      <c r="K303" s="325"/>
      <c r="L303" s="312"/>
      <c r="M303" s="344"/>
    </row>
    <row r="304" spans="1:13" outlineLevel="1">
      <c r="A304" s="309" t="s">
        <v>58</v>
      </c>
      <c r="B304" s="342" t="s">
        <v>94</v>
      </c>
      <c r="C304" s="327"/>
      <c r="D304" s="327"/>
      <c r="E304" s="327"/>
      <c r="F304" s="327"/>
      <c r="G304" s="326">
        <v>0</v>
      </c>
      <c r="H304" s="314"/>
      <c r="I304" s="325"/>
      <c r="J304" s="325"/>
      <c r="K304" s="325"/>
      <c r="L304" s="312"/>
      <c r="M304" s="344"/>
    </row>
    <row r="305" spans="1:13" outlineLevel="1">
      <c r="A305" s="317" t="s">
        <v>60</v>
      </c>
      <c r="B305" s="342" t="s">
        <v>94</v>
      </c>
      <c r="C305" s="327"/>
      <c r="D305" s="327"/>
      <c r="E305" s="327"/>
      <c r="F305" s="327"/>
      <c r="G305" s="326">
        <v>0</v>
      </c>
      <c r="H305" s="314"/>
      <c r="I305" s="325"/>
      <c r="J305" s="325"/>
      <c r="K305" s="325"/>
      <c r="L305" s="312"/>
      <c r="M305" s="344"/>
    </row>
    <row r="306" spans="1:13">
      <c r="A306" s="304" t="s">
        <v>692</v>
      </c>
      <c r="B306" s="342" t="s">
        <v>94</v>
      </c>
      <c r="C306" s="322">
        <v>0</v>
      </c>
      <c r="D306" s="322">
        <v>5600000</v>
      </c>
      <c r="E306" s="322">
        <v>5600000</v>
      </c>
      <c r="F306" s="322">
        <v>5600000</v>
      </c>
      <c r="G306" s="323">
        <v>16800000</v>
      </c>
      <c r="H306" s="324">
        <v>0.11</v>
      </c>
      <c r="I306" s="325">
        <v>0</v>
      </c>
      <c r="J306" s="325">
        <v>5600000</v>
      </c>
      <c r="K306" s="325">
        <v>5600000</v>
      </c>
      <c r="L306" s="325">
        <v>5600000</v>
      </c>
      <c r="M306" s="344">
        <v>16800000</v>
      </c>
    </row>
    <row r="307" spans="1:13" outlineLevel="1">
      <c r="A307" s="307" t="s">
        <v>56</v>
      </c>
      <c r="B307" s="342" t="s">
        <v>94</v>
      </c>
      <c r="C307" s="322">
        <v>0</v>
      </c>
      <c r="D307" s="322">
        <v>5600000</v>
      </c>
      <c r="E307" s="330">
        <v>5600000</v>
      </c>
      <c r="F307" s="330">
        <v>5600000</v>
      </c>
      <c r="G307" s="323">
        <v>16800000</v>
      </c>
      <c r="H307" s="314"/>
      <c r="I307" s="325">
        <v>0</v>
      </c>
      <c r="J307" s="325">
        <v>616000</v>
      </c>
      <c r="K307" s="325">
        <v>616000</v>
      </c>
      <c r="L307" s="325">
        <v>616000</v>
      </c>
      <c r="M307" s="344">
        <v>1848000</v>
      </c>
    </row>
    <row r="308" spans="1:13" outlineLevel="1">
      <c r="A308" s="309" t="s">
        <v>57</v>
      </c>
      <c r="B308" s="342" t="s">
        <v>94</v>
      </c>
      <c r="C308" s="328">
        <v>0</v>
      </c>
      <c r="D308" s="328">
        <v>0</v>
      </c>
      <c r="E308" s="328"/>
      <c r="F308" s="328"/>
      <c r="G308" s="326">
        <v>0</v>
      </c>
      <c r="H308" s="314"/>
      <c r="I308" s="325"/>
      <c r="J308" s="325"/>
      <c r="K308" s="325"/>
      <c r="L308" s="312"/>
      <c r="M308" s="344"/>
    </row>
    <row r="309" spans="1:13" outlineLevel="1">
      <c r="A309" s="309" t="s">
        <v>58</v>
      </c>
      <c r="B309" s="342" t="s">
        <v>94</v>
      </c>
      <c r="C309" s="327"/>
      <c r="D309" s="327"/>
      <c r="E309" s="327"/>
      <c r="F309" s="327"/>
      <c r="G309" s="326">
        <v>0</v>
      </c>
      <c r="H309" s="314"/>
      <c r="I309" s="325"/>
      <c r="J309" s="325"/>
      <c r="K309" s="325"/>
      <c r="L309" s="312"/>
      <c r="M309" s="344"/>
    </row>
    <row r="310" spans="1:13" outlineLevel="1">
      <c r="A310" s="309" t="s">
        <v>59</v>
      </c>
      <c r="B310" s="342" t="s">
        <v>94</v>
      </c>
      <c r="C310" s="327"/>
      <c r="D310" s="327"/>
      <c r="E310" s="327"/>
      <c r="F310" s="327"/>
      <c r="G310" s="326">
        <v>0</v>
      </c>
      <c r="H310" s="314"/>
      <c r="I310" s="325"/>
      <c r="J310" s="325"/>
      <c r="K310" s="325"/>
      <c r="L310" s="312"/>
      <c r="M310" s="344"/>
    </row>
    <row r="311" spans="1:13" outlineLevel="1">
      <c r="A311" s="309" t="s">
        <v>60</v>
      </c>
      <c r="B311" s="342" t="s">
        <v>94</v>
      </c>
      <c r="C311" s="327"/>
      <c r="D311" s="327"/>
      <c r="E311" s="327"/>
      <c r="F311" s="327"/>
      <c r="G311" s="326">
        <v>0</v>
      </c>
      <c r="H311" s="314"/>
      <c r="I311" s="325"/>
      <c r="J311" s="325"/>
      <c r="K311" s="325"/>
      <c r="L311" s="312"/>
      <c r="M311" s="344"/>
    </row>
    <row r="312" spans="1:13" outlineLevel="1">
      <c r="A312" s="307" t="s">
        <v>61</v>
      </c>
      <c r="B312" s="342" t="s">
        <v>94</v>
      </c>
      <c r="C312" s="338">
        <v>0</v>
      </c>
      <c r="D312" s="338">
        <v>0</v>
      </c>
      <c r="E312" s="338">
        <v>0</v>
      </c>
      <c r="F312" s="338">
        <v>0</v>
      </c>
      <c r="G312" s="339">
        <v>0</v>
      </c>
      <c r="H312" s="314"/>
      <c r="I312" s="325">
        <v>0</v>
      </c>
      <c r="J312" s="325">
        <v>0</v>
      </c>
      <c r="K312" s="325">
        <v>0</v>
      </c>
      <c r="L312" s="325">
        <v>0</v>
      </c>
      <c r="M312" s="344">
        <v>0</v>
      </c>
    </row>
    <row r="313" spans="1:13" outlineLevel="1">
      <c r="A313" s="309" t="s">
        <v>57</v>
      </c>
      <c r="B313" s="342" t="s">
        <v>94</v>
      </c>
      <c r="C313" s="328"/>
      <c r="D313" s="328"/>
      <c r="E313" s="328"/>
      <c r="F313" s="328"/>
      <c r="G313" s="326">
        <v>0</v>
      </c>
      <c r="H313" s="314"/>
      <c r="I313" s="325"/>
      <c r="J313" s="325"/>
      <c r="K313" s="325"/>
      <c r="L313" s="312"/>
      <c r="M313" s="344"/>
    </row>
    <row r="314" spans="1:13" outlineLevel="1">
      <c r="A314" s="309" t="s">
        <v>58</v>
      </c>
      <c r="B314" s="342" t="s">
        <v>94</v>
      </c>
      <c r="C314" s="327"/>
      <c r="D314" s="327"/>
      <c r="E314" s="327"/>
      <c r="F314" s="327"/>
      <c r="G314" s="326">
        <v>0</v>
      </c>
      <c r="H314" s="314"/>
      <c r="I314" s="325"/>
      <c r="J314" s="325"/>
      <c r="K314" s="325"/>
      <c r="L314" s="312"/>
      <c r="M314" s="344"/>
    </row>
    <row r="315" spans="1:13" outlineLevel="1">
      <c r="A315" s="317" t="s">
        <v>60</v>
      </c>
      <c r="B315" s="342" t="s">
        <v>94</v>
      </c>
      <c r="C315" s="327"/>
      <c r="D315" s="327"/>
      <c r="E315" s="327"/>
      <c r="F315" s="327"/>
      <c r="G315" s="326">
        <v>0</v>
      </c>
      <c r="H315" s="314"/>
      <c r="I315" s="325"/>
      <c r="J315" s="325"/>
      <c r="K315" s="325"/>
      <c r="L315" s="312"/>
      <c r="M315" s="344"/>
    </row>
    <row r="316" spans="1:13">
      <c r="A316" s="304" t="s">
        <v>693</v>
      </c>
      <c r="B316" s="342" t="s">
        <v>94</v>
      </c>
      <c r="C316" s="322">
        <v>1096750</v>
      </c>
      <c r="D316" s="322">
        <v>4841750</v>
      </c>
      <c r="E316" s="322">
        <v>10191750</v>
      </c>
      <c r="F316" s="322">
        <v>10191750</v>
      </c>
      <c r="G316" s="323">
        <v>26322000</v>
      </c>
      <c r="H316" s="324">
        <v>0.7</v>
      </c>
      <c r="I316" s="325">
        <v>1096750</v>
      </c>
      <c r="J316" s="325">
        <v>4841750</v>
      </c>
      <c r="K316" s="325">
        <v>10191750</v>
      </c>
      <c r="L316" s="325">
        <v>10191750</v>
      </c>
      <c r="M316" s="344">
        <v>26322000</v>
      </c>
    </row>
    <row r="317" spans="1:13" outlineLevel="1">
      <c r="A317" s="307" t="s">
        <v>56</v>
      </c>
      <c r="B317" s="342" t="s">
        <v>94</v>
      </c>
      <c r="C317" s="322">
        <v>1025000</v>
      </c>
      <c r="D317" s="322">
        <v>4525000</v>
      </c>
      <c r="E317" s="330">
        <v>9525000</v>
      </c>
      <c r="F317" s="330">
        <v>9525000</v>
      </c>
      <c r="G317" s="323">
        <v>24600000</v>
      </c>
      <c r="H317" s="314"/>
      <c r="I317" s="325">
        <v>717500</v>
      </c>
      <c r="J317" s="325">
        <v>3167500</v>
      </c>
      <c r="K317" s="325">
        <v>6667500</v>
      </c>
      <c r="L317" s="325">
        <v>6667500</v>
      </c>
      <c r="M317" s="344">
        <v>17220000</v>
      </c>
    </row>
    <row r="318" spans="1:13" outlineLevel="1">
      <c r="A318" s="309" t="s">
        <v>57</v>
      </c>
      <c r="B318" s="342" t="s">
        <v>94</v>
      </c>
      <c r="C318" s="328">
        <v>0</v>
      </c>
      <c r="D318" s="328">
        <v>0</v>
      </c>
      <c r="E318" s="328"/>
      <c r="F318" s="328"/>
      <c r="G318" s="326">
        <v>0</v>
      </c>
      <c r="H318" s="314"/>
      <c r="I318" s="325"/>
      <c r="J318" s="325"/>
      <c r="K318" s="325"/>
      <c r="L318" s="312"/>
      <c r="M318" s="344"/>
    </row>
    <row r="319" spans="1:13" outlineLevel="1">
      <c r="A319" s="309" t="s">
        <v>58</v>
      </c>
      <c r="B319" s="342" t="s">
        <v>94</v>
      </c>
      <c r="C319" s="327"/>
      <c r="D319" s="327"/>
      <c r="E319" s="327"/>
      <c r="F319" s="327"/>
      <c r="G319" s="326">
        <v>0</v>
      </c>
      <c r="H319" s="314"/>
      <c r="I319" s="325"/>
      <c r="J319" s="325"/>
      <c r="K319" s="325"/>
      <c r="L319" s="312"/>
      <c r="M319" s="344"/>
    </row>
    <row r="320" spans="1:13" outlineLevel="1">
      <c r="A320" s="309" t="s">
        <v>59</v>
      </c>
      <c r="B320" s="342" t="s">
        <v>94</v>
      </c>
      <c r="C320" s="327"/>
      <c r="D320" s="327"/>
      <c r="E320" s="327"/>
      <c r="F320" s="327"/>
      <c r="G320" s="326">
        <v>0</v>
      </c>
      <c r="H320" s="314"/>
      <c r="I320" s="325"/>
      <c r="J320" s="325"/>
      <c r="K320" s="325"/>
      <c r="L320" s="312"/>
      <c r="M320" s="344"/>
    </row>
    <row r="321" spans="1:13" outlineLevel="1">
      <c r="A321" s="309" t="s">
        <v>60</v>
      </c>
      <c r="B321" s="342" t="s">
        <v>94</v>
      </c>
      <c r="C321" s="327"/>
      <c r="D321" s="327"/>
      <c r="E321" s="327"/>
      <c r="F321" s="327"/>
      <c r="G321" s="326">
        <v>0</v>
      </c>
      <c r="H321" s="314"/>
      <c r="I321" s="325"/>
      <c r="J321" s="325"/>
      <c r="K321" s="325"/>
      <c r="L321" s="312"/>
      <c r="M321" s="344"/>
    </row>
    <row r="322" spans="1:13" outlineLevel="1">
      <c r="A322" s="307" t="s">
        <v>61</v>
      </c>
      <c r="B322" s="342" t="s">
        <v>94</v>
      </c>
      <c r="C322" s="338">
        <v>71750</v>
      </c>
      <c r="D322" s="338">
        <v>316750</v>
      </c>
      <c r="E322" s="338">
        <v>666750</v>
      </c>
      <c r="F322" s="338">
        <v>666750</v>
      </c>
      <c r="G322" s="339">
        <v>1722000</v>
      </c>
      <c r="H322" s="314"/>
      <c r="I322" s="325">
        <v>50225</v>
      </c>
      <c r="J322" s="325">
        <v>221725</v>
      </c>
      <c r="K322" s="325">
        <v>466724.99999999994</v>
      </c>
      <c r="L322" s="325">
        <v>466724.99999999994</v>
      </c>
      <c r="M322" s="344">
        <v>1205400</v>
      </c>
    </row>
    <row r="323" spans="1:13" outlineLevel="1">
      <c r="A323" s="309" t="s">
        <v>57</v>
      </c>
      <c r="B323" s="342" t="s">
        <v>94</v>
      </c>
      <c r="C323" s="328"/>
      <c r="D323" s="328"/>
      <c r="E323" s="328"/>
      <c r="F323" s="328"/>
      <c r="G323" s="326">
        <v>0</v>
      </c>
      <c r="H323" s="314"/>
      <c r="I323" s="325"/>
      <c r="J323" s="325"/>
      <c r="K323" s="325"/>
      <c r="L323" s="312"/>
      <c r="M323" s="344"/>
    </row>
    <row r="324" spans="1:13" outlineLevel="1">
      <c r="A324" s="309" t="s">
        <v>58</v>
      </c>
      <c r="B324" s="342" t="s">
        <v>94</v>
      </c>
      <c r="C324" s="327"/>
      <c r="D324" s="327"/>
      <c r="E324" s="327"/>
      <c r="F324" s="327"/>
      <c r="G324" s="326">
        <v>0</v>
      </c>
      <c r="H324" s="314"/>
      <c r="I324" s="325"/>
      <c r="J324" s="325"/>
      <c r="K324" s="325"/>
      <c r="L324" s="312"/>
      <c r="M324" s="344"/>
    </row>
    <row r="325" spans="1:13" outlineLevel="1">
      <c r="A325" s="317" t="s">
        <v>60</v>
      </c>
      <c r="B325" s="342" t="s">
        <v>94</v>
      </c>
      <c r="C325" s="327"/>
      <c r="D325" s="327"/>
      <c r="E325" s="327"/>
      <c r="F325" s="327"/>
      <c r="G325" s="326">
        <v>0</v>
      </c>
      <c r="H325" s="314"/>
      <c r="I325" s="325"/>
      <c r="J325" s="325"/>
      <c r="K325" s="325"/>
      <c r="L325" s="312"/>
      <c r="M325" s="344"/>
    </row>
    <row r="326" spans="1:13">
      <c r="A326" s="349"/>
      <c r="B326" s="349"/>
      <c r="C326" s="349"/>
      <c r="D326" s="349"/>
      <c r="E326" s="349"/>
      <c r="F326" s="349"/>
      <c r="G326" s="349"/>
      <c r="H326" s="350"/>
      <c r="I326" s="349"/>
      <c r="J326" s="349"/>
      <c r="K326" s="349"/>
      <c r="L326" s="349"/>
      <c r="M326" s="349"/>
    </row>
    <row r="327" spans="1:13">
      <c r="A327" s="340"/>
      <c r="B327" s="340"/>
      <c r="C327" s="340"/>
      <c r="D327" s="340"/>
      <c r="E327" s="340"/>
      <c r="F327" s="340"/>
      <c r="G327" s="340"/>
      <c r="H327" s="351"/>
      <c r="I327" s="340"/>
      <c r="J327" s="340"/>
      <c r="K327" s="340"/>
      <c r="L327" s="340"/>
      <c r="M327" s="340"/>
    </row>
    <row r="328" spans="1:13">
      <c r="A328" s="340"/>
      <c r="B328" s="340"/>
      <c r="C328" s="340"/>
      <c r="D328" s="340"/>
      <c r="E328" s="340"/>
      <c r="F328" s="340"/>
      <c r="G328" s="340"/>
      <c r="H328" s="351"/>
      <c r="I328" s="340"/>
      <c r="J328" s="340"/>
      <c r="K328" s="340"/>
      <c r="L328" s="340"/>
      <c r="M328" s="340"/>
    </row>
    <row r="329" spans="1:13">
      <c r="A329" s="304" t="s">
        <v>694</v>
      </c>
      <c r="B329" s="318"/>
      <c r="C329" s="318"/>
      <c r="D329" s="318"/>
      <c r="E329" s="318"/>
      <c r="F329" s="318"/>
      <c r="G329" s="318"/>
      <c r="H329" s="319"/>
      <c r="I329" s="318"/>
      <c r="J329" s="318"/>
      <c r="K329" s="318"/>
      <c r="L329" s="318"/>
      <c r="M329" s="318"/>
    </row>
    <row r="330" spans="1:13">
      <c r="A330" s="302" t="s">
        <v>56</v>
      </c>
      <c r="B330" s="312"/>
      <c r="C330" s="326">
        <v>3901250</v>
      </c>
      <c r="D330" s="326">
        <v>9468250</v>
      </c>
      <c r="E330" s="326">
        <v>7828000</v>
      </c>
      <c r="F330" s="326">
        <v>550000</v>
      </c>
      <c r="G330" s="312"/>
      <c r="H330" s="314"/>
      <c r="I330" s="326">
        <v>3901250</v>
      </c>
      <c r="J330" s="326">
        <v>9132250</v>
      </c>
      <c r="K330" s="326">
        <v>6814000</v>
      </c>
      <c r="L330" s="326">
        <v>550000</v>
      </c>
      <c r="M330" s="344">
        <v>20397500</v>
      </c>
    </row>
    <row r="331" spans="1:13">
      <c r="A331" s="302" t="s">
        <v>61</v>
      </c>
      <c r="B331" s="312"/>
      <c r="C331" s="326">
        <v>2500285</v>
      </c>
      <c r="D331" s="326">
        <v>3573445</v>
      </c>
      <c r="E331" s="326">
        <v>3249911.5</v>
      </c>
      <c r="F331" s="326">
        <v>3449911.5</v>
      </c>
      <c r="G331" s="312"/>
      <c r="H331" s="314"/>
      <c r="I331" s="326">
        <v>2500285</v>
      </c>
      <c r="J331" s="326">
        <v>3573445</v>
      </c>
      <c r="K331" s="326">
        <v>3024911.5</v>
      </c>
      <c r="L331" s="326">
        <v>3224911.5</v>
      </c>
      <c r="M331" s="344">
        <v>12323553</v>
      </c>
    </row>
    <row r="332" spans="1:13">
      <c r="B332" s="312"/>
      <c r="C332" s="312"/>
      <c r="D332" s="312"/>
      <c r="E332" s="312"/>
      <c r="F332" s="312"/>
      <c r="G332" s="312"/>
      <c r="H332" s="314"/>
      <c r="I332" s="312"/>
      <c r="J332" s="312"/>
      <c r="K332" s="312"/>
      <c r="L332" s="312"/>
      <c r="M332" s="346"/>
    </row>
    <row r="333" spans="1:13">
      <c r="A333" s="304" t="s">
        <v>695</v>
      </c>
      <c r="B333" s="312"/>
      <c r="C333" s="312"/>
      <c r="D333" s="312"/>
      <c r="E333" s="312"/>
      <c r="F333" s="312"/>
      <c r="G333" s="312"/>
      <c r="H333" s="314"/>
      <c r="I333" s="312"/>
      <c r="J333" s="312"/>
      <c r="K333" s="312"/>
      <c r="L333" s="312"/>
      <c r="M333" s="346"/>
    </row>
    <row r="334" spans="1:13">
      <c r="A334" s="302" t="s">
        <v>696</v>
      </c>
      <c r="B334" s="312"/>
      <c r="C334" s="326">
        <v>6501177</v>
      </c>
      <c r="D334" s="326">
        <v>7849677</v>
      </c>
      <c r="E334" s="326">
        <v>4465000</v>
      </c>
      <c r="F334" s="326">
        <v>6810000</v>
      </c>
      <c r="G334" s="312"/>
      <c r="H334" s="314"/>
      <c r="I334" s="326">
        <v>0</v>
      </c>
      <c r="J334" s="326">
        <v>6023755</v>
      </c>
      <c r="K334" s="326">
        <v>1635000</v>
      </c>
      <c r="L334" s="326">
        <v>5170000</v>
      </c>
      <c r="M334" s="344">
        <v>12828755</v>
      </c>
    </row>
    <row r="335" spans="1:13">
      <c r="A335" s="302" t="s">
        <v>697</v>
      </c>
      <c r="B335" s="312"/>
      <c r="C335" s="326">
        <v>0</v>
      </c>
      <c r="D335" s="326">
        <v>61627</v>
      </c>
      <c r="E335" s="326">
        <v>683665</v>
      </c>
      <c r="F335" s="326">
        <v>683665</v>
      </c>
      <c r="G335" s="312"/>
      <c r="H335" s="314"/>
      <c r="I335" s="326">
        <v>0</v>
      </c>
      <c r="J335" s="326">
        <v>61627</v>
      </c>
      <c r="K335" s="326">
        <v>463447</v>
      </c>
      <c r="L335" s="326">
        <v>463447</v>
      </c>
      <c r="M335" s="344">
        <v>988521</v>
      </c>
    </row>
    <row r="336" spans="1:13">
      <c r="B336" s="312"/>
      <c r="C336" s="312"/>
      <c r="D336" s="312"/>
      <c r="E336" s="312"/>
      <c r="F336" s="312"/>
      <c r="G336" s="312"/>
      <c r="H336" s="314"/>
      <c r="I336" s="312"/>
      <c r="J336" s="312"/>
      <c r="K336" s="312"/>
      <c r="L336" s="312"/>
      <c r="M336" s="346"/>
    </row>
    <row r="337" spans="1:13">
      <c r="A337" s="304" t="s">
        <v>698</v>
      </c>
      <c r="B337" s="312"/>
      <c r="C337" s="312"/>
      <c r="D337" s="312"/>
      <c r="E337" s="312"/>
      <c r="F337" s="312"/>
      <c r="G337" s="312"/>
      <c r="H337" s="314"/>
      <c r="I337" s="312"/>
      <c r="J337" s="312"/>
      <c r="K337" s="312"/>
      <c r="L337" s="312"/>
      <c r="M337" s="346"/>
    </row>
    <row r="338" spans="1:13">
      <c r="A338" s="302" t="s">
        <v>56</v>
      </c>
      <c r="B338" s="312"/>
      <c r="C338" s="326">
        <v>8837500</v>
      </c>
      <c r="D338" s="326">
        <v>35950000</v>
      </c>
      <c r="E338" s="326">
        <v>49425000</v>
      </c>
      <c r="F338" s="326">
        <v>56925000</v>
      </c>
      <c r="G338" s="312"/>
      <c r="H338" s="314"/>
      <c r="I338" s="326">
        <v>5325500</v>
      </c>
      <c r="J338" s="326">
        <v>24927500</v>
      </c>
      <c r="K338" s="326">
        <v>32975500</v>
      </c>
      <c r="L338" s="326">
        <v>40475500</v>
      </c>
      <c r="M338" s="344">
        <v>103704000</v>
      </c>
    </row>
    <row r="339" spans="1:13">
      <c r="A339" s="302" t="s">
        <v>61</v>
      </c>
      <c r="B339" s="312"/>
      <c r="C339" s="326">
        <v>106750</v>
      </c>
      <c r="D339" s="326">
        <v>316750</v>
      </c>
      <c r="E339" s="326">
        <v>766750</v>
      </c>
      <c r="F339" s="326">
        <v>766750</v>
      </c>
      <c r="G339" s="312"/>
      <c r="H339" s="314"/>
      <c r="I339" s="326">
        <v>50225</v>
      </c>
      <c r="J339" s="326">
        <v>221725</v>
      </c>
      <c r="K339" s="326">
        <v>466724.99999999994</v>
      </c>
      <c r="L339" s="326">
        <v>466724.99999999994</v>
      </c>
      <c r="M339" s="344">
        <v>1205400</v>
      </c>
    </row>
  </sheetData>
  <mergeCells count="2">
    <mergeCell ref="C1:G1"/>
    <mergeCell ref="I1:M1"/>
  </mergeCells>
  <conditionalFormatting sqref="C5:G184 C191:G193 C195:G260 D194:G194">
    <cfRule type="expression" dxfId="17" priority="83">
      <formula>IF($G5=0,TRUE,FALSE)</formula>
    </cfRule>
  </conditionalFormatting>
  <conditionalFormatting sqref="C266:G275">
    <cfRule type="expression" dxfId="16" priority="70">
      <formula>IF($G266=0,TRUE,FALSE)</formula>
    </cfRule>
  </conditionalFormatting>
  <conditionalFormatting sqref="C276:G285">
    <cfRule type="expression" dxfId="15" priority="57">
      <formula>IF($G276=0,TRUE,FALSE)</formula>
    </cfRule>
  </conditionalFormatting>
  <conditionalFormatting sqref="C286:G295">
    <cfRule type="expression" dxfId="14" priority="44">
      <formula>IF($G286=0,TRUE,FALSE)</formula>
    </cfRule>
  </conditionalFormatting>
  <conditionalFormatting sqref="C296:G305">
    <cfRule type="expression" dxfId="13" priority="31">
      <formula>IF($G296=0,TRUE,FALSE)</formula>
    </cfRule>
  </conditionalFormatting>
  <conditionalFormatting sqref="C306:G315">
    <cfRule type="expression" dxfId="12" priority="18">
      <formula>IF($G306=0,TRUE,FALSE)</formula>
    </cfRule>
  </conditionalFormatting>
  <conditionalFormatting sqref="C316:G325">
    <cfRule type="expression" dxfId="11" priority="5">
      <formula>IF($G316=0,TRUE,FALSE)</formula>
    </cfRule>
  </conditionalFormatting>
  <pageMargins left="0.7" right="0.7" top="0.75" bottom="0.75" header="0.3" footer="0.3"/>
  <pageSetup paperSize="119" orientation="landscape" r:id="rId1"/>
  <headerFooter>
    <oddHeader>&amp;LAppendix E: Incremental Cost Calculation&amp;RDraft Clean Energy Implementation Plan</oddHeader>
    <oddFooter>&amp;LOCTOBER 15, 2021&amp;C&amp;P of &amp;N&amp;RPuget Sound Energy</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workbookViewId="0">
      <selection activeCell="B28" sqref="B28"/>
    </sheetView>
  </sheetViews>
  <sheetFormatPr defaultRowHeight="12.75"/>
  <cols>
    <col min="1" max="1" width="45.5703125" style="140" customWidth="1"/>
    <col min="2" max="2" width="15.85546875" style="140" customWidth="1"/>
    <col min="3" max="3" width="11.5703125" style="140" bestFit="1" customWidth="1"/>
    <col min="4" max="6" width="12.5703125" style="140" bestFit="1" customWidth="1"/>
    <col min="7" max="16384" width="9.140625" style="140"/>
  </cols>
  <sheetData>
    <row r="1" spans="1:6">
      <c r="A1" s="141" t="s">
        <v>699</v>
      </c>
    </row>
    <row r="3" spans="1:6">
      <c r="B3" s="140">
        <v>2022</v>
      </c>
      <c r="C3" s="140">
        <v>2023</v>
      </c>
      <c r="D3" s="140">
        <v>2024</v>
      </c>
      <c r="E3" s="140">
        <v>2025</v>
      </c>
    </row>
    <row r="4" spans="1:6">
      <c r="A4" s="140" t="s">
        <v>685</v>
      </c>
      <c r="B4" s="244">
        <v>250000</v>
      </c>
      <c r="C4" s="244">
        <v>8786297.5</v>
      </c>
      <c r="D4" s="244">
        <v>8945832.5</v>
      </c>
      <c r="E4" s="244">
        <v>9136902.5</v>
      </c>
      <c r="F4" s="244"/>
    </row>
    <row r="5" spans="1:6">
      <c r="A5" s="140" t="s">
        <v>686</v>
      </c>
      <c r="B5" s="244">
        <v>471340</v>
      </c>
      <c r="C5" s="244">
        <v>758840</v>
      </c>
      <c r="D5" s="243">
        <v>969340</v>
      </c>
      <c r="E5" s="243">
        <v>969340</v>
      </c>
      <c r="F5" s="243"/>
    </row>
    <row r="6" spans="1:6">
      <c r="A6" s="140" t="s">
        <v>687</v>
      </c>
      <c r="B6" s="244">
        <v>238300</v>
      </c>
      <c r="C6" s="244">
        <v>284500</v>
      </c>
      <c r="D6" s="244">
        <v>299900</v>
      </c>
      <c r="E6" s="244">
        <v>299900</v>
      </c>
      <c r="F6" s="244"/>
    </row>
    <row r="7" spans="1:6">
      <c r="B7" s="244"/>
      <c r="C7" s="244"/>
      <c r="D7" s="244"/>
      <c r="E7" s="244"/>
      <c r="F7" s="244"/>
    </row>
    <row r="8" spans="1:6">
      <c r="A8" s="140" t="s">
        <v>15</v>
      </c>
      <c r="B8" s="244">
        <v>959640</v>
      </c>
      <c r="C8" s="244">
        <v>9829637.5</v>
      </c>
      <c r="D8" s="244">
        <v>10215072.5</v>
      </c>
      <c r="E8" s="244">
        <v>10406142.5</v>
      </c>
      <c r="F8" s="244"/>
    </row>
  </sheetData>
  <pageMargins left="0.7" right="0.7" top="0.75" bottom="0.75" header="0.3" footer="0.3"/>
  <pageSetup paperSize="119" orientation="landscape" horizontalDpi="1200" verticalDpi="1200" r:id="rId1"/>
  <headerFooter>
    <oddHeader>&amp;LAppendix E: Incremental Cost Calculation&amp;RDraft Clean Energy Implementation Plan</oddHeader>
    <oddFooter>&amp;LOCTOBER 15, 2021&amp;C&amp;P of &amp;N&amp;RPuget Sound Energy</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1"/>
  <sheetViews>
    <sheetView workbookViewId="0">
      <selection activeCell="B28" sqref="B28"/>
    </sheetView>
  </sheetViews>
  <sheetFormatPr defaultRowHeight="12.75"/>
  <cols>
    <col min="1" max="1" width="47" style="140" bestFit="1" customWidth="1"/>
    <col min="2" max="2" width="6.140625" style="140" bestFit="1" customWidth="1"/>
    <col min="3" max="3" width="14.28515625" style="140" bestFit="1" customWidth="1"/>
    <col min="4" max="4" width="57.7109375" style="140" customWidth="1"/>
    <col min="5" max="5" width="62.42578125" style="140" bestFit="1" customWidth="1"/>
    <col min="6" max="16384" width="9.140625" style="140"/>
  </cols>
  <sheetData>
    <row r="2" spans="1:5">
      <c r="A2" s="268" t="s">
        <v>559</v>
      </c>
      <c r="B2" s="713">
        <v>2.5000000000000001E-2</v>
      </c>
    </row>
    <row r="4" spans="1:5">
      <c r="A4" s="268" t="s">
        <v>700</v>
      </c>
    </row>
    <row r="5" spans="1:5">
      <c r="A5" s="715"/>
      <c r="B5" s="716"/>
      <c r="C5" s="352"/>
      <c r="D5" s="714" t="s">
        <v>701</v>
      </c>
      <c r="E5" s="714" t="s">
        <v>702</v>
      </c>
    </row>
    <row r="6" spans="1:5" ht="89.25">
      <c r="A6" s="715" t="s">
        <v>121</v>
      </c>
      <c r="B6" s="716"/>
      <c r="C6" s="353">
        <v>1681835</v>
      </c>
      <c r="D6" s="354" t="s">
        <v>703</v>
      </c>
      <c r="E6" s="352" t="s">
        <v>704</v>
      </c>
    </row>
    <row r="7" spans="1:5">
      <c r="A7" s="715" t="s">
        <v>705</v>
      </c>
      <c r="B7" s="716"/>
      <c r="C7" s="353">
        <v>130000</v>
      </c>
      <c r="D7" s="354" t="s">
        <v>706</v>
      </c>
      <c r="E7" s="352" t="s">
        <v>707</v>
      </c>
    </row>
    <row r="8" spans="1:5">
      <c r="A8" s="715" t="s">
        <v>708</v>
      </c>
      <c r="B8" s="716"/>
      <c r="C8" s="353">
        <v>160000</v>
      </c>
      <c r="D8" s="354" t="s">
        <v>709</v>
      </c>
      <c r="E8" s="352" t="s">
        <v>710</v>
      </c>
    </row>
    <row r="9" spans="1:5">
      <c r="A9" s="715" t="s">
        <v>711</v>
      </c>
      <c r="B9" s="716"/>
      <c r="C9" s="353">
        <v>86400</v>
      </c>
      <c r="D9" s="354" t="s">
        <v>712</v>
      </c>
      <c r="E9" s="352"/>
    </row>
    <row r="10" spans="1:5">
      <c r="C10" s="244"/>
    </row>
    <row r="11" spans="1:5">
      <c r="A11" s="268" t="s">
        <v>713</v>
      </c>
      <c r="B11" s="268"/>
      <c r="C11" s="712">
        <v>2058235</v>
      </c>
    </row>
  </sheetData>
  <pageMargins left="0.7" right="0.7" top="0.75" bottom="0.75" header="0.3" footer="0.3"/>
  <pageSetup paperSize="119" orientation="landscape" r:id="rId1"/>
  <headerFooter>
    <oddHeader>&amp;LAppendix E: Incremental Cost Calculation&amp;RDraft Clean Energy Implementation Plan</oddHeader>
    <oddFooter>&amp;LOCTOBER 15, 2021&amp;C&amp;P of &amp;N&amp;RPuget Sound Energy</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0"/>
  <sheetViews>
    <sheetView zoomScaleNormal="100" workbookViewId="0">
      <pane xSplit="2" ySplit="3" topLeftCell="C4" activePane="bottomRight" state="frozen"/>
      <selection activeCell="B28" sqref="B28"/>
      <selection pane="topRight" activeCell="B28" sqref="B28"/>
      <selection pane="bottomLeft" activeCell="B28" sqref="B28"/>
      <selection pane="bottomRight" activeCell="B28" sqref="B28"/>
    </sheetView>
  </sheetViews>
  <sheetFormatPr defaultRowHeight="12.75"/>
  <cols>
    <col min="1" max="1" width="24.28515625" style="140" customWidth="1"/>
    <col min="2" max="2" width="67.5703125" style="140" customWidth="1"/>
    <col min="3" max="3" width="14.28515625" style="140" bestFit="1" customWidth="1"/>
    <col min="4" max="4" width="11.5703125" style="140" bestFit="1" customWidth="1"/>
    <col min="5" max="5" width="16" style="140" bestFit="1" customWidth="1"/>
    <col min="6" max="6" width="15.28515625" style="140" bestFit="1" customWidth="1"/>
    <col min="7" max="13" width="16.28515625" style="140" bestFit="1" customWidth="1"/>
    <col min="14" max="14" width="12.140625" style="140" customWidth="1"/>
    <col min="15" max="16" width="16.5703125" style="140" customWidth="1"/>
    <col min="17" max="17" width="25.42578125" style="140" bestFit="1" customWidth="1"/>
    <col min="18" max="18" width="18.42578125" style="140" customWidth="1"/>
    <col min="19" max="16384" width="9.140625" style="140"/>
  </cols>
  <sheetData>
    <row r="1" spans="1:18" s="287" customFormat="1">
      <c r="A1" s="355" t="s">
        <v>664</v>
      </c>
    </row>
    <row r="3" spans="1:18">
      <c r="A3" s="140">
        <v>2020</v>
      </c>
      <c r="C3" s="268">
        <v>2020</v>
      </c>
      <c r="D3" s="268">
        <f>C3+1</f>
        <v>2021</v>
      </c>
      <c r="E3" s="268">
        <f t="shared" ref="E3" si="0">D3+1</f>
        <v>2022</v>
      </c>
      <c r="F3" s="268">
        <f t="shared" ref="F3" si="1">E3+1</f>
        <v>2023</v>
      </c>
      <c r="G3" s="268">
        <f t="shared" ref="G3" si="2">F3+1</f>
        <v>2024</v>
      </c>
      <c r="H3" s="268">
        <f t="shared" ref="H3" si="3">G3+1</f>
        <v>2025</v>
      </c>
      <c r="I3" s="268">
        <f t="shared" ref="I3" si="4">H3+1</f>
        <v>2026</v>
      </c>
      <c r="J3" s="268">
        <f t="shared" ref="J3" si="5">I3+1</f>
        <v>2027</v>
      </c>
      <c r="K3" s="268">
        <f t="shared" ref="K3" si="6">J3+1</f>
        <v>2028</v>
      </c>
      <c r="L3" s="268">
        <f t="shared" ref="L3" si="7">K3+1</f>
        <v>2029</v>
      </c>
      <c r="M3" s="268">
        <f t="shared" ref="M3" si="8">L3+1</f>
        <v>2030</v>
      </c>
    </row>
    <row r="4" spans="1:18">
      <c r="A4" s="244">
        <f>'8. 2020 CBR'!EH15</f>
        <v>1988341486.675221</v>
      </c>
      <c r="B4" s="140" t="s">
        <v>661</v>
      </c>
      <c r="C4" s="356">
        <f>A4/1000</f>
        <v>1988341.486675221</v>
      </c>
      <c r="D4" s="244">
        <f>C4*1.025</f>
        <v>2038050.0238421015</v>
      </c>
      <c r="E4" s="244">
        <f t="shared" ref="E4" si="9">D4*1.025</f>
        <v>2089001.2744381537</v>
      </c>
      <c r="F4" s="244">
        <f t="shared" ref="F4" si="10">E4*1.025</f>
        <v>2141226.3062991071</v>
      </c>
      <c r="G4" s="244">
        <f t="shared" ref="G4" si="11">F4*1.025</f>
        <v>2194756.9639565847</v>
      </c>
      <c r="H4" s="244">
        <f t="shared" ref="H4" si="12">G4*1.025</f>
        <v>2249625.8880554992</v>
      </c>
      <c r="I4" s="244">
        <f t="shared" ref="I4" si="13">H4*1.025</f>
        <v>2305866.5352568864</v>
      </c>
      <c r="J4" s="244">
        <f t="shared" ref="J4" si="14">I4*1.025</f>
        <v>2363513.1986383083</v>
      </c>
      <c r="K4" s="244">
        <f t="shared" ref="K4" si="15">J4*1.025</f>
        <v>2422601.0286042658</v>
      </c>
      <c r="L4" s="244">
        <f t="shared" ref="L4" si="16">K4*1.025</f>
        <v>2483166.0543193724</v>
      </c>
      <c r="M4" s="244">
        <f t="shared" ref="M4" si="17">L4*1.025</f>
        <v>2545245.2056773566</v>
      </c>
      <c r="N4" s="244"/>
    </row>
    <row r="5" spans="1:18">
      <c r="A5" s="244"/>
      <c r="B5" s="140" t="s">
        <v>135</v>
      </c>
      <c r="C5" s="244">
        <f>C4</f>
        <v>1988341.486675221</v>
      </c>
      <c r="D5" s="244">
        <f>D4</f>
        <v>2038050.0238421015</v>
      </c>
      <c r="E5" s="244">
        <f t="shared" ref="E5:M5" si="18">E4</f>
        <v>2089001.2744381537</v>
      </c>
      <c r="F5" s="244">
        <f t="shared" si="18"/>
        <v>2141226.3062991071</v>
      </c>
      <c r="G5" s="244">
        <f t="shared" si="18"/>
        <v>2194756.9639565847</v>
      </c>
      <c r="H5" s="244">
        <f t="shared" si="18"/>
        <v>2249625.8880554992</v>
      </c>
      <c r="I5" s="244">
        <f t="shared" si="18"/>
        <v>2305866.5352568864</v>
      </c>
      <c r="J5" s="244">
        <f t="shared" si="18"/>
        <v>2363513.1986383083</v>
      </c>
      <c r="K5" s="244">
        <f t="shared" si="18"/>
        <v>2422601.0286042658</v>
      </c>
      <c r="L5" s="244">
        <f t="shared" si="18"/>
        <v>2483166.0543193724</v>
      </c>
      <c r="M5" s="244">
        <f t="shared" si="18"/>
        <v>2545245.2056773566</v>
      </c>
      <c r="N5" s="244"/>
    </row>
    <row r="6" spans="1:18">
      <c r="A6" s="244"/>
      <c r="C6" s="244"/>
      <c r="D6" s="357" t="s">
        <v>199</v>
      </c>
      <c r="E6" s="151">
        <f>E5/1000</f>
        <v>2089.0012744381538</v>
      </c>
      <c r="F6" s="151">
        <f t="shared" ref="F6" si="19">F5/1000</f>
        <v>2141.2263062991074</v>
      </c>
      <c r="G6" s="151">
        <f t="shared" ref="G6" si="20">G5/1000</f>
        <v>2194.7569639565845</v>
      </c>
      <c r="H6" s="151">
        <f t="shared" ref="H6" si="21">H5/1000</f>
        <v>2249.6258880554992</v>
      </c>
      <c r="I6" s="151">
        <f t="shared" ref="I6" si="22">I5/1000</f>
        <v>2305.8665352568864</v>
      </c>
      <c r="J6" s="151">
        <f t="shared" ref="J6" si="23">J5/1000</f>
        <v>2363.5131986383085</v>
      </c>
      <c r="K6" s="151">
        <f t="shared" ref="K6" si="24">K5/1000</f>
        <v>2422.6010286042656</v>
      </c>
      <c r="L6" s="151">
        <f t="shared" ref="L6" si="25">L5/1000</f>
        <v>2483.1660543193725</v>
      </c>
      <c r="M6" s="151">
        <f t="shared" ref="M6" si="26">M5/1000</f>
        <v>2545.2452056773564</v>
      </c>
      <c r="N6" s="151"/>
    </row>
    <row r="7" spans="1:18">
      <c r="A7" s="244"/>
      <c r="C7" s="244"/>
      <c r="D7" s="244"/>
      <c r="E7" s="244"/>
      <c r="F7" s="244"/>
      <c r="G7" s="244"/>
      <c r="H7" s="244"/>
      <c r="I7" s="244"/>
      <c r="J7" s="244"/>
      <c r="K7" s="244"/>
      <c r="L7" s="244"/>
      <c r="M7" s="244"/>
      <c r="N7" s="244"/>
    </row>
    <row r="8" spans="1:18">
      <c r="B8" s="140" t="s">
        <v>137</v>
      </c>
      <c r="C8" s="244"/>
      <c r="D8" s="244"/>
      <c r="E8" s="244">
        <f>D5*0.02</f>
        <v>40761.000476842033</v>
      </c>
      <c r="F8" s="244">
        <f>E8+((E5+E8)*0.02)</f>
        <v>83356.245975141952</v>
      </c>
      <c r="G8" s="244">
        <f t="shared" ref="G8:M8" si="27">F8+((F5+F8)*0.02)</f>
        <v>127847.89702062693</v>
      </c>
      <c r="H8" s="244">
        <f t="shared" si="27"/>
        <v>174299.99424017116</v>
      </c>
      <c r="I8" s="244">
        <f t="shared" si="27"/>
        <v>222778.51188608457</v>
      </c>
      <c r="J8" s="244">
        <f t="shared" si="27"/>
        <v>273351.41282894398</v>
      </c>
      <c r="K8" s="244">
        <f t="shared" si="27"/>
        <v>326088.70505828905</v>
      </c>
      <c r="L8" s="244">
        <f t="shared" si="27"/>
        <v>381062.49973154016</v>
      </c>
      <c r="M8" s="244">
        <f t="shared" si="27"/>
        <v>438347.07081255841</v>
      </c>
      <c r="N8" s="244"/>
      <c r="O8" s="244"/>
      <c r="P8" s="244"/>
      <c r="Q8" s="244"/>
    </row>
    <row r="9" spans="1:18">
      <c r="B9" s="140" t="s">
        <v>160</v>
      </c>
      <c r="C9" s="244"/>
      <c r="D9" s="244"/>
      <c r="E9" s="356">
        <f>E8*1000</f>
        <v>40761000.476842031</v>
      </c>
      <c r="F9" s="356">
        <f>F8*1000</f>
        <v>83356245.975141957</v>
      </c>
      <c r="G9" s="356">
        <f t="shared" ref="G9" si="28">G8*1000</f>
        <v>127847897.02062693</v>
      </c>
      <c r="H9" s="356">
        <f t="shared" ref="H9" si="29">H8*1000</f>
        <v>174299994.24017116</v>
      </c>
      <c r="I9" s="356">
        <f t="shared" ref="I9" si="30">I8*1000</f>
        <v>222778511.88608456</v>
      </c>
      <c r="J9" s="356">
        <f t="shared" ref="J9" si="31">J8*1000</f>
        <v>273351412.82894397</v>
      </c>
      <c r="K9" s="356">
        <f t="shared" ref="K9" si="32">K8*1000</f>
        <v>326088705.05828905</v>
      </c>
      <c r="L9" s="356">
        <f t="shared" ref="L9" si="33">L8*1000</f>
        <v>381062499.73154014</v>
      </c>
      <c r="M9" s="356">
        <f t="shared" ref="M9" si="34">M8*1000</f>
        <v>438347070.81255841</v>
      </c>
      <c r="N9" s="356"/>
      <c r="O9" s="244"/>
      <c r="P9" s="244"/>
      <c r="Q9" s="244"/>
      <c r="R9" s="244"/>
    </row>
    <row r="10" spans="1:18">
      <c r="D10" s="357"/>
      <c r="E10" s="151"/>
      <c r="F10" s="151"/>
      <c r="G10" s="151"/>
      <c r="H10" s="151"/>
      <c r="I10" s="151"/>
      <c r="J10" s="151"/>
      <c r="K10" s="151"/>
      <c r="L10" s="151"/>
      <c r="M10" s="151"/>
      <c r="N10" s="151"/>
    </row>
    <row r="11" spans="1:18">
      <c r="B11" s="358"/>
      <c r="O11" s="244"/>
      <c r="P11" s="244"/>
      <c r="Q11" s="244"/>
      <c r="R11" s="244"/>
    </row>
    <row r="12" spans="1:18">
      <c r="B12" s="140" t="s">
        <v>138</v>
      </c>
      <c r="E12" s="243">
        <f>'3. Incremental Resource Cost'!B14</f>
        <v>30314465.057239681</v>
      </c>
      <c r="F12" s="243">
        <f>'3. Incremental Resource Cost'!C14</f>
        <v>30314465.057239681</v>
      </c>
      <c r="G12" s="243">
        <f>'3. Incremental Resource Cost'!D14</f>
        <v>30314465.057239681</v>
      </c>
      <c r="H12" s="243">
        <f>'3. Incremental Resource Cost'!E14</f>
        <v>30314465.057239681</v>
      </c>
      <c r="I12" s="243">
        <f>'3. Incremental Resource Cost'!F14</f>
        <v>30187990.450198621</v>
      </c>
      <c r="J12" s="243">
        <f>'3. Incremental Resource Cost'!G14</f>
        <v>33091468.942662135</v>
      </c>
      <c r="K12" s="243">
        <f>'3. Incremental Resource Cost'!H14</f>
        <v>36629916.553550825</v>
      </c>
      <c r="L12" s="243">
        <f>'3. Incremental Resource Cost'!I14</f>
        <v>37512563.71545805</v>
      </c>
      <c r="M12" s="243">
        <f>'3. Incremental Resource Cost'!J14</f>
        <v>40084321.45660086</v>
      </c>
      <c r="N12" s="244"/>
      <c r="O12" s="244"/>
      <c r="P12" s="244"/>
      <c r="Q12" s="244"/>
      <c r="R12" s="244"/>
    </row>
    <row r="13" spans="1:18">
      <c r="B13" s="140" t="s">
        <v>139</v>
      </c>
      <c r="E13" s="243">
        <f>'3. Incremental Resource Cost'!B15</f>
        <v>242403.73290994443</v>
      </c>
      <c r="F13" s="243">
        <f>'3. Incremental Resource Cost'!C15</f>
        <v>721535.72904813755</v>
      </c>
      <c r="G13" s="243">
        <f>'3. Incremental Resource Cost'!D15</f>
        <v>888042.05327621289</v>
      </c>
      <c r="H13" s="243">
        <f>'3. Incremental Resource Cost'!E15</f>
        <v>2421134.5815783348</v>
      </c>
      <c r="I13" s="243">
        <f>'3. Incremental Resource Cost'!F15</f>
        <v>5239664.4556468017</v>
      </c>
      <c r="J13" s="243">
        <f>'3. Incremental Resource Cost'!G15</f>
        <v>5870962.6171715995</v>
      </c>
      <c r="K13" s="243">
        <f>'3. Incremental Resource Cost'!H15</f>
        <v>9137646.1145376787</v>
      </c>
      <c r="L13" s="243">
        <f>'3. Incremental Resource Cost'!I15</f>
        <v>7497137.6106723174</v>
      </c>
      <c r="M13" s="243">
        <f>'3. Incremental Resource Cost'!J15</f>
        <v>7075633.8986132052</v>
      </c>
      <c r="N13" s="244"/>
      <c r="O13" s="244"/>
      <c r="P13" s="244"/>
      <c r="Q13" s="244"/>
      <c r="R13" s="244"/>
    </row>
    <row r="14" spans="1:18">
      <c r="B14" s="140" t="s">
        <v>140</v>
      </c>
      <c r="E14" s="243">
        <f>'3. Incremental Resource Cost'!B13</f>
        <v>504676.96380615234</v>
      </c>
      <c r="F14" s="243">
        <f>'3. Incremental Resource Cost'!C13</f>
        <v>17297656.460762024</v>
      </c>
      <c r="G14" s="243">
        <f>'3. Incremental Resource Cost'!D13</f>
        <v>114807338.59872818</v>
      </c>
      <c r="H14" s="243">
        <f>'3. Incremental Resource Cost'!E13</f>
        <v>96438758.341312408</v>
      </c>
      <c r="I14" s="243">
        <f>'3. Incremental Resource Cost'!F13</f>
        <v>131415705.1551342</v>
      </c>
      <c r="J14" s="243">
        <f>'3. Incremental Resource Cost'!G13</f>
        <v>317121909.71422195</v>
      </c>
      <c r="K14" s="243">
        <f>'3. Incremental Resource Cost'!H13</f>
        <v>383455218.93358231</v>
      </c>
      <c r="L14" s="243">
        <f>'3. Incremental Resource Cost'!I13</f>
        <v>448876907.13715553</v>
      </c>
      <c r="M14" s="243">
        <f>'3. Incremental Resource Cost'!J13</f>
        <v>393303700.70457458</v>
      </c>
      <c r="N14" s="244"/>
      <c r="O14" s="244"/>
      <c r="P14" s="244"/>
      <c r="Q14" s="244"/>
      <c r="R14" s="244"/>
    </row>
    <row r="15" spans="1:18">
      <c r="B15" s="140" t="s">
        <v>198</v>
      </c>
      <c r="E15" s="222"/>
      <c r="F15" s="222"/>
      <c r="G15" s="222"/>
      <c r="H15" s="222"/>
      <c r="I15" s="222"/>
      <c r="J15" s="222"/>
      <c r="K15" s="222"/>
      <c r="L15" s="222"/>
      <c r="M15" s="244">
        <v>65675000</v>
      </c>
      <c r="N15" s="244"/>
      <c r="O15" s="244"/>
      <c r="P15" s="244"/>
      <c r="Q15" s="244"/>
      <c r="R15" s="244"/>
    </row>
    <row r="16" spans="1:18">
      <c r="O16" s="244"/>
      <c r="P16" s="244"/>
      <c r="Q16" s="244"/>
      <c r="R16" s="244"/>
    </row>
    <row r="17" spans="1:18">
      <c r="B17" s="140" t="s">
        <v>161</v>
      </c>
      <c r="E17" s="244">
        <f>'4A. Supp-DER Enab+ITGM-RR'!F24*1000</f>
        <v>3566749.8043382261</v>
      </c>
      <c r="F17" s="244">
        <f>'4A. Supp-DER Enab+ITGM-RR'!G24*1000</f>
        <v>8252920.3265129179</v>
      </c>
      <c r="G17" s="244">
        <f>'4A. Supp-DER Enab+ITGM-RR'!H24*1000</f>
        <v>6452113.1921903435</v>
      </c>
      <c r="H17" s="244">
        <f>'4A. Supp-DER Enab+ITGM-RR'!I24*1000</f>
        <v>12272470.112175705</v>
      </c>
      <c r="I17" s="244">
        <f>'4A. Supp-DER Enab+ITGM-RR'!J24*1000</f>
        <v>11925339.425108714</v>
      </c>
      <c r="J17" s="244">
        <f>'4A. Supp-DER Enab+ITGM-RR'!K24*1000</f>
        <v>11315929.231342806</v>
      </c>
      <c r="K17" s="244">
        <f>'4A. Supp-DER Enab+ITGM-RR'!L24*1000</f>
        <v>10706519.037576897</v>
      </c>
      <c r="L17" s="244">
        <f>'4A. Supp-DER Enab+ITGM-RR'!M24*1000</f>
        <v>10097108.843810987</v>
      </c>
      <c r="M17" s="244">
        <f>'4A. Supp-DER Enab+ITGM-RR'!N24*1000</f>
        <v>9487698.6500450782</v>
      </c>
      <c r="N17" s="297"/>
      <c r="O17" s="244"/>
      <c r="P17" s="244"/>
      <c r="Q17" s="244"/>
      <c r="R17" s="244"/>
    </row>
    <row r="18" spans="1:18">
      <c r="B18" s="140" t="s">
        <v>162</v>
      </c>
      <c r="E18" s="244">
        <f>'4B. Supp - GridMod RR'!F23*1000</f>
        <v>676809.35004448763</v>
      </c>
      <c r="F18" s="244">
        <f>'4B. Supp - GridMod RR'!G23*1000</f>
        <v>2663891.7286515972</v>
      </c>
      <c r="G18" s="244">
        <f>'4B. Supp - GridMod RR'!H23*1000</f>
        <v>6383609.7005201699</v>
      </c>
      <c r="H18" s="244">
        <f>'4B. Supp - GridMod RR'!I23*1000</f>
        <v>10689309.540065441</v>
      </c>
      <c r="I18" s="244">
        <f>'4B. Supp - GridMod RR'!J23*1000</f>
        <v>12273512.477844236</v>
      </c>
      <c r="J18" s="244">
        <f>'4B. Supp - GridMod RR'!K23*1000</f>
        <v>12001789.860834196</v>
      </c>
      <c r="K18" s="244">
        <f>'4B. Supp - GridMod RR'!L23*1000</f>
        <v>11730067.24382416</v>
      </c>
      <c r="L18" s="244">
        <f>'4B. Supp - GridMod RR'!M23*1000</f>
        <v>11458344.626814123</v>
      </c>
      <c r="M18" s="244">
        <f>'4B. Supp - GridMod RR'!N23*1000</f>
        <v>11186622.009804087</v>
      </c>
      <c r="N18" s="244"/>
      <c r="O18" s="244"/>
      <c r="P18" s="244"/>
      <c r="Q18" s="244"/>
      <c r="R18" s="244"/>
    </row>
    <row r="19" spans="1:18">
      <c r="B19" s="140" t="s">
        <v>163</v>
      </c>
      <c r="E19" s="244">
        <f>'5. Comm and Education Costs'!B8</f>
        <v>959640</v>
      </c>
      <c r="F19" s="244">
        <f>'5. Comm and Education Costs'!C8</f>
        <v>9829637.5</v>
      </c>
      <c r="G19" s="244">
        <f>'5. Comm and Education Costs'!D8</f>
        <v>10215072.5</v>
      </c>
      <c r="H19" s="244">
        <f>'5. Comm and Education Costs'!E8</f>
        <v>10406142.5</v>
      </c>
      <c r="I19" s="198">
        <f>H19</f>
        <v>10406142.5</v>
      </c>
      <c r="J19" s="198">
        <f>I19</f>
        <v>10406142.5</v>
      </c>
      <c r="K19" s="198">
        <f>J19</f>
        <v>10406142.5</v>
      </c>
      <c r="L19" s="198">
        <f>K19</f>
        <v>10406142.5</v>
      </c>
      <c r="M19" s="198">
        <f>L19</f>
        <v>10406142.5</v>
      </c>
      <c r="N19" s="198"/>
      <c r="O19" s="244"/>
      <c r="P19" s="244"/>
      <c r="Q19" s="244"/>
      <c r="R19" s="244"/>
    </row>
    <row r="20" spans="1:18">
      <c r="B20" s="140" t="s">
        <v>164</v>
      </c>
      <c r="E20" s="244">
        <f>'6. Admin'!C11</f>
        <v>2058235</v>
      </c>
      <c r="F20" s="244">
        <f>E20*1.025</f>
        <v>2109690.875</v>
      </c>
      <c r="G20" s="244">
        <f>F20*1.025</f>
        <v>2162433.1468749996</v>
      </c>
      <c r="H20" s="244">
        <f>G20*1.025</f>
        <v>2216493.9755468746</v>
      </c>
      <c r="I20" s="198">
        <f>H20</f>
        <v>2216493.9755468746</v>
      </c>
      <c r="J20" s="198">
        <f t="shared" ref="J20:M20" si="35">I20</f>
        <v>2216493.9755468746</v>
      </c>
      <c r="K20" s="198">
        <f t="shared" si="35"/>
        <v>2216493.9755468746</v>
      </c>
      <c r="L20" s="198">
        <f t="shared" si="35"/>
        <v>2216493.9755468746</v>
      </c>
      <c r="M20" s="198">
        <f t="shared" si="35"/>
        <v>2216493.9755468746</v>
      </c>
      <c r="N20" s="198"/>
      <c r="O20" s="244"/>
      <c r="P20" s="244"/>
      <c r="Q20" s="244"/>
      <c r="R20" s="244"/>
    </row>
    <row r="21" spans="1:18">
      <c r="O21" s="244"/>
      <c r="P21" s="244"/>
      <c r="Q21" s="244"/>
      <c r="R21" s="244"/>
    </row>
    <row r="22" spans="1:18">
      <c r="B22" s="140" t="s">
        <v>187</v>
      </c>
      <c r="E22" s="222">
        <f>SUM(E12:E20)</f>
        <v>38322979.908338495</v>
      </c>
      <c r="F22" s="222">
        <f>SUM(F12:F20)</f>
        <v>71189797.677214354</v>
      </c>
      <c r="G22" s="222">
        <f>SUM(G12:G20)</f>
        <v>171223074.24882957</v>
      </c>
      <c r="H22" s="222">
        <f>SUM(H12:H20)</f>
        <v>164758774.10791844</v>
      </c>
      <c r="I22" s="222">
        <f t="shared" ref="I22:M22" si="36">SUM(I12:I20)</f>
        <v>203664848.43947941</v>
      </c>
      <c r="J22" s="222">
        <f t="shared" si="36"/>
        <v>392024696.84177959</v>
      </c>
      <c r="K22" s="222">
        <f t="shared" si="36"/>
        <v>464282004.3586188</v>
      </c>
      <c r="L22" s="222">
        <f t="shared" si="36"/>
        <v>528064698.40945792</v>
      </c>
      <c r="M22" s="222">
        <f t="shared" si="36"/>
        <v>539435613.19518471</v>
      </c>
      <c r="N22" s="222"/>
      <c r="O22" s="244"/>
      <c r="P22" s="244"/>
      <c r="Q22" s="244"/>
      <c r="R22" s="244"/>
    </row>
    <row r="23" spans="1:18">
      <c r="D23" s="357" t="s">
        <v>199</v>
      </c>
      <c r="E23" s="242">
        <f>E22/1000</f>
        <v>38322.979908338493</v>
      </c>
      <c r="F23" s="222">
        <f t="shared" ref="F23:M23" si="37">F22/1000</f>
        <v>71189.797677214359</v>
      </c>
      <c r="G23" s="222">
        <f t="shared" si="37"/>
        <v>171223.07424882957</v>
      </c>
      <c r="H23" s="222">
        <f t="shared" si="37"/>
        <v>164758.77410791843</v>
      </c>
      <c r="I23" s="222">
        <f t="shared" si="37"/>
        <v>203664.84843947942</v>
      </c>
      <c r="J23" s="222">
        <f t="shared" si="37"/>
        <v>392024.69684177957</v>
      </c>
      <c r="K23" s="222">
        <f t="shared" si="37"/>
        <v>464282.00435861881</v>
      </c>
      <c r="L23" s="222">
        <f t="shared" si="37"/>
        <v>528064.69840945792</v>
      </c>
      <c r="M23" s="222">
        <f t="shared" si="37"/>
        <v>539435.61319518473</v>
      </c>
      <c r="N23" s="151"/>
      <c r="O23" s="244"/>
      <c r="P23" s="244"/>
      <c r="Q23" s="244"/>
      <c r="R23" s="244"/>
    </row>
    <row r="24" spans="1:18" ht="20.25" customHeight="1">
      <c r="D24" s="140" t="s">
        <v>200</v>
      </c>
      <c r="E24" s="222">
        <f>E23-E8</f>
        <v>-2438.0205685035398</v>
      </c>
      <c r="F24" s="222">
        <f t="shared" ref="F24:M24" si="38">F23-F8</f>
        <v>-12166.448297927593</v>
      </c>
      <c r="G24" s="222">
        <f t="shared" si="38"/>
        <v>43375.177228202636</v>
      </c>
      <c r="H24" s="222">
        <f t="shared" si="38"/>
        <v>-9541.2201322527253</v>
      </c>
      <c r="I24" s="222">
        <f t="shared" si="38"/>
        <v>-19113.663446605147</v>
      </c>
      <c r="J24" s="222">
        <f t="shared" si="38"/>
        <v>118673.28401283559</v>
      </c>
      <c r="K24" s="222">
        <f t="shared" si="38"/>
        <v>138193.29930032976</v>
      </c>
      <c r="L24" s="222">
        <f t="shared" si="38"/>
        <v>147002.19867791777</v>
      </c>
      <c r="M24" s="222">
        <f t="shared" si="38"/>
        <v>101088.54238262633</v>
      </c>
      <c r="N24" s="152"/>
      <c r="O24" s="222"/>
      <c r="P24" s="222"/>
      <c r="Q24" s="222"/>
      <c r="R24" s="222"/>
    </row>
    <row r="25" spans="1:18">
      <c r="E25" s="222"/>
      <c r="F25" s="222"/>
      <c r="G25" s="222"/>
      <c r="H25" s="222"/>
      <c r="I25" s="222"/>
      <c r="J25" s="222"/>
      <c r="K25" s="222"/>
      <c r="L25" s="222"/>
      <c r="M25" s="222"/>
      <c r="O25" s="222"/>
      <c r="P25" s="222"/>
      <c r="Q25" s="222"/>
      <c r="R25" s="222"/>
    </row>
    <row r="26" spans="1:18">
      <c r="A26" s="359"/>
      <c r="E26" s="222"/>
      <c r="F26" s="222"/>
      <c r="G26" s="222"/>
      <c r="H26" s="222"/>
      <c r="I26" s="222"/>
      <c r="J26" s="222"/>
      <c r="K26" s="222"/>
      <c r="L26" s="222"/>
      <c r="M26" s="222"/>
      <c r="O26" s="282"/>
      <c r="P26" s="282"/>
      <c r="Q26" s="282"/>
      <c r="R26" s="282"/>
    </row>
    <row r="28" spans="1:18">
      <c r="A28" s="244"/>
      <c r="C28" s="356"/>
      <c r="D28" s="244"/>
      <c r="E28" s="244"/>
      <c r="F28" s="244"/>
      <c r="G28" s="244"/>
      <c r="H28" s="244"/>
      <c r="I28" s="244"/>
      <c r="J28" s="244"/>
      <c r="K28" s="244"/>
      <c r="L28" s="244"/>
      <c r="M28" s="244"/>
      <c r="N28" s="244"/>
    </row>
    <row r="29" spans="1:18">
      <c r="A29" s="244"/>
      <c r="C29" s="360"/>
      <c r="D29" s="360"/>
      <c r="E29" s="360"/>
      <c r="F29" s="360"/>
      <c r="G29" s="360"/>
      <c r="H29" s="360"/>
      <c r="I29" s="360"/>
      <c r="J29" s="360"/>
      <c r="K29" s="360"/>
      <c r="L29" s="360"/>
      <c r="M29" s="360"/>
      <c r="N29" s="360"/>
    </row>
    <row r="30" spans="1:18">
      <c r="A30" s="244"/>
      <c r="C30" s="244"/>
      <c r="D30" s="244"/>
      <c r="E30" s="244"/>
      <c r="F30" s="244"/>
      <c r="G30" s="244"/>
      <c r="H30" s="244"/>
      <c r="I30" s="244"/>
      <c r="J30" s="244"/>
      <c r="K30" s="244"/>
      <c r="L30" s="244"/>
      <c r="M30" s="244"/>
      <c r="N30" s="244"/>
    </row>
    <row r="31" spans="1:18">
      <c r="A31" s="244"/>
      <c r="C31" s="244"/>
      <c r="D31" s="357"/>
      <c r="E31" s="151"/>
      <c r="F31" s="151"/>
      <c r="G31" s="151"/>
      <c r="H31" s="151"/>
      <c r="I31" s="151"/>
      <c r="J31" s="151"/>
      <c r="K31" s="151"/>
      <c r="L31" s="151"/>
      <c r="M31" s="151"/>
      <c r="N31" s="151"/>
    </row>
    <row r="32" spans="1:18">
      <c r="A32" s="244"/>
      <c r="C32" s="244"/>
      <c r="D32" s="244"/>
      <c r="E32" s="244"/>
      <c r="F32" s="244"/>
      <c r="G32" s="244"/>
      <c r="H32" s="244"/>
      <c r="I32" s="244"/>
      <c r="J32" s="244"/>
      <c r="K32" s="244"/>
      <c r="L32" s="244"/>
      <c r="M32" s="244"/>
      <c r="N32" s="244"/>
    </row>
    <row r="33" spans="2:18">
      <c r="C33" s="244"/>
      <c r="D33" s="244"/>
      <c r="E33" s="244"/>
      <c r="F33" s="244"/>
      <c r="G33" s="244"/>
      <c r="H33" s="244"/>
      <c r="I33" s="244"/>
      <c r="J33" s="244"/>
      <c r="K33" s="244"/>
      <c r="L33" s="244"/>
      <c r="M33" s="244"/>
      <c r="N33" s="244"/>
      <c r="O33" s="244"/>
      <c r="P33" s="244"/>
      <c r="Q33" s="244"/>
    </row>
    <row r="34" spans="2:18">
      <c r="C34" s="244"/>
      <c r="D34" s="244"/>
      <c r="E34" s="356"/>
      <c r="F34" s="356"/>
      <c r="G34" s="356"/>
      <c r="H34" s="356"/>
      <c r="I34" s="356"/>
      <c r="J34" s="356"/>
      <c r="K34" s="356"/>
      <c r="L34" s="356"/>
      <c r="M34" s="356"/>
      <c r="N34" s="356"/>
      <c r="O34" s="244"/>
      <c r="P34" s="244"/>
      <c r="Q34" s="244"/>
      <c r="R34" s="244"/>
    </row>
    <row r="35" spans="2:18">
      <c r="D35" s="357"/>
      <c r="E35" s="151"/>
      <c r="F35" s="151"/>
      <c r="G35" s="151"/>
      <c r="H35" s="151"/>
      <c r="I35" s="151"/>
      <c r="J35" s="151"/>
      <c r="K35" s="151"/>
      <c r="L35" s="151"/>
      <c r="M35" s="151"/>
      <c r="N35" s="151"/>
    </row>
    <row r="36" spans="2:18">
      <c r="B36" s="358"/>
      <c r="O36" s="244"/>
      <c r="P36" s="244"/>
      <c r="Q36" s="244"/>
      <c r="R36" s="244"/>
    </row>
    <row r="37" spans="2:18">
      <c r="E37" s="243"/>
      <c r="F37" s="243"/>
      <c r="G37" s="243"/>
      <c r="H37" s="243"/>
      <c r="I37" s="243"/>
      <c r="J37" s="243"/>
      <c r="K37" s="243"/>
      <c r="L37" s="243"/>
      <c r="M37" s="243"/>
      <c r="N37" s="244"/>
      <c r="O37" s="244"/>
      <c r="P37" s="244"/>
      <c r="Q37" s="244"/>
      <c r="R37" s="244"/>
    </row>
    <row r="38" spans="2:18">
      <c r="E38" s="243"/>
      <c r="F38" s="243"/>
      <c r="G38" s="243"/>
      <c r="H38" s="243"/>
      <c r="I38" s="243"/>
      <c r="J38" s="243"/>
      <c r="K38" s="243"/>
      <c r="L38" s="243"/>
      <c r="M38" s="243"/>
      <c r="N38" s="244"/>
      <c r="O38" s="244"/>
      <c r="P38" s="244"/>
      <c r="Q38" s="244"/>
      <c r="R38" s="244"/>
    </row>
    <row r="39" spans="2:18">
      <c r="E39" s="243"/>
      <c r="F39" s="243"/>
      <c r="G39" s="243"/>
      <c r="H39" s="243"/>
      <c r="I39" s="243"/>
      <c r="J39" s="243"/>
      <c r="K39" s="243"/>
      <c r="L39" s="243"/>
      <c r="M39" s="243"/>
      <c r="N39" s="244"/>
      <c r="O39" s="244"/>
      <c r="P39" s="244"/>
      <c r="Q39" s="244"/>
      <c r="R39" s="244"/>
    </row>
    <row r="40" spans="2:18">
      <c r="E40" s="222"/>
      <c r="F40" s="222"/>
      <c r="G40" s="222"/>
      <c r="H40" s="222"/>
      <c r="I40" s="222"/>
      <c r="J40" s="222"/>
      <c r="K40" s="222"/>
      <c r="L40" s="222"/>
      <c r="M40" s="222"/>
      <c r="N40" s="244"/>
      <c r="O40" s="244"/>
      <c r="P40" s="244"/>
      <c r="Q40" s="244"/>
      <c r="R40" s="244"/>
    </row>
    <row r="41" spans="2:18">
      <c r="O41" s="244"/>
      <c r="P41" s="244"/>
      <c r="Q41" s="244"/>
      <c r="R41" s="244"/>
    </row>
    <row r="42" spans="2:18">
      <c r="E42" s="244"/>
      <c r="F42" s="244"/>
      <c r="G42" s="244"/>
      <c r="H42" s="244"/>
      <c r="I42" s="244"/>
      <c r="J42" s="244"/>
      <c r="K42" s="244"/>
      <c r="L42" s="244"/>
      <c r="M42" s="244"/>
      <c r="N42" s="297"/>
      <c r="O42" s="244"/>
      <c r="P42" s="244"/>
      <c r="Q42" s="244"/>
      <c r="R42" s="244"/>
    </row>
    <row r="43" spans="2:18">
      <c r="E43" s="244"/>
      <c r="F43" s="244"/>
      <c r="G43" s="244"/>
      <c r="H43" s="244"/>
      <c r="I43" s="244"/>
      <c r="J43" s="244"/>
      <c r="K43" s="244"/>
      <c r="L43" s="244"/>
      <c r="M43" s="244"/>
      <c r="N43" s="244"/>
      <c r="O43" s="244"/>
      <c r="P43" s="244"/>
      <c r="Q43" s="244"/>
      <c r="R43" s="244"/>
    </row>
    <row r="44" spans="2:18">
      <c r="E44" s="244"/>
      <c r="F44" s="244"/>
      <c r="G44" s="244"/>
      <c r="H44" s="244"/>
      <c r="I44" s="244"/>
      <c r="J44" s="244"/>
      <c r="K44" s="244"/>
      <c r="L44" s="244"/>
      <c r="M44" s="244"/>
      <c r="N44" s="198"/>
      <c r="O44" s="244"/>
      <c r="P44" s="244"/>
      <c r="Q44" s="244"/>
      <c r="R44" s="244"/>
    </row>
    <row r="45" spans="2:18">
      <c r="E45" s="244"/>
      <c r="F45" s="244"/>
      <c r="G45" s="244"/>
      <c r="H45" s="244"/>
      <c r="I45" s="244"/>
      <c r="J45" s="244"/>
      <c r="K45" s="244"/>
      <c r="L45" s="244"/>
      <c r="M45" s="244"/>
      <c r="N45" s="198"/>
      <c r="O45" s="244"/>
      <c r="P45" s="244"/>
      <c r="Q45" s="244"/>
      <c r="R45" s="244"/>
    </row>
    <row r="46" spans="2:18">
      <c r="O46" s="244"/>
      <c r="P46" s="244"/>
      <c r="Q46" s="244"/>
      <c r="R46" s="244"/>
    </row>
    <row r="47" spans="2:18">
      <c r="E47" s="222"/>
      <c r="F47" s="222"/>
      <c r="G47" s="222"/>
      <c r="H47" s="222"/>
      <c r="I47" s="222"/>
      <c r="J47" s="222"/>
      <c r="K47" s="222"/>
      <c r="L47" s="222"/>
      <c r="M47" s="222"/>
      <c r="N47" s="222"/>
      <c r="O47" s="244"/>
      <c r="P47" s="244"/>
      <c r="Q47" s="244"/>
      <c r="R47" s="244"/>
    </row>
    <row r="48" spans="2:18">
      <c r="D48" s="357"/>
      <c r="E48" s="222"/>
      <c r="F48" s="222"/>
      <c r="G48" s="222"/>
      <c r="H48" s="222"/>
      <c r="I48" s="222"/>
      <c r="J48" s="222"/>
      <c r="K48" s="222"/>
      <c r="L48" s="222"/>
      <c r="M48" s="222"/>
      <c r="N48" s="151"/>
      <c r="O48" s="244"/>
      <c r="P48" s="244"/>
      <c r="Q48" s="244"/>
      <c r="R48" s="244"/>
    </row>
    <row r="49" spans="1:18" ht="20.25" customHeight="1">
      <c r="E49" s="222"/>
      <c r="F49" s="222"/>
      <c r="G49" s="222"/>
      <c r="H49" s="222"/>
      <c r="I49" s="222"/>
      <c r="J49" s="222"/>
      <c r="K49" s="222"/>
      <c r="L49" s="222"/>
      <c r="M49" s="222"/>
      <c r="N49" s="152"/>
      <c r="O49" s="222"/>
      <c r="P49" s="222"/>
      <c r="Q49" s="222"/>
      <c r="R49" s="222"/>
    </row>
    <row r="50" spans="1:18" s="215" customFormat="1">
      <c r="O50" s="243"/>
      <c r="P50" s="243"/>
      <c r="Q50" s="243"/>
      <c r="R50" s="243"/>
    </row>
    <row r="51" spans="1:18" s="215" customFormat="1">
      <c r="E51" s="243"/>
      <c r="F51" s="243"/>
      <c r="G51" s="243"/>
      <c r="H51" s="243"/>
      <c r="I51" s="243"/>
      <c r="J51" s="243"/>
      <c r="K51" s="243"/>
      <c r="L51" s="243"/>
      <c r="M51" s="243"/>
      <c r="N51" s="361"/>
      <c r="O51" s="243"/>
      <c r="P51" s="243"/>
      <c r="Q51" s="243"/>
      <c r="R51" s="243"/>
    </row>
    <row r="52" spans="1:18" s="215" customFormat="1">
      <c r="E52" s="243"/>
      <c r="F52" s="243"/>
      <c r="G52" s="243"/>
      <c r="H52" s="243"/>
      <c r="I52" s="243"/>
      <c r="J52" s="243"/>
      <c r="K52" s="243"/>
      <c r="L52" s="243"/>
      <c r="M52" s="243"/>
      <c r="N52" s="243"/>
      <c r="O52" s="243"/>
      <c r="P52" s="243"/>
      <c r="Q52" s="243"/>
      <c r="R52" s="243"/>
    </row>
    <row r="53" spans="1:18" s="215" customFormat="1">
      <c r="E53" s="243"/>
      <c r="F53" s="243"/>
      <c r="G53" s="243"/>
      <c r="H53" s="243"/>
      <c r="I53" s="243"/>
      <c r="J53" s="243"/>
      <c r="K53" s="243"/>
      <c r="L53" s="243"/>
      <c r="M53" s="243"/>
      <c r="N53" s="362"/>
      <c r="O53" s="243"/>
      <c r="P53" s="243"/>
      <c r="Q53" s="243"/>
      <c r="R53" s="243"/>
    </row>
    <row r="54" spans="1:18" s="215" customFormat="1">
      <c r="E54" s="243"/>
      <c r="F54" s="243"/>
      <c r="G54" s="243"/>
      <c r="H54" s="243"/>
      <c r="I54" s="243"/>
      <c r="J54" s="243"/>
      <c r="K54" s="243"/>
      <c r="L54" s="243"/>
      <c r="M54" s="243"/>
      <c r="N54" s="362"/>
      <c r="O54" s="243"/>
      <c r="P54" s="243"/>
      <c r="Q54" s="243"/>
      <c r="R54" s="243"/>
    </row>
    <row r="55" spans="1:18" s="215" customFormat="1">
      <c r="O55" s="243"/>
      <c r="P55" s="243"/>
      <c r="Q55" s="243"/>
      <c r="R55" s="243"/>
    </row>
    <row r="56" spans="1:18" s="215" customFormat="1">
      <c r="E56" s="234"/>
      <c r="F56" s="234"/>
      <c r="G56" s="234"/>
      <c r="H56" s="234"/>
      <c r="I56" s="234"/>
      <c r="J56" s="234"/>
      <c r="K56" s="234"/>
      <c r="L56" s="234"/>
      <c r="M56" s="234"/>
      <c r="N56" s="234"/>
      <c r="O56" s="243"/>
      <c r="P56" s="243"/>
      <c r="Q56" s="243"/>
      <c r="R56" s="243"/>
    </row>
    <row r="57" spans="1:18" s="215" customFormat="1" ht="20.25" customHeight="1">
      <c r="D57" s="363"/>
      <c r="E57" s="237"/>
      <c r="F57" s="237"/>
      <c r="G57" s="237"/>
      <c r="H57" s="237"/>
      <c r="I57" s="237"/>
      <c r="J57" s="237"/>
      <c r="K57" s="237"/>
      <c r="L57" s="237"/>
      <c r="M57" s="237"/>
      <c r="N57" s="237"/>
    </row>
    <row r="58" spans="1:18" s="215" customFormat="1" ht="20.25" customHeight="1">
      <c r="E58" s="364"/>
      <c r="F58" s="364"/>
      <c r="G58" s="364"/>
      <c r="H58" s="364"/>
      <c r="I58" s="364"/>
      <c r="J58" s="364"/>
      <c r="K58" s="364"/>
      <c r="L58" s="364"/>
      <c r="M58" s="364"/>
      <c r="N58" s="364"/>
      <c r="O58" s="234"/>
      <c r="P58" s="234"/>
      <c r="Q58" s="234"/>
      <c r="R58" s="234"/>
    </row>
    <row r="59" spans="1:18" s="215" customFormat="1">
      <c r="E59" s="234"/>
      <c r="F59" s="234"/>
      <c r="G59" s="234"/>
      <c r="H59" s="234"/>
      <c r="I59" s="234"/>
      <c r="J59" s="234"/>
      <c r="K59" s="234"/>
      <c r="L59" s="234"/>
      <c r="M59" s="234"/>
      <c r="O59" s="365"/>
      <c r="P59" s="365"/>
      <c r="Q59" s="365"/>
      <c r="R59" s="365"/>
    </row>
    <row r="60" spans="1:18" s="215" customFormat="1">
      <c r="E60" s="234"/>
      <c r="F60" s="234"/>
      <c r="G60" s="234"/>
      <c r="H60" s="234"/>
      <c r="I60" s="234"/>
      <c r="J60" s="234"/>
      <c r="K60" s="234"/>
      <c r="L60" s="234"/>
      <c r="M60" s="234"/>
      <c r="O60" s="365"/>
      <c r="P60" s="365"/>
      <c r="Q60" s="365"/>
      <c r="R60" s="365"/>
    </row>
    <row r="61" spans="1:18" s="215" customFormat="1">
      <c r="O61" s="365"/>
      <c r="P61" s="365"/>
      <c r="Q61" s="365"/>
      <c r="R61" s="365"/>
    </row>
    <row r="62" spans="1:18" s="215" customFormat="1"/>
    <row r="63" spans="1:18" s="215" customFormat="1">
      <c r="A63" s="359"/>
    </row>
    <row r="64" spans="1:18" s="215" customFormat="1"/>
    <row r="65" spans="1:18" s="215" customFormat="1"/>
    <row r="66" spans="1:18" s="215" customFormat="1">
      <c r="A66" s="243"/>
      <c r="C66" s="366"/>
      <c r="D66" s="243"/>
      <c r="E66" s="243"/>
      <c r="F66" s="243"/>
      <c r="G66" s="243"/>
      <c r="H66" s="243"/>
      <c r="I66" s="243"/>
      <c r="J66" s="243"/>
      <c r="K66" s="243"/>
      <c r="L66" s="243"/>
      <c r="M66" s="243"/>
      <c r="N66" s="243"/>
    </row>
    <row r="67" spans="1:18" s="215" customFormat="1">
      <c r="A67" s="243"/>
      <c r="C67" s="367"/>
      <c r="D67" s="367"/>
      <c r="E67" s="367"/>
      <c r="F67" s="367"/>
      <c r="G67" s="367"/>
      <c r="H67" s="367"/>
      <c r="I67" s="367"/>
      <c r="J67" s="367"/>
      <c r="K67" s="367"/>
      <c r="L67" s="367"/>
      <c r="M67" s="367"/>
      <c r="N67" s="367"/>
    </row>
    <row r="68" spans="1:18" s="215" customFormat="1">
      <c r="A68" s="243"/>
      <c r="C68" s="243"/>
      <c r="D68" s="243"/>
      <c r="E68" s="243"/>
      <c r="F68" s="243"/>
      <c r="G68" s="243"/>
      <c r="H68" s="243"/>
      <c r="I68" s="243"/>
      <c r="J68" s="243"/>
      <c r="K68" s="243"/>
      <c r="L68" s="243"/>
      <c r="M68" s="243"/>
      <c r="N68" s="243"/>
    </row>
    <row r="69" spans="1:18" s="215" customFormat="1">
      <c r="A69" s="243"/>
      <c r="C69" s="243"/>
      <c r="D69" s="243"/>
      <c r="E69" s="243"/>
      <c r="F69" s="243"/>
      <c r="G69" s="243"/>
      <c r="H69" s="243"/>
      <c r="I69" s="243"/>
      <c r="J69" s="243"/>
      <c r="K69" s="243"/>
      <c r="L69" s="243"/>
      <c r="M69" s="243"/>
      <c r="N69" s="243"/>
    </row>
    <row r="70" spans="1:18" s="215" customFormat="1">
      <c r="A70" s="243"/>
      <c r="C70" s="243"/>
      <c r="D70" s="243"/>
      <c r="E70" s="243"/>
      <c r="F70" s="243"/>
      <c r="G70" s="243"/>
      <c r="H70" s="243"/>
      <c r="I70" s="243"/>
      <c r="J70" s="243"/>
      <c r="K70" s="243"/>
      <c r="L70" s="243"/>
      <c r="M70" s="243"/>
      <c r="N70" s="243"/>
    </row>
    <row r="71" spans="1:18" s="215" customFormat="1">
      <c r="C71" s="243"/>
      <c r="D71" s="243"/>
      <c r="E71" s="243"/>
      <c r="F71" s="243"/>
      <c r="G71" s="243"/>
      <c r="H71" s="243"/>
      <c r="I71" s="243"/>
      <c r="J71" s="243"/>
      <c r="K71" s="243"/>
      <c r="L71" s="243"/>
      <c r="M71" s="243"/>
      <c r="N71" s="243"/>
    </row>
    <row r="72" spans="1:18" s="215" customFormat="1">
      <c r="C72" s="243"/>
      <c r="D72" s="243"/>
      <c r="E72" s="366"/>
      <c r="F72" s="366"/>
      <c r="G72" s="366"/>
      <c r="H72" s="366"/>
      <c r="I72" s="366"/>
      <c r="J72" s="366"/>
      <c r="K72" s="366"/>
      <c r="L72" s="366"/>
      <c r="M72" s="366"/>
      <c r="N72" s="366"/>
      <c r="O72" s="243"/>
      <c r="P72" s="243"/>
      <c r="Q72" s="243"/>
      <c r="R72" s="243"/>
    </row>
    <row r="73" spans="1:18" s="215" customFormat="1"/>
    <row r="74" spans="1:18" s="215" customFormat="1">
      <c r="B74" s="368"/>
      <c r="O74" s="243"/>
      <c r="P74" s="243"/>
      <c r="Q74" s="243"/>
      <c r="R74" s="243"/>
    </row>
    <row r="75" spans="1:18" s="215" customFormat="1">
      <c r="E75" s="243"/>
      <c r="F75" s="243"/>
      <c r="G75" s="243"/>
      <c r="H75" s="243"/>
      <c r="I75" s="243"/>
      <c r="J75" s="243"/>
      <c r="K75" s="243"/>
      <c r="L75" s="243"/>
      <c r="M75" s="243"/>
      <c r="N75" s="243"/>
      <c r="O75" s="243"/>
      <c r="P75" s="243"/>
      <c r="Q75" s="243"/>
      <c r="R75" s="243"/>
    </row>
    <row r="76" spans="1:18" s="215" customFormat="1">
      <c r="E76" s="243"/>
      <c r="F76" s="243"/>
      <c r="G76" s="243"/>
      <c r="H76" s="243"/>
      <c r="I76" s="243"/>
      <c r="J76" s="243"/>
      <c r="K76" s="243"/>
      <c r="L76" s="243"/>
      <c r="M76" s="243"/>
      <c r="N76" s="243"/>
      <c r="O76" s="243"/>
      <c r="P76" s="243"/>
      <c r="Q76" s="243"/>
      <c r="R76" s="243"/>
    </row>
    <row r="77" spans="1:18" s="215" customFormat="1">
      <c r="E77" s="243"/>
      <c r="F77" s="243"/>
      <c r="G77" s="243"/>
      <c r="H77" s="243"/>
      <c r="I77" s="243"/>
      <c r="J77" s="243"/>
      <c r="K77" s="243"/>
      <c r="L77" s="243"/>
      <c r="M77" s="243"/>
      <c r="N77" s="243"/>
      <c r="O77" s="243"/>
      <c r="P77" s="243"/>
      <c r="Q77" s="243"/>
      <c r="R77" s="243"/>
    </row>
    <row r="78" spans="1:18" s="215" customFormat="1">
      <c r="E78" s="243"/>
      <c r="F78" s="243"/>
      <c r="G78" s="243"/>
      <c r="H78" s="243"/>
      <c r="I78" s="243"/>
      <c r="J78" s="243"/>
      <c r="K78" s="243"/>
      <c r="L78" s="243"/>
      <c r="M78" s="243"/>
      <c r="N78" s="243"/>
      <c r="O78" s="243"/>
      <c r="P78" s="243"/>
      <c r="Q78" s="243"/>
      <c r="R78" s="243"/>
    </row>
    <row r="79" spans="1:18" s="215" customFormat="1">
      <c r="G79" s="234"/>
      <c r="O79" s="243"/>
      <c r="P79" s="243"/>
      <c r="Q79" s="243"/>
      <c r="R79" s="243"/>
    </row>
    <row r="80" spans="1:18" s="215" customFormat="1">
      <c r="E80" s="243"/>
      <c r="F80" s="243"/>
      <c r="G80" s="243"/>
      <c r="H80" s="243"/>
      <c r="I80" s="243"/>
      <c r="J80" s="243"/>
      <c r="K80" s="243"/>
      <c r="L80" s="243"/>
      <c r="M80" s="243"/>
      <c r="N80" s="361"/>
      <c r="O80" s="243"/>
      <c r="P80" s="243"/>
      <c r="Q80" s="243"/>
      <c r="R80" s="243"/>
    </row>
    <row r="81" spans="1:18" s="215" customFormat="1">
      <c r="E81" s="243"/>
      <c r="F81" s="243"/>
      <c r="G81" s="243"/>
      <c r="H81" s="243"/>
      <c r="I81" s="243"/>
      <c r="J81" s="243"/>
      <c r="K81" s="243"/>
      <c r="L81" s="243"/>
      <c r="M81" s="243"/>
      <c r="N81" s="243"/>
      <c r="O81" s="243"/>
      <c r="P81" s="243"/>
      <c r="Q81" s="243"/>
      <c r="R81" s="243"/>
    </row>
    <row r="82" spans="1:18" s="215" customFormat="1">
      <c r="E82" s="243"/>
      <c r="F82" s="243"/>
      <c r="G82" s="243"/>
      <c r="H82" s="243"/>
      <c r="I82" s="243"/>
      <c r="J82" s="243"/>
      <c r="K82" s="243"/>
      <c r="L82" s="243"/>
      <c r="M82" s="243"/>
      <c r="N82" s="362"/>
      <c r="O82" s="243"/>
      <c r="P82" s="243"/>
      <c r="Q82" s="243"/>
      <c r="R82" s="243"/>
    </row>
    <row r="83" spans="1:18" s="215" customFormat="1">
      <c r="E83" s="243"/>
      <c r="F83" s="243"/>
      <c r="G83" s="243"/>
      <c r="H83" s="243"/>
      <c r="I83" s="243"/>
      <c r="J83" s="243"/>
      <c r="K83" s="243"/>
      <c r="L83" s="243"/>
      <c r="M83" s="243"/>
      <c r="N83" s="362"/>
      <c r="O83" s="243"/>
      <c r="P83" s="243"/>
      <c r="Q83" s="243"/>
      <c r="R83" s="243"/>
    </row>
    <row r="84" spans="1:18" s="215" customFormat="1">
      <c r="O84" s="243"/>
      <c r="P84" s="243"/>
      <c r="Q84" s="243"/>
      <c r="R84" s="243"/>
    </row>
    <row r="85" spans="1:18" s="215" customFormat="1">
      <c r="E85" s="234"/>
      <c r="F85" s="234"/>
      <c r="G85" s="234"/>
      <c r="H85" s="234"/>
      <c r="I85" s="234"/>
      <c r="J85" s="234"/>
      <c r="K85" s="234"/>
      <c r="L85" s="234"/>
      <c r="M85" s="234"/>
      <c r="N85" s="234"/>
      <c r="O85" s="243"/>
      <c r="P85" s="243"/>
      <c r="Q85" s="243"/>
      <c r="R85" s="243"/>
    </row>
    <row r="86" spans="1:18" s="215" customFormat="1">
      <c r="D86" s="363"/>
      <c r="E86" s="237"/>
      <c r="F86" s="237"/>
      <c r="G86" s="237"/>
      <c r="H86" s="237"/>
      <c r="I86" s="237"/>
      <c r="J86" s="237"/>
      <c r="K86" s="237"/>
      <c r="L86" s="237"/>
      <c r="M86" s="237"/>
      <c r="N86" s="237"/>
    </row>
    <row r="87" spans="1:18" s="215" customFormat="1">
      <c r="E87" s="364"/>
      <c r="F87" s="364"/>
      <c r="G87" s="364"/>
      <c r="H87" s="364"/>
      <c r="I87" s="364"/>
      <c r="J87" s="364"/>
      <c r="K87" s="364"/>
      <c r="L87" s="364"/>
      <c r="M87" s="364"/>
      <c r="N87" s="364"/>
      <c r="O87" s="234"/>
      <c r="P87" s="234"/>
      <c r="Q87" s="234"/>
      <c r="R87" s="234"/>
    </row>
    <row r="88" spans="1:18" s="215" customFormat="1">
      <c r="E88" s="234"/>
      <c r="F88" s="234"/>
      <c r="G88" s="234"/>
      <c r="H88" s="234"/>
      <c r="I88" s="234"/>
      <c r="J88" s="234"/>
      <c r="K88" s="234"/>
      <c r="L88" s="234"/>
      <c r="M88" s="234"/>
      <c r="O88" s="365"/>
      <c r="P88" s="365"/>
      <c r="Q88" s="365"/>
      <c r="R88" s="365"/>
    </row>
    <row r="89" spans="1:18" s="215" customFormat="1">
      <c r="E89" s="234"/>
      <c r="F89" s="234"/>
      <c r="G89" s="234"/>
      <c r="H89" s="234"/>
      <c r="I89" s="234"/>
      <c r="J89" s="234"/>
      <c r="K89" s="234"/>
      <c r="L89" s="234"/>
      <c r="M89" s="234"/>
    </row>
    <row r="90" spans="1:18" s="215" customFormat="1"/>
    <row r="91" spans="1:18" s="215" customFormat="1">
      <c r="A91" s="359"/>
    </row>
    <row r="92" spans="1:18" s="215" customFormat="1" ht="13.5" thickBot="1">
      <c r="O92" s="369"/>
      <c r="P92" s="369"/>
      <c r="Q92" s="369"/>
      <c r="R92" s="369"/>
    </row>
    <row r="93" spans="1:18" s="215" customFormat="1" ht="13.5" thickBot="1">
      <c r="O93" s="370"/>
      <c r="P93" s="370"/>
      <c r="Q93" s="370"/>
      <c r="R93" s="370"/>
    </row>
    <row r="94" spans="1:18" s="215" customFormat="1" ht="21.6" customHeight="1" thickBot="1">
      <c r="A94" s="243"/>
      <c r="C94" s="366"/>
      <c r="D94" s="243"/>
      <c r="E94" s="243"/>
      <c r="F94" s="243"/>
      <c r="G94" s="243"/>
      <c r="H94" s="243"/>
      <c r="I94" s="243"/>
      <c r="J94" s="243"/>
      <c r="K94" s="243"/>
      <c r="L94" s="243"/>
      <c r="M94" s="243"/>
      <c r="O94" s="234"/>
      <c r="P94" s="234"/>
      <c r="Q94" s="234"/>
      <c r="R94" s="234"/>
    </row>
    <row r="95" spans="1:18" s="215" customFormat="1">
      <c r="A95" s="243"/>
      <c r="C95" s="367"/>
      <c r="D95" s="367"/>
      <c r="E95" s="367"/>
      <c r="F95" s="367"/>
      <c r="G95" s="367"/>
      <c r="H95" s="367"/>
      <c r="I95" s="367"/>
      <c r="J95" s="367"/>
      <c r="K95" s="367"/>
      <c r="L95" s="367"/>
      <c r="M95" s="367"/>
      <c r="O95" s="371"/>
      <c r="P95" s="371"/>
      <c r="Q95" s="371"/>
      <c r="R95" s="371"/>
    </row>
    <row r="96" spans="1:18" s="215" customFormat="1" ht="13.5" thickBot="1">
      <c r="A96" s="243"/>
      <c r="C96" s="243"/>
      <c r="D96" s="243"/>
      <c r="E96" s="243"/>
      <c r="F96" s="243"/>
      <c r="G96" s="243"/>
      <c r="H96" s="243"/>
      <c r="I96" s="243"/>
      <c r="J96" s="243"/>
      <c r="K96" s="243"/>
      <c r="L96" s="243"/>
      <c r="M96" s="243"/>
      <c r="O96" s="372"/>
      <c r="P96" s="372"/>
      <c r="Q96" s="372"/>
      <c r="R96" s="372"/>
    </row>
    <row r="97" spans="1:18" s="215" customFormat="1" ht="13.5" customHeight="1" thickBot="1">
      <c r="A97" s="243"/>
      <c r="C97" s="243"/>
      <c r="D97" s="243"/>
      <c r="E97" s="243"/>
      <c r="F97" s="243"/>
      <c r="G97" s="243"/>
      <c r="H97" s="243"/>
      <c r="I97" s="243"/>
      <c r="J97" s="243"/>
      <c r="K97" s="243"/>
      <c r="L97" s="243"/>
      <c r="M97" s="243"/>
      <c r="O97" s="365"/>
      <c r="P97" s="365"/>
      <c r="Q97" s="365"/>
      <c r="R97" s="365"/>
    </row>
    <row r="98" spans="1:18" s="215" customFormat="1">
      <c r="A98" s="243"/>
      <c r="C98" s="243"/>
      <c r="D98" s="243"/>
      <c r="E98" s="243"/>
      <c r="F98" s="243"/>
      <c r="G98" s="243"/>
      <c r="H98" s="243"/>
      <c r="I98" s="243"/>
      <c r="J98" s="243"/>
      <c r="K98" s="243"/>
      <c r="L98" s="243"/>
      <c r="M98" s="243"/>
      <c r="O98" s="371"/>
      <c r="P98" s="371"/>
      <c r="Q98" s="371"/>
      <c r="R98" s="371"/>
    </row>
    <row r="99" spans="1:18" s="215" customFormat="1" ht="13.5" thickBot="1">
      <c r="C99" s="243"/>
      <c r="D99" s="243"/>
      <c r="E99" s="243"/>
      <c r="F99" s="243"/>
      <c r="G99" s="243"/>
      <c r="H99" s="243"/>
      <c r="I99" s="243"/>
      <c r="J99" s="243"/>
      <c r="K99" s="243"/>
      <c r="L99" s="243"/>
      <c r="M99" s="243"/>
      <c r="O99" s="372"/>
      <c r="P99" s="372"/>
      <c r="Q99" s="372"/>
      <c r="R99" s="372"/>
    </row>
    <row r="100" spans="1:18" s="215" customFormat="1" ht="15" customHeight="1" thickBot="1">
      <c r="C100" s="243"/>
      <c r="D100" s="243"/>
      <c r="E100" s="366"/>
      <c r="F100" s="366"/>
      <c r="G100" s="366"/>
      <c r="H100" s="366"/>
      <c r="I100" s="366"/>
      <c r="J100" s="366"/>
      <c r="K100" s="366"/>
      <c r="L100" s="366"/>
      <c r="M100" s="366"/>
    </row>
    <row r="101" spans="1:18" s="215" customFormat="1">
      <c r="O101" s="371"/>
      <c r="P101" s="371"/>
      <c r="Q101" s="371"/>
      <c r="R101" s="371"/>
    </row>
    <row r="102" spans="1:18" s="215" customFormat="1" ht="13.5" thickBot="1">
      <c r="B102" s="368"/>
      <c r="O102" s="372"/>
      <c r="P102" s="372"/>
      <c r="Q102" s="372"/>
      <c r="R102" s="372"/>
    </row>
    <row r="103" spans="1:18" s="215" customFormat="1">
      <c r="E103" s="243"/>
      <c r="F103" s="243"/>
      <c r="G103" s="243"/>
      <c r="H103" s="243"/>
      <c r="I103" s="243"/>
      <c r="J103" s="243"/>
      <c r="K103" s="243"/>
      <c r="L103" s="243"/>
      <c r="M103" s="243"/>
    </row>
    <row r="104" spans="1:18" s="215" customFormat="1">
      <c r="E104" s="243"/>
      <c r="F104" s="243"/>
      <c r="G104" s="243"/>
      <c r="H104" s="243"/>
      <c r="I104" s="243"/>
      <c r="J104" s="243"/>
      <c r="K104" s="243"/>
      <c r="L104" s="243"/>
      <c r="M104" s="243"/>
      <c r="O104" s="294"/>
      <c r="P104" s="294"/>
    </row>
    <row r="105" spans="1:18" s="215" customFormat="1">
      <c r="E105" s="243"/>
      <c r="F105" s="243"/>
      <c r="G105" s="243"/>
      <c r="H105" s="243"/>
      <c r="I105" s="243"/>
      <c r="J105" s="243"/>
      <c r="K105" s="243"/>
      <c r="L105" s="243"/>
      <c r="M105" s="243"/>
    </row>
    <row r="106" spans="1:18" s="215" customFormat="1">
      <c r="E106" s="243"/>
      <c r="F106" s="243"/>
      <c r="G106" s="243"/>
      <c r="H106" s="243"/>
      <c r="I106" s="243"/>
      <c r="J106" s="243"/>
      <c r="K106" s="243"/>
      <c r="L106" s="243"/>
      <c r="M106" s="243"/>
    </row>
    <row r="107" spans="1:18" s="215" customFormat="1">
      <c r="G107" s="234"/>
    </row>
    <row r="108" spans="1:18" s="215" customFormat="1">
      <c r="E108" s="243"/>
      <c r="F108" s="243"/>
      <c r="G108" s="243"/>
      <c r="H108" s="243"/>
      <c r="I108" s="243"/>
      <c r="J108" s="243"/>
      <c r="K108" s="243"/>
      <c r="L108" s="243"/>
      <c r="M108" s="243"/>
    </row>
    <row r="109" spans="1:18" s="215" customFormat="1">
      <c r="E109" s="243"/>
      <c r="F109" s="243"/>
      <c r="G109" s="243"/>
      <c r="H109" s="243"/>
      <c r="I109" s="243"/>
      <c r="J109" s="243"/>
      <c r="K109" s="243"/>
      <c r="L109" s="243"/>
      <c r="M109" s="243"/>
    </row>
    <row r="110" spans="1:18" s="215" customFormat="1">
      <c r="E110" s="243"/>
      <c r="F110" s="243"/>
      <c r="G110" s="243"/>
      <c r="H110" s="243"/>
      <c r="I110" s="243"/>
      <c r="J110" s="243"/>
      <c r="K110" s="243"/>
      <c r="L110" s="243"/>
      <c r="M110" s="243"/>
    </row>
    <row r="111" spans="1:18" s="215" customFormat="1">
      <c r="E111" s="243"/>
      <c r="F111" s="243"/>
      <c r="G111" s="243"/>
      <c r="H111" s="243"/>
      <c r="I111" s="243"/>
      <c r="J111" s="243"/>
      <c r="K111" s="243"/>
      <c r="L111" s="243"/>
      <c r="M111" s="243"/>
    </row>
    <row r="112" spans="1:18" s="215" customFormat="1"/>
    <row r="113" spans="1:18" s="215" customFormat="1">
      <c r="E113" s="234"/>
      <c r="F113" s="234"/>
      <c r="G113" s="234"/>
      <c r="H113" s="234"/>
      <c r="I113" s="234"/>
      <c r="J113" s="234"/>
      <c r="K113" s="234"/>
      <c r="L113" s="234"/>
      <c r="M113" s="234"/>
    </row>
    <row r="114" spans="1:18" s="215" customFormat="1">
      <c r="D114" s="363"/>
      <c r="E114" s="237"/>
      <c r="F114" s="237"/>
      <c r="G114" s="237"/>
      <c r="H114" s="237"/>
      <c r="I114" s="237"/>
      <c r="J114" s="237"/>
      <c r="K114" s="237"/>
      <c r="L114" s="237"/>
      <c r="M114" s="237"/>
    </row>
    <row r="115" spans="1:18" s="215" customFormat="1">
      <c r="E115" s="364"/>
      <c r="F115" s="364"/>
      <c r="G115" s="364"/>
      <c r="H115" s="364"/>
      <c r="I115" s="364"/>
      <c r="J115" s="364"/>
      <c r="K115" s="364"/>
      <c r="L115" s="364"/>
      <c r="M115" s="364"/>
    </row>
    <row r="116" spans="1:18" s="215" customFormat="1">
      <c r="E116" s="234"/>
      <c r="F116" s="234"/>
      <c r="G116" s="234"/>
      <c r="H116" s="234"/>
      <c r="I116" s="234"/>
      <c r="J116" s="234"/>
      <c r="K116" s="234"/>
      <c r="L116" s="234"/>
      <c r="M116" s="234"/>
    </row>
    <row r="117" spans="1:18" s="215" customFormat="1">
      <c r="E117" s="234"/>
      <c r="F117" s="234"/>
      <c r="G117" s="234"/>
      <c r="H117" s="234"/>
      <c r="I117" s="234"/>
      <c r="J117" s="234"/>
      <c r="K117" s="234"/>
      <c r="L117" s="234"/>
      <c r="M117" s="234"/>
    </row>
    <row r="118" spans="1:18" s="215" customFormat="1"/>
    <row r="119" spans="1:18" s="215" customFormat="1">
      <c r="A119" s="359"/>
    </row>
    <row r="120" spans="1:18" s="215" customFormat="1" ht="13.5" thickBot="1">
      <c r="O120" s="369"/>
      <c r="P120" s="369"/>
      <c r="Q120" s="369"/>
      <c r="R120" s="369"/>
    </row>
    <row r="121" spans="1:18" s="215" customFormat="1" ht="13.5" thickBot="1">
      <c r="O121" s="370"/>
      <c r="P121" s="370"/>
      <c r="Q121" s="370"/>
      <c r="R121" s="370"/>
    </row>
    <row r="122" spans="1:18" s="215" customFormat="1" ht="21.6" customHeight="1" thickBot="1">
      <c r="A122" s="243"/>
      <c r="C122" s="366"/>
      <c r="D122" s="243"/>
      <c r="E122" s="243"/>
      <c r="F122" s="243"/>
      <c r="G122" s="243"/>
      <c r="H122" s="243"/>
      <c r="I122" s="243"/>
      <c r="J122" s="243"/>
      <c r="K122" s="243"/>
      <c r="L122" s="243"/>
      <c r="M122" s="243"/>
      <c r="O122" s="234"/>
      <c r="P122" s="234"/>
      <c r="Q122" s="234"/>
      <c r="R122" s="234"/>
    </row>
    <row r="123" spans="1:18" s="215" customFormat="1">
      <c r="A123" s="243"/>
      <c r="C123" s="367"/>
      <c r="D123" s="367"/>
      <c r="E123" s="367"/>
      <c r="F123" s="367"/>
      <c r="G123" s="367"/>
      <c r="H123" s="367"/>
      <c r="I123" s="367"/>
      <c r="J123" s="367"/>
      <c r="K123" s="367"/>
      <c r="L123" s="367"/>
      <c r="M123" s="367"/>
      <c r="O123" s="371"/>
      <c r="P123" s="371"/>
      <c r="Q123" s="371"/>
      <c r="R123" s="371"/>
    </row>
    <row r="124" spans="1:18" s="215" customFormat="1" ht="13.5" thickBot="1">
      <c r="A124" s="243"/>
      <c r="C124" s="243"/>
      <c r="D124" s="243"/>
      <c r="E124" s="243"/>
      <c r="F124" s="243"/>
      <c r="G124" s="243"/>
      <c r="H124" s="243"/>
      <c r="I124" s="243"/>
      <c r="J124" s="243"/>
      <c r="K124" s="243"/>
      <c r="L124" s="243"/>
      <c r="M124" s="243"/>
      <c r="O124" s="372"/>
      <c r="P124" s="372"/>
      <c r="Q124" s="372"/>
      <c r="R124" s="372"/>
    </row>
    <row r="125" spans="1:18" s="215" customFormat="1" ht="20.100000000000001" customHeight="1" thickBot="1">
      <c r="A125" s="243"/>
      <c r="C125" s="243"/>
      <c r="D125" s="243"/>
      <c r="E125" s="243"/>
      <c r="F125" s="243"/>
      <c r="G125" s="243"/>
      <c r="H125" s="243"/>
      <c r="I125" s="243"/>
      <c r="J125" s="243"/>
      <c r="K125" s="243"/>
      <c r="L125" s="243"/>
      <c r="M125" s="243"/>
      <c r="O125" s="365"/>
      <c r="P125" s="365"/>
      <c r="Q125" s="365"/>
      <c r="R125" s="365"/>
    </row>
    <row r="126" spans="1:18" s="215" customFormat="1">
      <c r="A126" s="243"/>
      <c r="C126" s="243"/>
      <c r="D126" s="243"/>
      <c r="E126" s="243"/>
      <c r="F126" s="243"/>
      <c r="G126" s="243"/>
      <c r="H126" s="243"/>
      <c r="I126" s="243"/>
      <c r="J126" s="243"/>
      <c r="K126" s="243"/>
      <c r="L126" s="243"/>
      <c r="M126" s="243"/>
      <c r="O126" s="371"/>
      <c r="P126" s="371"/>
      <c r="Q126" s="371"/>
      <c r="R126" s="371"/>
    </row>
    <row r="127" spans="1:18" s="215" customFormat="1" ht="13.5" thickBot="1">
      <c r="C127" s="243"/>
      <c r="D127" s="243"/>
      <c r="E127" s="243"/>
      <c r="F127" s="243"/>
      <c r="G127" s="243"/>
      <c r="H127" s="243"/>
      <c r="I127" s="243"/>
      <c r="J127" s="243"/>
      <c r="K127" s="243"/>
      <c r="L127" s="243"/>
      <c r="M127" s="243"/>
      <c r="O127" s="372"/>
      <c r="P127" s="372"/>
      <c r="Q127" s="372"/>
      <c r="R127" s="372"/>
    </row>
    <row r="128" spans="1:18" s="215" customFormat="1" ht="15" customHeight="1" thickBot="1">
      <c r="C128" s="243"/>
      <c r="D128" s="243"/>
      <c r="E128" s="366"/>
      <c r="F128" s="366"/>
      <c r="G128" s="366"/>
      <c r="H128" s="366"/>
      <c r="I128" s="366"/>
      <c r="J128" s="366"/>
      <c r="K128" s="366"/>
      <c r="L128" s="366"/>
      <c r="M128" s="366"/>
    </row>
    <row r="129" spans="2:18" s="215" customFormat="1">
      <c r="O129" s="371"/>
      <c r="P129" s="371"/>
      <c r="Q129" s="371"/>
      <c r="R129" s="371"/>
    </row>
    <row r="130" spans="2:18" s="215" customFormat="1" ht="13.5" thickBot="1">
      <c r="B130" s="368"/>
      <c r="O130" s="372"/>
      <c r="P130" s="372"/>
      <c r="Q130" s="372"/>
      <c r="R130" s="372"/>
    </row>
    <row r="131" spans="2:18" s="215" customFormat="1">
      <c r="E131" s="243"/>
      <c r="F131" s="243"/>
      <c r="G131" s="243"/>
      <c r="H131" s="243"/>
      <c r="I131" s="243"/>
      <c r="J131" s="243"/>
      <c r="K131" s="243"/>
      <c r="L131" s="243"/>
      <c r="M131" s="243"/>
    </row>
    <row r="132" spans="2:18" s="215" customFormat="1">
      <c r="E132" s="243"/>
      <c r="F132" s="243"/>
      <c r="G132" s="243"/>
      <c r="H132" s="243"/>
      <c r="I132" s="243"/>
      <c r="J132" s="243"/>
      <c r="K132" s="243"/>
      <c r="L132" s="243"/>
      <c r="M132" s="243"/>
      <c r="O132" s="294"/>
      <c r="P132" s="294"/>
    </row>
    <row r="133" spans="2:18" s="215" customFormat="1">
      <c r="E133" s="243"/>
      <c r="F133" s="243"/>
      <c r="G133" s="243"/>
      <c r="H133" s="243"/>
      <c r="I133" s="243"/>
      <c r="J133" s="243"/>
      <c r="K133" s="243"/>
      <c r="L133" s="243"/>
      <c r="M133" s="243"/>
    </row>
    <row r="134" spans="2:18" s="215" customFormat="1">
      <c r="E134" s="243"/>
      <c r="F134" s="243"/>
      <c r="G134" s="243"/>
      <c r="H134" s="243"/>
      <c r="I134" s="243"/>
      <c r="J134" s="243"/>
      <c r="K134" s="243"/>
      <c r="L134" s="243"/>
      <c r="M134" s="243"/>
    </row>
    <row r="135" spans="2:18" s="215" customFormat="1">
      <c r="G135" s="234"/>
    </row>
    <row r="136" spans="2:18" s="215" customFormat="1">
      <c r="E136" s="243"/>
      <c r="F136" s="243"/>
      <c r="G136" s="243"/>
      <c r="H136" s="243"/>
      <c r="I136" s="243"/>
      <c r="J136" s="243"/>
      <c r="K136" s="243"/>
      <c r="L136" s="243"/>
      <c r="M136" s="243"/>
    </row>
    <row r="137" spans="2:18" s="215" customFormat="1">
      <c r="E137" s="243"/>
      <c r="F137" s="243"/>
      <c r="G137" s="243"/>
      <c r="H137" s="243"/>
      <c r="I137" s="243"/>
      <c r="J137" s="243"/>
      <c r="K137" s="243"/>
      <c r="L137" s="243"/>
      <c r="M137" s="243"/>
    </row>
    <row r="138" spans="2:18" s="215" customFormat="1">
      <c r="E138" s="243"/>
      <c r="F138" s="243"/>
      <c r="G138" s="243"/>
      <c r="H138" s="243"/>
      <c r="I138" s="243"/>
      <c r="J138" s="243"/>
      <c r="K138" s="243"/>
      <c r="L138" s="243"/>
      <c r="M138" s="243"/>
    </row>
    <row r="139" spans="2:18" s="215" customFormat="1">
      <c r="E139" s="243"/>
      <c r="F139" s="243"/>
      <c r="G139" s="243"/>
      <c r="H139" s="243"/>
      <c r="I139" s="243"/>
      <c r="J139" s="243"/>
      <c r="K139" s="243"/>
      <c r="L139" s="243"/>
      <c r="M139" s="243"/>
    </row>
    <row r="140" spans="2:18" s="215" customFormat="1"/>
    <row r="141" spans="2:18" s="215" customFormat="1">
      <c r="E141" s="234"/>
      <c r="F141" s="234"/>
      <c r="G141" s="234"/>
      <c r="H141" s="234"/>
      <c r="I141" s="234"/>
      <c r="J141" s="234"/>
      <c r="K141" s="234"/>
      <c r="L141" s="234"/>
      <c r="M141" s="234"/>
    </row>
    <row r="142" spans="2:18" s="215" customFormat="1">
      <c r="D142" s="363"/>
      <c r="E142" s="237"/>
      <c r="F142" s="237"/>
      <c r="G142" s="237"/>
      <c r="H142" s="237"/>
      <c r="I142" s="237"/>
      <c r="J142" s="237"/>
      <c r="K142" s="237"/>
      <c r="L142" s="237"/>
      <c r="M142" s="237"/>
    </row>
    <row r="143" spans="2:18" s="215" customFormat="1">
      <c r="E143" s="364"/>
      <c r="F143" s="364"/>
      <c r="G143" s="364"/>
      <c r="H143" s="364"/>
      <c r="I143" s="364"/>
      <c r="J143" s="364"/>
      <c r="K143" s="364"/>
      <c r="L143" s="364"/>
      <c r="M143" s="364"/>
    </row>
    <row r="144" spans="2:18" s="215" customFormat="1">
      <c r="E144" s="234"/>
      <c r="F144" s="234"/>
      <c r="G144" s="234"/>
      <c r="H144" s="234"/>
      <c r="I144" s="234"/>
      <c r="J144" s="234"/>
      <c r="K144" s="234"/>
      <c r="L144" s="234"/>
      <c r="M144" s="234"/>
    </row>
    <row r="145" spans="1:13" s="215" customFormat="1">
      <c r="E145" s="234"/>
      <c r="F145" s="234"/>
      <c r="G145" s="234"/>
      <c r="H145" s="234"/>
      <c r="I145" s="234"/>
      <c r="J145" s="234"/>
      <c r="K145" s="234"/>
      <c r="L145" s="234"/>
      <c r="M145" s="234"/>
    </row>
    <row r="146" spans="1:13" s="215" customFormat="1">
      <c r="A146" s="359"/>
    </row>
    <row r="147" spans="1:13" s="215" customFormat="1"/>
    <row r="148" spans="1:13" s="215" customFormat="1"/>
    <row r="149" spans="1:13" s="215" customFormat="1">
      <c r="A149" s="243"/>
      <c r="C149" s="366"/>
      <c r="D149" s="243"/>
      <c r="E149" s="243"/>
      <c r="F149" s="243"/>
      <c r="G149" s="243"/>
      <c r="H149" s="243"/>
      <c r="I149" s="243"/>
      <c r="J149" s="243"/>
      <c r="K149" s="243"/>
      <c r="L149" s="243"/>
      <c r="M149" s="243"/>
    </row>
    <row r="150" spans="1:13" s="215" customFormat="1">
      <c r="A150" s="243"/>
      <c r="C150" s="367"/>
      <c r="D150" s="367"/>
      <c r="E150" s="367"/>
      <c r="F150" s="367"/>
      <c r="G150" s="367"/>
      <c r="H150" s="367"/>
      <c r="I150" s="367"/>
      <c r="J150" s="367"/>
      <c r="K150" s="367"/>
      <c r="L150" s="367"/>
      <c r="M150" s="367"/>
    </row>
    <row r="151" spans="1:13" s="215" customFormat="1">
      <c r="A151" s="243"/>
      <c r="C151" s="243"/>
      <c r="D151" s="243"/>
      <c r="E151" s="243"/>
      <c r="F151" s="243"/>
      <c r="G151" s="243"/>
      <c r="H151" s="243"/>
      <c r="I151" s="243"/>
      <c r="J151" s="243"/>
      <c r="K151" s="243"/>
      <c r="L151" s="243"/>
      <c r="M151" s="243"/>
    </row>
    <row r="152" spans="1:13" s="215" customFormat="1">
      <c r="A152" s="243"/>
      <c r="C152" s="243"/>
      <c r="D152" s="243"/>
      <c r="E152" s="243"/>
      <c r="F152" s="243"/>
      <c r="G152" s="243"/>
      <c r="H152" s="243"/>
      <c r="I152" s="243"/>
      <c r="J152" s="243"/>
      <c r="K152" s="243"/>
      <c r="L152" s="243"/>
      <c r="M152" s="243"/>
    </row>
    <row r="153" spans="1:13" s="215" customFormat="1">
      <c r="A153" s="243"/>
      <c r="C153" s="243"/>
      <c r="D153" s="243"/>
      <c r="E153" s="243"/>
      <c r="F153" s="243"/>
      <c r="G153" s="243"/>
      <c r="H153" s="243"/>
      <c r="I153" s="243"/>
      <c r="J153" s="243"/>
      <c r="K153" s="243"/>
      <c r="L153" s="243"/>
      <c r="M153" s="243"/>
    </row>
    <row r="154" spans="1:13" s="215" customFormat="1">
      <c r="C154" s="243"/>
      <c r="D154" s="243"/>
      <c r="E154" s="243"/>
      <c r="F154" s="243"/>
      <c r="G154" s="243"/>
      <c r="H154" s="243"/>
      <c r="I154" s="243"/>
      <c r="J154" s="243"/>
      <c r="K154" s="243"/>
      <c r="L154" s="243"/>
      <c r="M154" s="243"/>
    </row>
    <row r="155" spans="1:13" s="215" customFormat="1">
      <c r="C155" s="243"/>
      <c r="D155" s="243"/>
      <c r="E155" s="366"/>
      <c r="F155" s="366"/>
      <c r="G155" s="366"/>
      <c r="H155" s="366"/>
      <c r="I155" s="366"/>
      <c r="J155" s="366"/>
      <c r="K155" s="366"/>
      <c r="L155" s="366"/>
      <c r="M155" s="366"/>
    </row>
    <row r="156" spans="1:13" s="215" customFormat="1"/>
    <row r="157" spans="1:13" s="215" customFormat="1">
      <c r="B157" s="368"/>
    </row>
    <row r="158" spans="1:13" s="215" customFormat="1">
      <c r="E158" s="243"/>
      <c r="F158" s="243"/>
      <c r="G158" s="243"/>
      <c r="H158" s="243"/>
      <c r="I158" s="243"/>
      <c r="J158" s="243"/>
      <c r="K158" s="243"/>
      <c r="L158" s="243"/>
      <c r="M158" s="243"/>
    </row>
    <row r="159" spans="1:13" s="215" customFormat="1">
      <c r="E159" s="243"/>
      <c r="F159" s="243"/>
      <c r="G159" s="243"/>
      <c r="H159" s="243"/>
      <c r="I159" s="243"/>
      <c r="J159" s="243"/>
      <c r="K159" s="243"/>
      <c r="L159" s="243"/>
      <c r="M159" s="243"/>
    </row>
    <row r="160" spans="1:13" s="215" customFormat="1">
      <c r="E160" s="243"/>
      <c r="F160" s="243"/>
      <c r="G160" s="243"/>
      <c r="H160" s="243"/>
      <c r="I160" s="243"/>
      <c r="J160" s="243"/>
      <c r="K160" s="243"/>
      <c r="L160" s="243"/>
      <c r="M160" s="243"/>
    </row>
    <row r="161" spans="1:13" s="215" customFormat="1">
      <c r="E161" s="243"/>
      <c r="F161" s="243"/>
      <c r="G161" s="243"/>
      <c r="H161" s="243"/>
      <c r="I161" s="243"/>
      <c r="J161" s="243"/>
      <c r="K161" s="243"/>
      <c r="L161" s="243"/>
      <c r="M161" s="243"/>
    </row>
    <row r="162" spans="1:13" s="215" customFormat="1">
      <c r="G162" s="234"/>
    </row>
    <row r="163" spans="1:13" s="215" customFormat="1">
      <c r="E163" s="243"/>
      <c r="F163" s="243"/>
      <c r="G163" s="243"/>
      <c r="H163" s="243"/>
      <c r="I163" s="243"/>
      <c r="J163" s="243"/>
      <c r="K163" s="243"/>
      <c r="L163" s="243"/>
      <c r="M163" s="243"/>
    </row>
    <row r="164" spans="1:13" s="215" customFormat="1">
      <c r="E164" s="243"/>
      <c r="F164" s="243"/>
      <c r="G164" s="243"/>
      <c r="H164" s="243"/>
      <c r="I164" s="243"/>
      <c r="J164" s="243"/>
      <c r="K164" s="243"/>
      <c r="L164" s="243"/>
      <c r="M164" s="243"/>
    </row>
    <row r="165" spans="1:13" s="215" customFormat="1">
      <c r="E165" s="243"/>
      <c r="F165" s="243"/>
      <c r="G165" s="243"/>
      <c r="H165" s="243"/>
      <c r="I165" s="243"/>
      <c r="J165" s="243"/>
      <c r="K165" s="243"/>
      <c r="L165" s="243"/>
      <c r="M165" s="243"/>
    </row>
    <row r="166" spans="1:13" s="215" customFormat="1">
      <c r="E166" s="243"/>
      <c r="F166" s="243"/>
      <c r="G166" s="243"/>
      <c r="H166" s="243"/>
      <c r="I166" s="243"/>
      <c r="J166" s="243"/>
      <c r="K166" s="243"/>
      <c r="L166" s="243"/>
      <c r="M166" s="243"/>
    </row>
    <row r="167" spans="1:13" s="215" customFormat="1"/>
    <row r="168" spans="1:13" s="215" customFormat="1">
      <c r="E168" s="234"/>
      <c r="F168" s="234"/>
      <c r="G168" s="234"/>
      <c r="H168" s="234"/>
      <c r="I168" s="234"/>
      <c r="J168" s="234"/>
      <c r="K168" s="234"/>
      <c r="L168" s="234"/>
      <c r="M168" s="234"/>
    </row>
    <row r="169" spans="1:13" s="215" customFormat="1">
      <c r="D169" s="363"/>
      <c r="E169" s="237"/>
      <c r="F169" s="237"/>
      <c r="G169" s="237"/>
      <c r="H169" s="237"/>
      <c r="I169" s="237"/>
      <c r="J169" s="237"/>
      <c r="K169" s="237"/>
      <c r="L169" s="237"/>
      <c r="M169" s="237"/>
    </row>
    <row r="170" spans="1:13" s="215" customFormat="1">
      <c r="E170" s="364"/>
      <c r="F170" s="364"/>
      <c r="G170" s="364"/>
      <c r="H170" s="364"/>
      <c r="I170" s="364"/>
      <c r="J170" s="364"/>
      <c r="K170" s="364"/>
      <c r="L170" s="364"/>
      <c r="M170" s="364"/>
    </row>
    <row r="171" spans="1:13" s="215" customFormat="1">
      <c r="E171" s="234"/>
      <c r="F171" s="234"/>
      <c r="G171" s="234"/>
      <c r="H171" s="234"/>
      <c r="I171" s="234"/>
      <c r="J171" s="234"/>
      <c r="K171" s="234"/>
      <c r="L171" s="234"/>
      <c r="M171" s="234"/>
    </row>
    <row r="172" spans="1:13" s="215" customFormat="1">
      <c r="E172" s="234"/>
      <c r="F172" s="234"/>
      <c r="G172" s="234"/>
      <c r="H172" s="234"/>
      <c r="I172" s="234"/>
      <c r="J172" s="234"/>
      <c r="K172" s="234"/>
      <c r="L172" s="234"/>
      <c r="M172" s="234"/>
    </row>
    <row r="173" spans="1:13" s="215" customFormat="1">
      <c r="A173" s="359"/>
    </row>
    <row r="174" spans="1:13" s="215" customFormat="1"/>
    <row r="175" spans="1:13" s="215" customFormat="1"/>
    <row r="176" spans="1:13" s="215" customFormat="1">
      <c r="A176" s="243"/>
      <c r="C176" s="366"/>
      <c r="D176" s="243"/>
      <c r="E176" s="243"/>
      <c r="F176" s="243"/>
      <c r="G176" s="243"/>
      <c r="H176" s="243"/>
      <c r="I176" s="243"/>
      <c r="J176" s="243"/>
      <c r="K176" s="243"/>
      <c r="L176" s="243"/>
      <c r="M176" s="243"/>
    </row>
    <row r="177" spans="1:13" s="215" customFormat="1">
      <c r="A177" s="243"/>
      <c r="C177" s="367"/>
      <c r="D177" s="367"/>
      <c r="E177" s="367"/>
      <c r="F177" s="367"/>
      <c r="G177" s="367"/>
      <c r="H177" s="367"/>
      <c r="I177" s="367"/>
      <c r="J177" s="367"/>
      <c r="K177" s="367"/>
      <c r="L177" s="367"/>
      <c r="M177" s="367"/>
    </row>
    <row r="178" spans="1:13" s="215" customFormat="1">
      <c r="A178" s="243"/>
      <c r="C178" s="243"/>
      <c r="D178" s="243"/>
      <c r="E178" s="243"/>
      <c r="F178" s="243"/>
      <c r="G178" s="243"/>
      <c r="H178" s="243"/>
      <c r="I178" s="243"/>
      <c r="J178" s="243"/>
      <c r="K178" s="243"/>
      <c r="L178" s="243"/>
      <c r="M178" s="243"/>
    </row>
    <row r="179" spans="1:13" s="215" customFormat="1">
      <c r="A179" s="243"/>
      <c r="C179" s="243"/>
      <c r="D179" s="243"/>
      <c r="E179" s="243"/>
      <c r="F179" s="243"/>
      <c r="G179" s="243"/>
      <c r="H179" s="243"/>
      <c r="I179" s="243"/>
      <c r="J179" s="243"/>
      <c r="K179" s="243"/>
      <c r="L179" s="243"/>
      <c r="M179" s="243"/>
    </row>
    <row r="180" spans="1:13" s="215" customFormat="1">
      <c r="A180" s="243"/>
      <c r="C180" s="243"/>
      <c r="D180" s="243"/>
      <c r="E180" s="243"/>
      <c r="F180" s="243"/>
      <c r="G180" s="243"/>
      <c r="H180" s="243"/>
      <c r="I180" s="243"/>
      <c r="J180" s="243"/>
      <c r="K180" s="243"/>
      <c r="L180" s="243"/>
      <c r="M180" s="243"/>
    </row>
    <row r="181" spans="1:13" s="215" customFormat="1">
      <c r="C181" s="243"/>
      <c r="D181" s="243"/>
      <c r="E181" s="243"/>
      <c r="F181" s="243"/>
      <c r="G181" s="243"/>
      <c r="H181" s="243"/>
      <c r="I181" s="243"/>
      <c r="J181" s="243"/>
      <c r="K181" s="243"/>
      <c r="L181" s="243"/>
      <c r="M181" s="243"/>
    </row>
    <row r="182" spans="1:13" s="215" customFormat="1">
      <c r="C182" s="243"/>
      <c r="D182" s="243"/>
      <c r="E182" s="366"/>
      <c r="F182" s="366"/>
      <c r="G182" s="366"/>
      <c r="H182" s="366"/>
      <c r="I182" s="366"/>
      <c r="J182" s="366"/>
      <c r="K182" s="366"/>
      <c r="L182" s="366"/>
      <c r="M182" s="366"/>
    </row>
    <row r="183" spans="1:13" s="215" customFormat="1"/>
    <row r="184" spans="1:13" s="215" customFormat="1">
      <c r="B184" s="368"/>
    </row>
    <row r="185" spans="1:13" s="215" customFormat="1">
      <c r="E185" s="243"/>
      <c r="F185" s="243"/>
      <c r="G185" s="243"/>
      <c r="H185" s="243"/>
      <c r="I185" s="243"/>
      <c r="J185" s="243"/>
      <c r="K185" s="243"/>
      <c r="L185" s="243"/>
      <c r="M185" s="243"/>
    </row>
    <row r="186" spans="1:13" s="215" customFormat="1">
      <c r="E186" s="243"/>
      <c r="F186" s="243"/>
      <c r="G186" s="243"/>
      <c r="H186" s="243"/>
      <c r="I186" s="243"/>
      <c r="J186" s="243"/>
      <c r="K186" s="243"/>
      <c r="L186" s="243"/>
      <c r="M186" s="243"/>
    </row>
    <row r="187" spans="1:13" s="215" customFormat="1">
      <c r="E187" s="243"/>
      <c r="F187" s="243"/>
      <c r="G187" s="243"/>
      <c r="H187" s="243"/>
      <c r="I187" s="243"/>
      <c r="J187" s="243"/>
      <c r="K187" s="243"/>
      <c r="L187" s="243"/>
      <c r="M187" s="243"/>
    </row>
    <row r="188" spans="1:13" s="215" customFormat="1">
      <c r="E188" s="243"/>
      <c r="F188" s="243"/>
      <c r="G188" s="243"/>
      <c r="H188" s="243"/>
      <c r="I188" s="243"/>
      <c r="J188" s="243"/>
      <c r="K188" s="243"/>
      <c r="L188" s="243"/>
      <c r="M188" s="243"/>
    </row>
    <row r="189" spans="1:13" s="215" customFormat="1">
      <c r="G189" s="234"/>
    </row>
    <row r="190" spans="1:13" s="215" customFormat="1">
      <c r="E190" s="243"/>
      <c r="F190" s="243"/>
      <c r="G190" s="243"/>
      <c r="H190" s="243"/>
      <c r="I190" s="243"/>
      <c r="J190" s="243"/>
      <c r="K190" s="243"/>
      <c r="L190" s="243"/>
      <c r="M190" s="243"/>
    </row>
    <row r="191" spans="1:13" s="215" customFormat="1">
      <c r="E191" s="243"/>
      <c r="F191" s="243"/>
      <c r="G191" s="243"/>
      <c r="H191" s="243"/>
      <c r="I191" s="243"/>
      <c r="J191" s="243"/>
      <c r="K191" s="243"/>
      <c r="L191" s="243"/>
      <c r="M191" s="243"/>
    </row>
    <row r="192" spans="1:13" s="215" customFormat="1">
      <c r="E192" s="243"/>
      <c r="F192" s="243"/>
      <c r="G192" s="243"/>
      <c r="H192" s="243"/>
      <c r="I192" s="243"/>
      <c r="J192" s="243"/>
      <c r="K192" s="243"/>
      <c r="L192" s="243"/>
      <c r="M192" s="243"/>
    </row>
    <row r="193" spans="1:13" s="215" customFormat="1">
      <c r="E193" s="243"/>
      <c r="F193" s="243"/>
      <c r="G193" s="243"/>
      <c r="H193" s="243"/>
      <c r="I193" s="243"/>
      <c r="J193" s="243"/>
      <c r="K193" s="243"/>
      <c r="L193" s="243"/>
      <c r="M193" s="243"/>
    </row>
    <row r="194" spans="1:13" s="215" customFormat="1"/>
    <row r="195" spans="1:13" s="215" customFormat="1">
      <c r="E195" s="234"/>
      <c r="F195" s="234"/>
      <c r="G195" s="234"/>
      <c r="H195" s="234"/>
      <c r="I195" s="234"/>
      <c r="J195" s="234"/>
      <c r="K195" s="234"/>
      <c r="L195" s="234"/>
      <c r="M195" s="234"/>
    </row>
    <row r="196" spans="1:13" s="215" customFormat="1">
      <c r="D196" s="363"/>
      <c r="E196" s="237"/>
      <c r="F196" s="237"/>
      <c r="G196" s="237"/>
      <c r="H196" s="237"/>
      <c r="I196" s="237"/>
      <c r="J196" s="237"/>
      <c r="K196" s="237"/>
      <c r="L196" s="237"/>
      <c r="M196" s="237"/>
    </row>
    <row r="197" spans="1:13" s="215" customFormat="1">
      <c r="E197" s="364"/>
      <c r="F197" s="364"/>
      <c r="G197" s="364"/>
      <c r="H197" s="364"/>
      <c r="I197" s="364"/>
      <c r="J197" s="364"/>
      <c r="K197" s="364"/>
      <c r="L197" s="364"/>
      <c r="M197" s="364"/>
    </row>
    <row r="198" spans="1:13" s="215" customFormat="1">
      <c r="E198" s="234"/>
      <c r="F198" s="234"/>
      <c r="G198" s="234"/>
      <c r="H198" s="234"/>
      <c r="I198" s="234"/>
      <c r="J198" s="234"/>
      <c r="K198" s="234"/>
      <c r="L198" s="234"/>
      <c r="M198" s="234"/>
    </row>
    <row r="199" spans="1:13" s="215" customFormat="1">
      <c r="E199" s="234"/>
      <c r="F199" s="234"/>
      <c r="G199" s="234"/>
      <c r="H199" s="234"/>
      <c r="I199" s="234"/>
      <c r="J199" s="234"/>
      <c r="K199" s="234"/>
      <c r="L199" s="234"/>
      <c r="M199" s="234"/>
    </row>
    <row r="200" spans="1:13" s="215" customFormat="1">
      <c r="A200" s="359"/>
    </row>
    <row r="201" spans="1:13" s="215" customFormat="1"/>
    <row r="202" spans="1:13" s="215" customFormat="1"/>
    <row r="203" spans="1:13" s="215" customFormat="1">
      <c r="A203" s="243"/>
      <c r="C203" s="366"/>
      <c r="D203" s="243"/>
      <c r="E203" s="243"/>
      <c r="F203" s="243"/>
      <c r="G203" s="243"/>
      <c r="H203" s="243"/>
      <c r="I203" s="243"/>
      <c r="J203" s="243"/>
      <c r="K203" s="243"/>
      <c r="L203" s="243"/>
      <c r="M203" s="243"/>
    </row>
    <row r="204" spans="1:13" s="215" customFormat="1">
      <c r="A204" s="243"/>
      <c r="C204" s="367"/>
      <c r="D204" s="367"/>
      <c r="E204" s="367"/>
      <c r="F204" s="367"/>
      <c r="G204" s="367"/>
      <c r="H204" s="367"/>
      <c r="I204" s="367"/>
      <c r="J204" s="367"/>
      <c r="K204" s="367"/>
      <c r="L204" s="367"/>
      <c r="M204" s="367"/>
    </row>
    <row r="205" spans="1:13" s="215" customFormat="1">
      <c r="A205" s="243"/>
      <c r="C205" s="243"/>
      <c r="D205" s="243"/>
      <c r="E205" s="243"/>
      <c r="F205" s="243"/>
      <c r="G205" s="243"/>
      <c r="H205" s="243"/>
      <c r="I205" s="243"/>
      <c r="J205" s="243"/>
      <c r="K205" s="243"/>
      <c r="L205" s="243"/>
      <c r="M205" s="243"/>
    </row>
    <row r="206" spans="1:13" s="215" customFormat="1">
      <c r="A206" s="243"/>
      <c r="C206" s="243"/>
      <c r="D206" s="243"/>
      <c r="E206" s="243"/>
      <c r="F206" s="243"/>
      <c r="G206" s="243"/>
      <c r="H206" s="243"/>
      <c r="I206" s="243"/>
      <c r="J206" s="243"/>
      <c r="K206" s="243"/>
      <c r="L206" s="243"/>
      <c r="M206" s="243"/>
    </row>
    <row r="207" spans="1:13" s="215" customFormat="1">
      <c r="A207" s="243"/>
      <c r="C207" s="243"/>
      <c r="D207" s="243"/>
      <c r="E207" s="243"/>
      <c r="F207" s="243"/>
      <c r="G207" s="243"/>
      <c r="H207" s="243"/>
      <c r="I207" s="243"/>
      <c r="J207" s="243"/>
      <c r="K207" s="243"/>
      <c r="L207" s="243"/>
      <c r="M207" s="243"/>
    </row>
    <row r="208" spans="1:13" s="215" customFormat="1">
      <c r="C208" s="243"/>
      <c r="D208" s="243"/>
      <c r="E208" s="243"/>
      <c r="F208" s="243"/>
      <c r="G208" s="243"/>
      <c r="H208" s="243"/>
      <c r="I208" s="243"/>
      <c r="J208" s="243"/>
      <c r="K208" s="243"/>
      <c r="L208" s="243"/>
      <c r="M208" s="243"/>
    </row>
    <row r="209" spans="2:13" s="215" customFormat="1">
      <c r="C209" s="243"/>
      <c r="D209" s="243"/>
      <c r="E209" s="366"/>
      <c r="F209" s="366"/>
      <c r="G209" s="366"/>
      <c r="H209" s="366"/>
      <c r="I209" s="366"/>
      <c r="J209" s="366"/>
      <c r="K209" s="366"/>
      <c r="L209" s="366"/>
      <c r="M209" s="366"/>
    </row>
    <row r="210" spans="2:13" s="215" customFormat="1"/>
    <row r="211" spans="2:13" s="215" customFormat="1">
      <c r="B211" s="368"/>
    </row>
    <row r="212" spans="2:13" s="215" customFormat="1">
      <c r="E212" s="243"/>
      <c r="F212" s="243"/>
      <c r="G212" s="243"/>
      <c r="H212" s="243"/>
      <c r="I212" s="243"/>
      <c r="J212" s="243"/>
      <c r="K212" s="243"/>
      <c r="L212" s="243"/>
      <c r="M212" s="243"/>
    </row>
    <row r="213" spans="2:13" s="215" customFormat="1">
      <c r="E213" s="243"/>
      <c r="F213" s="243"/>
      <c r="G213" s="243"/>
      <c r="H213" s="243"/>
      <c r="I213" s="243"/>
      <c r="J213" s="243"/>
      <c r="K213" s="243"/>
      <c r="L213" s="243"/>
      <c r="M213" s="243"/>
    </row>
    <row r="214" spans="2:13" s="215" customFormat="1">
      <c r="E214" s="243"/>
      <c r="F214" s="243"/>
      <c r="G214" s="243"/>
      <c r="H214" s="243"/>
      <c r="I214" s="243"/>
      <c r="J214" s="243"/>
      <c r="K214" s="243"/>
      <c r="L214" s="243"/>
      <c r="M214" s="243"/>
    </row>
    <row r="215" spans="2:13" s="215" customFormat="1">
      <c r="E215" s="243"/>
      <c r="F215" s="243"/>
      <c r="G215" s="243"/>
      <c r="H215" s="243"/>
      <c r="I215" s="243"/>
      <c r="J215" s="243"/>
      <c r="K215" s="243"/>
      <c r="L215" s="243"/>
      <c r="M215" s="243"/>
    </row>
    <row r="216" spans="2:13" s="215" customFormat="1">
      <c r="G216" s="234"/>
    </row>
    <row r="217" spans="2:13" s="215" customFormat="1">
      <c r="E217" s="243"/>
      <c r="F217" s="243"/>
      <c r="G217" s="243"/>
      <c r="H217" s="243"/>
      <c r="I217" s="243"/>
      <c r="J217" s="243"/>
      <c r="K217" s="243"/>
      <c r="L217" s="243"/>
      <c r="M217" s="243"/>
    </row>
    <row r="218" spans="2:13" s="215" customFormat="1">
      <c r="E218" s="243"/>
      <c r="F218" s="243"/>
      <c r="G218" s="243"/>
      <c r="H218" s="243"/>
      <c r="I218" s="243"/>
      <c r="J218" s="243"/>
      <c r="K218" s="243"/>
      <c r="L218" s="243"/>
      <c r="M218" s="243"/>
    </row>
    <row r="219" spans="2:13" s="215" customFormat="1">
      <c r="E219" s="243"/>
      <c r="F219" s="243"/>
      <c r="G219" s="243"/>
      <c r="H219" s="243"/>
      <c r="I219" s="243"/>
      <c r="J219" s="243"/>
      <c r="K219" s="243"/>
      <c r="L219" s="243"/>
      <c r="M219" s="243"/>
    </row>
    <row r="220" spans="2:13" s="215" customFormat="1">
      <c r="E220" s="243"/>
      <c r="F220" s="243"/>
      <c r="G220" s="243"/>
      <c r="H220" s="243"/>
      <c r="I220" s="243"/>
      <c r="J220" s="243"/>
      <c r="K220" s="243"/>
      <c r="L220" s="243"/>
      <c r="M220" s="243"/>
    </row>
    <row r="221" spans="2:13" s="215" customFormat="1"/>
    <row r="222" spans="2:13" s="215" customFormat="1">
      <c r="E222" s="234"/>
      <c r="F222" s="234"/>
      <c r="G222" s="234"/>
      <c r="H222" s="234"/>
      <c r="I222" s="234"/>
      <c r="J222" s="234"/>
      <c r="K222" s="234"/>
      <c r="L222" s="234"/>
      <c r="M222" s="234"/>
    </row>
    <row r="223" spans="2:13" s="215" customFormat="1">
      <c r="D223" s="363"/>
      <c r="E223" s="237"/>
      <c r="F223" s="237"/>
      <c r="G223" s="237"/>
      <c r="H223" s="237"/>
      <c r="I223" s="237"/>
      <c r="J223" s="237"/>
      <c r="K223" s="237"/>
      <c r="L223" s="237"/>
      <c r="M223" s="237"/>
    </row>
    <row r="224" spans="2:13" s="215" customFormat="1">
      <c r="E224" s="364"/>
      <c r="F224" s="364"/>
      <c r="G224" s="364"/>
      <c r="H224" s="364"/>
      <c r="I224" s="364"/>
      <c r="J224" s="364"/>
      <c r="K224" s="364"/>
      <c r="L224" s="364"/>
      <c r="M224" s="364"/>
    </row>
    <row r="225" spans="1:13" s="215" customFormat="1">
      <c r="E225" s="234"/>
      <c r="F225" s="234"/>
      <c r="G225" s="234"/>
      <c r="H225" s="234"/>
      <c r="I225" s="234"/>
      <c r="J225" s="234"/>
      <c r="K225" s="234"/>
      <c r="L225" s="234"/>
      <c r="M225" s="234"/>
    </row>
    <row r="226" spans="1:13" s="215" customFormat="1">
      <c r="E226" s="234"/>
      <c r="F226" s="234"/>
      <c r="G226" s="234"/>
      <c r="H226" s="234"/>
      <c r="I226" s="234"/>
      <c r="J226" s="234"/>
      <c r="K226" s="234"/>
      <c r="L226" s="234"/>
      <c r="M226" s="234"/>
    </row>
    <row r="227" spans="1:13" s="215" customFormat="1">
      <c r="A227" s="359"/>
    </row>
    <row r="228" spans="1:13" s="215" customFormat="1"/>
    <row r="229" spans="1:13" s="215" customFormat="1"/>
    <row r="230" spans="1:13" s="215" customFormat="1">
      <c r="A230" s="243"/>
      <c r="C230" s="366"/>
      <c r="D230" s="243"/>
      <c r="E230" s="243"/>
      <c r="F230" s="243"/>
      <c r="G230" s="243"/>
      <c r="H230" s="243"/>
      <c r="I230" s="243"/>
      <c r="J230" s="243"/>
      <c r="K230" s="243"/>
      <c r="L230" s="243"/>
      <c r="M230" s="243"/>
    </row>
    <row r="231" spans="1:13" s="215" customFormat="1">
      <c r="A231" s="243"/>
      <c r="C231" s="367"/>
      <c r="D231" s="367"/>
      <c r="E231" s="367"/>
      <c r="F231" s="367"/>
      <c r="G231" s="367"/>
      <c r="H231" s="367"/>
      <c r="I231" s="367"/>
      <c r="J231" s="367"/>
      <c r="K231" s="367"/>
      <c r="L231" s="367"/>
      <c r="M231" s="367"/>
    </row>
    <row r="232" spans="1:13" s="215" customFormat="1">
      <c r="A232" s="243"/>
      <c r="C232" s="243"/>
      <c r="D232" s="243"/>
      <c r="E232" s="243"/>
      <c r="F232" s="243"/>
      <c r="G232" s="243"/>
      <c r="H232" s="243"/>
      <c r="I232" s="243"/>
      <c r="J232" s="243"/>
      <c r="K232" s="243"/>
      <c r="L232" s="243"/>
      <c r="M232" s="243"/>
    </row>
    <row r="233" spans="1:13" s="215" customFormat="1">
      <c r="A233" s="243"/>
      <c r="C233" s="243"/>
      <c r="D233" s="243"/>
      <c r="E233" s="243"/>
      <c r="F233" s="243"/>
      <c r="G233" s="243"/>
      <c r="H233" s="243"/>
      <c r="I233" s="243"/>
      <c r="J233" s="243"/>
      <c r="K233" s="243"/>
      <c r="L233" s="243"/>
      <c r="M233" s="243"/>
    </row>
    <row r="234" spans="1:13" s="215" customFormat="1">
      <c r="A234" s="243"/>
      <c r="C234" s="243"/>
      <c r="D234" s="243"/>
      <c r="E234" s="243"/>
      <c r="F234" s="243"/>
      <c r="G234" s="243"/>
      <c r="H234" s="243"/>
      <c r="I234" s="243"/>
      <c r="J234" s="243"/>
      <c r="K234" s="243"/>
      <c r="L234" s="243"/>
      <c r="M234" s="243"/>
    </row>
    <row r="235" spans="1:13" s="215" customFormat="1">
      <c r="C235" s="243"/>
      <c r="D235" s="243"/>
      <c r="E235" s="243"/>
      <c r="F235" s="243"/>
      <c r="G235" s="243"/>
      <c r="H235" s="243"/>
      <c r="I235" s="243"/>
      <c r="J235" s="243"/>
      <c r="K235" s="243"/>
      <c r="L235" s="243"/>
      <c r="M235" s="243"/>
    </row>
    <row r="236" spans="1:13" s="215" customFormat="1">
      <c r="C236" s="243"/>
      <c r="D236" s="243"/>
      <c r="E236" s="366"/>
      <c r="F236" s="366"/>
      <c r="G236" s="366"/>
      <c r="H236" s="366"/>
      <c r="I236" s="366"/>
      <c r="J236" s="366"/>
      <c r="K236" s="366"/>
      <c r="L236" s="366"/>
      <c r="M236" s="366"/>
    </row>
    <row r="237" spans="1:13" s="215" customFormat="1"/>
    <row r="238" spans="1:13" s="215" customFormat="1">
      <c r="B238" s="368"/>
    </row>
    <row r="239" spans="1:13" s="215" customFormat="1">
      <c r="E239" s="243"/>
      <c r="F239" s="243"/>
      <c r="G239" s="243"/>
      <c r="H239" s="243"/>
      <c r="I239" s="243"/>
      <c r="J239" s="243"/>
      <c r="K239" s="243"/>
      <c r="L239" s="243"/>
      <c r="M239" s="243"/>
    </row>
    <row r="240" spans="1:13" s="215" customFormat="1">
      <c r="E240" s="243"/>
      <c r="F240" s="243"/>
      <c r="G240" s="243"/>
      <c r="H240" s="243"/>
      <c r="I240" s="243"/>
      <c r="J240" s="243"/>
      <c r="K240" s="243"/>
      <c r="L240" s="243"/>
      <c r="M240" s="243"/>
    </row>
    <row r="241" spans="1:13" s="215" customFormat="1">
      <c r="E241" s="243"/>
      <c r="F241" s="243"/>
      <c r="G241" s="243"/>
      <c r="H241" s="243"/>
      <c r="I241" s="243"/>
      <c r="J241" s="243"/>
      <c r="K241" s="243"/>
      <c r="L241" s="243"/>
      <c r="M241" s="243"/>
    </row>
    <row r="242" spans="1:13" s="215" customFormat="1">
      <c r="E242" s="243"/>
      <c r="F242" s="243"/>
      <c r="G242" s="243"/>
      <c r="H242" s="243"/>
      <c r="I242" s="243"/>
      <c r="J242" s="243"/>
      <c r="K242" s="243"/>
      <c r="L242" s="243"/>
      <c r="M242" s="243"/>
    </row>
    <row r="243" spans="1:13" s="215" customFormat="1">
      <c r="G243" s="234"/>
    </row>
    <row r="244" spans="1:13" s="215" customFormat="1">
      <c r="E244" s="243"/>
      <c r="F244" s="243"/>
      <c r="G244" s="243"/>
      <c r="H244" s="243"/>
      <c r="I244" s="243"/>
      <c r="J244" s="243"/>
      <c r="K244" s="243"/>
      <c r="L244" s="243"/>
      <c r="M244" s="243"/>
    </row>
    <row r="245" spans="1:13" s="215" customFormat="1">
      <c r="E245" s="243"/>
      <c r="F245" s="243"/>
      <c r="G245" s="243"/>
      <c r="H245" s="243"/>
      <c r="I245" s="243"/>
      <c r="J245" s="243"/>
      <c r="K245" s="243"/>
      <c r="L245" s="243"/>
      <c r="M245" s="243"/>
    </row>
    <row r="246" spans="1:13" s="215" customFormat="1">
      <c r="E246" s="243"/>
      <c r="F246" s="243"/>
      <c r="G246" s="243"/>
      <c r="H246" s="243"/>
      <c r="I246" s="243"/>
      <c r="J246" s="243"/>
      <c r="K246" s="243"/>
      <c r="L246" s="243"/>
      <c r="M246" s="243"/>
    </row>
    <row r="247" spans="1:13" s="215" customFormat="1">
      <c r="E247" s="243"/>
      <c r="F247" s="243"/>
      <c r="G247" s="243"/>
      <c r="H247" s="243"/>
      <c r="I247" s="243"/>
      <c r="J247" s="243"/>
      <c r="K247" s="243"/>
      <c r="L247" s="243"/>
      <c r="M247" s="243"/>
    </row>
    <row r="248" spans="1:13" s="215" customFormat="1"/>
    <row r="249" spans="1:13" s="215" customFormat="1">
      <c r="E249" s="234"/>
      <c r="F249" s="234"/>
      <c r="G249" s="234"/>
      <c r="H249" s="234"/>
      <c r="I249" s="234"/>
      <c r="J249" s="234"/>
      <c r="K249" s="234"/>
      <c r="L249" s="234"/>
      <c r="M249" s="234"/>
    </row>
    <row r="250" spans="1:13" s="215" customFormat="1">
      <c r="D250" s="363"/>
      <c r="E250" s="237"/>
      <c r="F250" s="237"/>
      <c r="G250" s="237"/>
      <c r="H250" s="237"/>
      <c r="I250" s="237"/>
      <c r="J250" s="237"/>
      <c r="K250" s="237"/>
      <c r="L250" s="237"/>
      <c r="M250" s="237"/>
    </row>
    <row r="251" spans="1:13" s="215" customFormat="1">
      <c r="E251" s="364"/>
      <c r="F251" s="364"/>
      <c r="G251" s="364"/>
      <c r="H251" s="364"/>
      <c r="I251" s="364"/>
      <c r="J251" s="364"/>
      <c r="K251" s="364"/>
      <c r="L251" s="364"/>
      <c r="M251" s="364"/>
    </row>
    <row r="252" spans="1:13" s="215" customFormat="1">
      <c r="E252" s="234"/>
      <c r="F252" s="234"/>
      <c r="G252" s="234"/>
      <c r="H252" s="234"/>
      <c r="I252" s="234"/>
      <c r="J252" s="234"/>
      <c r="K252" s="234"/>
      <c r="L252" s="234"/>
      <c r="M252" s="234"/>
    </row>
    <row r="253" spans="1:13" s="215" customFormat="1">
      <c r="E253" s="234"/>
      <c r="F253" s="234"/>
      <c r="G253" s="234"/>
      <c r="H253" s="234"/>
      <c r="I253" s="234"/>
      <c r="J253" s="234"/>
      <c r="K253" s="234"/>
      <c r="L253" s="234"/>
      <c r="M253" s="234"/>
    </row>
    <row r="254" spans="1:13" s="215" customFormat="1">
      <c r="A254" s="359"/>
    </row>
    <row r="255" spans="1:13" s="215" customFormat="1"/>
    <row r="256" spans="1:13" s="215" customFormat="1"/>
    <row r="257" spans="1:13" s="215" customFormat="1">
      <c r="A257" s="243"/>
      <c r="C257" s="366"/>
      <c r="D257" s="243"/>
      <c r="E257" s="243"/>
      <c r="F257" s="243"/>
      <c r="G257" s="243"/>
      <c r="H257" s="243"/>
      <c r="I257" s="243"/>
      <c r="J257" s="243"/>
      <c r="K257" s="243"/>
      <c r="L257" s="243"/>
      <c r="M257" s="243"/>
    </row>
    <row r="258" spans="1:13" s="215" customFormat="1">
      <c r="A258" s="243"/>
      <c r="C258" s="367"/>
      <c r="D258" s="367"/>
      <c r="E258" s="367"/>
      <c r="F258" s="367"/>
      <c r="G258" s="367"/>
      <c r="H258" s="367"/>
      <c r="I258" s="367"/>
      <c r="J258" s="367"/>
      <c r="K258" s="367"/>
      <c r="L258" s="367"/>
      <c r="M258" s="367"/>
    </row>
    <row r="259" spans="1:13" s="215" customFormat="1">
      <c r="A259" s="243"/>
      <c r="C259" s="243"/>
      <c r="D259" s="243"/>
      <c r="E259" s="243"/>
      <c r="F259" s="243"/>
      <c r="G259" s="243"/>
      <c r="H259" s="243"/>
      <c r="I259" s="243"/>
      <c r="J259" s="243"/>
      <c r="K259" s="243"/>
      <c r="L259" s="243"/>
      <c r="M259" s="243"/>
    </row>
    <row r="260" spans="1:13" s="215" customFormat="1">
      <c r="A260" s="243"/>
      <c r="C260" s="243"/>
      <c r="D260" s="243"/>
      <c r="E260" s="243"/>
      <c r="F260" s="243"/>
      <c r="G260" s="243"/>
      <c r="H260" s="243"/>
      <c r="I260" s="243"/>
      <c r="J260" s="243"/>
      <c r="K260" s="243"/>
      <c r="L260" s="243"/>
      <c r="M260" s="243"/>
    </row>
    <row r="261" spans="1:13" s="215" customFormat="1">
      <c r="A261" s="243"/>
      <c r="C261" s="243"/>
      <c r="D261" s="243"/>
      <c r="E261" s="243"/>
      <c r="F261" s="243"/>
      <c r="G261" s="243"/>
      <c r="H261" s="243"/>
      <c r="I261" s="243"/>
      <c r="J261" s="243"/>
      <c r="K261" s="243"/>
      <c r="L261" s="243"/>
      <c r="M261" s="243"/>
    </row>
    <row r="262" spans="1:13" s="215" customFormat="1">
      <c r="C262" s="243"/>
      <c r="D262" s="243"/>
      <c r="E262" s="243"/>
      <c r="F262" s="243"/>
      <c r="G262" s="243"/>
      <c r="H262" s="243"/>
      <c r="I262" s="243"/>
      <c r="J262" s="243"/>
      <c r="K262" s="243"/>
      <c r="L262" s="243"/>
      <c r="M262" s="243"/>
    </row>
    <row r="263" spans="1:13" s="215" customFormat="1">
      <c r="C263" s="243"/>
      <c r="D263" s="243"/>
      <c r="E263" s="366"/>
      <c r="F263" s="366"/>
      <c r="G263" s="366"/>
      <c r="H263" s="366"/>
      <c r="I263" s="366"/>
      <c r="J263" s="366"/>
      <c r="K263" s="366"/>
      <c r="L263" s="366"/>
      <c r="M263" s="366"/>
    </row>
    <row r="264" spans="1:13" s="215" customFormat="1"/>
    <row r="265" spans="1:13" s="215" customFormat="1">
      <c r="B265" s="368"/>
    </row>
    <row r="266" spans="1:13" s="215" customFormat="1">
      <c r="E266" s="243"/>
      <c r="F266" s="243"/>
      <c r="G266" s="243"/>
      <c r="H266" s="243"/>
      <c r="I266" s="243"/>
      <c r="J266" s="243"/>
      <c r="K266" s="243"/>
      <c r="L266" s="243"/>
      <c r="M266" s="243"/>
    </row>
    <row r="267" spans="1:13" s="215" customFormat="1">
      <c r="E267" s="243"/>
      <c r="F267" s="243"/>
      <c r="G267" s="243"/>
      <c r="H267" s="243"/>
      <c r="I267" s="243"/>
      <c r="J267" s="243"/>
      <c r="K267" s="243"/>
      <c r="L267" s="243"/>
      <c r="M267" s="243"/>
    </row>
    <row r="268" spans="1:13" s="215" customFormat="1">
      <c r="E268" s="243"/>
      <c r="F268" s="243"/>
      <c r="G268" s="243"/>
      <c r="H268" s="243"/>
      <c r="I268" s="243"/>
      <c r="J268" s="243"/>
      <c r="K268" s="243"/>
      <c r="L268" s="243"/>
      <c r="M268" s="243"/>
    </row>
    <row r="269" spans="1:13" s="215" customFormat="1">
      <c r="E269" s="243"/>
      <c r="F269" s="243"/>
      <c r="G269" s="243"/>
      <c r="H269" s="243"/>
      <c r="I269" s="243"/>
      <c r="J269" s="243"/>
      <c r="K269" s="243"/>
      <c r="L269" s="243"/>
      <c r="M269" s="243"/>
    </row>
    <row r="270" spans="1:13" s="215" customFormat="1">
      <c r="G270" s="234"/>
    </row>
    <row r="271" spans="1:13" s="215" customFormat="1">
      <c r="E271" s="243"/>
      <c r="F271" s="243"/>
      <c r="G271" s="243"/>
      <c r="H271" s="243"/>
      <c r="I271" s="243"/>
      <c r="J271" s="243"/>
      <c r="K271" s="243"/>
      <c r="L271" s="243"/>
      <c r="M271" s="243"/>
    </row>
    <row r="272" spans="1:13" s="215" customFormat="1">
      <c r="E272" s="243"/>
      <c r="F272" s="243"/>
      <c r="G272" s="243"/>
      <c r="H272" s="243"/>
      <c r="I272" s="243"/>
      <c r="J272" s="243"/>
      <c r="K272" s="243"/>
      <c r="L272" s="243"/>
      <c r="M272" s="243"/>
    </row>
    <row r="273" spans="4:13" s="215" customFormat="1">
      <c r="E273" s="243"/>
      <c r="F273" s="243"/>
      <c r="G273" s="243"/>
      <c r="H273" s="243"/>
      <c r="I273" s="243"/>
      <c r="J273" s="243"/>
      <c r="K273" s="243"/>
      <c r="L273" s="243"/>
      <c r="M273" s="243"/>
    </row>
    <row r="274" spans="4:13" s="215" customFormat="1">
      <c r="E274" s="243"/>
      <c r="F274" s="243"/>
      <c r="G274" s="243"/>
      <c r="H274" s="243"/>
      <c r="I274" s="243"/>
      <c r="J274" s="243"/>
      <c r="K274" s="243"/>
      <c r="L274" s="243"/>
      <c r="M274" s="243"/>
    </row>
    <row r="275" spans="4:13" s="215" customFormat="1"/>
    <row r="276" spans="4:13" s="215" customFormat="1">
      <c r="E276" s="234"/>
      <c r="F276" s="234"/>
      <c r="G276" s="234"/>
      <c r="H276" s="234"/>
      <c r="I276" s="234"/>
      <c r="J276" s="234"/>
      <c r="K276" s="234"/>
      <c r="L276" s="234"/>
      <c r="M276" s="234"/>
    </row>
    <row r="277" spans="4:13" s="215" customFormat="1">
      <c r="D277" s="363"/>
      <c r="E277" s="237"/>
      <c r="F277" s="237"/>
      <c r="G277" s="237"/>
      <c r="H277" s="237"/>
      <c r="I277" s="237"/>
      <c r="J277" s="237"/>
      <c r="K277" s="237"/>
      <c r="L277" s="237"/>
      <c r="M277" s="237"/>
    </row>
    <row r="278" spans="4:13" s="215" customFormat="1">
      <c r="E278" s="364"/>
      <c r="F278" s="364"/>
      <c r="G278" s="364"/>
      <c r="H278" s="364"/>
      <c r="I278" s="364"/>
      <c r="J278" s="364"/>
      <c r="K278" s="364"/>
      <c r="L278" s="364"/>
      <c r="M278" s="364"/>
    </row>
    <row r="279" spans="4:13" s="215" customFormat="1">
      <c r="E279" s="234"/>
      <c r="F279" s="234"/>
      <c r="G279" s="234"/>
      <c r="H279" s="234"/>
      <c r="I279" s="234"/>
      <c r="J279" s="234"/>
      <c r="K279" s="234"/>
      <c r="L279" s="234"/>
      <c r="M279" s="234"/>
    </row>
    <row r="280" spans="4:13" s="215" customFormat="1">
      <c r="E280" s="234"/>
      <c r="F280" s="234"/>
      <c r="G280" s="234"/>
      <c r="H280" s="234"/>
      <c r="I280" s="234"/>
      <c r="J280" s="234"/>
      <c r="K280" s="234"/>
      <c r="L280" s="234"/>
      <c r="M280" s="234"/>
    </row>
  </sheetData>
  <pageMargins left="0.7" right="0.7" top="0.75" bottom="0.75" header="0.3" footer="0.3"/>
  <pageSetup paperSize="119" orientation="landscape" r:id="rId1"/>
  <headerFooter>
    <oddHeader>&amp;LAppendix E: Incremental Cost Calculation&amp;RDraft Clean Energy Implementation Plan</oddHeader>
    <oddFooter>&amp;LOCTOBER 15, 2021&amp;C&amp;P of &amp;N&amp;RPuget Sound Energy</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W128"/>
  <sheetViews>
    <sheetView workbookViewId="0">
      <pane ySplit="10" topLeftCell="A11" activePane="bottomLeft" state="frozen"/>
      <selection activeCell="B28" sqref="B28"/>
      <selection pane="bottomLeft" activeCell="B28" sqref="B28"/>
    </sheetView>
  </sheetViews>
  <sheetFormatPr defaultColWidth="18.140625" defaultRowHeight="14.25" outlineLevelCol="1"/>
  <cols>
    <col min="1" max="1" width="5.5703125" style="111" bestFit="1" customWidth="1"/>
    <col min="2" max="2" width="17.140625" style="111" customWidth="1"/>
    <col min="3" max="3" width="15" style="111" customWidth="1"/>
    <col min="4" max="4" width="16.28515625" style="111" bestFit="1" customWidth="1"/>
    <col min="5" max="5" width="16.140625" style="111" bestFit="1" customWidth="1"/>
    <col min="6" max="6" width="16.7109375" style="111" bestFit="1" customWidth="1"/>
    <col min="7" max="7" width="13.5703125" style="111" bestFit="1" customWidth="1"/>
    <col min="8" max="8" width="5.28515625" style="111" bestFit="1" customWidth="1"/>
    <col min="9" max="9" width="58.140625" style="111" customWidth="1"/>
    <col min="10" max="10" width="14.28515625" style="111" customWidth="1"/>
    <col min="11" max="11" width="15.42578125" style="111" bestFit="1" customWidth="1"/>
    <col min="12" max="12" width="16.28515625" style="111" bestFit="1" customWidth="1"/>
    <col min="13" max="13" width="5.85546875" style="111" customWidth="1"/>
    <col min="14" max="14" width="49.140625" style="111" customWidth="1"/>
    <col min="15" max="15" width="15.140625" style="111" customWidth="1"/>
    <col min="16" max="16" width="5.85546875" style="111" customWidth="1"/>
    <col min="17" max="17" width="31.85546875" style="111" bestFit="1" customWidth="1"/>
    <col min="18" max="18" width="18.42578125" style="111" customWidth="1"/>
    <col min="19" max="19" width="15.5703125" style="111" bestFit="1" customWidth="1"/>
    <col min="20" max="20" width="5.85546875" style="111" customWidth="1"/>
    <col min="21" max="21" width="47.5703125" style="111" customWidth="1"/>
    <col min="22" max="22" width="6" style="111" customWidth="1"/>
    <col min="23" max="23" width="14.7109375" style="111" customWidth="1"/>
    <col min="24" max="24" width="15.85546875" style="111" customWidth="1"/>
    <col min="25" max="25" width="5.5703125" style="111" customWidth="1"/>
    <col min="26" max="26" width="53.140625" style="111" customWidth="1"/>
    <col min="27" max="28" width="13.42578125" style="111" customWidth="1"/>
    <col min="29" max="29" width="5.85546875" style="111" customWidth="1"/>
    <col min="30" max="30" width="30.5703125" style="111" customWidth="1"/>
    <col min="31" max="31" width="14.5703125" style="111" customWidth="1"/>
    <col min="32" max="32" width="16.42578125" style="111" customWidth="1" outlineLevel="1"/>
    <col min="33" max="34" width="15.85546875" style="111" customWidth="1" outlineLevel="1"/>
    <col min="35" max="35" width="14.140625" style="111" customWidth="1" outlineLevel="1"/>
    <col min="36" max="36" width="16.7109375" style="111" customWidth="1"/>
    <col min="37" max="37" width="17.140625" style="111" bestFit="1" customWidth="1"/>
    <col min="38" max="38" width="5.85546875" style="111" customWidth="1"/>
    <col min="39" max="39" width="42.7109375" style="111" customWidth="1"/>
    <col min="40" max="40" width="17.7109375" style="111" customWidth="1"/>
    <col min="41" max="41" width="16.5703125" style="111" customWidth="1"/>
    <col min="42" max="42" width="15.85546875" style="111" customWidth="1"/>
    <col min="43" max="43" width="5" style="378" customWidth="1"/>
    <col min="44" max="44" width="41.140625" style="378" customWidth="1"/>
    <col min="45" max="45" width="5.5703125" style="378" customWidth="1"/>
    <col min="46" max="46" width="19.42578125" style="378" customWidth="1"/>
    <col min="47" max="47" width="5" style="378" customWidth="1"/>
    <col min="48" max="48" width="47.28515625" style="378" customWidth="1"/>
    <col min="49" max="51" width="14.5703125" style="378" customWidth="1"/>
    <col min="52" max="52" width="5.85546875" style="111" customWidth="1"/>
    <col min="53" max="53" width="32" style="111" customWidth="1"/>
    <col min="54" max="54" width="5.5703125" style="111" customWidth="1"/>
    <col min="55" max="55" width="15.42578125" style="111" customWidth="1"/>
    <col min="56" max="56" width="5.140625" style="111" customWidth="1"/>
    <col min="57" max="57" width="30.42578125" style="111" customWidth="1"/>
    <col min="58" max="58" width="12.42578125" style="111" customWidth="1"/>
    <col min="59" max="59" width="13.85546875" style="111" customWidth="1"/>
    <col min="60" max="60" width="16.140625" style="111" customWidth="1"/>
    <col min="61" max="61" width="5.85546875" style="111" customWidth="1"/>
    <col min="62" max="62" width="59.140625" style="111" customWidth="1"/>
    <col min="63" max="65" width="17" style="111" customWidth="1"/>
    <col min="66" max="66" width="4.7109375" style="375" customWidth="1"/>
    <col min="67" max="67" width="37.85546875" style="375" customWidth="1"/>
    <col min="68" max="68" width="18.140625" style="111" customWidth="1"/>
    <col min="69" max="69" width="9.85546875" style="111" customWidth="1"/>
    <col min="70" max="70" width="18.140625" style="111" customWidth="1"/>
    <col min="71" max="71" width="5.85546875" style="111" customWidth="1"/>
    <col min="72" max="72" width="72.140625" style="111" bestFit="1" customWidth="1"/>
    <col min="73" max="77" width="14.140625" style="111" customWidth="1"/>
    <col min="78" max="78" width="5.5703125" style="111" customWidth="1"/>
    <col min="79" max="79" width="60.85546875" style="111" customWidth="1"/>
    <col min="80" max="80" width="16" style="111" bestFit="1" customWidth="1"/>
    <col min="81" max="81" width="24.85546875" style="111" customWidth="1"/>
    <col min="82" max="82" width="14.140625" style="111" customWidth="1"/>
    <col min="83" max="83" width="4.7109375" style="111" customWidth="1"/>
    <col min="84" max="84" width="33.85546875" style="111" customWidth="1"/>
    <col min="85" max="85" width="5" style="111" customWidth="1"/>
    <col min="86" max="86" width="5.5703125" style="111" customWidth="1"/>
    <col min="87" max="87" width="14.140625" style="111" customWidth="1"/>
    <col min="88" max="88" width="6.7109375" style="111" customWidth="1"/>
    <col min="89" max="89" width="42.140625" style="111" customWidth="1"/>
    <col min="90" max="92" width="14.140625" style="111" customWidth="1"/>
    <col min="93" max="93" width="6.7109375" style="111" customWidth="1"/>
    <col min="94" max="94" width="42.140625" style="111" customWidth="1"/>
    <col min="95" max="95" width="14.7109375" style="111" bestFit="1" customWidth="1"/>
    <col min="96" max="96" width="14.140625" style="111" customWidth="1"/>
    <col min="97" max="97" width="15.5703125" style="111" bestFit="1" customWidth="1"/>
    <col min="98" max="98" width="6.7109375" style="111" customWidth="1"/>
    <col min="99" max="99" width="42.140625" style="111" customWidth="1"/>
    <col min="100" max="102" width="14.140625" style="111" customWidth="1"/>
    <col min="103" max="103" width="5" style="111" customWidth="1"/>
    <col min="104" max="104" width="44.85546875" style="111" customWidth="1"/>
    <col min="105" max="106" width="11.42578125" style="111" customWidth="1"/>
    <col min="107" max="107" width="15.28515625" style="111" customWidth="1"/>
    <col min="108" max="108" width="5.85546875" style="379" customWidth="1"/>
    <col min="109" max="109" width="39.28515625" style="111" customWidth="1"/>
    <col min="110" max="110" width="20.28515625" style="111" bestFit="1" customWidth="1"/>
    <col min="111" max="111" width="20" style="111" customWidth="1"/>
    <col min="112" max="115" width="20.42578125" style="111" customWidth="1"/>
    <col min="116" max="116" width="14.5703125" style="111" customWidth="1"/>
    <col min="117" max="117" width="15.85546875" style="111" customWidth="1"/>
    <col min="118" max="118" width="21.28515625" style="111" customWidth="1"/>
    <col min="119" max="119" width="18.140625" style="111" bestFit="1" customWidth="1"/>
    <col min="120" max="120" width="13.140625" style="111" bestFit="1" customWidth="1"/>
    <col min="121" max="121" width="15.42578125" style="111" customWidth="1"/>
    <col min="122" max="122" width="5" style="111" customWidth="1"/>
    <col min="123" max="123" width="33" style="111" customWidth="1"/>
    <col min="124" max="124" width="12.85546875" style="111" bestFit="1" customWidth="1"/>
    <col min="125" max="125" width="13.28515625" style="111" bestFit="1" customWidth="1"/>
    <col min="126" max="126" width="16.42578125" style="111" customWidth="1"/>
    <col min="127" max="132" width="19.7109375" style="111" customWidth="1"/>
    <col min="133" max="133" width="16.85546875" style="111" bestFit="1" customWidth="1"/>
    <col min="134" max="134" width="5" style="111" customWidth="1"/>
    <col min="135" max="135" width="39.85546875" style="111" bestFit="1" customWidth="1"/>
    <col min="136" max="136" width="17" style="111" bestFit="1" customWidth="1"/>
    <col min="137" max="137" width="16.85546875" style="111" bestFit="1" customWidth="1"/>
    <col min="138" max="138" width="17" style="111" bestFit="1" customWidth="1"/>
    <col min="139" max="139" width="12" style="375" customWidth="1"/>
    <col min="140" max="140" width="32.28515625" style="375" customWidth="1"/>
    <col min="141" max="141" width="25" style="375" customWidth="1"/>
    <col min="142" max="146" width="18.140625" style="375"/>
    <col min="147" max="148" width="18.140625" style="111"/>
    <col min="149" max="149" width="5.28515625" style="111" customWidth="1"/>
    <col min="150" max="150" width="52.140625" style="111" bestFit="1" customWidth="1"/>
    <col min="151" max="151" width="17" style="111" customWidth="1"/>
    <col min="152" max="152" width="16.7109375" style="111" customWidth="1"/>
    <col min="153" max="153" width="14" style="111" bestFit="1" customWidth="1"/>
    <col min="154" max="16384" width="18.140625" style="111"/>
  </cols>
  <sheetData>
    <row r="1" spans="1:141" s="373" customFormat="1" ht="15" customHeight="1">
      <c r="G1" s="374">
        <f>ROUND(-DG47+G49,0)</f>
        <v>0</v>
      </c>
      <c r="L1" s="374">
        <f>ROUND(-DH47+L41,0)</f>
        <v>0</v>
      </c>
      <c r="O1" s="374">
        <f>ROUND(-DI47+O29,0)</f>
        <v>0</v>
      </c>
      <c r="S1" s="374">
        <f>ROUND(-DJ47-S27+S24,0)</f>
        <v>0</v>
      </c>
      <c r="X1" s="374">
        <f>ROUND(-DK47+X52,0)</f>
        <v>0</v>
      </c>
      <c r="AB1" s="374">
        <f>ROUND(-DL47+AB31,0)</f>
        <v>0</v>
      </c>
      <c r="AK1" s="374">
        <f>ROUND(-DM47+AK29,0)</f>
        <v>0</v>
      </c>
      <c r="AP1" s="374">
        <f>ROUND(-DN47+AP20,0)</f>
        <v>0</v>
      </c>
      <c r="AT1" s="374">
        <f>ROUND(-DO47+AT26,0)</f>
        <v>0</v>
      </c>
      <c r="AY1" s="374">
        <f>ROUND(-DP47+AY20,0)</f>
        <v>0</v>
      </c>
      <c r="BC1" s="374">
        <f>ROUND(-DQ47+BC15,0)</f>
        <v>0</v>
      </c>
      <c r="BH1" s="374">
        <f>ROUND(-DT47+BH19,0)</f>
        <v>0</v>
      </c>
      <c r="BM1" s="374">
        <f>ROUND(-DU47+BM19,0)</f>
        <v>0</v>
      </c>
      <c r="BR1" s="374">
        <f>ROUND(-DV47+BR20,0)</f>
        <v>0</v>
      </c>
      <c r="BY1" s="374">
        <f>ROUND(-DW47+BY30,0)</f>
        <v>0</v>
      </c>
      <c r="CD1" s="374">
        <f>ROUND(-DX47+CD24,0)</f>
        <v>0</v>
      </c>
      <c r="CI1" s="374">
        <f>ROUND(-DY47+CI25,0)</f>
        <v>0</v>
      </c>
      <c r="CN1" s="374">
        <f>ROUND(-DZ47+CN24,0)</f>
        <v>0</v>
      </c>
      <c r="CS1" s="374">
        <f>ROUND(-EA47+CS24,0)</f>
        <v>0</v>
      </c>
      <c r="CX1" s="374">
        <f>ROUND(-EB47+CX24,0)</f>
        <v>0</v>
      </c>
      <c r="EI1" s="375"/>
      <c r="EJ1" s="375"/>
      <c r="EK1" s="375"/>
    </row>
    <row r="2" spans="1:141" ht="15" customHeight="1" thickBot="1">
      <c r="A2" s="376"/>
      <c r="B2" s="376"/>
      <c r="C2" s="376"/>
      <c r="D2" s="376"/>
      <c r="E2" s="376"/>
      <c r="F2" s="376"/>
      <c r="G2" s="377"/>
      <c r="L2" s="377"/>
      <c r="O2" s="377"/>
      <c r="S2" s="377"/>
      <c r="X2" s="377"/>
      <c r="AP2" s="377"/>
      <c r="AT2" s="377"/>
      <c r="AY2" s="377"/>
      <c r="BC2" s="377"/>
      <c r="BH2" s="377"/>
      <c r="BI2" s="377"/>
      <c r="BJ2" s="377"/>
      <c r="BK2" s="377"/>
      <c r="BL2" s="377"/>
      <c r="BM2" s="377"/>
      <c r="BN2" s="111"/>
      <c r="BO2" s="111"/>
      <c r="BR2" s="377"/>
      <c r="BS2" s="377"/>
      <c r="BT2" s="377"/>
      <c r="BU2" s="377"/>
      <c r="BV2" s="377"/>
      <c r="BW2" s="377"/>
      <c r="BX2" s="377"/>
      <c r="BY2" s="377"/>
      <c r="CD2" s="377"/>
      <c r="CI2" s="377"/>
      <c r="CJ2" s="377"/>
      <c r="CK2" s="377"/>
      <c r="CL2" s="377"/>
      <c r="CM2" s="377"/>
      <c r="CN2" s="377"/>
      <c r="CO2" s="377"/>
      <c r="CP2" s="377"/>
      <c r="CQ2" s="377"/>
      <c r="CR2" s="377"/>
      <c r="CS2" s="377"/>
      <c r="CT2" s="377"/>
      <c r="CU2" s="377"/>
      <c r="CV2" s="377"/>
      <c r="CW2" s="377"/>
      <c r="CX2" s="377"/>
      <c r="CY2" s="376"/>
      <c r="CZ2" s="376"/>
      <c r="DA2" s="376"/>
      <c r="DB2" s="376"/>
      <c r="DC2" s="377"/>
      <c r="DG2" s="380"/>
      <c r="DH2" s="380"/>
      <c r="DI2" s="380"/>
      <c r="DJ2" s="380"/>
      <c r="DK2" s="380"/>
      <c r="DL2" s="380"/>
      <c r="DM2" s="380"/>
      <c r="DN2" s="380"/>
      <c r="DO2" s="380"/>
      <c r="DP2" s="380"/>
      <c r="DQ2" s="380"/>
      <c r="DR2" s="380"/>
      <c r="DS2" s="380"/>
      <c r="DT2" s="380"/>
      <c r="DU2" s="380"/>
      <c r="DV2" s="380"/>
      <c r="DW2" s="380"/>
      <c r="DX2" s="380"/>
      <c r="DY2" s="380"/>
      <c r="DZ2" s="380"/>
      <c r="EA2" s="380"/>
      <c r="EB2" s="380"/>
      <c r="EC2" s="380"/>
    </row>
    <row r="3" spans="1:141" s="376" customFormat="1" ht="15" customHeight="1" thickTop="1" thickBot="1">
      <c r="G3" s="381">
        <f>DG12</f>
        <v>3.01</v>
      </c>
      <c r="H3" s="382"/>
      <c r="I3" s="382"/>
      <c r="J3" s="382"/>
      <c r="K3" s="382"/>
      <c r="L3" s="381">
        <f>DH12</f>
        <v>3.0199999999999996</v>
      </c>
      <c r="M3" s="383"/>
      <c r="N3" s="383"/>
      <c r="O3" s="381">
        <f>DI12</f>
        <v>3.0299999999999994</v>
      </c>
      <c r="P3" s="383"/>
      <c r="Q3" s="383"/>
      <c r="R3" s="383"/>
      <c r="S3" s="381">
        <f>DJ12</f>
        <v>3.0399999999999991</v>
      </c>
      <c r="T3" s="383"/>
      <c r="U3" s="383"/>
      <c r="V3" s="383"/>
      <c r="X3" s="381">
        <f>DK12</f>
        <v>3.0499999999999989</v>
      </c>
      <c r="Z3" s="111"/>
      <c r="AB3" s="381">
        <f>DL12</f>
        <v>3.0599999999999987</v>
      </c>
      <c r="AK3" s="381">
        <f>DM12</f>
        <v>3.0699999999999985</v>
      </c>
      <c r="AN3" s="384"/>
      <c r="AP3" s="381">
        <f>DN12</f>
        <v>3.0799999999999983</v>
      </c>
      <c r="AQ3" s="376" t="s">
        <v>218</v>
      </c>
      <c r="AT3" s="381">
        <f>DO12</f>
        <v>3.0899999999999981</v>
      </c>
      <c r="AU3" s="385"/>
      <c r="AV3" s="385"/>
      <c r="AW3" s="385"/>
      <c r="AX3" s="385"/>
      <c r="AY3" s="381">
        <f>DP12</f>
        <v>3.0999999999999979</v>
      </c>
      <c r="BC3" s="381">
        <f>DQ12</f>
        <v>3.1099999999999977</v>
      </c>
      <c r="BF3" s="384"/>
      <c r="BH3" s="381">
        <f>DT12</f>
        <v>3.1199999999999974</v>
      </c>
      <c r="BK3" s="384"/>
      <c r="BM3" s="381">
        <f>DU12</f>
        <v>3.1299999999999972</v>
      </c>
      <c r="BN3" s="382"/>
      <c r="BO3" s="377"/>
      <c r="BP3" s="377"/>
      <c r="BQ3" s="377"/>
      <c r="BR3" s="381">
        <f>DV12</f>
        <v>3.139999999999997</v>
      </c>
      <c r="BT3" s="386"/>
      <c r="BU3" s="386"/>
      <c r="BV3" s="386"/>
      <c r="BW3" s="386"/>
      <c r="BX3" s="386"/>
      <c r="BY3" s="381">
        <f>DW12</f>
        <v>3.1499999999999968</v>
      </c>
      <c r="CA3" s="387"/>
      <c r="CC3" s="388"/>
      <c r="CD3" s="381">
        <f>DX12</f>
        <v>3.1599999999999966</v>
      </c>
      <c r="CI3" s="381">
        <f>DY12</f>
        <v>3.1699999999999964</v>
      </c>
      <c r="CK3" s="386"/>
      <c r="CL3" s="386"/>
      <c r="CM3" s="386"/>
      <c r="CN3" s="381">
        <f>DZ12</f>
        <v>3.1799999999999962</v>
      </c>
      <c r="CP3" s="386"/>
      <c r="CQ3" s="386"/>
      <c r="CR3" s="386"/>
      <c r="CS3" s="381">
        <f>EA12</f>
        <v>3.1899999999999959</v>
      </c>
      <c r="CU3" s="386"/>
      <c r="CV3" s="386"/>
      <c r="CW3" s="386"/>
      <c r="CX3" s="381">
        <f>EB12</f>
        <v>3.1999999999999957</v>
      </c>
      <c r="DC3" s="389" t="s">
        <v>221</v>
      </c>
      <c r="DQ3" s="390" t="s">
        <v>222</v>
      </c>
      <c r="EC3" s="390" t="s">
        <v>223</v>
      </c>
      <c r="EH3" s="391" t="s">
        <v>224</v>
      </c>
      <c r="EI3" s="375"/>
      <c r="EJ3" s="375"/>
      <c r="EK3" s="375"/>
    </row>
    <row r="4" spans="1:141" s="376" customFormat="1" ht="15" customHeight="1">
      <c r="A4" s="392" t="s">
        <v>225</v>
      </c>
      <c r="B4" s="393"/>
      <c r="C4" s="393"/>
      <c r="D4" s="393"/>
      <c r="E4" s="394"/>
      <c r="F4" s="395"/>
      <c r="G4" s="396"/>
      <c r="H4" s="393" t="s">
        <v>225</v>
      </c>
      <c r="I4" s="394"/>
      <c r="J4" s="394"/>
      <c r="K4" s="394"/>
      <c r="L4" s="394"/>
      <c r="M4" s="393" t="str">
        <f>PSPL</f>
        <v>PUGET SOUND ENERGY-ELECTRIC</v>
      </c>
      <c r="N4" s="394"/>
      <c r="O4" s="397"/>
      <c r="P4" s="393" t="str">
        <f>PSPL</f>
        <v>PUGET SOUND ENERGY-ELECTRIC</v>
      </c>
      <c r="Q4" s="394"/>
      <c r="R4" s="394"/>
      <c r="S4" s="394"/>
      <c r="T4" s="393" t="str">
        <f>PSPL</f>
        <v>PUGET SOUND ENERGY-ELECTRIC</v>
      </c>
      <c r="U4" s="394"/>
      <c r="V4" s="394"/>
      <c r="W4" s="394"/>
      <c r="X4" s="394"/>
      <c r="Y4" s="393" t="str">
        <f>PSPL</f>
        <v>PUGET SOUND ENERGY-ELECTRIC</v>
      </c>
      <c r="Z4" s="394"/>
      <c r="AA4" s="394"/>
      <c r="AB4" s="394"/>
      <c r="AC4" s="393" t="str">
        <f>PSPL</f>
        <v>PUGET SOUND ENERGY-ELECTRIC</v>
      </c>
      <c r="AD4" s="394"/>
      <c r="AE4" s="394"/>
      <c r="AF4" s="394"/>
      <c r="AG4" s="394"/>
      <c r="AH4" s="394"/>
      <c r="AI4" s="394"/>
      <c r="AJ4" s="394"/>
      <c r="AK4" s="394"/>
      <c r="AL4" s="393" t="str">
        <f>PSPL</f>
        <v>PUGET SOUND ENERGY-ELECTRIC</v>
      </c>
      <c r="AM4" s="398"/>
      <c r="AN4" s="399"/>
      <c r="AO4" s="394"/>
      <c r="AP4" s="394"/>
      <c r="AQ4" s="400" t="str">
        <f>PSPL</f>
        <v>PUGET SOUND ENERGY-ELECTRIC</v>
      </c>
      <c r="AR4" s="400"/>
      <c r="AS4" s="400"/>
      <c r="AT4" s="400"/>
      <c r="AU4" s="393" t="str">
        <f>PSPL</f>
        <v>PUGET SOUND ENERGY-ELECTRIC</v>
      </c>
      <c r="AV4" s="394"/>
      <c r="AW4" s="394"/>
      <c r="AX4" s="394"/>
      <c r="AY4" s="401"/>
      <c r="AZ4" s="394" t="str">
        <f>PSPL</f>
        <v>PUGET SOUND ENERGY-ELECTRIC</v>
      </c>
      <c r="BA4" s="394"/>
      <c r="BB4" s="394"/>
      <c r="BC4" s="394"/>
      <c r="BD4" s="393" t="str">
        <f>PSPL</f>
        <v>PUGET SOUND ENERGY-ELECTRIC</v>
      </c>
      <c r="BE4" s="398"/>
      <c r="BF4" s="399"/>
      <c r="BG4" s="394"/>
      <c r="BH4" s="394"/>
      <c r="BI4" s="393" t="str">
        <f>PSPL</f>
        <v>PUGET SOUND ENERGY-ELECTRIC</v>
      </c>
      <c r="BJ4" s="398"/>
      <c r="BK4" s="399"/>
      <c r="BL4" s="394"/>
      <c r="BM4" s="394"/>
      <c r="BN4" s="393" t="str">
        <f>PSPL</f>
        <v>PUGET SOUND ENERGY-ELECTRIC</v>
      </c>
      <c r="BO4" s="394"/>
      <c r="BP4" s="394"/>
      <c r="BQ4" s="394"/>
      <c r="BR4" s="394"/>
      <c r="BS4" s="393" t="str">
        <f>PSPL</f>
        <v>PUGET SOUND ENERGY-ELECTRIC</v>
      </c>
      <c r="BT4" s="394"/>
      <c r="BU4" s="394"/>
      <c r="BV4" s="394"/>
      <c r="BW4" s="394"/>
      <c r="BX4" s="394"/>
      <c r="BY4" s="394"/>
      <c r="BZ4" s="393" t="str">
        <f>PSPL</f>
        <v>PUGET SOUND ENERGY-ELECTRIC</v>
      </c>
      <c r="CA4" s="393"/>
      <c r="CB4" s="393"/>
      <c r="CC4" s="393"/>
      <c r="CD4" s="393"/>
      <c r="CE4" s="393" t="str">
        <f>PSPL</f>
        <v>PUGET SOUND ENERGY-ELECTRIC</v>
      </c>
      <c r="CF4" s="394"/>
      <c r="CG4" s="394"/>
      <c r="CH4" s="394"/>
      <c r="CI4" s="394"/>
      <c r="CJ4" s="393" t="str">
        <f>PSPL</f>
        <v>PUGET SOUND ENERGY-ELECTRIC</v>
      </c>
      <c r="CK4" s="394"/>
      <c r="CL4" s="394"/>
      <c r="CM4" s="394"/>
      <c r="CN4" s="394"/>
      <c r="CO4" s="393" t="str">
        <f>PSPL</f>
        <v>PUGET SOUND ENERGY-ELECTRIC</v>
      </c>
      <c r="CP4" s="394"/>
      <c r="CQ4" s="394"/>
      <c r="CR4" s="394"/>
      <c r="CS4" s="394"/>
      <c r="CT4" s="393" t="str">
        <f>PSPL</f>
        <v>PUGET SOUND ENERGY-ELECTRIC</v>
      </c>
      <c r="CU4" s="394"/>
      <c r="CV4" s="394"/>
      <c r="CW4" s="394"/>
      <c r="CX4" s="394"/>
      <c r="CY4" s="393" t="str">
        <f>PSPL</f>
        <v>PUGET SOUND ENERGY-ELECTRIC</v>
      </c>
      <c r="CZ4" s="394"/>
      <c r="DA4" s="394"/>
      <c r="DB4" s="394"/>
      <c r="DC4" s="401"/>
      <c r="DD4" s="393" t="str">
        <f>PSPL</f>
        <v>PUGET SOUND ENERGY-ELECTRIC</v>
      </c>
      <c r="DE4" s="398"/>
      <c r="DF4" s="398"/>
      <c r="DG4" s="394"/>
      <c r="DH4" s="394"/>
      <c r="DI4" s="394"/>
      <c r="DJ4" s="394"/>
      <c r="DK4" s="394"/>
      <c r="DL4" s="398"/>
      <c r="DM4" s="398"/>
      <c r="DN4" s="398"/>
      <c r="DO4" s="398"/>
      <c r="DP4" s="398"/>
      <c r="DQ4" s="398"/>
      <c r="DR4" s="393" t="str">
        <f>PSPL</f>
        <v>PUGET SOUND ENERGY-ELECTRIC</v>
      </c>
      <c r="DS4" s="398"/>
      <c r="DT4" s="398"/>
      <c r="DU4" s="398"/>
      <c r="DV4" s="398"/>
      <c r="DW4" s="398"/>
      <c r="DX4" s="398"/>
      <c r="DY4" s="398"/>
      <c r="DZ4" s="398"/>
      <c r="EA4" s="398"/>
      <c r="EB4" s="398"/>
      <c r="EC4" s="398"/>
      <c r="ED4" s="402" t="s">
        <v>226</v>
      </c>
      <c r="EE4" s="394"/>
      <c r="EF4" s="394"/>
      <c r="EI4" s="375"/>
      <c r="EJ4" s="375"/>
      <c r="EK4" s="375"/>
    </row>
    <row r="5" spans="1:141" s="376" customFormat="1" ht="15" customHeight="1">
      <c r="A5" s="403" t="s">
        <v>227</v>
      </c>
      <c r="B5" s="404"/>
      <c r="C5" s="404"/>
      <c r="D5" s="404"/>
      <c r="E5" s="405"/>
      <c r="F5" s="406"/>
      <c r="G5" s="407"/>
      <c r="H5" s="404" t="s">
        <v>228</v>
      </c>
      <c r="I5" s="407"/>
      <c r="J5" s="407"/>
      <c r="K5" s="407"/>
      <c r="L5" s="407"/>
      <c r="M5" s="405" t="s">
        <v>229</v>
      </c>
      <c r="N5" s="405"/>
      <c r="O5" s="408"/>
      <c r="P5" s="405" t="s">
        <v>230</v>
      </c>
      <c r="Q5" s="405"/>
      <c r="R5" s="405"/>
      <c r="S5" s="407"/>
      <c r="T5" s="405" t="s">
        <v>231</v>
      </c>
      <c r="U5" s="394"/>
      <c r="V5" s="405"/>
      <c r="W5" s="407"/>
      <c r="X5" s="404"/>
      <c r="Y5" s="404" t="s">
        <v>232</v>
      </c>
      <c r="Z5" s="405"/>
      <c r="AA5" s="405"/>
      <c r="AB5" s="407"/>
      <c r="AC5" s="405" t="s">
        <v>233</v>
      </c>
      <c r="AD5" s="405"/>
      <c r="AE5" s="405"/>
      <c r="AF5" s="405"/>
      <c r="AG5" s="394"/>
      <c r="AH5" s="405"/>
      <c r="AI5" s="405"/>
      <c r="AJ5" s="407"/>
      <c r="AK5" s="407"/>
      <c r="AL5" s="405" t="s">
        <v>234</v>
      </c>
      <c r="AM5" s="409"/>
      <c r="AN5" s="410"/>
      <c r="AO5" s="405"/>
      <c r="AP5" s="407"/>
      <c r="AQ5" s="411" t="s">
        <v>235</v>
      </c>
      <c r="AR5" s="411"/>
      <c r="AS5" s="411"/>
      <c r="AT5" s="411"/>
      <c r="AU5" s="405" t="s">
        <v>236</v>
      </c>
      <c r="AV5" s="405"/>
      <c r="AW5" s="405"/>
      <c r="AX5" s="405"/>
      <c r="AY5" s="407"/>
      <c r="AZ5" s="404" t="s">
        <v>237</v>
      </c>
      <c r="BA5" s="405"/>
      <c r="BB5" s="405"/>
      <c r="BC5" s="405"/>
      <c r="BD5" s="405" t="s">
        <v>238</v>
      </c>
      <c r="BE5" s="409"/>
      <c r="BF5" s="410"/>
      <c r="BG5" s="405"/>
      <c r="BH5" s="407"/>
      <c r="BI5" s="405" t="s">
        <v>239</v>
      </c>
      <c r="BJ5" s="409"/>
      <c r="BK5" s="410"/>
      <c r="BL5" s="405"/>
      <c r="BM5" s="407"/>
      <c r="BN5" s="405" t="s">
        <v>240</v>
      </c>
      <c r="BO5" s="407"/>
      <c r="BP5" s="407"/>
      <c r="BQ5" s="407"/>
      <c r="BR5" s="407"/>
      <c r="BS5" s="405" t="s">
        <v>241</v>
      </c>
      <c r="BT5" s="407"/>
      <c r="BU5" s="407"/>
      <c r="BV5" s="407"/>
      <c r="BW5" s="407"/>
      <c r="BX5" s="407"/>
      <c r="BY5" s="407"/>
      <c r="BZ5" s="404" t="s">
        <v>242</v>
      </c>
      <c r="CA5" s="404"/>
      <c r="CB5" s="404"/>
      <c r="CC5" s="404"/>
      <c r="CD5" s="404"/>
      <c r="CE5" s="405" t="s">
        <v>243</v>
      </c>
      <c r="CF5" s="405"/>
      <c r="CG5" s="405"/>
      <c r="CH5" s="405"/>
      <c r="CI5" s="407"/>
      <c r="CJ5" s="405" t="s">
        <v>244</v>
      </c>
      <c r="CK5" s="407"/>
      <c r="CL5" s="407"/>
      <c r="CM5" s="407"/>
      <c r="CN5" s="407"/>
      <c r="CO5" s="405" t="s">
        <v>245</v>
      </c>
      <c r="CP5" s="407"/>
      <c r="CQ5" s="407"/>
      <c r="CR5" s="407"/>
      <c r="CS5" s="407"/>
      <c r="CT5" s="405" t="s">
        <v>246</v>
      </c>
      <c r="CU5" s="407"/>
      <c r="CV5" s="407"/>
      <c r="CW5" s="407"/>
      <c r="CX5" s="407"/>
      <c r="CY5" s="405" t="s">
        <v>247</v>
      </c>
      <c r="CZ5" s="405"/>
      <c r="DA5" s="405"/>
      <c r="DB5" s="405"/>
      <c r="DC5" s="405"/>
      <c r="DD5" s="393" t="s">
        <v>248</v>
      </c>
      <c r="DE5" s="398"/>
      <c r="DF5" s="398"/>
      <c r="DG5" s="394"/>
      <c r="DH5" s="394"/>
      <c r="DI5" s="394"/>
      <c r="DJ5" s="394"/>
      <c r="DK5" s="394"/>
      <c r="DL5" s="398"/>
      <c r="DM5" s="398"/>
      <c r="DN5" s="398"/>
      <c r="DO5" s="398"/>
      <c r="DP5" s="398"/>
      <c r="DQ5" s="398"/>
      <c r="DR5" s="393" t="s">
        <v>248</v>
      </c>
      <c r="DS5" s="398"/>
      <c r="DT5" s="398"/>
      <c r="DU5" s="398"/>
      <c r="DV5" s="398"/>
      <c r="DW5" s="398"/>
      <c r="DX5" s="398"/>
      <c r="DY5" s="398"/>
      <c r="DZ5" s="398"/>
      <c r="EA5" s="398"/>
      <c r="EB5" s="398"/>
      <c r="EC5" s="398"/>
      <c r="ED5" s="393" t="str">
        <f>PSPL</f>
        <v>PUGET SOUND ENERGY-ELECTRIC</v>
      </c>
      <c r="EE5" s="394"/>
      <c r="EF5" s="396"/>
      <c r="EG5" s="394"/>
      <c r="EH5" s="394"/>
      <c r="EI5" s="375"/>
      <c r="EJ5" s="375"/>
      <c r="EK5" s="375"/>
    </row>
    <row r="6" spans="1:141" s="376" customFormat="1" ht="15" customHeight="1">
      <c r="A6" s="394" t="s">
        <v>249</v>
      </c>
      <c r="B6" s="393"/>
      <c r="C6" s="393"/>
      <c r="D6" s="393"/>
      <c r="E6" s="394"/>
      <c r="F6" s="412"/>
      <c r="G6" s="412"/>
      <c r="H6" s="394" t="str">
        <f>TESTYEAR</f>
        <v>FOR THE TWELVE MONTHS ENDED DECEMBER 31, 2020</v>
      </c>
      <c r="I6" s="412"/>
      <c r="J6" s="412"/>
      <c r="K6" s="412"/>
      <c r="L6" s="412"/>
      <c r="M6" s="394" t="str">
        <f>TESTYEAR</f>
        <v>FOR THE TWELVE MONTHS ENDED DECEMBER 31, 2020</v>
      </c>
      <c r="N6" s="394"/>
      <c r="O6" s="397"/>
      <c r="P6" s="394" t="str">
        <f>TESTYEAR</f>
        <v>FOR THE TWELVE MONTHS ENDED DECEMBER 31, 2020</v>
      </c>
      <c r="Q6" s="394"/>
      <c r="R6" s="394"/>
      <c r="S6" s="412"/>
      <c r="T6" s="394" t="str">
        <f>TESTYEAR</f>
        <v>FOR THE TWELVE MONTHS ENDED DECEMBER 31, 2020</v>
      </c>
      <c r="U6" s="394"/>
      <c r="V6" s="393"/>
      <c r="W6" s="393"/>
      <c r="X6" s="393"/>
      <c r="Y6" s="394" t="str">
        <f>TESTYEAR</f>
        <v>FOR THE TWELVE MONTHS ENDED DECEMBER 31, 2020</v>
      </c>
      <c r="Z6" s="393"/>
      <c r="AA6" s="394"/>
      <c r="AB6" s="412"/>
      <c r="AC6" s="394" t="str">
        <f>TESTYEAR</f>
        <v>FOR THE TWELVE MONTHS ENDED DECEMBER 31, 2020</v>
      </c>
      <c r="AD6" s="394"/>
      <c r="AE6" s="394"/>
      <c r="AF6" s="394"/>
      <c r="AG6" s="394"/>
      <c r="AH6" s="394"/>
      <c r="AI6" s="394"/>
      <c r="AJ6" s="412"/>
      <c r="AK6" s="412"/>
      <c r="AL6" s="394" t="str">
        <f>TESTYEAR</f>
        <v>FOR THE TWELVE MONTHS ENDED DECEMBER 31, 2020</v>
      </c>
      <c r="AM6" s="398"/>
      <c r="AN6" s="399"/>
      <c r="AO6" s="394"/>
      <c r="AP6" s="412"/>
      <c r="AQ6" s="413" t="str">
        <f>TESTYEAR</f>
        <v>FOR THE TWELVE MONTHS ENDED DECEMBER 31, 2020</v>
      </c>
      <c r="AR6" s="413"/>
      <c r="AS6" s="413"/>
      <c r="AT6" s="413"/>
      <c r="AU6" s="394" t="str">
        <f>TESTYEAR</f>
        <v>FOR THE TWELVE MONTHS ENDED DECEMBER 31, 2020</v>
      </c>
      <c r="AV6" s="394"/>
      <c r="AW6" s="394"/>
      <c r="AX6" s="394"/>
      <c r="AY6" s="412"/>
      <c r="AZ6" s="393" t="str">
        <f>TESTYEAR</f>
        <v>FOR THE TWELVE MONTHS ENDED DECEMBER 31, 2020</v>
      </c>
      <c r="BA6" s="394"/>
      <c r="BB6" s="394"/>
      <c r="BC6" s="394"/>
      <c r="BD6" s="394" t="str">
        <f>TESTYEAR</f>
        <v>FOR THE TWELVE MONTHS ENDED DECEMBER 31, 2020</v>
      </c>
      <c r="BE6" s="398"/>
      <c r="BF6" s="399"/>
      <c r="BG6" s="394"/>
      <c r="BH6" s="412"/>
      <c r="BI6" s="394" t="str">
        <f>TESTYEAR</f>
        <v>FOR THE TWELVE MONTHS ENDED DECEMBER 31, 2020</v>
      </c>
      <c r="BJ6" s="398"/>
      <c r="BK6" s="399"/>
      <c r="BL6" s="394"/>
      <c r="BM6" s="412"/>
      <c r="BN6" s="394" t="str">
        <f>TESTYEAR</f>
        <v>FOR THE TWELVE MONTHS ENDED DECEMBER 31, 2020</v>
      </c>
      <c r="BO6" s="412"/>
      <c r="BP6" s="412"/>
      <c r="BQ6" s="412"/>
      <c r="BR6" s="412"/>
      <c r="BS6" s="394" t="str">
        <f>TESTYEAR</f>
        <v>FOR THE TWELVE MONTHS ENDED DECEMBER 31, 2020</v>
      </c>
      <c r="BT6" s="412"/>
      <c r="BU6" s="412"/>
      <c r="BV6" s="412"/>
      <c r="BW6" s="412"/>
      <c r="BX6" s="412"/>
      <c r="BY6" s="412"/>
      <c r="BZ6" s="394" t="str">
        <f>TESTYEAR</f>
        <v>FOR THE TWELVE MONTHS ENDED DECEMBER 31, 2020</v>
      </c>
      <c r="CA6" s="394"/>
      <c r="CB6" s="394"/>
      <c r="CC6" s="394"/>
      <c r="CD6" s="394"/>
      <c r="CE6" s="394" t="str">
        <f>TESTYEAR</f>
        <v>FOR THE TWELVE MONTHS ENDED DECEMBER 31, 2020</v>
      </c>
      <c r="CF6" s="394"/>
      <c r="CG6" s="394"/>
      <c r="CH6" s="394"/>
      <c r="CI6" s="412"/>
      <c r="CJ6" s="394" t="str">
        <f>TESTYEAR</f>
        <v>FOR THE TWELVE MONTHS ENDED DECEMBER 31, 2020</v>
      </c>
      <c r="CK6" s="412"/>
      <c r="CL6" s="412"/>
      <c r="CM6" s="412"/>
      <c r="CN6" s="412"/>
      <c r="CO6" s="394" t="str">
        <f>TESTYEAR</f>
        <v>FOR THE TWELVE MONTHS ENDED DECEMBER 31, 2020</v>
      </c>
      <c r="CP6" s="412"/>
      <c r="CQ6" s="412"/>
      <c r="CR6" s="412"/>
      <c r="CS6" s="412"/>
      <c r="CT6" s="394" t="str">
        <f>TESTYEAR</f>
        <v>FOR THE TWELVE MONTHS ENDED DECEMBER 31, 2020</v>
      </c>
      <c r="CU6" s="412"/>
      <c r="CV6" s="412"/>
      <c r="CW6" s="412"/>
      <c r="CX6" s="412"/>
      <c r="CY6" s="394" t="str">
        <f>TESTYEAR</f>
        <v>FOR THE TWELVE MONTHS ENDED DECEMBER 31, 2020</v>
      </c>
      <c r="CZ6" s="394"/>
      <c r="DA6" s="394"/>
      <c r="DB6" s="394"/>
      <c r="DC6" s="394"/>
      <c r="DD6" s="394" t="str">
        <f>TESTYEAR</f>
        <v>FOR THE TWELVE MONTHS ENDED DECEMBER 31, 2020</v>
      </c>
      <c r="DE6" s="398"/>
      <c r="DF6" s="398"/>
      <c r="DG6" s="394"/>
      <c r="DH6" s="394"/>
      <c r="DI6" s="394"/>
      <c r="DJ6" s="394"/>
      <c r="DK6" s="394"/>
      <c r="DL6" s="398"/>
      <c r="DM6" s="398"/>
      <c r="DN6" s="398"/>
      <c r="DO6" s="398"/>
      <c r="DP6" s="398"/>
      <c r="DQ6" s="398"/>
      <c r="DR6" s="394" t="str">
        <f>TESTYEAR</f>
        <v>FOR THE TWELVE MONTHS ENDED DECEMBER 31, 2020</v>
      </c>
      <c r="DS6" s="398"/>
      <c r="DT6" s="398"/>
      <c r="DU6" s="398"/>
      <c r="DV6" s="398"/>
      <c r="DW6" s="398"/>
      <c r="DX6" s="398"/>
      <c r="DY6" s="398"/>
      <c r="DZ6" s="398"/>
      <c r="EA6" s="398"/>
      <c r="EB6" s="398"/>
      <c r="EC6" s="398"/>
      <c r="ED6" s="393" t="s">
        <v>250</v>
      </c>
      <c r="EE6" s="394"/>
      <c r="EF6" s="412"/>
      <c r="EG6" s="401"/>
      <c r="EH6" s="394"/>
      <c r="EI6" s="375"/>
      <c r="EJ6" s="375"/>
      <c r="EK6" s="375"/>
    </row>
    <row r="7" spans="1:141" s="376" customFormat="1" ht="15" customHeight="1">
      <c r="A7" s="393" t="s">
        <v>251</v>
      </c>
      <c r="B7" s="393"/>
      <c r="C7" s="393"/>
      <c r="D7" s="393"/>
      <c r="E7" s="394"/>
      <c r="F7" s="394"/>
      <c r="G7" s="394"/>
      <c r="H7" s="393" t="s">
        <v>251</v>
      </c>
      <c r="I7" s="394"/>
      <c r="J7" s="394"/>
      <c r="K7" s="394"/>
      <c r="L7" s="394"/>
      <c r="M7" s="394" t="str">
        <f>DOCKET</f>
        <v>COMMISSION BASIS REPORT</v>
      </c>
      <c r="N7" s="393"/>
      <c r="O7" s="397"/>
      <c r="P7" s="393" t="str">
        <f>DOCKET</f>
        <v>COMMISSION BASIS REPORT</v>
      </c>
      <c r="Q7" s="394"/>
      <c r="R7" s="394"/>
      <c r="S7" s="412"/>
      <c r="T7" s="393" t="str">
        <f>DOCKET</f>
        <v>COMMISSION BASIS REPORT</v>
      </c>
      <c r="U7" s="394"/>
      <c r="V7" s="393"/>
      <c r="W7" s="393"/>
      <c r="X7" s="393"/>
      <c r="Y7" s="394" t="str">
        <f>DOCKET</f>
        <v>COMMISSION BASIS REPORT</v>
      </c>
      <c r="Z7" s="393"/>
      <c r="AA7" s="394"/>
      <c r="AB7" s="394"/>
      <c r="AC7" s="394" t="str">
        <f>DOCKET</f>
        <v>COMMISSION BASIS REPORT</v>
      </c>
      <c r="AD7" s="394"/>
      <c r="AE7" s="394"/>
      <c r="AF7" s="394"/>
      <c r="AG7" s="394"/>
      <c r="AH7" s="394"/>
      <c r="AI7" s="394"/>
      <c r="AJ7" s="412"/>
      <c r="AK7" s="412"/>
      <c r="AL7" s="394" t="str">
        <f>DOCKET</f>
        <v>COMMISSION BASIS REPORT</v>
      </c>
      <c r="AM7" s="398"/>
      <c r="AN7" s="399"/>
      <c r="AO7" s="394"/>
      <c r="AP7" s="394"/>
      <c r="AQ7" s="413" t="str">
        <f>DOCKET</f>
        <v>COMMISSION BASIS REPORT</v>
      </c>
      <c r="AR7" s="413"/>
      <c r="AS7" s="413"/>
      <c r="AT7" s="413"/>
      <c r="AU7" s="393" t="str">
        <f>DOCKET</f>
        <v>COMMISSION BASIS REPORT</v>
      </c>
      <c r="AV7" s="394"/>
      <c r="AW7" s="394"/>
      <c r="AX7" s="393"/>
      <c r="AY7" s="412"/>
      <c r="AZ7" s="393" t="str">
        <f>DOCKET</f>
        <v>COMMISSION BASIS REPORT</v>
      </c>
      <c r="BA7" s="394"/>
      <c r="BB7" s="394"/>
      <c r="BC7" s="394"/>
      <c r="BD7" s="394" t="str">
        <f>DOCKET</f>
        <v>COMMISSION BASIS REPORT</v>
      </c>
      <c r="BE7" s="398"/>
      <c r="BF7" s="399"/>
      <c r="BG7" s="394"/>
      <c r="BH7" s="394"/>
      <c r="BI7" s="394" t="str">
        <f>DOCKET</f>
        <v>COMMISSION BASIS REPORT</v>
      </c>
      <c r="BJ7" s="398"/>
      <c r="BK7" s="399"/>
      <c r="BL7" s="394"/>
      <c r="BM7" s="394"/>
      <c r="BN7" s="394" t="str">
        <f>DOCKET</f>
        <v>COMMISSION BASIS REPORT</v>
      </c>
      <c r="BO7" s="394"/>
      <c r="BP7" s="394"/>
      <c r="BQ7" s="394"/>
      <c r="BR7" s="394"/>
      <c r="BS7" s="394" t="str">
        <f>DOCKET</f>
        <v>COMMISSION BASIS REPORT</v>
      </c>
      <c r="BT7" s="394"/>
      <c r="BU7" s="394"/>
      <c r="BV7" s="394"/>
      <c r="BW7" s="394"/>
      <c r="BX7" s="394"/>
      <c r="BY7" s="394"/>
      <c r="BZ7" s="393" t="str">
        <f>DOCKET</f>
        <v>COMMISSION BASIS REPORT</v>
      </c>
      <c r="CA7" s="393"/>
      <c r="CB7" s="393"/>
      <c r="CC7" s="393"/>
      <c r="CD7" s="393"/>
      <c r="CE7" s="394" t="str">
        <f>DOCKET</f>
        <v>COMMISSION BASIS REPORT</v>
      </c>
      <c r="CF7" s="394"/>
      <c r="CG7" s="394"/>
      <c r="CH7" s="394"/>
      <c r="CI7" s="394"/>
      <c r="CJ7" s="394" t="str">
        <f>DOCKET</f>
        <v>COMMISSION BASIS REPORT</v>
      </c>
      <c r="CK7" s="394"/>
      <c r="CL7" s="394"/>
      <c r="CM7" s="394"/>
      <c r="CN7" s="394"/>
      <c r="CO7" s="394" t="str">
        <f>DOCKET</f>
        <v>COMMISSION BASIS REPORT</v>
      </c>
      <c r="CP7" s="394"/>
      <c r="CQ7" s="394"/>
      <c r="CR7" s="394"/>
      <c r="CS7" s="394"/>
      <c r="CT7" s="394" t="str">
        <f>DOCKET</f>
        <v>COMMISSION BASIS REPORT</v>
      </c>
      <c r="CU7" s="394"/>
      <c r="CV7" s="394"/>
      <c r="CW7" s="394"/>
      <c r="CX7" s="394"/>
      <c r="CY7" s="393" t="str">
        <f>DOCKET</f>
        <v>COMMISSION BASIS REPORT</v>
      </c>
      <c r="CZ7" s="394"/>
      <c r="DA7" s="394"/>
      <c r="DB7" s="394"/>
      <c r="DC7" s="394"/>
      <c r="DD7" s="394" t="str">
        <f>DOCKET</f>
        <v>COMMISSION BASIS REPORT</v>
      </c>
      <c r="DE7" s="398"/>
      <c r="DF7" s="398"/>
      <c r="DG7" s="394"/>
      <c r="DH7" s="394"/>
      <c r="DI7" s="394"/>
      <c r="DJ7" s="394"/>
      <c r="DK7" s="394"/>
      <c r="DL7" s="398"/>
      <c r="DM7" s="398"/>
      <c r="DN7" s="398"/>
      <c r="DO7" s="398"/>
      <c r="DP7" s="398"/>
      <c r="DQ7" s="398"/>
      <c r="DR7" s="394" t="str">
        <f>DOCKET</f>
        <v>COMMISSION BASIS REPORT</v>
      </c>
      <c r="DS7" s="398"/>
      <c r="DT7" s="398"/>
      <c r="DU7" s="398"/>
      <c r="DV7" s="398"/>
      <c r="DW7" s="398"/>
      <c r="DX7" s="398"/>
      <c r="DY7" s="398"/>
      <c r="DZ7" s="398"/>
      <c r="EA7" s="398"/>
      <c r="EB7" s="398"/>
      <c r="EC7" s="398"/>
      <c r="ED7" s="394" t="str">
        <f>TESTYEAR</f>
        <v>FOR THE TWELVE MONTHS ENDED DECEMBER 31, 2020</v>
      </c>
      <c r="EE7" s="394"/>
      <c r="EF7" s="394"/>
      <c r="EG7" s="401"/>
      <c r="EH7" s="394"/>
      <c r="EI7" s="375"/>
      <c r="EJ7" s="375"/>
      <c r="EK7" s="375"/>
    </row>
    <row r="8" spans="1:141" s="376" customFormat="1" ht="15" customHeight="1">
      <c r="F8" s="414"/>
      <c r="N8" s="415"/>
      <c r="O8" s="416"/>
      <c r="Q8" s="415"/>
      <c r="R8" s="417"/>
      <c r="S8" s="417"/>
      <c r="V8" s="415"/>
      <c r="W8" s="415"/>
      <c r="X8" s="415"/>
      <c r="AE8" s="418"/>
      <c r="AF8" s="418"/>
      <c r="AG8" s="418"/>
      <c r="AH8" s="418" t="s">
        <v>252</v>
      </c>
      <c r="AI8" s="418"/>
      <c r="AJ8" s="418"/>
      <c r="AK8" s="418" t="s">
        <v>253</v>
      </c>
      <c r="AL8" s="419"/>
      <c r="AN8" s="384"/>
      <c r="AP8" s="420"/>
      <c r="AR8" s="415"/>
      <c r="AU8" s="385"/>
      <c r="AV8" s="388"/>
      <c r="AW8" s="388"/>
      <c r="AX8" s="385"/>
      <c r="AY8" s="385"/>
      <c r="BD8" s="419"/>
      <c r="BF8" s="384" t="s">
        <v>218</v>
      </c>
      <c r="BH8" s="420"/>
      <c r="BI8" s="419"/>
      <c r="BK8" s="384"/>
      <c r="BM8" s="420"/>
      <c r="BN8" s="417"/>
      <c r="BO8" s="417"/>
      <c r="BP8" s="417"/>
      <c r="BQ8" s="417"/>
      <c r="BR8" s="417"/>
      <c r="BS8" s="420"/>
      <c r="BT8" s="420"/>
      <c r="BU8" s="420"/>
      <c r="BV8" s="420"/>
      <c r="BW8" s="420"/>
      <c r="BX8" s="420"/>
      <c r="BY8" s="420"/>
      <c r="CC8" s="421"/>
      <c r="CF8" s="415"/>
      <c r="CG8" s="415"/>
      <c r="CJ8" s="422"/>
      <c r="CK8" s="423"/>
      <c r="CL8" s="423"/>
      <c r="CM8" s="423"/>
      <c r="CN8" s="423"/>
      <c r="CO8" s="422"/>
      <c r="CP8" s="423"/>
      <c r="CQ8" s="423"/>
      <c r="CR8" s="423"/>
      <c r="CS8" s="423"/>
      <c r="CT8" s="422"/>
      <c r="CU8" s="423"/>
      <c r="CV8" s="423"/>
      <c r="CW8" s="423"/>
      <c r="CX8" s="423"/>
      <c r="DD8" s="424"/>
      <c r="DG8" s="425"/>
      <c r="DH8" s="425"/>
      <c r="DI8" s="425"/>
      <c r="DJ8" s="425"/>
      <c r="DK8" s="425"/>
      <c r="DL8" s="394"/>
      <c r="DM8" s="394"/>
      <c r="DN8" s="393"/>
      <c r="DO8" s="393"/>
      <c r="DP8" s="393"/>
      <c r="DQ8" s="393"/>
      <c r="DR8" s="393"/>
      <c r="DS8" s="393"/>
      <c r="DT8" s="394"/>
      <c r="DU8" s="394"/>
      <c r="DV8" s="394"/>
      <c r="DW8" s="394"/>
      <c r="DX8" s="394"/>
      <c r="DY8" s="394"/>
      <c r="DZ8" s="394"/>
      <c r="EA8" s="394"/>
      <c r="EB8" s="394"/>
      <c r="EC8" s="393"/>
      <c r="ED8" s="394" t="str">
        <f>DOCKET</f>
        <v>COMMISSION BASIS REPORT</v>
      </c>
      <c r="EE8" s="394"/>
      <c r="EF8" s="394"/>
      <c r="EG8" s="401"/>
      <c r="EH8" s="394"/>
      <c r="EI8" s="375"/>
      <c r="EJ8" s="375"/>
      <c r="EK8" s="375"/>
    </row>
    <row r="9" spans="1:141" s="376" customFormat="1" ht="15" customHeight="1">
      <c r="A9" s="426" t="s">
        <v>254</v>
      </c>
      <c r="B9" s="415"/>
      <c r="C9" s="415"/>
      <c r="D9" s="427"/>
      <c r="G9" s="418"/>
      <c r="H9" s="426" t="s">
        <v>254</v>
      </c>
      <c r="I9" s="418"/>
      <c r="M9" s="426" t="s">
        <v>254</v>
      </c>
      <c r="O9" s="428"/>
      <c r="P9" s="426" t="s">
        <v>254</v>
      </c>
      <c r="S9" s="418" t="s">
        <v>218</v>
      </c>
      <c r="T9" s="418" t="s">
        <v>254</v>
      </c>
      <c r="V9" s="415"/>
      <c r="W9" s="415"/>
      <c r="X9" s="415"/>
      <c r="Y9" s="426" t="s">
        <v>254</v>
      </c>
      <c r="AC9" s="418" t="s">
        <v>254</v>
      </c>
      <c r="AE9" s="418" t="s">
        <v>255</v>
      </c>
      <c r="AF9" s="418" t="s">
        <v>256</v>
      </c>
      <c r="AG9" s="418" t="s">
        <v>257</v>
      </c>
      <c r="AH9" s="418" t="s">
        <v>258</v>
      </c>
      <c r="AI9" s="418" t="s">
        <v>257</v>
      </c>
      <c r="AJ9" s="418" t="s">
        <v>255</v>
      </c>
      <c r="AK9" s="418" t="s">
        <v>259</v>
      </c>
      <c r="AL9" s="419" t="s">
        <v>260</v>
      </c>
      <c r="AN9" s="429"/>
      <c r="AO9" s="430"/>
      <c r="AP9" s="430"/>
      <c r="AQ9" s="418" t="s">
        <v>254</v>
      </c>
      <c r="AU9" s="418" t="s">
        <v>254</v>
      </c>
      <c r="AV9" s="385"/>
      <c r="AW9" s="385"/>
      <c r="AX9" s="385"/>
      <c r="AY9" s="385"/>
      <c r="AZ9" s="426" t="s">
        <v>254</v>
      </c>
      <c r="BA9" s="415"/>
      <c r="BB9" s="415"/>
      <c r="BD9" s="419" t="s">
        <v>260</v>
      </c>
      <c r="BF9" s="384"/>
      <c r="BG9" s="426"/>
      <c r="BH9" s="426"/>
      <c r="BI9" s="426" t="s">
        <v>254</v>
      </c>
      <c r="BK9" s="426"/>
      <c r="BL9" s="426"/>
      <c r="BM9" s="426"/>
      <c r="BN9" s="426" t="s">
        <v>254</v>
      </c>
      <c r="BO9" s="431"/>
      <c r="BP9" s="431"/>
      <c r="BQ9" s="431"/>
      <c r="BR9" s="431"/>
      <c r="BS9" s="418" t="s">
        <v>254</v>
      </c>
      <c r="BZ9" s="418" t="s">
        <v>254</v>
      </c>
      <c r="CA9" s="415"/>
      <c r="CB9" s="426"/>
      <c r="CC9" s="426"/>
      <c r="CD9" s="426" t="s">
        <v>261</v>
      </c>
      <c r="CE9" s="426" t="s">
        <v>254</v>
      </c>
      <c r="CI9" s="418" t="s">
        <v>218</v>
      </c>
      <c r="CJ9" s="418" t="s">
        <v>254</v>
      </c>
      <c r="CK9" s="415"/>
      <c r="CO9" s="418" t="s">
        <v>254</v>
      </c>
      <c r="CP9" s="415"/>
      <c r="CT9" s="418" t="s">
        <v>254</v>
      </c>
      <c r="CU9" s="415"/>
      <c r="CY9" s="418" t="s">
        <v>254</v>
      </c>
      <c r="DD9" s="432"/>
      <c r="DF9" s="433" t="s">
        <v>262</v>
      </c>
      <c r="DG9" s="433"/>
      <c r="DH9" s="433"/>
      <c r="DI9" s="433"/>
      <c r="DJ9" s="433"/>
      <c r="DK9" s="433"/>
      <c r="DL9" s="433"/>
      <c r="DM9" s="433"/>
      <c r="DN9" s="433"/>
      <c r="DO9" s="433"/>
      <c r="DP9" s="433"/>
      <c r="DQ9" s="433"/>
      <c r="DR9" s="433"/>
      <c r="DS9" s="433"/>
      <c r="DT9" s="434"/>
      <c r="DU9" s="434"/>
      <c r="DV9" s="434"/>
      <c r="DW9" s="434"/>
      <c r="DX9" s="434"/>
      <c r="DY9" s="434"/>
      <c r="DZ9" s="434"/>
      <c r="EA9" s="434"/>
      <c r="EB9" s="434"/>
      <c r="EC9" s="433"/>
      <c r="EH9" s="418"/>
      <c r="EI9" s="375"/>
      <c r="EJ9" s="375"/>
      <c r="EK9" s="375"/>
    </row>
    <row r="10" spans="1:141" s="376" customFormat="1" ht="15" customHeight="1">
      <c r="A10" s="435" t="s">
        <v>263</v>
      </c>
      <c r="B10" s="436" t="s">
        <v>264</v>
      </c>
      <c r="C10" s="436"/>
      <c r="D10" s="436"/>
      <c r="E10" s="436"/>
      <c r="F10" s="436"/>
      <c r="G10" s="437"/>
      <c r="H10" s="435" t="s">
        <v>263</v>
      </c>
      <c r="I10" s="436" t="s">
        <v>264</v>
      </c>
      <c r="J10" s="436"/>
      <c r="K10" s="437" t="s">
        <v>265</v>
      </c>
      <c r="L10" s="437" t="s">
        <v>266</v>
      </c>
      <c r="M10" s="435" t="s">
        <v>263</v>
      </c>
      <c r="N10" s="438" t="s">
        <v>264</v>
      </c>
      <c r="O10" s="439" t="s">
        <v>265</v>
      </c>
      <c r="P10" s="435" t="s">
        <v>263</v>
      </c>
      <c r="Q10" s="438" t="s">
        <v>264</v>
      </c>
      <c r="R10" s="437"/>
      <c r="S10" s="437" t="s">
        <v>265</v>
      </c>
      <c r="T10" s="437" t="s">
        <v>263</v>
      </c>
      <c r="U10" s="438" t="s">
        <v>264</v>
      </c>
      <c r="V10" s="437"/>
      <c r="W10" s="437" t="s">
        <v>265</v>
      </c>
      <c r="X10" s="437" t="s">
        <v>266</v>
      </c>
      <c r="Y10" s="437" t="s">
        <v>263</v>
      </c>
      <c r="Z10" s="440" t="s">
        <v>264</v>
      </c>
      <c r="AA10" s="438"/>
      <c r="AB10" s="441" t="s">
        <v>265</v>
      </c>
      <c r="AC10" s="437" t="s">
        <v>263</v>
      </c>
      <c r="AD10" s="437" t="s">
        <v>267</v>
      </c>
      <c r="AE10" s="437" t="s">
        <v>268</v>
      </c>
      <c r="AF10" s="437" t="s">
        <v>269</v>
      </c>
      <c r="AG10" s="437" t="s">
        <v>270</v>
      </c>
      <c r="AH10" s="437" t="s">
        <v>271</v>
      </c>
      <c r="AI10" s="437" t="s">
        <v>272</v>
      </c>
      <c r="AJ10" s="437" t="s">
        <v>269</v>
      </c>
      <c r="AK10" s="437" t="s">
        <v>273</v>
      </c>
      <c r="AL10" s="442" t="s">
        <v>263</v>
      </c>
      <c r="AM10" s="438" t="s">
        <v>264</v>
      </c>
      <c r="AN10" s="443" t="s">
        <v>274</v>
      </c>
      <c r="AO10" s="444" t="s">
        <v>275</v>
      </c>
      <c r="AP10" s="435" t="s">
        <v>266</v>
      </c>
      <c r="AQ10" s="437" t="s">
        <v>263</v>
      </c>
      <c r="AR10" s="438" t="s">
        <v>264</v>
      </c>
      <c r="AS10" s="436"/>
      <c r="AT10" s="437" t="s">
        <v>265</v>
      </c>
      <c r="AU10" s="437" t="s">
        <v>263</v>
      </c>
      <c r="AV10" s="440" t="s">
        <v>264</v>
      </c>
      <c r="AW10" s="437" t="s">
        <v>276</v>
      </c>
      <c r="AX10" s="437" t="s">
        <v>275</v>
      </c>
      <c r="AY10" s="445" t="s">
        <v>266</v>
      </c>
      <c r="AZ10" s="435" t="s">
        <v>263</v>
      </c>
      <c r="BA10" s="440" t="s">
        <v>264</v>
      </c>
      <c r="BB10" s="437"/>
      <c r="BC10" s="441" t="s">
        <v>265</v>
      </c>
      <c r="BD10" s="442" t="s">
        <v>263</v>
      </c>
      <c r="BE10" s="438" t="s">
        <v>264</v>
      </c>
      <c r="BF10" s="443" t="s">
        <v>274</v>
      </c>
      <c r="BG10" s="444" t="s">
        <v>275</v>
      </c>
      <c r="BH10" s="435" t="s">
        <v>266</v>
      </c>
      <c r="BI10" s="437" t="s">
        <v>263</v>
      </c>
      <c r="BJ10" s="436" t="s">
        <v>264</v>
      </c>
      <c r="BK10" s="435" t="s">
        <v>274</v>
      </c>
      <c r="BL10" s="435" t="s">
        <v>275</v>
      </c>
      <c r="BM10" s="435" t="s">
        <v>266</v>
      </c>
      <c r="BN10" s="435" t="s">
        <v>263</v>
      </c>
      <c r="BO10" s="446"/>
      <c r="BP10" s="437" t="s">
        <v>274</v>
      </c>
      <c r="BQ10" s="437" t="s">
        <v>275</v>
      </c>
      <c r="BR10" s="435" t="s">
        <v>266</v>
      </c>
      <c r="BS10" s="437" t="s">
        <v>263</v>
      </c>
      <c r="BT10" s="436" t="s">
        <v>264</v>
      </c>
      <c r="BU10" s="435" t="s">
        <v>277</v>
      </c>
      <c r="BV10" s="435" t="s">
        <v>278</v>
      </c>
      <c r="BW10" s="435" t="s">
        <v>279</v>
      </c>
      <c r="BX10" s="435" t="s">
        <v>280</v>
      </c>
      <c r="BY10" s="435" t="s">
        <v>15</v>
      </c>
      <c r="BZ10" s="437" t="s">
        <v>263</v>
      </c>
      <c r="CA10" s="436" t="s">
        <v>264</v>
      </c>
      <c r="CB10" s="435" t="s">
        <v>274</v>
      </c>
      <c r="CC10" s="435" t="s">
        <v>275</v>
      </c>
      <c r="CD10" s="435" t="s">
        <v>281</v>
      </c>
      <c r="CE10" s="435" t="s">
        <v>263</v>
      </c>
      <c r="CF10" s="438" t="s">
        <v>264</v>
      </c>
      <c r="CG10" s="437"/>
      <c r="CH10" s="437"/>
      <c r="CI10" s="437" t="s">
        <v>265</v>
      </c>
      <c r="CJ10" s="437" t="s">
        <v>263</v>
      </c>
      <c r="CK10" s="436" t="s">
        <v>264</v>
      </c>
      <c r="CL10" s="443" t="s">
        <v>274</v>
      </c>
      <c r="CM10" s="444" t="s">
        <v>275</v>
      </c>
      <c r="CN10" s="435" t="s">
        <v>266</v>
      </c>
      <c r="CO10" s="437" t="s">
        <v>263</v>
      </c>
      <c r="CP10" s="436" t="s">
        <v>264</v>
      </c>
      <c r="CQ10" s="443" t="s">
        <v>274</v>
      </c>
      <c r="CR10" s="444" t="s">
        <v>275</v>
      </c>
      <c r="CS10" s="435" t="s">
        <v>266</v>
      </c>
      <c r="CT10" s="437" t="s">
        <v>263</v>
      </c>
      <c r="CU10" s="436" t="s">
        <v>264</v>
      </c>
      <c r="CV10" s="443" t="s">
        <v>274</v>
      </c>
      <c r="CW10" s="444" t="s">
        <v>275</v>
      </c>
      <c r="CX10" s="435" t="s">
        <v>266</v>
      </c>
      <c r="CY10" s="437" t="s">
        <v>263</v>
      </c>
      <c r="CZ10" s="438" t="s">
        <v>264</v>
      </c>
      <c r="DA10" s="436"/>
      <c r="DB10" s="436"/>
      <c r="DC10" s="441" t="s">
        <v>282</v>
      </c>
      <c r="DD10" s="432"/>
      <c r="DF10" s="447" t="s">
        <v>283</v>
      </c>
      <c r="DG10" s="418" t="s">
        <v>284</v>
      </c>
      <c r="DH10" s="418" t="s">
        <v>271</v>
      </c>
      <c r="DI10" s="418" t="s">
        <v>285</v>
      </c>
      <c r="DJ10" s="418" t="s">
        <v>286</v>
      </c>
      <c r="DK10" s="418" t="s">
        <v>287</v>
      </c>
      <c r="DL10" s="418" t="s">
        <v>288</v>
      </c>
      <c r="DM10" s="426" t="s">
        <v>289</v>
      </c>
      <c r="DN10" s="418" t="s">
        <v>290</v>
      </c>
      <c r="DO10" s="418" t="s">
        <v>291</v>
      </c>
      <c r="DP10" s="418" t="s">
        <v>292</v>
      </c>
      <c r="DQ10" s="418" t="s">
        <v>293</v>
      </c>
      <c r="DR10" s="418"/>
      <c r="DS10" s="418"/>
      <c r="DT10" s="418" t="s">
        <v>294</v>
      </c>
      <c r="DU10" s="418" t="s">
        <v>295</v>
      </c>
      <c r="DV10" s="418" t="s">
        <v>240</v>
      </c>
      <c r="DW10" s="418" t="s">
        <v>296</v>
      </c>
      <c r="DX10" s="418" t="s">
        <v>297</v>
      </c>
      <c r="DY10" s="418" t="s">
        <v>298</v>
      </c>
      <c r="DZ10" s="418" t="s">
        <v>299</v>
      </c>
      <c r="EA10" s="418" t="s">
        <v>300</v>
      </c>
      <c r="EB10" s="418" t="s">
        <v>301</v>
      </c>
      <c r="EC10" s="418" t="s">
        <v>302</v>
      </c>
      <c r="EF10" s="418" t="s">
        <v>274</v>
      </c>
      <c r="EG10" s="418"/>
      <c r="EH10" s="418" t="s">
        <v>275</v>
      </c>
      <c r="EI10" s="375"/>
      <c r="EJ10" s="693" t="s">
        <v>554</v>
      </c>
      <c r="EK10" s="692" t="s">
        <v>553</v>
      </c>
    </row>
    <row r="11" spans="1:141" ht="15" customHeight="1">
      <c r="A11" s="448">
        <v>1</v>
      </c>
      <c r="B11" s="449" t="s">
        <v>303</v>
      </c>
      <c r="C11" s="450"/>
      <c r="D11" s="450"/>
      <c r="F11" s="451"/>
      <c r="H11" s="448">
        <v>1</v>
      </c>
      <c r="I11" s="376" t="s">
        <v>304</v>
      </c>
      <c r="O11" s="378"/>
      <c r="P11" s="448"/>
      <c r="Q11" s="452" t="s">
        <v>218</v>
      </c>
      <c r="R11" s="453" t="s">
        <v>218</v>
      </c>
      <c r="S11" s="454"/>
      <c r="T11" s="455"/>
      <c r="U11" s="455"/>
      <c r="V11" s="455"/>
      <c r="W11" s="455"/>
      <c r="X11" s="455"/>
      <c r="AE11" s="456" t="s">
        <v>305</v>
      </c>
      <c r="AF11" s="456" t="s">
        <v>306</v>
      </c>
      <c r="AG11" s="456" t="s">
        <v>306</v>
      </c>
      <c r="AH11" s="456" t="s">
        <v>306</v>
      </c>
      <c r="AI11" s="456" t="s">
        <v>306</v>
      </c>
      <c r="AJ11" s="456" t="s">
        <v>306</v>
      </c>
      <c r="AM11" s="457"/>
      <c r="AN11" s="458"/>
      <c r="AQ11" s="111"/>
      <c r="AR11" s="111"/>
      <c r="AS11" s="111"/>
      <c r="AT11" s="111"/>
      <c r="AU11" s="450"/>
      <c r="AV11" s="450"/>
      <c r="AW11" s="450"/>
      <c r="AX11" s="450"/>
      <c r="AY11" s="450"/>
      <c r="BE11" s="457"/>
      <c r="BF11" s="458"/>
      <c r="BI11" s="417"/>
      <c r="BJ11" s="459"/>
      <c r="BK11" s="460"/>
      <c r="BL11" s="460"/>
      <c r="BM11" s="461"/>
      <c r="BN11" s="448"/>
      <c r="BO11" s="454"/>
      <c r="BP11" s="454"/>
      <c r="BQ11" s="462"/>
      <c r="BR11" s="462"/>
      <c r="BZ11" s="463"/>
      <c r="CA11" s="464"/>
      <c r="CB11" s="464"/>
      <c r="CC11" s="464"/>
      <c r="CD11" s="464"/>
      <c r="CE11" s="448"/>
      <c r="CF11" s="465"/>
      <c r="CG11" s="466"/>
      <c r="CH11" s="455"/>
      <c r="CI11" s="455"/>
      <c r="DC11" s="448"/>
      <c r="DD11" s="467" t="s">
        <v>254</v>
      </c>
      <c r="DE11" s="376"/>
      <c r="DF11" s="447" t="s">
        <v>307</v>
      </c>
      <c r="DG11" s="418" t="s">
        <v>308</v>
      </c>
      <c r="DH11" s="418" t="s">
        <v>309</v>
      </c>
      <c r="DI11" s="468" t="s">
        <v>310</v>
      </c>
      <c r="DJ11" s="468" t="s">
        <v>311</v>
      </c>
      <c r="DK11" s="418" t="s">
        <v>312</v>
      </c>
      <c r="DL11" s="418" t="s">
        <v>313</v>
      </c>
      <c r="DM11" s="426" t="s">
        <v>314</v>
      </c>
      <c r="DN11" s="418" t="s">
        <v>315</v>
      </c>
      <c r="DO11" s="468" t="s">
        <v>316</v>
      </c>
      <c r="DP11" s="418" t="s">
        <v>317</v>
      </c>
      <c r="DQ11" s="468" t="s">
        <v>318</v>
      </c>
      <c r="DR11" s="467" t="s">
        <v>254</v>
      </c>
      <c r="DS11" s="376"/>
      <c r="DT11" s="418" t="s">
        <v>319</v>
      </c>
      <c r="DU11" s="418" t="s">
        <v>320</v>
      </c>
      <c r="DV11" s="376"/>
      <c r="DW11" s="418" t="s">
        <v>308</v>
      </c>
      <c r="DX11" s="418" t="s">
        <v>321</v>
      </c>
      <c r="DY11" s="468" t="s">
        <v>322</v>
      </c>
      <c r="DZ11" s="418" t="s">
        <v>323</v>
      </c>
      <c r="EA11" s="418" t="s">
        <v>324</v>
      </c>
      <c r="EB11" s="418" t="s">
        <v>325</v>
      </c>
      <c r="EC11" s="417" t="s">
        <v>326</v>
      </c>
      <c r="ED11" s="418" t="s">
        <v>254</v>
      </c>
      <c r="EE11" s="376"/>
      <c r="EF11" s="418" t="s">
        <v>327</v>
      </c>
      <c r="EG11" s="418" t="s">
        <v>302</v>
      </c>
      <c r="EH11" s="418" t="s">
        <v>327</v>
      </c>
    </row>
    <row r="12" spans="1:141" ht="15" customHeight="1">
      <c r="A12" s="469">
        <f t="shared" ref="A12:A49" si="0">+A11+1</f>
        <v>2</v>
      </c>
      <c r="C12" s="470" t="s">
        <v>274</v>
      </c>
      <c r="D12" s="455" t="s">
        <v>328</v>
      </c>
      <c r="E12" s="471" t="s">
        <v>329</v>
      </c>
      <c r="F12" s="375"/>
      <c r="H12" s="469">
        <f>H11+1</f>
        <v>2</v>
      </c>
      <c r="I12" s="472" t="s">
        <v>330</v>
      </c>
      <c r="K12" s="473">
        <v>103.47</v>
      </c>
      <c r="L12" s="474"/>
      <c r="M12" s="448">
        <v>1</v>
      </c>
      <c r="N12" s="475" t="s">
        <v>331</v>
      </c>
      <c r="O12" s="476">
        <v>381269820.87759453</v>
      </c>
      <c r="P12" s="448">
        <v>1</v>
      </c>
      <c r="Q12" s="452" t="s">
        <v>332</v>
      </c>
      <c r="R12" s="476">
        <f>EH49</f>
        <v>5331787745.8759298</v>
      </c>
      <c r="S12" s="454" t="s">
        <v>218</v>
      </c>
      <c r="T12" s="448">
        <v>1</v>
      </c>
      <c r="U12" s="477" t="s">
        <v>333</v>
      </c>
      <c r="V12" s="373"/>
      <c r="W12" s="373"/>
      <c r="X12" s="373"/>
      <c r="Y12" s="448">
        <v>1</v>
      </c>
      <c r="Z12" s="450" t="s">
        <v>334</v>
      </c>
      <c r="AA12" s="478"/>
      <c r="AB12" s="479"/>
      <c r="AC12" s="448">
        <v>1</v>
      </c>
      <c r="AD12" s="480" t="s">
        <v>335</v>
      </c>
      <c r="AE12" s="481">
        <v>17232326.259999998</v>
      </c>
      <c r="AF12" s="481">
        <v>2221903290.54</v>
      </c>
      <c r="AG12" s="481">
        <v>54786786.670000002</v>
      </c>
      <c r="AH12" s="481">
        <v>16912199.489999998</v>
      </c>
      <c r="AI12" s="481">
        <v>324713.43</v>
      </c>
      <c r="AJ12" s="481">
        <f>AF12-AG12-AH12-AI12</f>
        <v>2149879590.9500003</v>
      </c>
      <c r="AK12" s="482">
        <f>ROUND(AE12/AJ12,6)</f>
        <v>8.0149999999999996E-3</v>
      </c>
      <c r="AL12" s="448">
        <v>1</v>
      </c>
      <c r="AM12" s="483" t="s">
        <v>336</v>
      </c>
      <c r="AN12" s="474">
        <v>4516702.6374964612</v>
      </c>
      <c r="AO12" s="474">
        <v>7606361.617096616</v>
      </c>
      <c r="AP12" s="474">
        <f>AO12-AN12</f>
        <v>3089658.9796001548</v>
      </c>
      <c r="AQ12" s="448">
        <v>1</v>
      </c>
      <c r="AR12" s="415" t="s">
        <v>337</v>
      </c>
      <c r="AS12" s="484"/>
      <c r="AT12" s="476">
        <v>82730877.668375</v>
      </c>
      <c r="AU12" s="448">
        <v>1</v>
      </c>
      <c r="AV12" s="450" t="s">
        <v>338</v>
      </c>
      <c r="AW12" s="485">
        <v>84803.274004035367</v>
      </c>
      <c r="AX12" s="485">
        <v>65904.435979721209</v>
      </c>
      <c r="AY12" s="485">
        <f>+AX12-AW12</f>
        <v>-18898.838024314158</v>
      </c>
      <c r="AZ12" s="469" t="s">
        <v>339</v>
      </c>
      <c r="BA12" s="465" t="s">
        <v>340</v>
      </c>
      <c r="BB12" s="465"/>
      <c r="BC12" s="486">
        <v>316905.9521234514</v>
      </c>
      <c r="BD12" s="487">
        <v>1</v>
      </c>
      <c r="BE12" s="450" t="s">
        <v>341</v>
      </c>
      <c r="BF12" s="488">
        <v>5948795.8488943176</v>
      </c>
      <c r="BG12" s="488">
        <v>6266629.8120546425</v>
      </c>
      <c r="BH12" s="474">
        <f>BG12-BF12</f>
        <v>317833.96316032484</v>
      </c>
      <c r="BI12" s="448">
        <v>1</v>
      </c>
      <c r="BJ12" s="474" t="s">
        <v>342</v>
      </c>
      <c r="BK12" s="474">
        <v>-992091.64</v>
      </c>
      <c r="BL12" s="474">
        <v>607386.12</v>
      </c>
      <c r="BM12" s="474">
        <v>1599477.76</v>
      </c>
      <c r="BN12" s="448">
        <v>1</v>
      </c>
      <c r="BO12" s="489" t="s">
        <v>343</v>
      </c>
      <c r="BP12" s="476">
        <f>DF41</f>
        <v>0</v>
      </c>
      <c r="BQ12" s="476">
        <v>0</v>
      </c>
      <c r="BR12" s="476">
        <f>BQ12-BP12</f>
        <v>0</v>
      </c>
      <c r="BS12" s="448">
        <v>1</v>
      </c>
      <c r="BT12" s="490" t="s">
        <v>344</v>
      </c>
      <c r="BZ12" s="448">
        <v>1</v>
      </c>
      <c r="CA12" s="491" t="s">
        <v>345</v>
      </c>
      <c r="CB12" s="492"/>
      <c r="CC12" s="474"/>
      <c r="CD12" s="474"/>
      <c r="CE12" s="448">
        <f t="shared" ref="CE12:CE25" si="1">CE11+1</f>
        <v>1</v>
      </c>
      <c r="CF12" s="493" t="s">
        <v>346</v>
      </c>
      <c r="CG12" s="454"/>
      <c r="CH12" s="454"/>
      <c r="CI12" s="454">
        <v>2102338000</v>
      </c>
      <c r="CJ12" s="448">
        <v>1</v>
      </c>
      <c r="CK12" s="477" t="s">
        <v>347</v>
      </c>
      <c r="CL12" s="474"/>
      <c r="CM12" s="474"/>
      <c r="CN12" s="474"/>
      <c r="CO12" s="448">
        <v>1</v>
      </c>
      <c r="CP12" s="477"/>
      <c r="CQ12" s="474"/>
      <c r="CR12" s="474"/>
      <c r="CS12" s="474"/>
      <c r="CT12" s="448">
        <v>1</v>
      </c>
      <c r="CU12" s="477"/>
      <c r="CV12" s="474"/>
      <c r="CW12" s="474"/>
      <c r="CX12" s="474"/>
      <c r="CY12" s="448">
        <v>1</v>
      </c>
      <c r="CZ12" s="450" t="s">
        <v>233</v>
      </c>
      <c r="DC12" s="494">
        <v>7.4689999999999999E-3</v>
      </c>
      <c r="DD12" s="467" t="s">
        <v>263</v>
      </c>
      <c r="DE12" s="376"/>
      <c r="DF12" s="447" t="s">
        <v>348</v>
      </c>
      <c r="DG12" s="495">
        <v>3.01</v>
      </c>
      <c r="DH12" s="495">
        <f t="shared" ref="DH12:DQ12" si="2">DG12+0.01</f>
        <v>3.0199999999999996</v>
      </c>
      <c r="DI12" s="495">
        <f t="shared" si="2"/>
        <v>3.0299999999999994</v>
      </c>
      <c r="DJ12" s="495">
        <f t="shared" si="2"/>
        <v>3.0399999999999991</v>
      </c>
      <c r="DK12" s="495">
        <f t="shared" si="2"/>
        <v>3.0499999999999989</v>
      </c>
      <c r="DL12" s="495">
        <f t="shared" si="2"/>
        <v>3.0599999999999987</v>
      </c>
      <c r="DM12" s="495">
        <f t="shared" si="2"/>
        <v>3.0699999999999985</v>
      </c>
      <c r="DN12" s="495">
        <f t="shared" si="2"/>
        <v>3.0799999999999983</v>
      </c>
      <c r="DO12" s="495">
        <f t="shared" si="2"/>
        <v>3.0899999999999981</v>
      </c>
      <c r="DP12" s="495">
        <f t="shared" si="2"/>
        <v>3.0999999999999979</v>
      </c>
      <c r="DQ12" s="495">
        <f t="shared" si="2"/>
        <v>3.1099999999999977</v>
      </c>
      <c r="DR12" s="467" t="s">
        <v>263</v>
      </c>
      <c r="DS12" s="376"/>
      <c r="DT12" s="495">
        <f>+DQ12+0.01</f>
        <v>3.1199999999999974</v>
      </c>
      <c r="DU12" s="495">
        <f>DT12+0.01</f>
        <v>3.1299999999999972</v>
      </c>
      <c r="DV12" s="495">
        <f>+DU12+0.01</f>
        <v>3.139999999999997</v>
      </c>
      <c r="DW12" s="495">
        <f>+DV12+0.01</f>
        <v>3.1499999999999968</v>
      </c>
      <c r="DX12" s="495">
        <f t="shared" ref="DX12:EB12" si="3">+DW12+0.01</f>
        <v>3.1599999999999966</v>
      </c>
      <c r="DY12" s="495">
        <f t="shared" si="3"/>
        <v>3.1699999999999964</v>
      </c>
      <c r="DZ12" s="495">
        <f t="shared" si="3"/>
        <v>3.1799999999999962</v>
      </c>
      <c r="EA12" s="495">
        <f t="shared" si="3"/>
        <v>3.1899999999999959</v>
      </c>
      <c r="EB12" s="495">
        <f t="shared" si="3"/>
        <v>3.1999999999999957</v>
      </c>
      <c r="EC12" s="417"/>
      <c r="ED12" s="437" t="s">
        <v>263</v>
      </c>
      <c r="EE12" s="496"/>
      <c r="EF12" s="437" t="s">
        <v>349</v>
      </c>
      <c r="EG12" s="437" t="s">
        <v>326</v>
      </c>
      <c r="EH12" s="437" t="s">
        <v>349</v>
      </c>
    </row>
    <row r="13" spans="1:141" ht="15" customHeight="1">
      <c r="A13" s="469">
        <f t="shared" si="0"/>
        <v>3</v>
      </c>
      <c r="C13" s="497" t="s">
        <v>350</v>
      </c>
      <c r="D13" s="498" t="s">
        <v>350</v>
      </c>
      <c r="E13" s="499" t="s">
        <v>351</v>
      </c>
      <c r="F13" s="375"/>
      <c r="H13" s="469">
        <f t="shared" ref="H13:H15" si="4">+H12+1</f>
        <v>3</v>
      </c>
      <c r="I13" s="472" t="s">
        <v>352</v>
      </c>
      <c r="K13" s="473"/>
      <c r="M13" s="448">
        <f t="shared" ref="M13:M29" si="5">M12+1</f>
        <v>2</v>
      </c>
      <c r="N13" s="450"/>
      <c r="O13" s="500"/>
      <c r="P13" s="448">
        <f t="shared" ref="P13:P24" si="6">P12+1</f>
        <v>2</v>
      </c>
      <c r="Q13" s="452"/>
      <c r="R13" s="501" t="s">
        <v>218</v>
      </c>
      <c r="S13" s="502" t="s">
        <v>218</v>
      </c>
      <c r="T13" s="448">
        <v>2</v>
      </c>
      <c r="U13" s="503" t="s">
        <v>353</v>
      </c>
      <c r="V13" s="373"/>
      <c r="W13" s="488"/>
      <c r="X13" s="488">
        <v>86458984.569999993</v>
      </c>
      <c r="Y13" s="448">
        <v>2</v>
      </c>
      <c r="Z13" s="450"/>
      <c r="AA13" s="478"/>
      <c r="AB13" s="479"/>
      <c r="AC13" s="448">
        <f t="shared" ref="AC13:AC29" si="7">AC12+1</f>
        <v>2</v>
      </c>
      <c r="AD13" s="480" t="s">
        <v>354</v>
      </c>
      <c r="AE13" s="504">
        <v>18726588.579999998</v>
      </c>
      <c r="AF13" s="504">
        <v>2331385777.1099997</v>
      </c>
      <c r="AG13" s="504">
        <v>50098528.460000001</v>
      </c>
      <c r="AH13" s="504">
        <v>43765106.579999998</v>
      </c>
      <c r="AI13" s="504">
        <v>352068.21</v>
      </c>
      <c r="AJ13" s="504">
        <f>AF13-AG13-AH13-AI13</f>
        <v>2237170073.8599997</v>
      </c>
      <c r="AK13" s="482">
        <f>ROUND(AE13/AJ13,6)</f>
        <v>8.371E-3</v>
      </c>
      <c r="AL13" s="448">
        <f t="shared" ref="AL13:AL20" si="8">AL12+1</f>
        <v>2</v>
      </c>
      <c r="AM13" s="505"/>
      <c r="AN13" s="506"/>
      <c r="AO13" s="506"/>
      <c r="AP13" s="506"/>
      <c r="AQ13" s="448">
        <v>2</v>
      </c>
      <c r="AR13" s="484" t="s">
        <v>355</v>
      </c>
      <c r="AS13" s="484"/>
      <c r="AT13" s="507">
        <v>82704017.022375003</v>
      </c>
      <c r="AU13" s="448">
        <f t="shared" ref="AU13:AU20" si="9">AU12+1</f>
        <v>2</v>
      </c>
      <c r="AV13" s="450"/>
      <c r="AW13" s="508"/>
      <c r="AX13" s="508"/>
      <c r="AY13" s="453"/>
      <c r="AZ13" s="469">
        <f>1+AZ12</f>
        <v>2</v>
      </c>
      <c r="BA13" s="491"/>
      <c r="BB13" s="491"/>
      <c r="BC13" s="488"/>
      <c r="BD13" s="487">
        <f t="shared" ref="BD13:BD19" si="10">BD12+1</f>
        <v>2</v>
      </c>
      <c r="BE13" s="450"/>
      <c r="BF13" s="509"/>
      <c r="BG13" s="509"/>
      <c r="BH13" s="509"/>
      <c r="BI13" s="448">
        <f t="shared" ref="BI13:BI19" si="11">BI12+1</f>
        <v>2</v>
      </c>
      <c r="BJ13" s="474" t="s">
        <v>356</v>
      </c>
      <c r="BK13" s="510">
        <v>324692.91242111463</v>
      </c>
      <c r="BL13" s="510">
        <v>606364.91992697387</v>
      </c>
      <c r="BM13" s="510">
        <v>281672.00750585925</v>
      </c>
      <c r="BN13" s="448">
        <f t="shared" ref="BN13:BN20" si="12">BN12+1</f>
        <v>2</v>
      </c>
      <c r="BO13" s="450"/>
      <c r="BP13" s="511"/>
      <c r="BQ13" s="462"/>
      <c r="BR13" s="462"/>
      <c r="BS13" s="448">
        <f t="shared" ref="BS13:BS30" si="13">BS12+1</f>
        <v>2</v>
      </c>
      <c r="BT13" s="491" t="s">
        <v>357</v>
      </c>
      <c r="BU13" s="512">
        <v>542677</v>
      </c>
      <c r="BV13" s="512">
        <v>9925206.379999999</v>
      </c>
      <c r="BW13" s="512">
        <v>147800.4</v>
      </c>
      <c r="BX13" s="512">
        <v>545343.76</v>
      </c>
      <c r="BY13" s="513">
        <f>SUM(BU13:BX13)</f>
        <v>11161027.539999999</v>
      </c>
      <c r="BZ13" s="448">
        <f t="shared" ref="BZ13:BZ44" si="14">BZ12+1</f>
        <v>2</v>
      </c>
      <c r="CA13" s="111" t="s">
        <v>358</v>
      </c>
      <c r="CB13" s="492">
        <v>199106695.59</v>
      </c>
      <c r="CC13" s="474">
        <f t="shared" ref="CC13:CC18" si="15">CB13+CD13</f>
        <v>199106695.59</v>
      </c>
      <c r="CD13" s="474"/>
      <c r="CE13" s="448">
        <f t="shared" si="1"/>
        <v>2</v>
      </c>
      <c r="CF13" s="514" t="s">
        <v>359</v>
      </c>
      <c r="CI13" s="111">
        <v>0.05</v>
      </c>
      <c r="CJ13" s="448">
        <f t="shared" ref="CJ13:CJ24" si="16">CJ12+1</f>
        <v>2</v>
      </c>
      <c r="CK13" s="477" t="s">
        <v>360</v>
      </c>
      <c r="CL13" s="488"/>
      <c r="CM13" s="479"/>
      <c r="CN13" s="474"/>
      <c r="CO13" s="448">
        <f t="shared" ref="CO13:CO17" si="17">CO12+1</f>
        <v>2</v>
      </c>
      <c r="CP13" s="477" t="s">
        <v>360</v>
      </c>
      <c r="CR13" s="479"/>
      <c r="CS13" s="479"/>
      <c r="CT13" s="448">
        <f t="shared" ref="CT13:CT24" si="18">CT12+1</f>
        <v>2</v>
      </c>
      <c r="CU13" s="477" t="s">
        <v>360</v>
      </c>
      <c r="CW13" s="479"/>
      <c r="CX13" s="479"/>
      <c r="CY13" s="448">
        <v>2</v>
      </c>
      <c r="CZ13" s="450" t="s">
        <v>361</v>
      </c>
      <c r="DC13" s="494">
        <v>2E-3</v>
      </c>
      <c r="DD13" s="515" t="s">
        <v>362</v>
      </c>
      <c r="DE13" s="463"/>
      <c r="DF13" s="464"/>
      <c r="DG13" s="463"/>
      <c r="DH13" s="463"/>
      <c r="DI13" s="463"/>
      <c r="DJ13" s="463"/>
      <c r="DK13" s="463"/>
      <c r="DL13" s="463"/>
      <c r="DM13" s="463"/>
      <c r="DN13" s="463"/>
      <c r="DO13" s="463"/>
      <c r="DP13" s="463"/>
      <c r="DQ13" s="463"/>
      <c r="DR13" s="515" t="s">
        <v>362</v>
      </c>
      <c r="DS13" s="463"/>
      <c r="DT13" s="463"/>
      <c r="DU13" s="463"/>
      <c r="DV13" s="463"/>
      <c r="DW13" s="463"/>
      <c r="DX13" s="463"/>
      <c r="DY13" s="463"/>
      <c r="DZ13" s="463"/>
      <c r="EA13" s="463"/>
      <c r="EB13" s="463"/>
      <c r="EC13" s="463"/>
    </row>
    <row r="14" spans="1:141" ht="15" customHeight="1">
      <c r="A14" s="469">
        <f t="shared" si="0"/>
        <v>4</v>
      </c>
      <c r="B14" s="110">
        <v>43831</v>
      </c>
      <c r="C14" s="506">
        <v>1996680743.01</v>
      </c>
      <c r="D14" s="506">
        <v>2066883436.9213514</v>
      </c>
      <c r="E14" s="506">
        <f t="shared" ref="E14:E25" si="19">+D14-C14</f>
        <v>70202693.911351442</v>
      </c>
      <c r="F14" s="375"/>
      <c r="H14" s="469">
        <f t="shared" si="4"/>
        <v>4</v>
      </c>
      <c r="I14" s="472" t="s">
        <v>363</v>
      </c>
      <c r="K14" s="473">
        <v>36286798.649999999</v>
      </c>
      <c r="M14" s="448">
        <f t="shared" si="5"/>
        <v>3</v>
      </c>
      <c r="N14" s="516" t="s">
        <v>364</v>
      </c>
      <c r="O14" s="517">
        <v>80369500.873694852</v>
      </c>
      <c r="P14" s="448">
        <f t="shared" si="6"/>
        <v>3</v>
      </c>
      <c r="Q14" s="452" t="s">
        <v>365</v>
      </c>
      <c r="R14" s="518">
        <v>2.6699999999999998E-2</v>
      </c>
      <c r="S14" s="502" t="s">
        <v>218</v>
      </c>
      <c r="T14" s="448">
        <v>3</v>
      </c>
      <c r="U14" s="519" t="s">
        <v>366</v>
      </c>
      <c r="V14" s="373"/>
      <c r="W14" s="488"/>
      <c r="X14" s="373">
        <v>57031767.670000002</v>
      </c>
      <c r="Y14" s="448">
        <v>3</v>
      </c>
      <c r="Z14" s="450"/>
      <c r="AA14" s="478"/>
      <c r="AB14" s="479"/>
      <c r="AC14" s="448">
        <f t="shared" si="7"/>
        <v>3</v>
      </c>
      <c r="AD14" s="480" t="s">
        <v>367</v>
      </c>
      <c r="AE14" s="504">
        <v>12855225.244000001</v>
      </c>
      <c r="AF14" s="504">
        <v>2549682127.7600002</v>
      </c>
      <c r="AG14" s="504">
        <v>112614457.91</v>
      </c>
      <c r="AH14" s="504">
        <v>301129672.56999999</v>
      </c>
      <c r="AI14" s="504">
        <v>346720.2</v>
      </c>
      <c r="AJ14" s="504">
        <f>AF14-AG14-AH14-AI14</f>
        <v>2135591277.0800004</v>
      </c>
      <c r="AK14" s="482">
        <f>ROUND(AE14/AJ14,6)</f>
        <v>6.0200000000000002E-3</v>
      </c>
      <c r="AL14" s="448">
        <f t="shared" si="8"/>
        <v>3</v>
      </c>
      <c r="AM14" s="111" t="s">
        <v>368</v>
      </c>
      <c r="AN14" s="520">
        <v>389339.76735219493</v>
      </c>
      <c r="AO14" s="520">
        <v>655668.37139372819</v>
      </c>
      <c r="AP14" s="474">
        <f>AO14-AN14</f>
        <v>266328.60404153325</v>
      </c>
      <c r="AQ14" s="448">
        <v>3</v>
      </c>
      <c r="AR14" s="521" t="s">
        <v>369</v>
      </c>
      <c r="AS14" s="521"/>
      <c r="AT14" s="486">
        <f>AT12-AT13</f>
        <v>26860.645999997854</v>
      </c>
      <c r="AU14" s="448">
        <f t="shared" si="9"/>
        <v>3</v>
      </c>
      <c r="AV14" s="450" t="s">
        <v>370</v>
      </c>
      <c r="AW14" s="522">
        <f>SUM(AW12:AW13)</f>
        <v>84803.274004035367</v>
      </c>
      <c r="AX14" s="522">
        <f>SUM(AX12:AX13)</f>
        <v>65904.435979721209</v>
      </c>
      <c r="AY14" s="523">
        <f>SUM(AY12:AY13)</f>
        <v>-18898.838024314158</v>
      </c>
      <c r="AZ14" s="469">
        <f>1+AZ13</f>
        <v>3</v>
      </c>
      <c r="BC14" s="520"/>
      <c r="BD14" s="487">
        <f t="shared" si="10"/>
        <v>3</v>
      </c>
      <c r="BE14" s="450" t="s">
        <v>371</v>
      </c>
      <c r="BF14" s="488">
        <f>SUM(BF12:BF12)</f>
        <v>5948795.8488943176</v>
      </c>
      <c r="BG14" s="488">
        <f>SUM(BG12:BG12)</f>
        <v>6266629.8120546425</v>
      </c>
      <c r="BH14" s="488">
        <f>SUM(BH12:BH12)</f>
        <v>317833.96316032484</v>
      </c>
      <c r="BI14" s="448">
        <f t="shared" si="11"/>
        <v>3</v>
      </c>
      <c r="BJ14" s="474" t="s">
        <v>372</v>
      </c>
      <c r="BK14" s="524">
        <v>-667398.72757888539</v>
      </c>
      <c r="BL14" s="524">
        <v>1213751.0399269739</v>
      </c>
      <c r="BM14" s="524">
        <v>1881149.7675058593</v>
      </c>
      <c r="BN14" s="448">
        <f t="shared" si="12"/>
        <v>3</v>
      </c>
      <c r="BO14" s="516" t="s">
        <v>370</v>
      </c>
      <c r="BP14" s="525">
        <f>SUM(BP12:BP13)</f>
        <v>0</v>
      </c>
      <c r="BQ14" s="525">
        <f>SUM(BQ12:BQ13)</f>
        <v>0</v>
      </c>
      <c r="BR14" s="525">
        <f>SUM(BR12:BR13)</f>
        <v>0</v>
      </c>
      <c r="BS14" s="448">
        <f t="shared" si="13"/>
        <v>3</v>
      </c>
      <c r="BT14" s="491" t="s">
        <v>373</v>
      </c>
      <c r="BU14" s="512">
        <v>282109.27</v>
      </c>
      <c r="BV14" s="512">
        <v>9019561.0499999989</v>
      </c>
      <c r="BW14" s="512">
        <v>55441.3</v>
      </c>
      <c r="BX14" s="512">
        <v>185083.44</v>
      </c>
      <c r="BY14" s="512">
        <f t="shared" ref="BY14:BY18" si="20">SUM(BU14:BX14)</f>
        <v>9542195.0599999987</v>
      </c>
      <c r="BZ14" s="448">
        <f t="shared" si="14"/>
        <v>3</v>
      </c>
      <c r="CA14" s="111" t="s">
        <v>374</v>
      </c>
      <c r="CB14" s="492">
        <v>571217284.57000005</v>
      </c>
      <c r="CC14" s="473">
        <f t="shared" si="15"/>
        <v>582426059.27956498</v>
      </c>
      <c r="CD14" s="473">
        <v>11208774.709564961</v>
      </c>
      <c r="CE14" s="448">
        <f t="shared" si="1"/>
        <v>3</v>
      </c>
      <c r="CF14" s="514" t="s">
        <v>375</v>
      </c>
      <c r="CI14" s="111">
        <v>1.4999999999999999E-4</v>
      </c>
      <c r="CJ14" s="448">
        <f t="shared" si="16"/>
        <v>3</v>
      </c>
      <c r="CK14" s="526" t="s">
        <v>376</v>
      </c>
      <c r="CL14" s="488">
        <v>4539303</v>
      </c>
      <c r="CM14" s="474"/>
      <c r="CN14" s="474">
        <f>CM14-CL14</f>
        <v>-4539303</v>
      </c>
      <c r="CO14" s="448">
        <f t="shared" si="17"/>
        <v>3</v>
      </c>
      <c r="CP14" s="526" t="s">
        <v>377</v>
      </c>
      <c r="CQ14" s="474">
        <v>140623727.13213542</v>
      </c>
      <c r="CR14" s="474">
        <v>0</v>
      </c>
      <c r="CS14" s="474">
        <f>CR14-CQ14</f>
        <v>-140623727.13213542</v>
      </c>
      <c r="CT14" s="448">
        <f t="shared" si="18"/>
        <v>3</v>
      </c>
      <c r="CU14" s="526" t="s">
        <v>376</v>
      </c>
      <c r="CV14" s="474">
        <v>3322158.5023114588</v>
      </c>
      <c r="CW14" s="474"/>
      <c r="CX14" s="474">
        <f>CW14-CV14</f>
        <v>-3322158.5023114588</v>
      </c>
      <c r="CY14" s="448">
        <v>3</v>
      </c>
      <c r="CZ14" s="450" t="str">
        <f>"STATE UTILITY TAX ( ( 1 - LINE 1 ) * "&amp;UTG*100&amp;"% )"</f>
        <v>STATE UTILITY TAX ( ( 1 - LINE 1 ) * 3.8734% )</v>
      </c>
      <c r="DB14" s="527">
        <v>3.8733999999999998E-2</v>
      </c>
      <c r="DC14" s="528">
        <f>ROUND(DB14-(DB14*DC12),6)</f>
        <v>3.8445E-2</v>
      </c>
      <c r="DD14" s="448">
        <v>1</v>
      </c>
      <c r="DE14" s="450" t="s">
        <v>378</v>
      </c>
      <c r="DF14" s="454"/>
      <c r="DG14" s="458"/>
      <c r="DH14" s="458"/>
      <c r="DI14" s="458"/>
      <c r="DJ14" s="458"/>
      <c r="DK14" s="458"/>
      <c r="DL14" s="458"/>
      <c r="DM14" s="484"/>
      <c r="DN14" s="448"/>
      <c r="DO14" s="458"/>
      <c r="DP14" s="458"/>
      <c r="DQ14" s="458"/>
      <c r="DR14" s="529">
        <v>1</v>
      </c>
      <c r="DS14" s="450" t="s">
        <v>378</v>
      </c>
      <c r="DT14" s="448"/>
      <c r="DU14" s="448"/>
      <c r="DV14" s="450"/>
      <c r="DW14" s="448"/>
      <c r="DX14" s="458"/>
      <c r="DZ14" s="448"/>
      <c r="EA14" s="448"/>
      <c r="EB14" s="448"/>
      <c r="ED14" s="448">
        <v>1</v>
      </c>
      <c r="EE14" s="457" t="s">
        <v>379</v>
      </c>
    </row>
    <row r="15" spans="1:141" ht="15" customHeight="1" thickBot="1">
      <c r="A15" s="469">
        <f t="shared" si="0"/>
        <v>5</v>
      </c>
      <c r="B15" s="110">
        <v>43862</v>
      </c>
      <c r="C15" s="506">
        <v>1951784810.2959998</v>
      </c>
      <c r="D15" s="506">
        <v>1976413443.6919127</v>
      </c>
      <c r="E15" s="506">
        <f t="shared" si="19"/>
        <v>24628633.395912886</v>
      </c>
      <c r="F15" s="375"/>
      <c r="H15" s="469">
        <f t="shared" si="4"/>
        <v>5</v>
      </c>
      <c r="I15" s="472" t="s">
        <v>380</v>
      </c>
      <c r="K15" s="473">
        <v>13814335.09</v>
      </c>
      <c r="M15" s="448">
        <f t="shared" si="5"/>
        <v>4</v>
      </c>
      <c r="N15" s="450" t="s">
        <v>381</v>
      </c>
      <c r="O15" s="501">
        <f>O14</f>
        <v>80369500.873694852</v>
      </c>
      <c r="P15" s="448">
        <f t="shared" si="6"/>
        <v>4</v>
      </c>
      <c r="Q15" s="452" t="s">
        <v>311</v>
      </c>
      <c r="R15" s="380"/>
      <c r="S15" s="530">
        <f>+R12*R14</f>
        <v>142358732.81488732</v>
      </c>
      <c r="T15" s="448">
        <v>4</v>
      </c>
      <c r="U15" s="503" t="s">
        <v>382</v>
      </c>
      <c r="V15" s="373"/>
      <c r="X15" s="373">
        <v>82444802.920000002</v>
      </c>
      <c r="Y15" s="448">
        <v>4</v>
      </c>
      <c r="Z15" s="450" t="s">
        <v>383</v>
      </c>
      <c r="AA15" s="531">
        <v>1343000</v>
      </c>
      <c r="AB15" s="532"/>
      <c r="AC15" s="448">
        <f t="shared" si="7"/>
        <v>4</v>
      </c>
      <c r="AE15" s="373"/>
      <c r="AF15" s="373"/>
      <c r="AG15" s="373"/>
      <c r="AH15" s="373"/>
      <c r="AI15" s="488"/>
      <c r="AJ15" s="488"/>
      <c r="AK15" s="488"/>
      <c r="AL15" s="448">
        <f t="shared" si="8"/>
        <v>4</v>
      </c>
      <c r="AM15" s="111" t="s">
        <v>384</v>
      </c>
      <c r="AN15" s="533">
        <f>SUM(AN12:AN14)</f>
        <v>4906042.4048486557</v>
      </c>
      <c r="AO15" s="533">
        <f>SUM(AO12:AO14)</f>
        <v>8262029.988490344</v>
      </c>
      <c r="AP15" s="534">
        <f>SUM(AP12:AP14)</f>
        <v>3355987.5836416879</v>
      </c>
      <c r="AQ15" s="448">
        <v>4</v>
      </c>
      <c r="AR15" s="111"/>
      <c r="AS15" s="111"/>
      <c r="AT15" s="373"/>
      <c r="AU15" s="448">
        <f t="shared" si="9"/>
        <v>4</v>
      </c>
      <c r="AV15" s="450"/>
      <c r="AW15" s="535"/>
      <c r="AX15" s="535"/>
      <c r="AY15" s="535"/>
      <c r="AZ15" s="469">
        <f>1+AZ14</f>
        <v>4</v>
      </c>
      <c r="BA15" s="111" t="s">
        <v>385</v>
      </c>
      <c r="BC15" s="536">
        <f>-BC12</f>
        <v>-316905.9521234514</v>
      </c>
      <c r="BD15" s="487">
        <f t="shared" si="10"/>
        <v>4</v>
      </c>
      <c r="BF15" s="506"/>
      <c r="BG15" s="506"/>
      <c r="BH15" s="506"/>
      <c r="BI15" s="448">
        <f t="shared" si="11"/>
        <v>4</v>
      </c>
      <c r="BJ15" s="537"/>
      <c r="BK15" s="538"/>
      <c r="BL15" s="538"/>
      <c r="BM15" s="373"/>
      <c r="BN15" s="448">
        <f t="shared" si="12"/>
        <v>4</v>
      </c>
      <c r="BO15" s="450"/>
      <c r="BP15" s="535"/>
      <c r="BQ15" s="535"/>
      <c r="BR15" s="535"/>
      <c r="BS15" s="448">
        <f t="shared" si="13"/>
        <v>4</v>
      </c>
      <c r="BT15" s="491" t="s">
        <v>386</v>
      </c>
      <c r="BU15" s="512">
        <v>542894.07999999996</v>
      </c>
      <c r="BV15" s="512">
        <v>8598393.6600000001</v>
      </c>
      <c r="BW15" s="512">
        <v>14243.21</v>
      </c>
      <c r="BX15" s="512">
        <v>50856.32</v>
      </c>
      <c r="BY15" s="512">
        <f t="shared" si="20"/>
        <v>9206387.2700000014</v>
      </c>
      <c r="BZ15" s="448">
        <f t="shared" si="14"/>
        <v>4</v>
      </c>
      <c r="CA15" s="111" t="s">
        <v>387</v>
      </c>
      <c r="CB15" s="492">
        <v>-23424499.34</v>
      </c>
      <c r="CC15" s="501">
        <f t="shared" si="15"/>
        <v>-23424499.34</v>
      </c>
      <c r="CD15" s="501"/>
      <c r="CE15" s="448">
        <f t="shared" si="1"/>
        <v>4</v>
      </c>
      <c r="CF15" s="514" t="s">
        <v>388</v>
      </c>
      <c r="CI15" s="539">
        <f>+CI12*(1-CI13)*CI14</f>
        <v>299583.16499999998</v>
      </c>
      <c r="CJ15" s="448">
        <f t="shared" si="16"/>
        <v>4</v>
      </c>
      <c r="CK15" s="526" t="s">
        <v>389</v>
      </c>
      <c r="CL15" s="474">
        <v>-2438326</v>
      </c>
      <c r="CM15" s="479"/>
      <c r="CN15" s="479">
        <f>CM15-CL15</f>
        <v>2438326</v>
      </c>
      <c r="CO15" s="448">
        <f t="shared" si="17"/>
        <v>4</v>
      </c>
      <c r="CP15" s="526" t="s">
        <v>390</v>
      </c>
      <c r="CQ15" s="540">
        <v>-22362458.725304946</v>
      </c>
      <c r="CR15" s="540">
        <v>0</v>
      </c>
      <c r="CS15" s="540">
        <f>CR15-CQ15</f>
        <v>22362458.725304946</v>
      </c>
      <c r="CT15" s="448">
        <f t="shared" si="18"/>
        <v>4</v>
      </c>
      <c r="CU15" s="526" t="s">
        <v>389</v>
      </c>
      <c r="CV15" s="474">
        <v>-379466.07733488001</v>
      </c>
      <c r="CW15" s="479"/>
      <c r="CX15" s="479">
        <f>CW15-CV15</f>
        <v>379466.07733488001</v>
      </c>
      <c r="CY15" s="448">
        <v>4</v>
      </c>
      <c r="CZ15" s="450"/>
      <c r="DC15" s="541"/>
      <c r="DD15" s="448">
        <f t="shared" ref="DD15:DD60" si="21">DD14+1</f>
        <v>2</v>
      </c>
      <c r="DE15" s="450" t="s">
        <v>391</v>
      </c>
      <c r="DF15" s="486">
        <v>2108413255.02</v>
      </c>
      <c r="DG15" s="486">
        <f>+G37-DG16</f>
        <v>6033661</v>
      </c>
      <c r="DH15" s="476">
        <f>+K17</f>
        <v>53939198.159999996</v>
      </c>
      <c r="DI15" s="476">
        <v>0</v>
      </c>
      <c r="DJ15" s="476">
        <v>0</v>
      </c>
      <c r="DK15" s="476">
        <f>-SUM(X13,X14,X15,X16,X17,X18,X20,X22,X24,X25,X26)</f>
        <v>-180044627.5047791</v>
      </c>
      <c r="DL15" s="476"/>
      <c r="DM15" s="476">
        <v>0</v>
      </c>
      <c r="DN15" s="476"/>
      <c r="DO15" s="476">
        <v>0</v>
      </c>
      <c r="DP15" s="476">
        <v>0</v>
      </c>
      <c r="DQ15" s="476">
        <v>0</v>
      </c>
      <c r="DR15" s="448">
        <f t="shared" ref="DR15:DR60" si="22">DR14+1</f>
        <v>2</v>
      </c>
      <c r="DS15" s="450" t="s">
        <v>391</v>
      </c>
      <c r="DT15" s="476">
        <v>0</v>
      </c>
      <c r="DU15" s="476"/>
      <c r="DV15" s="476">
        <v>0</v>
      </c>
      <c r="DW15" s="476"/>
      <c r="DX15" s="476">
        <v>0</v>
      </c>
      <c r="DY15" s="476">
        <v>0</v>
      </c>
      <c r="DZ15" s="476"/>
      <c r="EA15" s="476"/>
      <c r="EB15" s="476"/>
      <c r="EC15" s="476">
        <f>SUM(DG15:EB15)-DR15</f>
        <v>-120071768.3447791</v>
      </c>
      <c r="ED15" s="448">
        <f t="shared" ref="ED15:ED53" si="23">+ED14+1</f>
        <v>2</v>
      </c>
      <c r="EE15" s="450" t="s">
        <v>391</v>
      </c>
      <c r="EF15" s="488">
        <f>+DF15</f>
        <v>2108413255.02</v>
      </c>
      <c r="EG15" s="488">
        <f>+EC15</f>
        <v>-120071768.3447791</v>
      </c>
      <c r="EH15" s="476">
        <f>SUM(EF15:EG15)</f>
        <v>1988341486.675221</v>
      </c>
      <c r="EJ15" s="542">
        <f>DG15</f>
        <v>6033661</v>
      </c>
      <c r="EK15" s="542">
        <f>EJ15+EF15</f>
        <v>2114446916.02</v>
      </c>
    </row>
    <row r="16" spans="1:141" ht="15" customHeight="1" thickTop="1">
      <c r="A16" s="469">
        <f t="shared" si="0"/>
        <v>6</v>
      </c>
      <c r="B16" s="110">
        <v>43891</v>
      </c>
      <c r="C16" s="506">
        <v>1913539096.1689999</v>
      </c>
      <c r="D16" s="506">
        <v>1878316052.0331213</v>
      </c>
      <c r="E16" s="506">
        <f t="shared" si="19"/>
        <v>-35223044.135878563</v>
      </c>
      <c r="F16" s="375"/>
      <c r="I16" s="472" t="s">
        <v>392</v>
      </c>
      <c r="K16" s="373">
        <v>3837960.95</v>
      </c>
      <c r="M16" s="448">
        <f t="shared" si="5"/>
        <v>5</v>
      </c>
      <c r="N16" s="450"/>
      <c r="O16" s="501" t="s">
        <v>218</v>
      </c>
      <c r="P16" s="448">
        <f t="shared" si="6"/>
        <v>5</v>
      </c>
      <c r="S16" s="543"/>
      <c r="T16" s="448">
        <v>5</v>
      </c>
      <c r="U16" s="503" t="s">
        <v>393</v>
      </c>
      <c r="V16" s="373"/>
      <c r="X16" s="373">
        <v>20247843.850000001</v>
      </c>
      <c r="Y16" s="448">
        <v>5</v>
      </c>
      <c r="Z16" s="450"/>
      <c r="AA16" s="478"/>
      <c r="AB16" s="479"/>
      <c r="AC16" s="448">
        <f t="shared" si="7"/>
        <v>5</v>
      </c>
      <c r="AD16" s="111" t="s">
        <v>394</v>
      </c>
      <c r="AE16" s="373"/>
      <c r="AF16" s="373"/>
      <c r="AG16" s="373"/>
      <c r="AH16" s="373"/>
      <c r="AI16" s="488"/>
      <c r="AJ16" s="373"/>
      <c r="AK16" s="482">
        <f>ROUND(SUM(AK12:AK14)/3,6)</f>
        <v>7.4689999999999999E-3</v>
      </c>
      <c r="AL16" s="448">
        <f t="shared" si="8"/>
        <v>5</v>
      </c>
      <c r="AQ16" s="448">
        <v>5</v>
      </c>
      <c r="AR16" s="544" t="s">
        <v>395</v>
      </c>
      <c r="AS16" s="545"/>
      <c r="AT16" s="476">
        <v>4351361.9227999998</v>
      </c>
      <c r="AU16" s="448">
        <f t="shared" si="9"/>
        <v>5</v>
      </c>
      <c r="AV16" s="450" t="s">
        <v>396</v>
      </c>
      <c r="AW16" s="535"/>
      <c r="AX16" s="535"/>
      <c r="AY16" s="546">
        <f>-AY14</f>
        <v>18898.838024314158</v>
      </c>
      <c r="AZ16" s="469"/>
      <c r="BD16" s="487">
        <f t="shared" si="10"/>
        <v>5</v>
      </c>
      <c r="BE16" s="516" t="s">
        <v>397</v>
      </c>
      <c r="BF16" s="547"/>
      <c r="BG16" s="540"/>
      <c r="BH16" s="479">
        <f>-BH14</f>
        <v>-317833.96316032484</v>
      </c>
      <c r="BI16" s="448">
        <f t="shared" si="11"/>
        <v>5</v>
      </c>
      <c r="BJ16" s="474" t="s">
        <v>398</v>
      </c>
      <c r="BK16" s="538"/>
      <c r="BL16" s="538"/>
      <c r="BM16" s="474">
        <f>BM14</f>
        <v>1881149.7675058593</v>
      </c>
      <c r="BN16" s="448">
        <f t="shared" si="12"/>
        <v>5</v>
      </c>
      <c r="BO16" s="450" t="s">
        <v>396</v>
      </c>
      <c r="BP16" s="535"/>
      <c r="BQ16" s="535"/>
      <c r="BR16" s="451">
        <f>-BR14</f>
        <v>0</v>
      </c>
      <c r="BS16" s="448">
        <f t="shared" si="13"/>
        <v>5</v>
      </c>
      <c r="BT16" s="491" t="s">
        <v>399</v>
      </c>
      <c r="BU16" s="512">
        <v>563624.9</v>
      </c>
      <c r="BV16" s="512">
        <v>9580737.2400000002</v>
      </c>
      <c r="BW16" s="512">
        <v>118918.69</v>
      </c>
      <c r="BX16" s="512">
        <v>478326.46</v>
      </c>
      <c r="BY16" s="512">
        <f t="shared" si="20"/>
        <v>10741607.290000001</v>
      </c>
      <c r="BZ16" s="448">
        <f t="shared" si="14"/>
        <v>5</v>
      </c>
      <c r="CA16" s="111" t="s">
        <v>400</v>
      </c>
      <c r="CB16" s="492">
        <v>123613131.13</v>
      </c>
      <c r="CC16" s="501">
        <f t="shared" si="15"/>
        <v>123613131.13</v>
      </c>
      <c r="CD16" s="501"/>
      <c r="CE16" s="448">
        <f t="shared" si="1"/>
        <v>5</v>
      </c>
      <c r="CF16" s="514" t="s">
        <v>226</v>
      </c>
      <c r="CJ16" s="448">
        <f t="shared" si="16"/>
        <v>5</v>
      </c>
      <c r="CK16" s="548" t="s">
        <v>401</v>
      </c>
      <c r="CL16" s="520">
        <v>-698790.4800000001</v>
      </c>
      <c r="CM16" s="549"/>
      <c r="CN16" s="549">
        <f>CM16-CL16</f>
        <v>698790.4800000001</v>
      </c>
      <c r="CO16" s="448">
        <f t="shared" si="17"/>
        <v>5</v>
      </c>
      <c r="CP16" s="548" t="s">
        <v>402</v>
      </c>
      <c r="CQ16" s="550">
        <v>-9763956.8231250029</v>
      </c>
      <c r="CR16" s="550">
        <v>0</v>
      </c>
      <c r="CS16" s="550">
        <f>CR16-CQ16</f>
        <v>9763956.8231250029</v>
      </c>
      <c r="CT16" s="448">
        <f t="shared" si="18"/>
        <v>5</v>
      </c>
      <c r="CU16" s="548" t="s">
        <v>401</v>
      </c>
      <c r="CV16" s="520">
        <v>-778054.15775388014</v>
      </c>
      <c r="CW16" s="549"/>
      <c r="CX16" s="549">
        <f>CW16-CV16</f>
        <v>778054.15775388014</v>
      </c>
      <c r="CY16" s="448">
        <v>5</v>
      </c>
      <c r="CZ16" s="450" t="s">
        <v>403</v>
      </c>
      <c r="DC16" s="494">
        <f>ROUND(SUM(DC12:DC14),6)</f>
        <v>4.7913999999999998E-2</v>
      </c>
      <c r="DD16" s="448">
        <f t="shared" si="21"/>
        <v>3</v>
      </c>
      <c r="DE16" s="450" t="s">
        <v>404</v>
      </c>
      <c r="DF16" s="501">
        <v>349696.35</v>
      </c>
      <c r="DG16" s="501">
        <f>F36</f>
        <v>4054</v>
      </c>
      <c r="DH16" s="462"/>
      <c r="DI16" s="462"/>
      <c r="DJ16" s="462"/>
      <c r="DK16" s="462"/>
      <c r="DL16" s="462"/>
      <c r="DM16" s="462"/>
      <c r="DN16" s="462"/>
      <c r="DO16" s="462"/>
      <c r="DP16" s="462"/>
      <c r="DQ16" s="462"/>
      <c r="DR16" s="448">
        <f t="shared" si="22"/>
        <v>3</v>
      </c>
      <c r="DS16" s="450" t="s">
        <v>404</v>
      </c>
      <c r="DT16" s="462"/>
      <c r="DU16" s="462"/>
      <c r="DV16" s="462"/>
      <c r="DW16" s="462"/>
      <c r="DX16" s="462"/>
      <c r="DY16" s="462"/>
      <c r="DZ16" s="462"/>
      <c r="EA16" s="462"/>
      <c r="EB16" s="462"/>
      <c r="EC16" s="462">
        <f t="shared" ref="EC16:EC63" si="24">SUM(DG16:EB16)-DR16</f>
        <v>4054</v>
      </c>
      <c r="ED16" s="448">
        <f t="shared" si="23"/>
        <v>3</v>
      </c>
      <c r="EE16" s="450" t="s">
        <v>404</v>
      </c>
      <c r="EF16" s="373">
        <f>+DF16</f>
        <v>349696.35</v>
      </c>
      <c r="EG16" s="373">
        <f>+EC16</f>
        <v>4054</v>
      </c>
      <c r="EH16" s="462">
        <f>SUM(EF16:EG16)</f>
        <v>353750.35</v>
      </c>
    </row>
    <row r="17" spans="1:138" ht="15" customHeight="1">
      <c r="A17" s="469">
        <f t="shared" si="0"/>
        <v>7</v>
      </c>
      <c r="B17" s="110">
        <v>43922</v>
      </c>
      <c r="C17" s="506">
        <v>1706105486.1400001</v>
      </c>
      <c r="D17" s="506">
        <v>1733760804.5714128</v>
      </c>
      <c r="E17" s="506">
        <f t="shared" si="19"/>
        <v>27655318.431412697</v>
      </c>
      <c r="F17" s="375"/>
      <c r="H17" s="469">
        <f>+H15+1</f>
        <v>6</v>
      </c>
      <c r="I17" s="111" t="s">
        <v>405</v>
      </c>
      <c r="K17" s="551">
        <f>SUM(K12:K16)</f>
        <v>53939198.159999996</v>
      </c>
      <c r="M17" s="448">
        <f t="shared" si="5"/>
        <v>6</v>
      </c>
      <c r="N17" s="111" t="s">
        <v>406</v>
      </c>
      <c r="O17" s="501">
        <v>2969130.4660300007</v>
      </c>
      <c r="P17" s="448">
        <f t="shared" si="6"/>
        <v>6</v>
      </c>
      <c r="T17" s="448">
        <v>6</v>
      </c>
      <c r="U17" s="552" t="s">
        <v>407</v>
      </c>
      <c r="X17" s="373">
        <v>-84307882.609999999</v>
      </c>
      <c r="Y17" s="448">
        <v>6</v>
      </c>
      <c r="Z17" s="553" t="s">
        <v>790</v>
      </c>
      <c r="AA17" s="554">
        <f>+AA15/2</f>
        <v>671500</v>
      </c>
      <c r="AB17" s="555"/>
      <c r="AC17" s="448">
        <f t="shared" si="7"/>
        <v>6</v>
      </c>
      <c r="AD17" s="450"/>
      <c r="AE17" s="373"/>
      <c r="AF17" s="373"/>
      <c r="AG17" s="556"/>
      <c r="AH17" s="556"/>
      <c r="AI17" s="373"/>
      <c r="AJ17" s="373"/>
      <c r="AK17" s="373"/>
      <c r="AL17" s="448">
        <f t="shared" si="8"/>
        <v>6</v>
      </c>
      <c r="AM17" s="557" t="s">
        <v>397</v>
      </c>
      <c r="AN17" s="547"/>
      <c r="AO17" s="540"/>
      <c r="AP17" s="479">
        <f>-AP15</f>
        <v>-3355987.5836416879</v>
      </c>
      <c r="AQ17" s="448">
        <v>6</v>
      </c>
      <c r="AR17" s="484" t="s">
        <v>355</v>
      </c>
      <c r="AS17" s="484"/>
      <c r="AT17" s="517">
        <v>4517401</v>
      </c>
      <c r="AU17" s="448">
        <f t="shared" si="9"/>
        <v>6</v>
      </c>
      <c r="AV17" s="450"/>
      <c r="AW17" s="535"/>
      <c r="AX17" s="535"/>
      <c r="AY17" s="546"/>
      <c r="BD17" s="487">
        <f t="shared" si="10"/>
        <v>6</v>
      </c>
      <c r="BE17" s="500" t="s">
        <v>408</v>
      </c>
      <c r="BF17" s="500"/>
      <c r="BG17" s="558">
        <f>FIT</f>
        <v>0.21</v>
      </c>
      <c r="BH17" s="500">
        <f>BH16*BG17</f>
        <v>-66745.132263668216</v>
      </c>
      <c r="BI17" s="448">
        <f t="shared" si="11"/>
        <v>6</v>
      </c>
      <c r="BJ17" s="111" t="s">
        <v>408</v>
      </c>
      <c r="BK17" s="538"/>
      <c r="BL17" s="558">
        <f>FIT</f>
        <v>0.21</v>
      </c>
      <c r="BM17" s="510">
        <f>ROUND(-BM16*BL17,0)</f>
        <v>-395041</v>
      </c>
      <c r="BN17" s="448">
        <f t="shared" si="12"/>
        <v>6</v>
      </c>
      <c r="BO17" s="450"/>
      <c r="BP17" s="535"/>
      <c r="BQ17" s="559"/>
      <c r="BS17" s="448">
        <f t="shared" si="13"/>
        <v>6</v>
      </c>
      <c r="BT17" s="491" t="s">
        <v>409</v>
      </c>
      <c r="BU17" s="512">
        <v>1169568.8</v>
      </c>
      <c r="BV17" s="512">
        <v>8273523.5499999998</v>
      </c>
      <c r="BW17" s="512">
        <v>117859.19</v>
      </c>
      <c r="BX17" s="512">
        <v>433513.26</v>
      </c>
      <c r="BY17" s="560">
        <f t="shared" si="20"/>
        <v>9994464.7999999989</v>
      </c>
      <c r="BZ17" s="448">
        <f t="shared" si="14"/>
        <v>6</v>
      </c>
      <c r="CA17" s="111" t="s">
        <v>410</v>
      </c>
      <c r="CB17" s="492">
        <v>-147733944.09999999</v>
      </c>
      <c r="CC17" s="501">
        <f t="shared" si="15"/>
        <v>-147733944.09999999</v>
      </c>
      <c r="CE17" s="448">
        <f t="shared" si="1"/>
        <v>6</v>
      </c>
      <c r="CF17" s="514" t="s">
        <v>411</v>
      </c>
      <c r="CI17" s="111">
        <v>2.0000000000000001E-4</v>
      </c>
      <c r="CJ17" s="448">
        <f t="shared" si="16"/>
        <v>6</v>
      </c>
      <c r="CK17" s="519" t="s">
        <v>412</v>
      </c>
      <c r="CL17" s="479">
        <f>SUM(CL14:CL16)</f>
        <v>1402186.52</v>
      </c>
      <c r="CM17" s="479">
        <f>SUM(CM14:CM16)</f>
        <v>0</v>
      </c>
      <c r="CN17" s="479">
        <f>SUM(CN14:CN16)</f>
        <v>-1402186.52</v>
      </c>
      <c r="CO17" s="448">
        <f t="shared" si="17"/>
        <v>6</v>
      </c>
      <c r="CP17" s="519" t="s">
        <v>413</v>
      </c>
      <c r="CQ17" s="474">
        <f>SUM(CQ14:CQ16)</f>
        <v>108497311.58370547</v>
      </c>
      <c r="CR17" s="474">
        <f>SUM(CR14:CR16)</f>
        <v>0</v>
      </c>
      <c r="CS17" s="474">
        <f>SUM(CS14:CS16)</f>
        <v>-108497311.58370547</v>
      </c>
      <c r="CT17" s="448">
        <f t="shared" si="18"/>
        <v>6</v>
      </c>
      <c r="CU17" s="519" t="s">
        <v>414</v>
      </c>
      <c r="CV17" s="479">
        <f>SUM(CV14:CV16)</f>
        <v>2164638.2672226988</v>
      </c>
      <c r="CW17" s="479">
        <f>SUM(CW14:CW16)</f>
        <v>0</v>
      </c>
      <c r="CX17" s="479">
        <f>SUM(CX14:CX16)</f>
        <v>-2164638.2672226988</v>
      </c>
      <c r="CY17" s="448">
        <v>6</v>
      </c>
      <c r="DC17" s="494"/>
      <c r="DD17" s="448">
        <f t="shared" si="21"/>
        <v>4</v>
      </c>
      <c r="DE17" s="450" t="s">
        <v>415</v>
      </c>
      <c r="DF17" s="501">
        <v>147733944.09999999</v>
      </c>
      <c r="DG17" s="501"/>
      <c r="DH17" s="462"/>
      <c r="DI17" s="462"/>
      <c r="DJ17" s="462"/>
      <c r="DK17" s="462"/>
      <c r="DL17" s="462"/>
      <c r="DM17" s="462"/>
      <c r="DN17" s="462"/>
      <c r="DO17" s="462"/>
      <c r="DP17" s="462"/>
      <c r="DQ17" s="462"/>
      <c r="DR17" s="448">
        <f t="shared" si="22"/>
        <v>4</v>
      </c>
      <c r="DS17" s="450" t="s">
        <v>415</v>
      </c>
      <c r="DT17" s="462"/>
      <c r="DU17" s="462"/>
      <c r="DV17" s="462"/>
      <c r="DW17" s="462"/>
      <c r="DX17" s="462">
        <f>-CD16</f>
        <v>0</v>
      </c>
      <c r="DY17" s="462"/>
      <c r="DZ17" s="462"/>
      <c r="EA17" s="462"/>
      <c r="EB17" s="462"/>
      <c r="EC17" s="462">
        <f t="shared" si="24"/>
        <v>0</v>
      </c>
      <c r="ED17" s="448">
        <f t="shared" si="23"/>
        <v>4</v>
      </c>
      <c r="EE17" s="450" t="s">
        <v>415</v>
      </c>
      <c r="EF17" s="373">
        <f>+DF17</f>
        <v>147733944.09999999</v>
      </c>
      <c r="EG17" s="373">
        <f>+EC17</f>
        <v>0</v>
      </c>
      <c r="EH17" s="462">
        <f>SUM(EF17:EG17)</f>
        <v>147733944.09999999</v>
      </c>
    </row>
    <row r="18" spans="1:138" ht="15" customHeight="1">
      <c r="A18" s="469">
        <f t="shared" si="0"/>
        <v>8</v>
      </c>
      <c r="B18" s="110">
        <v>43952</v>
      </c>
      <c r="C18" s="506">
        <v>1435182255.888</v>
      </c>
      <c r="D18" s="506">
        <v>1447509029.3477621</v>
      </c>
      <c r="E18" s="506">
        <f t="shared" si="19"/>
        <v>12326773.459762096</v>
      </c>
      <c r="F18" s="375"/>
      <c r="H18" s="469">
        <f t="shared" ref="H18:H42" si="25">+H17+1</f>
        <v>7</v>
      </c>
      <c r="K18" s="465"/>
      <c r="M18" s="448">
        <f t="shared" si="5"/>
        <v>7</v>
      </c>
      <c r="N18" s="111" t="s">
        <v>416</v>
      </c>
      <c r="O18" s="561">
        <v>0</v>
      </c>
      <c r="P18" s="448">
        <f t="shared" si="6"/>
        <v>7</v>
      </c>
      <c r="S18" s="560"/>
      <c r="T18" s="448">
        <v>7</v>
      </c>
      <c r="U18" s="541" t="s">
        <v>417</v>
      </c>
      <c r="V18" s="373"/>
      <c r="W18" s="373"/>
      <c r="X18" s="373">
        <v>-1572753.89</v>
      </c>
      <c r="Y18" s="448">
        <v>7</v>
      </c>
      <c r="Z18" s="472" t="s">
        <v>418</v>
      </c>
      <c r="AA18" s="501">
        <v>917136.53899999999</v>
      </c>
      <c r="AB18" s="555"/>
      <c r="AC18" s="448">
        <f t="shared" si="7"/>
        <v>7</v>
      </c>
      <c r="AD18" s="562" t="s">
        <v>419</v>
      </c>
      <c r="AE18" s="373"/>
      <c r="AF18" s="488">
        <v>2359221574.3299999</v>
      </c>
      <c r="AG18" s="488">
        <v>147733944.09999999</v>
      </c>
      <c r="AH18" s="488">
        <v>102724678.86000001</v>
      </c>
      <c r="AI18" s="488">
        <v>349696.35</v>
      </c>
      <c r="AJ18" s="474">
        <f>AF18-AG18-AH18-AI18</f>
        <v>2108413255.02</v>
      </c>
      <c r="AK18" s="474"/>
      <c r="AL18" s="448">
        <f t="shared" si="8"/>
        <v>7</v>
      </c>
      <c r="AM18" s="563" t="s">
        <v>408</v>
      </c>
      <c r="AN18" s="563"/>
      <c r="AO18" s="558">
        <f>FIT</f>
        <v>0.21</v>
      </c>
      <c r="AP18" s="479">
        <f>AP17*AO18</f>
        <v>-704757.39256475447</v>
      </c>
      <c r="AQ18" s="448">
        <v>7</v>
      </c>
      <c r="AR18" s="564" t="s">
        <v>420</v>
      </c>
      <c r="AS18" s="564"/>
      <c r="AT18" s="474">
        <f>AT16-AT17</f>
        <v>-166039.07720000017</v>
      </c>
      <c r="AU18" s="448">
        <f t="shared" si="9"/>
        <v>7</v>
      </c>
      <c r="AV18" s="450" t="s">
        <v>408</v>
      </c>
      <c r="AW18" s="535"/>
      <c r="AX18" s="558">
        <f>FIT</f>
        <v>0.21</v>
      </c>
      <c r="AY18" s="565">
        <f>AY16*AX18</f>
        <v>3968.7559851059732</v>
      </c>
      <c r="BD18" s="487">
        <f t="shared" si="10"/>
        <v>7</v>
      </c>
      <c r="BE18" s="380"/>
      <c r="BF18" s="380"/>
      <c r="BG18" s="380"/>
      <c r="BH18" s="566"/>
      <c r="BI18" s="448">
        <f t="shared" si="11"/>
        <v>7</v>
      </c>
      <c r="BK18" s="538"/>
      <c r="BL18" s="538"/>
      <c r="BM18" s="551"/>
      <c r="BN18" s="448">
        <f t="shared" si="12"/>
        <v>7</v>
      </c>
      <c r="BO18" s="450" t="s">
        <v>421</v>
      </c>
      <c r="BP18" s="558">
        <f>FIT</f>
        <v>0.21</v>
      </c>
      <c r="BQ18" s="380"/>
      <c r="BR18" s="373">
        <f>BR16*BP18</f>
        <v>0</v>
      </c>
      <c r="BS18" s="448">
        <f t="shared" si="13"/>
        <v>7</v>
      </c>
      <c r="BT18" s="491" t="s">
        <v>422</v>
      </c>
      <c r="BU18" s="567">
        <v>1460358.28</v>
      </c>
      <c r="BV18" s="567">
        <v>8601899.1300000008</v>
      </c>
      <c r="BW18" s="567">
        <v>116870.42</v>
      </c>
      <c r="BX18" s="567">
        <v>417936.36</v>
      </c>
      <c r="BY18" s="510">
        <f t="shared" si="20"/>
        <v>10597064.189999999</v>
      </c>
      <c r="BZ18" s="448">
        <f t="shared" si="14"/>
        <v>7</v>
      </c>
      <c r="CA18" s="111" t="s">
        <v>423</v>
      </c>
      <c r="CB18" s="492">
        <v>-8661803.3200000003</v>
      </c>
      <c r="CC18" s="501">
        <f t="shared" si="15"/>
        <v>-8661803.3200000003</v>
      </c>
      <c r="CD18" s="501"/>
      <c r="CE18" s="448">
        <f t="shared" si="1"/>
        <v>7</v>
      </c>
      <c r="CF18" s="514" t="s">
        <v>424</v>
      </c>
      <c r="CI18" s="539">
        <f>+CI17*CI12</f>
        <v>420467.60000000003</v>
      </c>
      <c r="CJ18" s="448">
        <f t="shared" si="16"/>
        <v>7</v>
      </c>
      <c r="CK18" s="519"/>
      <c r="CL18" s="465"/>
      <c r="CM18" s="465"/>
      <c r="CN18" s="479"/>
      <c r="CO18" s="375"/>
      <c r="CP18" s="375"/>
      <c r="CQ18" s="375"/>
      <c r="CR18" s="375"/>
      <c r="CS18" s="375"/>
      <c r="CT18" s="448">
        <f t="shared" si="18"/>
        <v>7</v>
      </c>
      <c r="CU18" s="519"/>
      <c r="CV18" s="465"/>
      <c r="CW18" s="465"/>
      <c r="CX18" s="479"/>
      <c r="CY18" s="448">
        <v>7</v>
      </c>
      <c r="CZ18" s="111" t="str">
        <f>"CONVERSION FACTOR EXCLUDING FEDERAL INCOME TAX ( 1 - LINE "&amp;CY16&amp;" )"</f>
        <v>CONVERSION FACTOR EXCLUDING FEDERAL INCOME TAX ( 1 - LINE 5 )</v>
      </c>
      <c r="DC18" s="494">
        <f>1-DC16</f>
        <v>0.95208599999999999</v>
      </c>
      <c r="DD18" s="448">
        <f t="shared" si="21"/>
        <v>5</v>
      </c>
      <c r="DE18" s="450" t="s">
        <v>425</v>
      </c>
      <c r="DF18" s="517">
        <v>102724678.86000001</v>
      </c>
      <c r="DG18" s="517"/>
      <c r="DH18" s="517">
        <f>K13</f>
        <v>0</v>
      </c>
      <c r="DI18" s="517"/>
      <c r="DJ18" s="517" t="s">
        <v>218</v>
      </c>
      <c r="DK18" s="517">
        <f>-SUM(X19,X21,X23)</f>
        <v>16685168.350000001</v>
      </c>
      <c r="DL18" s="517"/>
      <c r="DM18" s="517"/>
      <c r="DN18" s="517"/>
      <c r="DO18" s="517"/>
      <c r="DP18" s="517"/>
      <c r="DQ18" s="517"/>
      <c r="DR18" s="448">
        <f t="shared" si="22"/>
        <v>5</v>
      </c>
      <c r="DS18" s="450" t="s">
        <v>425</v>
      </c>
      <c r="DT18" s="517"/>
      <c r="DU18" s="517"/>
      <c r="DV18" s="517"/>
      <c r="DW18" s="517"/>
      <c r="DX18" s="517">
        <v>0</v>
      </c>
      <c r="DY18" s="517"/>
      <c r="DZ18" s="517"/>
      <c r="EA18" s="517"/>
      <c r="EB18" s="517"/>
      <c r="EC18" s="517">
        <f t="shared" si="24"/>
        <v>16685168.350000001</v>
      </c>
      <c r="ED18" s="448">
        <f t="shared" si="23"/>
        <v>5</v>
      </c>
      <c r="EE18" s="450" t="s">
        <v>425</v>
      </c>
      <c r="EF18" s="510">
        <f>+DF18</f>
        <v>102724678.86000001</v>
      </c>
      <c r="EG18" s="510">
        <f>+EC18</f>
        <v>16685168.350000001</v>
      </c>
      <c r="EH18" s="517">
        <f>SUM(EF18:EG18)</f>
        <v>119409847.21000001</v>
      </c>
    </row>
    <row r="19" spans="1:138" ht="15" customHeight="1" thickBot="1">
      <c r="A19" s="469">
        <f t="shared" si="0"/>
        <v>9</v>
      </c>
      <c r="B19" s="110">
        <v>43983</v>
      </c>
      <c r="C19" s="506">
        <v>1425244538.0770001</v>
      </c>
      <c r="D19" s="506">
        <v>1425699999.5777304</v>
      </c>
      <c r="E19" s="506">
        <f t="shared" si="19"/>
        <v>455461.50073027611</v>
      </c>
      <c r="F19" s="375"/>
      <c r="H19" s="469">
        <f t="shared" si="25"/>
        <v>8</v>
      </c>
      <c r="I19" s="111" t="s">
        <v>426</v>
      </c>
      <c r="M19" s="448">
        <f t="shared" si="5"/>
        <v>8</v>
      </c>
      <c r="N19" s="111" t="s">
        <v>427</v>
      </c>
      <c r="O19" s="560">
        <f>SUM(O15:O18)</f>
        <v>83338631.339724854</v>
      </c>
      <c r="P19" s="448">
        <f t="shared" si="6"/>
        <v>8</v>
      </c>
      <c r="S19" s="465"/>
      <c r="T19" s="448">
        <v>8</v>
      </c>
      <c r="U19" s="541" t="s">
        <v>428</v>
      </c>
      <c r="X19" s="373">
        <v>1395184.45</v>
      </c>
      <c r="Y19" s="448">
        <v>8</v>
      </c>
      <c r="Z19" s="450" t="s">
        <v>429</v>
      </c>
      <c r="AA19" s="568">
        <f>+AA17-AA18</f>
        <v>-245636.53899999999</v>
      </c>
      <c r="AB19" s="554">
        <f>+AA19</f>
        <v>-245636.53899999999</v>
      </c>
      <c r="AC19" s="448">
        <f t="shared" si="7"/>
        <v>8</v>
      </c>
      <c r="AD19" s="569"/>
      <c r="AE19" s="373"/>
      <c r="AF19" s="373"/>
      <c r="AG19" s="373"/>
      <c r="AH19" s="373"/>
      <c r="AI19" s="373"/>
      <c r="AJ19" s="510"/>
      <c r="AK19" s="373"/>
      <c r="AL19" s="448">
        <f t="shared" si="8"/>
        <v>8</v>
      </c>
      <c r="AM19" s="570"/>
      <c r="AN19" s="570"/>
      <c r="AO19" s="570"/>
      <c r="AP19" s="566"/>
      <c r="AQ19" s="448">
        <v>8</v>
      </c>
      <c r="AR19" s="111"/>
      <c r="AS19" s="111"/>
      <c r="AT19" s="111"/>
      <c r="AU19" s="448">
        <f t="shared" si="9"/>
        <v>8</v>
      </c>
      <c r="AV19" s="450"/>
      <c r="AW19" s="535"/>
      <c r="AX19" s="559"/>
      <c r="AY19" s="565"/>
      <c r="BD19" s="487">
        <f t="shared" si="10"/>
        <v>8</v>
      </c>
      <c r="BE19" s="450" t="s">
        <v>385</v>
      </c>
      <c r="BH19" s="571">
        <f>BH16-BH17</f>
        <v>-251088.83089665661</v>
      </c>
      <c r="BI19" s="448">
        <f t="shared" si="11"/>
        <v>8</v>
      </c>
      <c r="BJ19" s="572" t="s">
        <v>385</v>
      </c>
      <c r="BK19" s="573"/>
      <c r="BL19" s="455"/>
      <c r="BM19" s="571">
        <f>-BM16-BM17</f>
        <v>-1486108.7675058593</v>
      </c>
      <c r="BN19" s="448">
        <f t="shared" si="12"/>
        <v>8</v>
      </c>
      <c r="BO19" s="111"/>
      <c r="BR19" s="496"/>
      <c r="BS19" s="448">
        <f t="shared" si="13"/>
        <v>8</v>
      </c>
      <c r="BT19" s="574" t="s">
        <v>430</v>
      </c>
      <c r="BU19" s="546">
        <f>SUM(BU13:BU18)</f>
        <v>4561232.33</v>
      </c>
      <c r="BV19" s="546">
        <f>SUM(BV13:BV18)</f>
        <v>53999321.009999998</v>
      </c>
      <c r="BW19" s="546">
        <f>SUM(BW13:BW18)</f>
        <v>571133.21</v>
      </c>
      <c r="BX19" s="546">
        <f>SUM(BX13:BX18)</f>
        <v>2111059.6</v>
      </c>
      <c r="BY19" s="546">
        <f>SUM(BY13:BY18)</f>
        <v>61242746.149999991</v>
      </c>
      <c r="BZ19" s="448">
        <f t="shared" si="14"/>
        <v>8</v>
      </c>
      <c r="CA19" s="111" t="s">
        <v>431</v>
      </c>
      <c r="CB19" s="539">
        <f>SUM(CB13:CB18)</f>
        <v>714116864.52999997</v>
      </c>
      <c r="CC19" s="539">
        <f>SUM(CC13:CC18)</f>
        <v>725325639.2395649</v>
      </c>
      <c r="CD19" s="539">
        <f>SUM(CD13:CD18)</f>
        <v>11208774.709564961</v>
      </c>
      <c r="CE19" s="448">
        <f t="shared" si="1"/>
        <v>8</v>
      </c>
      <c r="CF19" s="514"/>
      <c r="CJ19" s="448">
        <f t="shared" si="16"/>
        <v>8</v>
      </c>
      <c r="CK19" s="477" t="s">
        <v>432</v>
      </c>
      <c r="CO19" s="375"/>
      <c r="CP19" s="375"/>
      <c r="CQ19" s="375"/>
      <c r="CR19" s="375"/>
      <c r="CS19" s="375"/>
      <c r="CT19" s="448">
        <f t="shared" si="18"/>
        <v>8</v>
      </c>
      <c r="CU19" s="477" t="s">
        <v>433</v>
      </c>
      <c r="CY19" s="448">
        <v>8</v>
      </c>
      <c r="CZ19" s="450" t="str">
        <f>"FEDERAL INCOME TAX ( ( 1 - LINE "&amp;CY16&amp;" ) * "&amp;FIT*100&amp;"% )"</f>
        <v>FEDERAL INCOME TAX ( ( 1 - LINE 5 ) * 21% )</v>
      </c>
      <c r="DB19" s="558">
        <v>0.21</v>
      </c>
      <c r="DC19" s="575">
        <f>ROUND((1-DC16)*FIT,6)</f>
        <v>0.199938</v>
      </c>
      <c r="DD19" s="448">
        <f t="shared" si="21"/>
        <v>6</v>
      </c>
      <c r="DE19" s="450" t="s">
        <v>434</v>
      </c>
      <c r="DF19" s="488">
        <f>SUM(DF15:DF18)</f>
        <v>2359221574.3299999</v>
      </c>
      <c r="DG19" s="488">
        <f>SUM(DG15:DG18)</f>
        <v>6037715</v>
      </c>
      <c r="DH19" s="488">
        <f>SUM(DH15:DH18)</f>
        <v>53939198.159999996</v>
      </c>
      <c r="DI19" s="488">
        <f>SUM(DI15:DI18)</f>
        <v>0</v>
      </c>
      <c r="DJ19" s="488">
        <f>SUM(DJ15:DJ18)</f>
        <v>0</v>
      </c>
      <c r="DK19" s="488">
        <f>ROUND(SUM(DK15:DK18),0)</f>
        <v>-163359459</v>
      </c>
      <c r="DL19" s="488"/>
      <c r="DM19" s="488">
        <f>SUM(DM15:DM18)</f>
        <v>0</v>
      </c>
      <c r="DN19" s="488"/>
      <c r="DO19" s="488">
        <f>SUM(DO15:DO18)</f>
        <v>0</v>
      </c>
      <c r="DP19" s="488">
        <f>SUM(DP15:DP18)</f>
        <v>0</v>
      </c>
      <c r="DQ19" s="488">
        <f>SUM(DQ15:DQ18)</f>
        <v>0</v>
      </c>
      <c r="DR19" s="448">
        <f t="shared" si="22"/>
        <v>6</v>
      </c>
      <c r="DS19" s="450" t="s">
        <v>434</v>
      </c>
      <c r="DT19" s="488">
        <f t="shared" ref="DT19:EB19" si="26">SUM(DT15:DT18)</f>
        <v>0</v>
      </c>
      <c r="DU19" s="488">
        <f t="shared" si="26"/>
        <v>0</v>
      </c>
      <c r="DV19" s="488">
        <f t="shared" si="26"/>
        <v>0</v>
      </c>
      <c r="DW19" s="488">
        <f t="shared" si="26"/>
        <v>0</v>
      </c>
      <c r="DX19" s="488">
        <f t="shared" si="26"/>
        <v>0</v>
      </c>
      <c r="DY19" s="488">
        <f t="shared" si="26"/>
        <v>0</v>
      </c>
      <c r="DZ19" s="488">
        <f t="shared" si="26"/>
        <v>0</v>
      </c>
      <c r="EA19" s="488">
        <f t="shared" si="26"/>
        <v>0</v>
      </c>
      <c r="EB19" s="488">
        <f t="shared" si="26"/>
        <v>0</v>
      </c>
      <c r="EC19" s="576">
        <f t="shared" si="24"/>
        <v>-103382545.84</v>
      </c>
      <c r="ED19" s="448">
        <f t="shared" si="23"/>
        <v>6</v>
      </c>
      <c r="EE19" s="450" t="s">
        <v>434</v>
      </c>
      <c r="EF19" s="576">
        <f>SUM(EF15:EF18)</f>
        <v>2359221574.3299999</v>
      </c>
      <c r="EG19" s="576">
        <f>SUM(EG15:EG18)</f>
        <v>-103382545.99477911</v>
      </c>
      <c r="EH19" s="576">
        <f>SUM(EH15:EH18)</f>
        <v>2255839028.3352208</v>
      </c>
    </row>
    <row r="20" spans="1:138" ht="15" customHeight="1" thickTop="1" thickBot="1">
      <c r="A20" s="469">
        <f t="shared" si="0"/>
        <v>10</v>
      </c>
      <c r="B20" s="110">
        <v>44013</v>
      </c>
      <c r="C20" s="506">
        <v>1373433487.734</v>
      </c>
      <c r="D20" s="506">
        <v>1366719847.5259969</v>
      </c>
      <c r="E20" s="506">
        <f t="shared" si="19"/>
        <v>-6713640.2080030441</v>
      </c>
      <c r="F20" s="375"/>
      <c r="H20" s="469">
        <f t="shared" si="25"/>
        <v>9</v>
      </c>
      <c r="L20" s="474">
        <f>K17</f>
        <v>53939198.159999996</v>
      </c>
      <c r="M20" s="448">
        <f t="shared" si="5"/>
        <v>9</v>
      </c>
      <c r="N20" s="111" t="s">
        <v>435</v>
      </c>
      <c r="O20" s="501" t="s">
        <v>218</v>
      </c>
      <c r="P20" s="448">
        <f t="shared" si="6"/>
        <v>9</v>
      </c>
      <c r="Q20" s="111" t="s">
        <v>397</v>
      </c>
      <c r="R20" s="380"/>
      <c r="S20" s="577">
        <f>-S15+S18</f>
        <v>-142358732.81488732</v>
      </c>
      <c r="T20" s="448">
        <v>9</v>
      </c>
      <c r="U20" s="541" t="s">
        <v>436</v>
      </c>
      <c r="X20" s="373">
        <v>20028366.590790808</v>
      </c>
      <c r="Y20" s="448">
        <v>9</v>
      </c>
      <c r="Z20" s="450"/>
      <c r="AA20" s="465"/>
      <c r="AB20" s="578"/>
      <c r="AC20" s="448">
        <f t="shared" si="7"/>
        <v>9</v>
      </c>
      <c r="AD20" s="574"/>
      <c r="AE20" s="373"/>
      <c r="AF20" s="373"/>
      <c r="AG20" s="373"/>
      <c r="AH20" s="373"/>
      <c r="AI20" s="558"/>
      <c r="AJ20" s="504"/>
      <c r="AK20" s="373"/>
      <c r="AL20" s="448">
        <f t="shared" si="8"/>
        <v>9</v>
      </c>
      <c r="AM20" s="519" t="s">
        <v>385</v>
      </c>
      <c r="AN20" s="505"/>
      <c r="AO20" s="505"/>
      <c r="AP20" s="536">
        <f>AP17-AP18</f>
        <v>-2651230.1910769334</v>
      </c>
      <c r="AQ20" s="448">
        <v>9</v>
      </c>
      <c r="AR20" s="483" t="s">
        <v>437</v>
      </c>
      <c r="AS20" s="111"/>
      <c r="AT20" s="488">
        <f>AT14+AT18</f>
        <v>-139178.43120000232</v>
      </c>
      <c r="AU20" s="448">
        <f t="shared" si="9"/>
        <v>9</v>
      </c>
      <c r="AV20" s="450" t="s">
        <v>385</v>
      </c>
      <c r="AW20" s="535"/>
      <c r="AX20" s="535"/>
      <c r="AY20" s="579">
        <f>AY16-AY18</f>
        <v>14930.082039208184</v>
      </c>
      <c r="BD20" s="487"/>
      <c r="BI20" s="487"/>
      <c r="BJ20" s="450"/>
      <c r="BN20" s="448">
        <f t="shared" si="12"/>
        <v>9</v>
      </c>
      <c r="BO20" s="450" t="s">
        <v>385</v>
      </c>
      <c r="BP20" s="558"/>
      <c r="BQ20" s="500"/>
      <c r="BR20" s="536">
        <f>+BR16-BR18</f>
        <v>0</v>
      </c>
      <c r="BS20" s="448">
        <f t="shared" si="13"/>
        <v>9</v>
      </c>
      <c r="BZ20" s="448">
        <f t="shared" si="14"/>
        <v>9</v>
      </c>
      <c r="CE20" s="448">
        <f t="shared" si="1"/>
        <v>9</v>
      </c>
      <c r="CF20" s="450" t="s">
        <v>438</v>
      </c>
      <c r="CG20" s="502"/>
      <c r="CH20" s="375"/>
      <c r="CI20" s="580">
        <f>+CI15+CI18</f>
        <v>720050.76500000001</v>
      </c>
      <c r="CJ20" s="448">
        <f t="shared" si="16"/>
        <v>9</v>
      </c>
      <c r="CK20" s="581" t="s">
        <v>439</v>
      </c>
      <c r="CL20" s="479">
        <v>212064</v>
      </c>
      <c r="CM20" s="479"/>
      <c r="CN20" s="479">
        <f>CM20-CL20</f>
        <v>-212064</v>
      </c>
      <c r="CO20" s="375"/>
      <c r="CP20" s="375"/>
      <c r="CQ20" s="375"/>
      <c r="CR20" s="375"/>
      <c r="CS20" s="375"/>
      <c r="CT20" s="448">
        <f t="shared" si="18"/>
        <v>9</v>
      </c>
      <c r="CU20" s="581" t="s">
        <v>439</v>
      </c>
      <c r="CV20" s="479">
        <v>160773.44004334998</v>
      </c>
      <c r="CW20" s="479"/>
      <c r="CX20" s="479">
        <f>CW20-CV20</f>
        <v>-160773.44004334998</v>
      </c>
      <c r="CY20" s="448">
        <v>9</v>
      </c>
      <c r="CZ20" s="450" t="str">
        <f>"CONVERSION FACTOR ( 1 - LINE "&amp;CY19&amp;" )"</f>
        <v>CONVERSION FACTOR ( 1 - LINE 8 )</v>
      </c>
      <c r="DC20" s="582">
        <f>ROUND(1-DC19-DC16,6)</f>
        <v>0.75214800000000004</v>
      </c>
      <c r="DD20" s="448">
        <f t="shared" si="21"/>
        <v>7</v>
      </c>
      <c r="DF20" s="454"/>
      <c r="DG20" s="454" t="s">
        <v>218</v>
      </c>
      <c r="DH20" s="454" t="s">
        <v>218</v>
      </c>
      <c r="DI20" s="454" t="s">
        <v>218</v>
      </c>
      <c r="DJ20" s="454" t="s">
        <v>218</v>
      </c>
      <c r="DK20" s="454"/>
      <c r="DL20" s="454"/>
      <c r="DM20" s="454" t="s">
        <v>218</v>
      </c>
      <c r="DN20" s="454"/>
      <c r="DO20" s="454"/>
      <c r="DP20" s="454"/>
      <c r="DQ20" s="454" t="s">
        <v>218</v>
      </c>
      <c r="DR20" s="448">
        <f t="shared" si="22"/>
        <v>7</v>
      </c>
      <c r="DT20" s="454"/>
      <c r="DU20" s="454"/>
      <c r="DV20" s="454"/>
      <c r="DW20" s="454"/>
      <c r="DX20" s="454" t="s">
        <v>218</v>
      </c>
      <c r="DY20" s="454" t="s">
        <v>218</v>
      </c>
      <c r="DZ20" s="454"/>
      <c r="EA20" s="454"/>
      <c r="EB20" s="454"/>
      <c r="ED20" s="448">
        <f t="shared" si="23"/>
        <v>7</v>
      </c>
      <c r="EF20" s="458"/>
      <c r="EG20" s="458"/>
    </row>
    <row r="21" spans="1:138" ht="15" customHeight="1" thickTop="1" thickBot="1">
      <c r="A21" s="469">
        <f t="shared" si="0"/>
        <v>11</v>
      </c>
      <c r="B21" s="110">
        <v>44044</v>
      </c>
      <c r="C21" s="506">
        <v>1431926801.1719999</v>
      </c>
      <c r="D21" s="506">
        <v>1410785027.3091078</v>
      </c>
      <c r="E21" s="506">
        <f t="shared" si="19"/>
        <v>-21141773.862892151</v>
      </c>
      <c r="F21" s="375"/>
      <c r="H21" s="469">
        <f t="shared" si="25"/>
        <v>10</v>
      </c>
      <c r="I21" s="450" t="s">
        <v>440</v>
      </c>
      <c r="J21" s="583">
        <f>BD</f>
        <v>7.4689999999999999E-3</v>
      </c>
      <c r="K21" s="522">
        <f>L20*J21</f>
        <v>402871.87105703994</v>
      </c>
      <c r="M21" s="448">
        <f t="shared" si="5"/>
        <v>10</v>
      </c>
      <c r="N21" s="450" t="s">
        <v>381</v>
      </c>
      <c r="O21" s="479">
        <v>46951000.799999997</v>
      </c>
      <c r="P21" s="448">
        <f t="shared" si="6"/>
        <v>10</v>
      </c>
      <c r="Q21" s="111" t="s">
        <v>218</v>
      </c>
      <c r="S21" s="454" t="s">
        <v>218</v>
      </c>
      <c r="T21" s="448">
        <v>10</v>
      </c>
      <c r="U21" s="541" t="s">
        <v>441</v>
      </c>
      <c r="W21" s="584"/>
      <c r="X21" s="373">
        <v>-19049279.890000001</v>
      </c>
      <c r="Y21" s="448">
        <v>10</v>
      </c>
      <c r="Z21" s="450" t="s">
        <v>442</v>
      </c>
      <c r="AA21" s="531">
        <v>273000</v>
      </c>
      <c r="AC21" s="448">
        <f t="shared" si="7"/>
        <v>10</v>
      </c>
      <c r="AD21" s="574" t="s">
        <v>443</v>
      </c>
      <c r="AE21" s="373"/>
      <c r="AF21" s="373"/>
      <c r="AG21" s="373"/>
      <c r="AH21" s="373"/>
      <c r="AI21" s="558"/>
      <c r="AJ21" s="585">
        <f>AK16</f>
        <v>7.4689999999999999E-3</v>
      </c>
      <c r="AK21" s="373"/>
      <c r="AQ21" s="448">
        <v>10</v>
      </c>
      <c r="AR21" s="111"/>
      <c r="AS21" s="111"/>
      <c r="AT21" s="111"/>
      <c r="AU21" s="448"/>
      <c r="AV21" s="450"/>
      <c r="AW21" s="535"/>
      <c r="AX21" s="535"/>
      <c r="AY21" s="586"/>
      <c r="BD21" s="487"/>
      <c r="BF21" s="587"/>
      <c r="BG21" s="588"/>
      <c r="BH21" s="588"/>
      <c r="BS21" s="448">
        <f t="shared" si="13"/>
        <v>10</v>
      </c>
      <c r="BT21" s="111" t="s">
        <v>444</v>
      </c>
      <c r="BU21" s="373">
        <f>BU19/6</f>
        <v>760205.38833333331</v>
      </c>
      <c r="BV21" s="373">
        <f>BV19/6</f>
        <v>8999886.834999999</v>
      </c>
      <c r="BW21" s="373">
        <f>BW19/6</f>
        <v>95188.868333333332</v>
      </c>
      <c r="BX21" s="373">
        <f>BX19/6</f>
        <v>351843.26666666666</v>
      </c>
      <c r="BY21" s="560">
        <f>SUM(BU21:BX21)</f>
        <v>10207124.358333334</v>
      </c>
      <c r="BZ21" s="448">
        <f t="shared" si="14"/>
        <v>10</v>
      </c>
      <c r="CA21" s="450" t="s">
        <v>445</v>
      </c>
      <c r="CB21" s="589"/>
      <c r="CC21" s="458"/>
      <c r="CD21" s="486">
        <f>-CD19</f>
        <v>-11208774.709564961</v>
      </c>
      <c r="CE21" s="448">
        <f t="shared" si="1"/>
        <v>10</v>
      </c>
      <c r="CF21" s="450" t="s">
        <v>446</v>
      </c>
      <c r="CG21" s="502"/>
      <c r="CH21" s="375"/>
      <c r="CI21" s="517">
        <v>726974</v>
      </c>
      <c r="CJ21" s="448">
        <f t="shared" si="16"/>
        <v>10</v>
      </c>
      <c r="CK21" s="590" t="s">
        <v>447</v>
      </c>
      <c r="CL21" s="591">
        <f>+CL20</f>
        <v>212064</v>
      </c>
      <c r="CM21" s="591">
        <f>+CM20</f>
        <v>0</v>
      </c>
      <c r="CN21" s="591">
        <f>+CN20</f>
        <v>-212064</v>
      </c>
      <c r="CO21" s="375"/>
      <c r="CP21" s="375"/>
      <c r="CQ21" s="375"/>
      <c r="CR21" s="375"/>
      <c r="CS21" s="375"/>
      <c r="CT21" s="448">
        <f t="shared" si="18"/>
        <v>10</v>
      </c>
      <c r="CU21" s="590" t="s">
        <v>447</v>
      </c>
      <c r="CV21" s="591">
        <f>+CV20</f>
        <v>160773.44004334998</v>
      </c>
      <c r="CW21" s="591">
        <f>+CW20</f>
        <v>0</v>
      </c>
      <c r="CX21" s="591">
        <f>+CX20</f>
        <v>-160773.44004334998</v>
      </c>
      <c r="DC21" s="448"/>
      <c r="DD21" s="448">
        <f t="shared" si="21"/>
        <v>8</v>
      </c>
      <c r="DE21" s="450" t="s">
        <v>448</v>
      </c>
      <c r="DF21" s="454"/>
      <c r="DG21" s="454"/>
      <c r="DH21" s="454"/>
      <c r="DI21" s="454"/>
      <c r="DJ21" s="454"/>
      <c r="DK21" s="454"/>
      <c r="DL21" s="454"/>
      <c r="DM21" s="454"/>
      <c r="DN21" s="454"/>
      <c r="DO21" s="454"/>
      <c r="DP21" s="454"/>
      <c r="DQ21" s="454"/>
      <c r="DR21" s="448">
        <f t="shared" si="22"/>
        <v>8</v>
      </c>
      <c r="DS21" s="450" t="s">
        <v>448</v>
      </c>
      <c r="DT21" s="454"/>
      <c r="DU21" s="454"/>
      <c r="DV21" s="454"/>
      <c r="DW21" s="454"/>
      <c r="DX21" s="454"/>
      <c r="DY21" s="454"/>
      <c r="DZ21" s="454"/>
      <c r="EA21" s="454"/>
      <c r="EB21" s="454"/>
      <c r="EC21" s="454"/>
      <c r="ED21" s="448">
        <f t="shared" si="23"/>
        <v>8</v>
      </c>
      <c r="EE21" s="590" t="s">
        <v>448</v>
      </c>
      <c r="EF21" s="458"/>
      <c r="EG21" s="458"/>
      <c r="EH21" s="454"/>
    </row>
    <row r="22" spans="1:138" ht="15" customHeight="1" thickTop="1">
      <c r="A22" s="469">
        <f t="shared" si="0"/>
        <v>12</v>
      </c>
      <c r="B22" s="110">
        <v>44075</v>
      </c>
      <c r="C22" s="506">
        <v>1448210344.4650002</v>
      </c>
      <c r="D22" s="506">
        <v>1402888586.9475672</v>
      </c>
      <c r="E22" s="506">
        <f t="shared" si="19"/>
        <v>-45321757.517432928</v>
      </c>
      <c r="F22" s="375"/>
      <c r="H22" s="469">
        <f t="shared" si="25"/>
        <v>11</v>
      </c>
      <c r="I22" s="450" t="s">
        <v>449</v>
      </c>
      <c r="J22" s="583">
        <f>FF</f>
        <v>2E-3</v>
      </c>
      <c r="K22" s="592">
        <f>L20*J22</f>
        <v>107878.39632</v>
      </c>
      <c r="L22" s="373"/>
      <c r="M22" s="448">
        <f t="shared" si="5"/>
        <v>11</v>
      </c>
      <c r="N22" s="111" t="s">
        <v>450</v>
      </c>
      <c r="O22" s="479">
        <v>243099351.47</v>
      </c>
      <c r="P22" s="448">
        <f t="shared" si="6"/>
        <v>11</v>
      </c>
      <c r="Q22" s="111" t="s">
        <v>451</v>
      </c>
      <c r="R22" s="558">
        <f>FIT</f>
        <v>0.21</v>
      </c>
      <c r="S22" s="486">
        <f>+S20*R22</f>
        <v>-29895333.891126335</v>
      </c>
      <c r="T22" s="448">
        <v>11</v>
      </c>
      <c r="U22" s="483" t="s">
        <v>452</v>
      </c>
      <c r="X22" s="373">
        <v>6391283.5599999996</v>
      </c>
      <c r="Y22" s="448">
        <v>11</v>
      </c>
      <c r="Z22" s="450"/>
      <c r="AA22" s="479"/>
      <c r="AC22" s="448">
        <f t="shared" si="7"/>
        <v>11</v>
      </c>
      <c r="AD22" s="574" t="s">
        <v>453</v>
      </c>
      <c r="AE22" s="373"/>
      <c r="AF22" s="373"/>
      <c r="AG22" s="373"/>
      <c r="AH22" s="373"/>
      <c r="AI22" s="373"/>
      <c r="AJ22" s="504">
        <f>AJ18*AJ21</f>
        <v>15747738.60174438</v>
      </c>
      <c r="AK22" s="474"/>
      <c r="AQ22" s="448">
        <v>11</v>
      </c>
      <c r="AR22" s="111" t="s">
        <v>454</v>
      </c>
      <c r="AS22" s="111"/>
      <c r="AT22" s="488">
        <f>-(AT14+AT18)</f>
        <v>139178.43120000232</v>
      </c>
      <c r="AU22" s="450" t="s">
        <v>218</v>
      </c>
      <c r="AV22" s="450"/>
      <c r="AW22" s="535"/>
      <c r="AX22" s="535"/>
      <c r="AY22" s="535"/>
      <c r="BD22" s="487"/>
      <c r="BE22" s="450"/>
      <c r="BF22" s="502"/>
      <c r="BG22" s="588"/>
      <c r="BH22" s="588"/>
      <c r="BI22" s="588"/>
      <c r="BJ22" s="588"/>
      <c r="BK22" s="588"/>
      <c r="BL22" s="588"/>
      <c r="BM22" s="588"/>
      <c r="BS22" s="448">
        <f t="shared" si="13"/>
        <v>11</v>
      </c>
      <c r="BU22" s="373"/>
      <c r="BV22" s="474"/>
      <c r="BW22" s="474"/>
      <c r="BX22" s="474"/>
      <c r="BY22" s="474"/>
      <c r="BZ22" s="448">
        <f t="shared" si="14"/>
        <v>11</v>
      </c>
      <c r="CA22" s="589"/>
      <c r="CB22" s="589"/>
      <c r="CC22" s="458" t="s">
        <v>218</v>
      </c>
      <c r="CD22" s="458"/>
      <c r="CE22" s="448">
        <f t="shared" si="1"/>
        <v>11</v>
      </c>
      <c r="CF22" s="450" t="s">
        <v>397</v>
      </c>
      <c r="CG22" s="453"/>
      <c r="CH22" s="375"/>
      <c r="CI22" s="476">
        <f>CI21-CI20</f>
        <v>6923.234999999986</v>
      </c>
      <c r="CJ22" s="448">
        <f t="shared" si="16"/>
        <v>11</v>
      </c>
      <c r="CK22" s="590"/>
      <c r="CL22" s="474"/>
      <c r="CM22" s="474"/>
      <c r="CN22" s="474"/>
      <c r="CO22" s="375"/>
      <c r="CP22" s="375"/>
      <c r="CQ22" s="375"/>
      <c r="CR22" s="375"/>
      <c r="CS22" s="375"/>
      <c r="CT22" s="448">
        <f t="shared" si="18"/>
        <v>11</v>
      </c>
      <c r="CU22" s="590"/>
      <c r="CV22" s="474"/>
      <c r="CW22" s="474"/>
      <c r="CX22" s="474"/>
      <c r="DC22" s="593"/>
      <c r="DD22" s="448">
        <f t="shared" si="21"/>
        <v>9</v>
      </c>
      <c r="DR22" s="448">
        <f t="shared" si="22"/>
        <v>9</v>
      </c>
      <c r="ED22" s="448">
        <f t="shared" si="23"/>
        <v>9</v>
      </c>
      <c r="EF22" s="458"/>
      <c r="EG22" s="458"/>
    </row>
    <row r="23" spans="1:138" ht="15" customHeight="1">
      <c r="A23" s="469">
        <f t="shared" si="0"/>
        <v>13</v>
      </c>
      <c r="B23" s="110">
        <v>44105</v>
      </c>
      <c r="C23" s="506">
        <v>1419285553.5860002</v>
      </c>
      <c r="D23" s="506">
        <v>1439139441.8783855</v>
      </c>
      <c r="E23" s="506">
        <f t="shared" si="19"/>
        <v>19853888.29238534</v>
      </c>
      <c r="F23" s="375"/>
      <c r="H23" s="469">
        <f t="shared" si="25"/>
        <v>12</v>
      </c>
      <c r="I23" s="516" t="s">
        <v>429</v>
      </c>
      <c r="J23" s="583"/>
      <c r="K23" s="500"/>
      <c r="L23" s="373"/>
      <c r="M23" s="448">
        <f t="shared" si="5"/>
        <v>12</v>
      </c>
      <c r="N23" s="111" t="s">
        <v>455</v>
      </c>
      <c r="O23" s="479">
        <v>-179278138.65000001</v>
      </c>
      <c r="P23" s="448">
        <f t="shared" si="6"/>
        <v>12</v>
      </c>
      <c r="Q23" s="465"/>
      <c r="R23" s="594"/>
      <c r="S23" s="595"/>
      <c r="T23" s="448">
        <v>12</v>
      </c>
      <c r="U23" s="483" t="s">
        <v>456</v>
      </c>
      <c r="V23" s="558"/>
      <c r="X23" s="373">
        <v>968927.09</v>
      </c>
      <c r="Y23" s="448">
        <v>12</v>
      </c>
      <c r="Z23" s="553" t="s">
        <v>791</v>
      </c>
      <c r="AA23" s="554">
        <f>AA21/4</f>
        <v>68250</v>
      </c>
      <c r="AC23" s="448">
        <f t="shared" si="7"/>
        <v>12</v>
      </c>
      <c r="AQ23" s="448">
        <v>12</v>
      </c>
      <c r="AR23" s="111"/>
      <c r="AS23" s="111"/>
      <c r="AT23" s="111"/>
      <c r="AU23" s="450"/>
      <c r="AV23" s="450"/>
      <c r="AW23" s="535"/>
      <c r="AX23" s="535"/>
      <c r="AY23" s="535"/>
      <c r="BI23" s="588"/>
      <c r="BJ23" s="588"/>
      <c r="BK23" s="588"/>
      <c r="BL23" s="588"/>
      <c r="BM23" s="588"/>
      <c r="BS23" s="448">
        <f t="shared" si="13"/>
        <v>12</v>
      </c>
      <c r="BT23" s="596" t="s">
        <v>457</v>
      </c>
      <c r="BU23" s="560"/>
      <c r="BV23" s="560"/>
      <c r="BW23" s="560"/>
      <c r="BX23" s="560"/>
      <c r="BY23" s="560"/>
      <c r="BZ23" s="448">
        <f t="shared" si="14"/>
        <v>12</v>
      </c>
      <c r="CA23" s="450" t="s">
        <v>458</v>
      </c>
      <c r="CB23" s="558">
        <f>FIT</f>
        <v>0.21</v>
      </c>
      <c r="CC23" s="597"/>
      <c r="CD23" s="517">
        <f>CD21*CB23</f>
        <v>-2353842.689008642</v>
      </c>
      <c r="CE23" s="448">
        <f t="shared" si="1"/>
        <v>12</v>
      </c>
      <c r="CG23" s="454"/>
      <c r="CH23" s="375"/>
      <c r="CI23" s="454" t="s">
        <v>218</v>
      </c>
      <c r="CJ23" s="448">
        <f t="shared" si="16"/>
        <v>12</v>
      </c>
      <c r="CK23" s="111" t="s">
        <v>408</v>
      </c>
      <c r="CL23" s="540"/>
      <c r="CM23" s="558">
        <f>FIT</f>
        <v>0.21</v>
      </c>
      <c r="CN23" s="549">
        <f>-CN21*CM23</f>
        <v>44533.439999999995</v>
      </c>
      <c r="CO23" s="375"/>
      <c r="CP23" s="375"/>
      <c r="CQ23" s="375"/>
      <c r="CR23" s="375"/>
      <c r="CS23" s="375"/>
      <c r="CT23" s="448">
        <f t="shared" si="18"/>
        <v>12</v>
      </c>
      <c r="CU23" s="111" t="s">
        <v>408</v>
      </c>
      <c r="CV23" s="540"/>
      <c r="CW23" s="558">
        <f>FIT</f>
        <v>0.21</v>
      </c>
      <c r="CX23" s="549">
        <f>-CX21*CW23</f>
        <v>33762.422409103492</v>
      </c>
      <c r="DC23" s="593"/>
      <c r="DD23" s="448">
        <f t="shared" si="21"/>
        <v>10</v>
      </c>
      <c r="DE23" s="450" t="s">
        <v>459</v>
      </c>
      <c r="DF23" s="454"/>
      <c r="DG23" s="454"/>
      <c r="DH23" s="454"/>
      <c r="DI23" s="454"/>
      <c r="DJ23" s="454"/>
      <c r="DK23" s="454"/>
      <c r="DL23" s="454"/>
      <c r="DM23" s="454"/>
      <c r="DN23" s="454"/>
      <c r="DO23" s="454"/>
      <c r="DP23" s="454"/>
      <c r="DQ23" s="454"/>
      <c r="DR23" s="448">
        <f t="shared" si="22"/>
        <v>10</v>
      </c>
      <c r="DS23" s="450" t="s">
        <v>459</v>
      </c>
      <c r="DT23" s="454"/>
      <c r="DU23" s="454"/>
      <c r="DV23" s="454"/>
      <c r="DW23" s="454"/>
      <c r="DX23" s="454"/>
      <c r="DY23" s="454"/>
      <c r="DZ23" s="454"/>
      <c r="EA23" s="454"/>
      <c r="EB23" s="454"/>
      <c r="EC23" s="454"/>
      <c r="ED23" s="448">
        <f t="shared" si="23"/>
        <v>10</v>
      </c>
      <c r="EE23" s="457" t="s">
        <v>459</v>
      </c>
      <c r="EF23" s="458"/>
      <c r="EG23" s="458"/>
      <c r="EH23" s="454"/>
    </row>
    <row r="24" spans="1:138" ht="15" customHeight="1" thickBot="1">
      <c r="A24" s="469">
        <f t="shared" si="0"/>
        <v>14</v>
      </c>
      <c r="B24" s="110">
        <v>44136</v>
      </c>
      <c r="C24" s="506">
        <v>1605388333.1079998</v>
      </c>
      <c r="D24" s="506">
        <v>1623128522.133759</v>
      </c>
      <c r="E24" s="506">
        <f t="shared" si="19"/>
        <v>17740189.02575922</v>
      </c>
      <c r="F24" s="375"/>
      <c r="H24" s="469">
        <f t="shared" si="25"/>
        <v>13</v>
      </c>
      <c r="I24" s="450"/>
      <c r="J24" s="583"/>
      <c r="K24" s="479"/>
      <c r="L24" s="373">
        <f>SUM(K21:K22)</f>
        <v>510750.26737703994</v>
      </c>
      <c r="M24" s="448">
        <f t="shared" si="5"/>
        <v>13</v>
      </c>
      <c r="N24" s="111" t="s">
        <v>460</v>
      </c>
      <c r="O24" s="549">
        <v>0</v>
      </c>
      <c r="P24" s="448">
        <f t="shared" si="6"/>
        <v>13</v>
      </c>
      <c r="Q24" s="450" t="s">
        <v>461</v>
      </c>
      <c r="R24" s="598"/>
      <c r="S24" s="599">
        <f>-S22</f>
        <v>29895333.891126335</v>
      </c>
      <c r="T24" s="448">
        <v>13</v>
      </c>
      <c r="U24" s="483" t="s">
        <v>462</v>
      </c>
      <c r="V24" s="558"/>
      <c r="X24" s="373">
        <v>-12.52</v>
      </c>
      <c r="Y24" s="448">
        <v>13</v>
      </c>
      <c r="Z24" s="472" t="s">
        <v>418</v>
      </c>
      <c r="AA24" s="517">
        <v>258666.92</v>
      </c>
      <c r="AC24" s="448">
        <f t="shared" si="7"/>
        <v>13</v>
      </c>
      <c r="AD24" s="111" t="s">
        <v>463</v>
      </c>
      <c r="AF24" s="488"/>
      <c r="AG24" s="488"/>
      <c r="AH24" s="488"/>
      <c r="AI24" s="488"/>
      <c r="AJ24" s="600">
        <v>17690542.470180001</v>
      </c>
      <c r="AQ24" s="448">
        <v>13</v>
      </c>
      <c r="AR24" s="111" t="s">
        <v>458</v>
      </c>
      <c r="AS24" s="558">
        <f>FIT</f>
        <v>0.21</v>
      </c>
      <c r="AT24" s="547">
        <f>ROUND(AT22*AS24,0)</f>
        <v>29227</v>
      </c>
      <c r="AU24" s="450"/>
      <c r="AV24" s="450"/>
      <c r="AW24" s="535"/>
      <c r="AX24" s="535"/>
      <c r="AY24" s="535"/>
      <c r="BI24" s="594"/>
      <c r="BJ24" s="594"/>
      <c r="BK24" s="594"/>
      <c r="BL24" s="594"/>
      <c r="BM24" s="594"/>
      <c r="BS24" s="448">
        <f t="shared" si="13"/>
        <v>13</v>
      </c>
      <c r="BT24" s="601" t="s">
        <v>464</v>
      </c>
      <c r="BU24" s="510">
        <v>1460358.28</v>
      </c>
      <c r="BV24" s="510">
        <v>8601899.1300000008</v>
      </c>
      <c r="BW24" s="510">
        <v>116870.42</v>
      </c>
      <c r="BX24" s="510">
        <v>417936.36</v>
      </c>
      <c r="BY24" s="510">
        <f t="shared" ref="BY24" si="27">SUM(BU24:BX24)</f>
        <v>10597064.189999999</v>
      </c>
      <c r="BZ24" s="448">
        <f t="shared" si="14"/>
        <v>13</v>
      </c>
      <c r="CA24" s="450" t="s">
        <v>465</v>
      </c>
      <c r="CB24" s="458" t="s">
        <v>218</v>
      </c>
      <c r="CC24" s="458"/>
      <c r="CD24" s="536">
        <f>CD21-CD23</f>
        <v>-8854932.0205563195</v>
      </c>
      <c r="CE24" s="448">
        <f t="shared" si="1"/>
        <v>13</v>
      </c>
      <c r="CF24" s="450" t="s">
        <v>451</v>
      </c>
      <c r="CG24" s="558">
        <f>FIT</f>
        <v>0.21</v>
      </c>
      <c r="CH24" s="380"/>
      <c r="CI24" s="510">
        <f>CI22*CG24</f>
        <v>1453.879349999997</v>
      </c>
      <c r="CJ24" s="448">
        <f t="shared" si="16"/>
        <v>13</v>
      </c>
      <c r="CK24" s="450" t="s">
        <v>385</v>
      </c>
      <c r="CL24" s="540"/>
      <c r="CM24" s="540"/>
      <c r="CN24" s="591">
        <f>-CN21-CN23</f>
        <v>167530.56</v>
      </c>
      <c r="CO24" s="375"/>
      <c r="CP24" s="375"/>
      <c r="CQ24" s="375"/>
      <c r="CR24" s="375"/>
      <c r="CS24" s="375"/>
      <c r="CT24" s="448">
        <f t="shared" si="18"/>
        <v>13</v>
      </c>
      <c r="CU24" s="450" t="s">
        <v>385</v>
      </c>
      <c r="CV24" s="540"/>
      <c r="CW24" s="540"/>
      <c r="CX24" s="591">
        <f>-CX21-CX23</f>
        <v>127011.0176342465</v>
      </c>
      <c r="DC24" s="377"/>
      <c r="DD24" s="448">
        <f t="shared" si="21"/>
        <v>11</v>
      </c>
      <c r="DE24" s="450" t="s">
        <v>466</v>
      </c>
      <c r="DF24" s="486">
        <v>199106695.59</v>
      </c>
      <c r="DG24" s="476">
        <v>0</v>
      </c>
      <c r="DH24" s="476">
        <v>0</v>
      </c>
      <c r="DI24" s="476">
        <v>0</v>
      </c>
      <c r="DJ24" s="476">
        <v>0</v>
      </c>
      <c r="DK24" s="476">
        <v>0</v>
      </c>
      <c r="DL24" s="476"/>
      <c r="DM24" s="476">
        <v>0</v>
      </c>
      <c r="DN24" s="476"/>
      <c r="DO24" s="476">
        <v>0</v>
      </c>
      <c r="DP24" s="476">
        <v>0</v>
      </c>
      <c r="DQ24" s="476">
        <v>0</v>
      </c>
      <c r="DR24" s="448">
        <f t="shared" si="22"/>
        <v>11</v>
      </c>
      <c r="DS24" s="450" t="s">
        <v>466</v>
      </c>
      <c r="DT24" s="476">
        <v>0</v>
      </c>
      <c r="DU24" s="476"/>
      <c r="DV24" s="476">
        <v>0</v>
      </c>
      <c r="DW24" s="476"/>
      <c r="DX24" s="476">
        <f>CD13</f>
        <v>0</v>
      </c>
      <c r="DY24" s="476">
        <v>0</v>
      </c>
      <c r="DZ24" s="476"/>
      <c r="EA24" s="476"/>
      <c r="EB24" s="476"/>
      <c r="EC24" s="476">
        <f t="shared" si="24"/>
        <v>0</v>
      </c>
      <c r="ED24" s="448">
        <f t="shared" si="23"/>
        <v>11</v>
      </c>
      <c r="EE24" s="450" t="s">
        <v>467</v>
      </c>
      <c r="EF24" s="488">
        <f>+DF24</f>
        <v>199106695.59</v>
      </c>
      <c r="EG24" s="488">
        <f>+EC24</f>
        <v>0</v>
      </c>
      <c r="EH24" s="476">
        <f>SUM(EF24:EG24)</f>
        <v>199106695.59</v>
      </c>
    </row>
    <row r="25" spans="1:138" ht="15" customHeight="1" thickTop="1" thickBot="1">
      <c r="A25" s="469">
        <f t="shared" si="0"/>
        <v>15</v>
      </c>
      <c r="B25" s="110">
        <v>44166</v>
      </c>
      <c r="C25" s="506">
        <v>1932413961.9789999</v>
      </c>
      <c r="D25" s="506">
        <v>2022016177.2666292</v>
      </c>
      <c r="E25" s="506">
        <f t="shared" si="19"/>
        <v>89602215.287629366</v>
      </c>
      <c r="F25" s="375"/>
      <c r="H25" s="469">
        <f t="shared" si="25"/>
        <v>14</v>
      </c>
      <c r="I25" s="450" t="s">
        <v>468</v>
      </c>
      <c r="J25" s="583">
        <f>UTN</f>
        <v>3.8445E-2</v>
      </c>
      <c r="K25" s="520">
        <f>L20*J25</f>
        <v>2073692.4732611999</v>
      </c>
      <c r="L25" s="373"/>
      <c r="M25" s="448">
        <f t="shared" si="5"/>
        <v>14</v>
      </c>
      <c r="N25" s="450" t="s">
        <v>469</v>
      </c>
      <c r="O25" s="479">
        <f>O21+O22+O23+O24</f>
        <v>110772213.61999997</v>
      </c>
      <c r="P25" s="448"/>
      <c r="T25" s="448">
        <v>14</v>
      </c>
      <c r="U25" s="483" t="s">
        <v>470</v>
      </c>
      <c r="V25" s="465"/>
      <c r="W25" s="474"/>
      <c r="X25" s="560">
        <v>4594209.1748102978</v>
      </c>
      <c r="Y25" s="448">
        <v>14</v>
      </c>
      <c r="Z25" s="450" t="s">
        <v>429</v>
      </c>
      <c r="AA25" s="568">
        <f>+AA23-AA24</f>
        <v>-190416.92</v>
      </c>
      <c r="AB25" s="602">
        <f>+AA25</f>
        <v>-190416.92</v>
      </c>
      <c r="AC25" s="448">
        <f t="shared" si="7"/>
        <v>14</v>
      </c>
      <c r="AD25" s="111" t="s">
        <v>429</v>
      </c>
      <c r="AJ25" s="603"/>
      <c r="AK25" s="474">
        <f>ROUND(AJ22-AJ24,0)</f>
        <v>-1942804</v>
      </c>
      <c r="AQ25" s="448">
        <v>14</v>
      </c>
      <c r="AR25" s="111"/>
      <c r="AS25" s="604"/>
      <c r="AT25" s="547"/>
      <c r="AU25" s="450"/>
      <c r="AV25" s="450"/>
      <c r="AW25" s="450"/>
      <c r="AX25" s="605"/>
      <c r="AY25" s="535"/>
      <c r="BI25" s="474"/>
      <c r="BJ25" s="474"/>
      <c r="BK25" s="474"/>
      <c r="BL25" s="474"/>
      <c r="BM25" s="474"/>
      <c r="BS25" s="448">
        <f t="shared" si="13"/>
        <v>14</v>
      </c>
      <c r="BU25" s="373"/>
      <c r="BV25" s="373"/>
      <c r="BW25" s="373"/>
      <c r="BX25" s="373"/>
      <c r="BY25" s="373"/>
      <c r="BZ25" s="448">
        <f t="shared" si="14"/>
        <v>14</v>
      </c>
      <c r="CE25" s="448">
        <f t="shared" si="1"/>
        <v>14</v>
      </c>
      <c r="CF25" s="450" t="s">
        <v>385</v>
      </c>
      <c r="CG25" s="558"/>
      <c r="CH25" s="500"/>
      <c r="CI25" s="536">
        <f>CI22-CI24</f>
        <v>5469.3556499999886</v>
      </c>
      <c r="CJ25" s="540"/>
      <c r="CO25" s="375"/>
      <c r="CP25" s="375"/>
      <c r="CQ25" s="375"/>
      <c r="CR25" s="375"/>
      <c r="CS25" s="375"/>
      <c r="CT25" s="540"/>
      <c r="DC25" s="606"/>
      <c r="DD25" s="448">
        <f t="shared" si="21"/>
        <v>12</v>
      </c>
      <c r="DE25" s="450" t="s">
        <v>471</v>
      </c>
      <c r="DF25" s="501">
        <v>547792785.23000002</v>
      </c>
      <c r="DG25" s="462"/>
      <c r="DH25" s="462"/>
      <c r="DI25" s="462"/>
      <c r="DJ25" s="462"/>
      <c r="DK25" s="462">
        <f>SUM(X42,X46)</f>
        <v>-7908273.9499999993</v>
      </c>
      <c r="DL25" s="462"/>
      <c r="DM25" s="462"/>
      <c r="DN25" s="462"/>
      <c r="DO25" s="462"/>
      <c r="DP25" s="462"/>
      <c r="DQ25" s="462"/>
      <c r="DR25" s="448">
        <f t="shared" si="22"/>
        <v>12</v>
      </c>
      <c r="DS25" s="450" t="s">
        <v>471</v>
      </c>
      <c r="DT25" s="462"/>
      <c r="DU25" s="462"/>
      <c r="DV25" s="462"/>
      <c r="DW25" s="462"/>
      <c r="DX25" s="462">
        <f>SUM(CD14:CD14)</f>
        <v>11208774.709564961</v>
      </c>
      <c r="DY25" s="462"/>
      <c r="DZ25" s="462"/>
      <c r="EA25" s="462"/>
      <c r="EB25" s="462"/>
      <c r="EC25" s="462">
        <f t="shared" si="24"/>
        <v>3300500.7595649622</v>
      </c>
      <c r="ED25" s="448">
        <f t="shared" si="23"/>
        <v>12</v>
      </c>
      <c r="EE25" s="450" t="s">
        <v>472</v>
      </c>
      <c r="EF25" s="373">
        <f>+DF25</f>
        <v>547792785.23000002</v>
      </c>
      <c r="EG25" s="373">
        <f>+EC25</f>
        <v>3300500.7595649622</v>
      </c>
      <c r="EH25" s="462">
        <f>SUM(EF25:EG25)</f>
        <v>551093285.98956501</v>
      </c>
    </row>
    <row r="26" spans="1:138" ht="15" customHeight="1" thickTop="1" thickBot="1">
      <c r="A26" s="469">
        <f t="shared" si="0"/>
        <v>16</v>
      </c>
      <c r="C26" s="607">
        <f>SUM(C14:C25)</f>
        <v>19639195411.624001</v>
      </c>
      <c r="D26" s="607">
        <f>SUM(D14:D25)</f>
        <v>19793260369.204735</v>
      </c>
      <c r="E26" s="607">
        <f>SUM(E14:E25)</f>
        <v>154064957.58073664</v>
      </c>
      <c r="F26" s="375"/>
      <c r="H26" s="469">
        <f t="shared" si="25"/>
        <v>15</v>
      </c>
      <c r="I26" s="516" t="s">
        <v>473</v>
      </c>
      <c r="K26" s="479"/>
      <c r="L26" s="373"/>
      <c r="M26" s="448">
        <f t="shared" si="5"/>
        <v>15</v>
      </c>
      <c r="O26" s="479"/>
      <c r="P26" s="448"/>
      <c r="Q26" s="375"/>
      <c r="R26" s="375"/>
      <c r="S26" s="375"/>
      <c r="T26" s="448">
        <v>15</v>
      </c>
      <c r="U26" s="483" t="s">
        <v>474</v>
      </c>
      <c r="V26" s="465"/>
      <c r="W26" s="474"/>
      <c r="X26" s="510">
        <v>-11271981.810822034</v>
      </c>
      <c r="Y26" s="448">
        <v>15</v>
      </c>
      <c r="AB26" s="543"/>
      <c r="AC26" s="448">
        <f t="shared" si="7"/>
        <v>15</v>
      </c>
      <c r="AJ26" s="603"/>
      <c r="AQ26" s="448">
        <v>15</v>
      </c>
      <c r="AR26" s="111" t="s">
        <v>465</v>
      </c>
      <c r="AS26" s="111"/>
      <c r="AT26" s="579">
        <f>AT22-AT24</f>
        <v>109951.43120000232</v>
      </c>
      <c r="AU26" s="450"/>
      <c r="AV26" s="450"/>
      <c r="AW26" s="450"/>
      <c r="AX26" s="450"/>
      <c r="AY26" s="535"/>
      <c r="BI26" s="375"/>
      <c r="BJ26" s="375"/>
      <c r="BK26" s="375"/>
      <c r="BL26" s="375"/>
      <c r="BM26" s="375"/>
      <c r="BS26" s="448">
        <f t="shared" si="13"/>
        <v>15</v>
      </c>
      <c r="BT26" s="562" t="s">
        <v>475</v>
      </c>
      <c r="BU26" s="560">
        <f>BU21-BU24</f>
        <v>-700152.89166666672</v>
      </c>
      <c r="BV26" s="560">
        <f>BV21-BV24</f>
        <v>397987.70499999821</v>
      </c>
      <c r="BW26" s="560">
        <f>BW21-BW24</f>
        <v>-21681.551666666666</v>
      </c>
      <c r="BX26" s="560">
        <f>BX21-BX24</f>
        <v>-66093.093333333323</v>
      </c>
      <c r="BY26" s="560">
        <f>BY21-BY24</f>
        <v>-389939.83166666515</v>
      </c>
      <c r="BZ26" s="448">
        <f t="shared" si="14"/>
        <v>15</v>
      </c>
      <c r="CE26" s="458"/>
      <c r="CH26" s="378"/>
      <c r="CJ26" s="540"/>
      <c r="CK26" s="375"/>
      <c r="CL26" s="375"/>
      <c r="CM26" s="375"/>
      <c r="CN26" s="375"/>
      <c r="CO26" s="540"/>
      <c r="CP26" s="375"/>
      <c r="CQ26" s="375"/>
      <c r="CR26" s="375"/>
      <c r="CS26" s="375"/>
      <c r="CT26" s="540"/>
      <c r="CU26" s="375"/>
      <c r="CV26" s="375"/>
      <c r="CW26" s="375"/>
      <c r="CX26" s="375"/>
      <c r="DC26" s="377"/>
      <c r="DD26" s="448">
        <f t="shared" si="21"/>
        <v>13</v>
      </c>
      <c r="DE26" s="450" t="s">
        <v>476</v>
      </c>
      <c r="DF26" s="501">
        <v>123613131.13</v>
      </c>
      <c r="DG26" s="462"/>
      <c r="DH26" s="462"/>
      <c r="DI26" s="462"/>
      <c r="DJ26" s="462"/>
      <c r="DK26" s="462"/>
      <c r="DL26" s="462"/>
      <c r="DM26" s="462"/>
      <c r="DN26" s="462"/>
      <c r="DO26" s="462"/>
      <c r="DP26" s="462"/>
      <c r="DQ26" s="462"/>
      <c r="DR26" s="448">
        <f t="shared" si="22"/>
        <v>13</v>
      </c>
      <c r="DS26" s="450" t="s">
        <v>476</v>
      </c>
      <c r="DT26" s="462"/>
      <c r="DU26" s="462"/>
      <c r="DV26" s="462"/>
      <c r="DW26" s="462"/>
      <c r="DX26" s="462"/>
      <c r="DY26" s="462"/>
      <c r="DZ26" s="462"/>
      <c r="EA26" s="462"/>
      <c r="EB26" s="462"/>
      <c r="EC26" s="462">
        <f t="shared" si="24"/>
        <v>0</v>
      </c>
      <c r="ED26" s="448">
        <f t="shared" si="23"/>
        <v>13</v>
      </c>
      <c r="EE26" s="450" t="s">
        <v>477</v>
      </c>
      <c r="EF26" s="373">
        <f>+DF26</f>
        <v>123613131.13</v>
      </c>
      <c r="EG26" s="373">
        <f>+EC26</f>
        <v>0</v>
      </c>
      <c r="EH26" s="462">
        <f>SUM(EF26:EG26)</f>
        <v>123613131.13</v>
      </c>
    </row>
    <row r="27" spans="1:138" ht="15" customHeight="1" thickTop="1">
      <c r="A27" s="469">
        <f t="shared" si="0"/>
        <v>17</v>
      </c>
      <c r="C27" s="378"/>
      <c r="D27" s="378"/>
      <c r="F27" s="375"/>
      <c r="H27" s="469">
        <f t="shared" si="25"/>
        <v>16</v>
      </c>
      <c r="I27" s="450"/>
      <c r="L27" s="560">
        <f>SUM(K25:K25)</f>
        <v>2073692.4732611999</v>
      </c>
      <c r="M27" s="448">
        <f t="shared" si="5"/>
        <v>16</v>
      </c>
      <c r="N27" s="450" t="s">
        <v>478</v>
      </c>
      <c r="O27" s="479">
        <f>O15-O21</f>
        <v>33418500.073694855</v>
      </c>
      <c r="P27" s="448"/>
      <c r="Q27" s="375"/>
      <c r="R27" s="375"/>
      <c r="S27" s="375"/>
      <c r="T27" s="448">
        <v>16</v>
      </c>
      <c r="U27" s="502" t="s">
        <v>479</v>
      </c>
      <c r="V27" s="608"/>
      <c r="W27" s="554"/>
      <c r="X27" s="474">
        <f>SUM(X13:X26)</f>
        <v>163359459.15477911</v>
      </c>
      <c r="Y27" s="448">
        <v>16</v>
      </c>
      <c r="Z27" s="450"/>
      <c r="AA27" s="373"/>
      <c r="AB27" s="602"/>
      <c r="AC27" s="448">
        <f t="shared" si="7"/>
        <v>16</v>
      </c>
      <c r="AD27" s="111" t="s">
        <v>385</v>
      </c>
      <c r="AK27" s="488">
        <f>-AK25</f>
        <v>1942804</v>
      </c>
      <c r="AQ27" s="448"/>
      <c r="AR27" s="111"/>
      <c r="AS27" s="111"/>
      <c r="AT27" s="506"/>
      <c r="AU27" s="450"/>
      <c r="AV27" s="450"/>
      <c r="AW27" s="450"/>
      <c r="AX27" s="450"/>
      <c r="AY27" s="535"/>
      <c r="AZ27" s="458"/>
      <c r="BA27" s="448"/>
      <c r="BB27" s="448"/>
      <c r="BC27" s="488"/>
      <c r="BD27" s="488"/>
      <c r="BI27" s="375"/>
      <c r="BJ27" s="375"/>
      <c r="BK27" s="375"/>
      <c r="BL27" s="375"/>
      <c r="BM27" s="375"/>
      <c r="BS27" s="448">
        <f t="shared" si="13"/>
        <v>16</v>
      </c>
      <c r="BU27" s="373"/>
      <c r="BV27" s="373"/>
      <c r="BW27" s="373"/>
      <c r="BX27" s="373"/>
      <c r="BY27" s="373"/>
      <c r="BZ27" s="448">
        <f t="shared" si="14"/>
        <v>16</v>
      </c>
      <c r="CA27" s="375"/>
      <c r="CB27" s="375"/>
      <c r="CC27" s="375"/>
      <c r="CD27" s="375"/>
      <c r="CJ27" s="560"/>
      <c r="CK27" s="375"/>
      <c r="CL27" s="375"/>
      <c r="CM27" s="375"/>
      <c r="CN27" s="375"/>
      <c r="CO27" s="560"/>
      <c r="CP27" s="405"/>
      <c r="CQ27" s="375"/>
      <c r="CR27" s="375"/>
      <c r="CS27" s="375"/>
      <c r="CT27" s="560"/>
      <c r="CU27" s="405"/>
      <c r="CV27" s="375"/>
      <c r="CW27" s="375"/>
      <c r="CX27" s="375"/>
      <c r="DC27" s="377"/>
      <c r="DD27" s="448">
        <f t="shared" si="21"/>
        <v>14</v>
      </c>
      <c r="DE27" s="111" t="s">
        <v>480</v>
      </c>
      <c r="DF27" s="517">
        <v>-80293647.069999993</v>
      </c>
      <c r="DG27" s="517"/>
      <c r="DH27" s="517"/>
      <c r="DI27" s="517"/>
      <c r="DJ27" s="517"/>
      <c r="DK27" s="517">
        <f>X40</f>
        <v>80293647.069999993</v>
      </c>
      <c r="DL27" s="517"/>
      <c r="DM27" s="517"/>
      <c r="DN27" s="517"/>
      <c r="DO27" s="517"/>
      <c r="DP27" s="517"/>
      <c r="DQ27" s="517"/>
      <c r="DR27" s="448">
        <f t="shared" si="22"/>
        <v>14</v>
      </c>
      <c r="DS27" s="111" t="s">
        <v>480</v>
      </c>
      <c r="DT27" s="517"/>
      <c r="DU27" s="517"/>
      <c r="DV27" s="517"/>
      <c r="DW27" s="517"/>
      <c r="DX27" s="517"/>
      <c r="DY27" s="517"/>
      <c r="DZ27" s="517"/>
      <c r="EA27" s="517"/>
      <c r="EB27" s="517"/>
      <c r="EC27" s="517">
        <f t="shared" si="24"/>
        <v>80293647.069999993</v>
      </c>
      <c r="ED27" s="448">
        <f t="shared" si="23"/>
        <v>14</v>
      </c>
      <c r="EE27" s="111" t="s">
        <v>481</v>
      </c>
      <c r="EF27" s="510">
        <f>+DF27</f>
        <v>-80293647.069999993</v>
      </c>
      <c r="EG27" s="510">
        <f>+EC27</f>
        <v>80293647.069999993</v>
      </c>
      <c r="EH27" s="517">
        <f>SUM(EF27:EG27)</f>
        <v>0</v>
      </c>
    </row>
    <row r="28" spans="1:138" ht="15" customHeight="1">
      <c r="A28" s="469">
        <f t="shared" si="0"/>
        <v>18</v>
      </c>
      <c r="B28" s="111" t="s">
        <v>482</v>
      </c>
      <c r="C28" s="111" t="s">
        <v>483</v>
      </c>
      <c r="D28" s="500"/>
      <c r="E28" s="609">
        <v>138904345.51954228</v>
      </c>
      <c r="F28" s="609">
        <v>5457371</v>
      </c>
      <c r="H28" s="469">
        <f t="shared" si="25"/>
        <v>17</v>
      </c>
      <c r="I28" s="450"/>
      <c r="K28" s="500"/>
      <c r="L28" s="560"/>
      <c r="M28" s="448">
        <f t="shared" si="5"/>
        <v>17</v>
      </c>
      <c r="N28" s="450" t="s">
        <v>484</v>
      </c>
      <c r="O28" s="479">
        <f>O17+O18-O22-O23-O24</f>
        <v>-60852082.353969991</v>
      </c>
      <c r="P28" s="448"/>
      <c r="Q28" s="375"/>
      <c r="R28" s="375"/>
      <c r="S28" s="375"/>
      <c r="T28" s="448">
        <v>17</v>
      </c>
      <c r="U28" s="610"/>
      <c r="V28" s="465"/>
      <c r="X28" s="611"/>
      <c r="Y28" s="448">
        <v>17</v>
      </c>
      <c r="Z28" s="450" t="s">
        <v>485</v>
      </c>
      <c r="AA28" s="373"/>
      <c r="AB28" s="486">
        <f>+AB19+AB25</f>
        <v>-436053.45900000003</v>
      </c>
      <c r="AC28" s="448">
        <f t="shared" si="7"/>
        <v>17</v>
      </c>
      <c r="AD28" s="111" t="s">
        <v>408</v>
      </c>
      <c r="AJ28" s="558">
        <f>FIT</f>
        <v>0.21</v>
      </c>
      <c r="AK28" s="549">
        <f>ROUND(-AK25*AJ28,0)</f>
        <v>407989</v>
      </c>
      <c r="AQ28" s="448"/>
      <c r="AR28" s="111"/>
      <c r="AS28" s="111"/>
      <c r="AT28" s="506"/>
      <c r="AU28" s="474"/>
      <c r="AV28" s="474"/>
      <c r="AW28" s="474"/>
      <c r="AX28" s="474"/>
      <c r="AY28" s="474"/>
      <c r="AZ28" s="458"/>
      <c r="BA28" s="448"/>
      <c r="BB28" s="448"/>
      <c r="BD28" s="612"/>
      <c r="BI28" s="375"/>
      <c r="BJ28" s="375"/>
      <c r="BK28" s="375"/>
      <c r="BL28" s="375"/>
      <c r="BM28" s="375"/>
      <c r="BS28" s="448">
        <f t="shared" si="13"/>
        <v>17</v>
      </c>
      <c r="BT28" s="505" t="s">
        <v>486</v>
      </c>
      <c r="BU28" s="558">
        <f>FIT</f>
        <v>0.21</v>
      </c>
      <c r="BV28" s="373"/>
      <c r="BW28" s="373"/>
      <c r="BX28" s="373"/>
      <c r="BY28" s="510">
        <f>-BY26*BU28</f>
        <v>81887.364649999683</v>
      </c>
      <c r="BZ28" s="448">
        <f t="shared" si="14"/>
        <v>17</v>
      </c>
      <c r="CA28" s="375"/>
      <c r="CB28" s="375"/>
      <c r="CC28" s="375"/>
      <c r="CD28" s="375"/>
      <c r="CJ28" s="474"/>
      <c r="CK28" s="375"/>
      <c r="CL28" s="375"/>
      <c r="CM28" s="375"/>
      <c r="CN28" s="375"/>
      <c r="CO28" s="474"/>
      <c r="CP28" s="375"/>
      <c r="CQ28" s="375"/>
      <c r="CR28" s="375"/>
      <c r="CS28" s="375"/>
      <c r="CT28" s="474"/>
      <c r="CU28" s="375"/>
      <c r="CV28" s="375"/>
      <c r="CW28" s="375"/>
      <c r="CX28" s="375"/>
      <c r="DC28" s="377"/>
      <c r="DD28" s="448">
        <f t="shared" si="21"/>
        <v>15</v>
      </c>
      <c r="DE28" s="450" t="s">
        <v>487</v>
      </c>
      <c r="DF28" s="488">
        <f t="shared" ref="DF28:DK28" si="28">SUM(DF24:DF27)</f>
        <v>790218964.88000011</v>
      </c>
      <c r="DG28" s="488">
        <f t="shared" si="28"/>
        <v>0</v>
      </c>
      <c r="DH28" s="488">
        <f t="shared" si="28"/>
        <v>0</v>
      </c>
      <c r="DI28" s="488">
        <f t="shared" si="28"/>
        <v>0</v>
      </c>
      <c r="DJ28" s="488">
        <f t="shared" si="28"/>
        <v>0</v>
      </c>
      <c r="DK28" s="488">
        <f t="shared" si="28"/>
        <v>72385373.11999999</v>
      </c>
      <c r="DL28" s="488"/>
      <c r="DM28" s="488">
        <f>SUM(DM24:DM27)</f>
        <v>0</v>
      </c>
      <c r="DN28" s="488">
        <f>SUM(DN23:DN27)</f>
        <v>0</v>
      </c>
      <c r="DO28" s="488">
        <f>SUM(DO23:DO27)</f>
        <v>0</v>
      </c>
      <c r="DP28" s="488">
        <f>SUM(DP24:DP27)</f>
        <v>0</v>
      </c>
      <c r="DQ28" s="488">
        <f>SUM(DQ23:DQ27)</f>
        <v>0</v>
      </c>
      <c r="DR28" s="448">
        <f t="shared" si="22"/>
        <v>15</v>
      </c>
      <c r="DS28" s="450" t="s">
        <v>487</v>
      </c>
      <c r="DT28" s="488">
        <f>SUM(DT23:DT27)</f>
        <v>0</v>
      </c>
      <c r="DU28" s="488">
        <f>SUM(DU23:DU27)</f>
        <v>0</v>
      </c>
      <c r="DV28" s="488">
        <f>SUM(DV23:DV27)</f>
        <v>0</v>
      </c>
      <c r="DW28" s="488">
        <f>SUM(DW23:DW27)</f>
        <v>0</v>
      </c>
      <c r="DX28" s="488">
        <f>SUM(DX24:DX27)</f>
        <v>11208774.709564961</v>
      </c>
      <c r="DY28" s="488">
        <f>SUM(DY23:DY27)</f>
        <v>0</v>
      </c>
      <c r="DZ28" s="488">
        <f>SUM(DZ23:DZ27)</f>
        <v>0</v>
      </c>
      <c r="EA28" s="488">
        <f>SUM(EA23:EA27)</f>
        <v>0</v>
      </c>
      <c r="EB28" s="488">
        <f>SUM(EB23:EB27)</f>
        <v>0</v>
      </c>
      <c r="EC28" s="576">
        <f t="shared" si="24"/>
        <v>83594147.829564959</v>
      </c>
      <c r="ED28" s="448">
        <f t="shared" si="23"/>
        <v>15</v>
      </c>
      <c r="EE28" s="450" t="s">
        <v>487</v>
      </c>
      <c r="EF28" s="576">
        <f>SUM(EF24:EF27)</f>
        <v>790218964.88000011</v>
      </c>
      <c r="EG28" s="576">
        <f>SUM(EG24:EG27)</f>
        <v>83594147.829564959</v>
      </c>
      <c r="EH28" s="576">
        <f>SUM(EH24:EH27)</f>
        <v>873813112.70956504</v>
      </c>
    </row>
    <row r="29" spans="1:138" ht="15" customHeight="1" thickBot="1">
      <c r="A29" s="469">
        <f t="shared" si="0"/>
        <v>19</v>
      </c>
      <c r="C29" s="111" t="s">
        <v>488</v>
      </c>
      <c r="E29" s="609">
        <v>11643751.008277815</v>
      </c>
      <c r="F29" s="609">
        <v>451016</v>
      </c>
      <c r="H29" s="469">
        <f t="shared" si="25"/>
        <v>18</v>
      </c>
      <c r="I29" s="450"/>
      <c r="K29" s="500"/>
      <c r="L29" s="560"/>
      <c r="M29" s="448">
        <f t="shared" si="5"/>
        <v>18</v>
      </c>
      <c r="N29" s="450" t="s">
        <v>489</v>
      </c>
      <c r="O29" s="591">
        <f>-SUM(O27:O28)</f>
        <v>27433582.280275136</v>
      </c>
      <c r="P29" s="448"/>
      <c r="Q29" s="375"/>
      <c r="R29" s="375"/>
      <c r="S29" s="375"/>
      <c r="T29" s="448">
        <v>18</v>
      </c>
      <c r="U29" s="613" t="s">
        <v>490</v>
      </c>
      <c r="V29" s="465"/>
      <c r="X29" s="614"/>
      <c r="Y29" s="448">
        <v>18</v>
      </c>
      <c r="Z29" s="615"/>
      <c r="AA29" s="373"/>
      <c r="AB29" s="616"/>
      <c r="AC29" s="448">
        <f t="shared" si="7"/>
        <v>18</v>
      </c>
      <c r="AD29" s="483" t="s">
        <v>385</v>
      </c>
      <c r="AK29" s="536">
        <f>AK27-AK28</f>
        <v>1534815</v>
      </c>
      <c r="AQ29" s="111"/>
      <c r="AR29" s="111"/>
      <c r="AS29" s="111"/>
      <c r="AT29" s="111"/>
      <c r="AU29" s="111"/>
      <c r="AV29" s="111"/>
      <c r="AW29" s="111"/>
      <c r="AX29" s="111"/>
      <c r="AY29" s="111"/>
      <c r="BC29" s="584"/>
      <c r="BD29" s="617"/>
      <c r="BE29" s="448"/>
      <c r="BI29" s="375"/>
      <c r="BJ29" s="375"/>
      <c r="BK29" s="375"/>
      <c r="BL29" s="375"/>
      <c r="BM29" s="375"/>
      <c r="BS29" s="448">
        <f t="shared" si="13"/>
        <v>18</v>
      </c>
      <c r="BU29" s="373"/>
      <c r="BV29" s="373"/>
      <c r="BW29" s="373"/>
      <c r="BX29" s="373"/>
      <c r="BY29" s="373"/>
      <c r="BZ29" s="448">
        <f t="shared" si="14"/>
        <v>18</v>
      </c>
      <c r="CA29" s="618" t="s">
        <v>491</v>
      </c>
      <c r="CB29" s="619"/>
      <c r="CC29" s="619"/>
      <c r="CD29" s="619"/>
      <c r="CJ29" s="465"/>
      <c r="CK29" s="375"/>
      <c r="CL29" s="375"/>
      <c r="CM29" s="375"/>
      <c r="CN29" s="375"/>
      <c r="CO29" s="465"/>
      <c r="CP29" s="375"/>
      <c r="CQ29" s="375"/>
      <c r="CR29" s="375"/>
      <c r="CS29" s="375"/>
      <c r="CT29" s="465"/>
      <c r="CU29" s="375"/>
      <c r="CV29" s="375"/>
      <c r="CW29" s="375"/>
      <c r="CX29" s="375"/>
      <c r="DC29" s="377"/>
      <c r="DD29" s="448">
        <f t="shared" si="21"/>
        <v>16</v>
      </c>
      <c r="DE29" s="450"/>
      <c r="DF29" s="458"/>
      <c r="DG29" s="458"/>
      <c r="DH29" s="458"/>
      <c r="DI29" s="458"/>
      <c r="DJ29" s="458"/>
      <c r="DK29" s="458"/>
      <c r="DL29" s="458"/>
      <c r="DM29" s="458"/>
      <c r="DN29" s="458"/>
      <c r="DO29" s="458"/>
      <c r="DP29" s="458"/>
      <c r="DQ29" s="458"/>
      <c r="DR29" s="448">
        <f t="shared" si="22"/>
        <v>16</v>
      </c>
      <c r="DS29" s="450"/>
      <c r="DT29" s="458"/>
      <c r="DU29" s="458"/>
      <c r="DV29" s="458"/>
      <c r="DW29" s="458"/>
      <c r="DX29" s="458"/>
      <c r="DY29" s="458"/>
      <c r="DZ29" s="458"/>
      <c r="EA29" s="458"/>
      <c r="EB29" s="458"/>
      <c r="EC29" s="458"/>
      <c r="ED29" s="448">
        <f t="shared" si="23"/>
        <v>16</v>
      </c>
      <c r="EE29" s="450"/>
      <c r="EF29" s="488"/>
      <c r="EG29" s="488"/>
      <c r="EH29" s="458"/>
    </row>
    <row r="30" spans="1:138" ht="15" customHeight="1" thickTop="1" thickBot="1">
      <c r="A30" s="469">
        <f t="shared" si="0"/>
        <v>20</v>
      </c>
      <c r="B30" s="448"/>
      <c r="C30" s="111" t="s">
        <v>492</v>
      </c>
      <c r="E30" s="609">
        <v>3933769.4191055456</v>
      </c>
      <c r="F30" s="609">
        <v>163178</v>
      </c>
      <c r="H30" s="469">
        <f t="shared" si="25"/>
        <v>19</v>
      </c>
      <c r="I30" s="385" t="s">
        <v>493</v>
      </c>
      <c r="K30" s="500"/>
      <c r="L30" s="560"/>
      <c r="P30" s="448"/>
      <c r="Q30" s="375"/>
      <c r="R30" s="375"/>
      <c r="S30" s="375"/>
      <c r="T30" s="448">
        <v>19</v>
      </c>
      <c r="U30" s="483" t="s">
        <v>233</v>
      </c>
      <c r="W30" s="620">
        <f>BD</f>
        <v>7.4689999999999999E-3</v>
      </c>
      <c r="X30" s="488">
        <f>-SUM(X13:X18,X22,X23,X24,X25,X26)*W30</f>
        <v>-1202398.3692017887</v>
      </c>
      <c r="Y30" s="448">
        <v>19</v>
      </c>
      <c r="Z30" s="615" t="s">
        <v>458</v>
      </c>
      <c r="AA30" s="621">
        <f>FIT</f>
        <v>0.21</v>
      </c>
      <c r="AB30" s="549">
        <f>-AB28*AA30</f>
        <v>91571.226389999996</v>
      </c>
      <c r="AC30" s="448"/>
      <c r="AD30" s="380"/>
      <c r="AE30" s="380"/>
      <c r="AF30" s="380"/>
      <c r="AG30" s="380"/>
      <c r="AH30" s="380"/>
      <c r="AI30" s="380"/>
      <c r="AJ30" s="380"/>
      <c r="AK30" s="380"/>
      <c r="AQ30" s="111"/>
      <c r="AR30" s="111"/>
      <c r="AS30" s="111"/>
      <c r="AT30" s="111"/>
      <c r="AU30" s="111"/>
      <c r="AV30" s="111"/>
      <c r="AW30" s="111"/>
      <c r="AX30" s="111"/>
      <c r="AY30" s="111"/>
      <c r="BA30" s="375"/>
      <c r="BB30" s="375"/>
      <c r="BC30" s="375"/>
      <c r="BD30" s="454"/>
      <c r="BE30" s="448"/>
      <c r="BI30" s="375"/>
      <c r="BJ30" s="375"/>
      <c r="BK30" s="375"/>
      <c r="BL30" s="375"/>
      <c r="BM30" s="375"/>
      <c r="BS30" s="448">
        <f t="shared" si="13"/>
        <v>19</v>
      </c>
      <c r="BT30" s="505" t="s">
        <v>385</v>
      </c>
      <c r="BU30" s="373"/>
      <c r="BV30" s="373"/>
      <c r="BW30" s="373"/>
      <c r="BX30" s="373"/>
      <c r="BY30" s="571">
        <f>-BY26-BY28</f>
        <v>308052.4670166655</v>
      </c>
      <c r="BZ30" s="448">
        <f t="shared" si="14"/>
        <v>19</v>
      </c>
      <c r="CA30" s="622" t="s">
        <v>345</v>
      </c>
      <c r="CB30" s="623"/>
      <c r="CC30" s="624"/>
      <c r="CD30" s="624"/>
      <c r="CJ30" s="373"/>
      <c r="CK30" s="375"/>
      <c r="CL30" s="375"/>
      <c r="CM30" s="375"/>
      <c r="CN30" s="375"/>
      <c r="CO30" s="373"/>
      <c r="CP30" s="375"/>
      <c r="CQ30" s="375"/>
      <c r="CR30" s="375"/>
      <c r="CS30" s="375"/>
      <c r="CT30" s="373"/>
      <c r="CU30" s="375"/>
      <c r="CV30" s="375"/>
      <c r="CW30" s="375"/>
      <c r="CX30" s="375"/>
      <c r="DC30" s="377"/>
      <c r="DD30" s="448">
        <f t="shared" si="21"/>
        <v>17</v>
      </c>
      <c r="DE30" s="516" t="s">
        <v>494</v>
      </c>
      <c r="DF30" s="486">
        <v>113661879.16999999</v>
      </c>
      <c r="DG30" s="476">
        <v>0</v>
      </c>
      <c r="DH30" s="476">
        <v>0</v>
      </c>
      <c r="DI30" s="476">
        <v>0</v>
      </c>
      <c r="DJ30" s="476">
        <v>0</v>
      </c>
      <c r="DK30" s="476"/>
      <c r="DL30" s="476"/>
      <c r="DM30" s="476">
        <v>0</v>
      </c>
      <c r="DN30" s="476"/>
      <c r="DO30" s="476">
        <v>0</v>
      </c>
      <c r="DP30" s="476">
        <v>0</v>
      </c>
      <c r="DQ30" s="476">
        <v>0</v>
      </c>
      <c r="DR30" s="448">
        <f t="shared" si="22"/>
        <v>17</v>
      </c>
      <c r="DS30" s="516" t="s">
        <v>494</v>
      </c>
      <c r="DT30" s="476">
        <v>0</v>
      </c>
      <c r="DU30" s="476"/>
      <c r="DV30" s="476">
        <v>0</v>
      </c>
      <c r="DW30" s="476"/>
      <c r="DX30" s="476">
        <f>+CD15</f>
        <v>0</v>
      </c>
      <c r="DY30" s="476">
        <v>0</v>
      </c>
      <c r="DZ30" s="476"/>
      <c r="EA30" s="476"/>
      <c r="EB30" s="476"/>
      <c r="EC30" s="476">
        <f t="shared" si="24"/>
        <v>0</v>
      </c>
      <c r="ED30" s="448">
        <f t="shared" si="23"/>
        <v>17</v>
      </c>
      <c r="EE30" s="590" t="s">
        <v>494</v>
      </c>
      <c r="EF30" s="488">
        <f t="shared" ref="EF30:EF44" si="29">+DF30</f>
        <v>113661879.16999999</v>
      </c>
      <c r="EG30" s="488">
        <f t="shared" ref="EG30:EG44" si="30">+EC30</f>
        <v>0</v>
      </c>
      <c r="EH30" s="476">
        <f t="shared" ref="EH30:EH44" si="31">SUM(EF30:EG30)</f>
        <v>113661879.16999999</v>
      </c>
    </row>
    <row r="31" spans="1:138" ht="15" customHeight="1" thickTop="1" thickBot="1">
      <c r="A31" s="469">
        <f t="shared" si="0"/>
        <v>21</v>
      </c>
      <c r="C31" s="450" t="s">
        <v>495</v>
      </c>
      <c r="D31" s="596"/>
      <c r="E31" s="609">
        <v>-3541008.2091077706</v>
      </c>
      <c r="F31" s="609">
        <v>-119859</v>
      </c>
      <c r="H31" s="469">
        <f t="shared" si="25"/>
        <v>20</v>
      </c>
      <c r="I31" s="472" t="s">
        <v>496</v>
      </c>
      <c r="K31" s="473">
        <v>29224716.27</v>
      </c>
      <c r="L31" s="560"/>
      <c r="P31" s="448"/>
      <c r="Q31" s="375"/>
      <c r="R31" s="375"/>
      <c r="S31" s="375"/>
      <c r="T31" s="448">
        <v>20</v>
      </c>
      <c r="U31" s="483" t="s">
        <v>361</v>
      </c>
      <c r="W31" s="620">
        <f>FF</f>
        <v>2E-3</v>
      </c>
      <c r="X31" s="625">
        <f>-SUM(X13:X18,X22:X25,X26)*W31</f>
        <v>-321970.37600797659</v>
      </c>
      <c r="Y31" s="448">
        <v>20</v>
      </c>
      <c r="Z31" s="615" t="s">
        <v>465</v>
      </c>
      <c r="AA31" s="373"/>
      <c r="AB31" s="568">
        <f>-AB28-AB30</f>
        <v>344482.23261000006</v>
      </c>
      <c r="AC31" s="448"/>
      <c r="AD31" s="380"/>
      <c r="AE31" s="380"/>
      <c r="AF31" s="380"/>
      <c r="AG31" s="380"/>
      <c r="AH31" s="380"/>
      <c r="AI31" s="380"/>
      <c r="AJ31" s="380"/>
      <c r="AK31" s="380"/>
      <c r="AQ31" s="588"/>
      <c r="AR31" s="588"/>
      <c r="AS31" s="588"/>
      <c r="AT31" s="588"/>
      <c r="AU31" s="588"/>
      <c r="AV31" s="588"/>
      <c r="AW31" s="588"/>
      <c r="AX31" s="588"/>
      <c r="AY31" s="588"/>
      <c r="BA31" s="450"/>
      <c r="BB31" s="502"/>
      <c r="BC31" s="375"/>
      <c r="BD31" s="454"/>
      <c r="BI31" s="375"/>
      <c r="BJ31" s="375"/>
      <c r="BK31" s="375"/>
      <c r="BL31" s="375"/>
      <c r="BM31" s="375"/>
      <c r="BS31" s="448"/>
      <c r="BT31" s="626"/>
      <c r="BU31" s="373"/>
      <c r="BV31" s="373"/>
      <c r="BW31" s="373"/>
      <c r="BX31" s="373"/>
      <c r="BY31" s="375"/>
      <c r="BZ31" s="448">
        <f t="shared" si="14"/>
        <v>20</v>
      </c>
      <c r="CA31" s="623" t="s">
        <v>358</v>
      </c>
      <c r="CB31" s="624">
        <v>199106695.59</v>
      </c>
      <c r="CC31" s="624">
        <f t="shared" ref="CC31:CC36" si="32">CB31+CD31</f>
        <v>199106695.59</v>
      </c>
      <c r="CD31" s="624">
        <v>0</v>
      </c>
      <c r="CK31" s="375"/>
      <c r="CL31" s="375"/>
      <c r="CM31" s="375"/>
      <c r="CN31" s="375"/>
      <c r="CP31" s="375"/>
      <c r="CQ31" s="375"/>
      <c r="CR31" s="375"/>
      <c r="CS31" s="375"/>
      <c r="CU31" s="375"/>
      <c r="CV31" s="375"/>
      <c r="CW31" s="375"/>
      <c r="CX31" s="375"/>
      <c r="DC31" s="377"/>
      <c r="DD31" s="448">
        <f t="shared" si="21"/>
        <v>18</v>
      </c>
      <c r="DE31" s="450" t="s">
        <v>497</v>
      </c>
      <c r="DF31" s="501">
        <v>23845214.529999997</v>
      </c>
      <c r="DG31" s="462"/>
      <c r="DH31" s="462"/>
      <c r="DI31" s="462"/>
      <c r="DJ31" s="462"/>
      <c r="DK31" s="462" t="s">
        <v>218</v>
      </c>
      <c r="DL31" s="462"/>
      <c r="DM31" s="462">
        <v>0</v>
      </c>
      <c r="DN31" s="462"/>
      <c r="DO31" s="462"/>
      <c r="DP31" s="462"/>
      <c r="DQ31" s="462"/>
      <c r="DR31" s="448">
        <f t="shared" si="22"/>
        <v>18</v>
      </c>
      <c r="DS31" s="450" t="s">
        <v>497</v>
      </c>
      <c r="DT31" s="462"/>
      <c r="DU31" s="462"/>
      <c r="DV31" s="462"/>
      <c r="DW31" s="462">
        <f>+BU26</f>
        <v>-700152.89166666672</v>
      </c>
      <c r="DX31" s="462"/>
      <c r="DY31" s="462"/>
      <c r="DZ31" s="462"/>
      <c r="EA31" s="462"/>
      <c r="EB31" s="462"/>
      <c r="EC31" s="462">
        <f t="shared" si="24"/>
        <v>-700152.89166666672</v>
      </c>
      <c r="ED31" s="448">
        <f t="shared" si="23"/>
        <v>18</v>
      </c>
      <c r="EE31" s="450" t="s">
        <v>497</v>
      </c>
      <c r="EF31" s="373">
        <f t="shared" si="29"/>
        <v>23845214.529999997</v>
      </c>
      <c r="EG31" s="373">
        <f t="shared" si="30"/>
        <v>-700152.89166666672</v>
      </c>
      <c r="EH31" s="462">
        <f t="shared" si="31"/>
        <v>23145061.638333332</v>
      </c>
    </row>
    <row r="32" spans="1:138" ht="15" customHeight="1" thickTop="1">
      <c r="A32" s="469">
        <f t="shared" si="0"/>
        <v>22</v>
      </c>
      <c r="C32" s="111" t="s">
        <v>498</v>
      </c>
      <c r="D32" s="450"/>
      <c r="E32" s="609">
        <v>0</v>
      </c>
      <c r="F32" s="609">
        <v>0</v>
      </c>
      <c r="H32" s="469">
        <f t="shared" si="25"/>
        <v>21</v>
      </c>
      <c r="I32" s="472" t="s">
        <v>499</v>
      </c>
      <c r="J32" s="627"/>
      <c r="K32" s="500">
        <v>0</v>
      </c>
      <c r="P32" s="448"/>
      <c r="Q32" s="375"/>
      <c r="R32" s="375"/>
      <c r="S32" s="375"/>
      <c r="T32" s="448">
        <v>21</v>
      </c>
      <c r="U32" s="483" t="s">
        <v>500</v>
      </c>
      <c r="W32" s="620">
        <f>UTN</f>
        <v>3.8445E-2</v>
      </c>
      <c r="X32" s="625">
        <f>-SUM(X13:X18,X22:X25,X26)*W32</f>
        <v>-6189075.5528133297</v>
      </c>
      <c r="AC32" s="448"/>
      <c r="AD32" s="380"/>
      <c r="AE32" s="380"/>
      <c r="AF32" s="380"/>
      <c r="AG32" s="380"/>
      <c r="AH32" s="380"/>
      <c r="AI32" s="380"/>
      <c r="AJ32" s="380"/>
      <c r="AK32" s="380"/>
      <c r="BI32" s="375"/>
      <c r="BJ32" s="375"/>
      <c r="BK32" s="375"/>
      <c r="BL32" s="375"/>
      <c r="BM32" s="375"/>
      <c r="BS32" s="626"/>
      <c r="BT32" s="626"/>
      <c r="BU32" s="626"/>
      <c r="BV32" s="626"/>
      <c r="BW32" s="626"/>
      <c r="BX32" s="626"/>
      <c r="BY32" s="628"/>
      <c r="BZ32" s="448">
        <f t="shared" si="14"/>
        <v>21</v>
      </c>
      <c r="CA32" s="623" t="s">
        <v>374</v>
      </c>
      <c r="CB32" s="629">
        <v>571217284.57000005</v>
      </c>
      <c r="CC32" s="624">
        <f t="shared" si="32"/>
        <v>576004341.55000007</v>
      </c>
      <c r="CD32" s="629">
        <v>4787056.9800000004</v>
      </c>
      <c r="CK32" s="375"/>
      <c r="CL32" s="375"/>
      <c r="CM32" s="375"/>
      <c r="CN32" s="375"/>
      <c r="CP32" s="375"/>
      <c r="CQ32" s="375"/>
      <c r="CR32" s="375"/>
      <c r="CS32" s="375"/>
      <c r="CU32" s="375"/>
      <c r="CV32" s="375"/>
      <c r="CW32" s="375"/>
      <c r="CX32" s="375"/>
      <c r="DC32" s="377"/>
      <c r="DD32" s="448">
        <f t="shared" si="21"/>
        <v>19</v>
      </c>
      <c r="DE32" s="450" t="s">
        <v>501</v>
      </c>
      <c r="DF32" s="501">
        <v>86597401.150000021</v>
      </c>
      <c r="DG32" s="462"/>
      <c r="DH32" s="462"/>
      <c r="DI32" s="462"/>
      <c r="DJ32" s="462"/>
      <c r="DK32" s="462" t="s">
        <v>218</v>
      </c>
      <c r="DL32" s="462"/>
      <c r="DM32" s="462">
        <v>0</v>
      </c>
      <c r="DN32" s="462"/>
      <c r="DO32" s="462"/>
      <c r="DP32" s="462"/>
      <c r="DQ32" s="462"/>
      <c r="DR32" s="448">
        <f t="shared" si="22"/>
        <v>19</v>
      </c>
      <c r="DS32" s="450" t="s">
        <v>501</v>
      </c>
      <c r="DT32" s="462"/>
      <c r="DU32" s="462"/>
      <c r="DV32" s="462"/>
      <c r="DW32" s="462">
        <f>+BV26</f>
        <v>397987.70499999821</v>
      </c>
      <c r="DX32" s="462"/>
      <c r="DY32" s="462"/>
      <c r="DZ32" s="462"/>
      <c r="EA32" s="462"/>
      <c r="EB32" s="462"/>
      <c r="EC32" s="462">
        <f t="shared" si="24"/>
        <v>397987.70499999821</v>
      </c>
      <c r="ED32" s="448">
        <f t="shared" si="23"/>
        <v>19</v>
      </c>
      <c r="EE32" s="450" t="s">
        <v>501</v>
      </c>
      <c r="EF32" s="373">
        <f t="shared" si="29"/>
        <v>86597401.150000021</v>
      </c>
      <c r="EG32" s="373">
        <f t="shared" si="30"/>
        <v>397987.70499999821</v>
      </c>
      <c r="EH32" s="462">
        <f t="shared" si="31"/>
        <v>86995388.855000019</v>
      </c>
    </row>
    <row r="33" spans="1:153" ht="15" customHeight="1">
      <c r="A33" s="469">
        <f t="shared" si="0"/>
        <v>23</v>
      </c>
      <c r="C33" s="450" t="s">
        <v>502</v>
      </c>
      <c r="E33" s="609">
        <v>-51955.581556046382</v>
      </c>
      <c r="F33" s="609">
        <v>-258</v>
      </c>
      <c r="H33" s="469">
        <f t="shared" si="25"/>
        <v>22</v>
      </c>
      <c r="I33" s="472" t="s">
        <v>503</v>
      </c>
      <c r="K33" s="373"/>
      <c r="P33" s="448"/>
      <c r="Q33" s="375"/>
      <c r="R33" s="375"/>
      <c r="S33" s="375"/>
      <c r="T33" s="448">
        <v>22</v>
      </c>
      <c r="U33" s="630" t="s">
        <v>504</v>
      </c>
      <c r="X33" s="631">
        <f>SUM(X30:X32)</f>
        <v>-7713444.2980230954</v>
      </c>
      <c r="Z33" s="375"/>
      <c r="AA33" s="375"/>
      <c r="AB33" s="375"/>
      <c r="AC33" s="448"/>
      <c r="AD33" s="380"/>
      <c r="AE33" s="380"/>
      <c r="AF33" s="380"/>
      <c r="AG33" s="380"/>
      <c r="AH33" s="380"/>
      <c r="AI33" s="380"/>
      <c r="AJ33" s="380"/>
      <c r="AK33" s="380"/>
      <c r="BI33" s="375"/>
      <c r="BJ33" s="375"/>
      <c r="BK33" s="375"/>
      <c r="BL33" s="375"/>
      <c r="BM33" s="375"/>
      <c r="BS33" s="626"/>
      <c r="BT33" s="626"/>
      <c r="BU33" s="626"/>
      <c r="BV33" s="626"/>
      <c r="BW33" s="626"/>
      <c r="BX33" s="626"/>
      <c r="BY33" s="626"/>
      <c r="BZ33" s="448">
        <f t="shared" si="14"/>
        <v>22</v>
      </c>
      <c r="CA33" s="623" t="s">
        <v>387</v>
      </c>
      <c r="CB33" s="632">
        <v>-23424499.34</v>
      </c>
      <c r="CC33" s="624">
        <f t="shared" si="32"/>
        <v>-23424499.34</v>
      </c>
      <c r="CD33" s="632">
        <v>0</v>
      </c>
      <c r="CK33" s="375"/>
      <c r="CL33" s="375"/>
      <c r="CM33" s="375"/>
      <c r="CN33" s="375"/>
      <c r="CP33" s="375"/>
      <c r="CQ33" s="375"/>
      <c r="CR33" s="375"/>
      <c r="CS33" s="375"/>
      <c r="CU33" s="375"/>
      <c r="CV33" s="375"/>
      <c r="CW33" s="375"/>
      <c r="CX33" s="375"/>
      <c r="DC33" s="377"/>
      <c r="DD33" s="448">
        <f t="shared" si="21"/>
        <v>20</v>
      </c>
      <c r="DE33" s="450" t="s">
        <v>505</v>
      </c>
      <c r="DF33" s="501">
        <v>52344099.460000001</v>
      </c>
      <c r="DG33" s="462">
        <f>F39</f>
        <v>45096</v>
      </c>
      <c r="DH33" s="462">
        <f>+K21</f>
        <v>402871.87105703994</v>
      </c>
      <c r="DI33" s="462"/>
      <c r="DJ33" s="462"/>
      <c r="DK33" s="462">
        <f>X30</f>
        <v>-1202398.3692017887</v>
      </c>
      <c r="DL33" s="462"/>
      <c r="DM33" s="462">
        <f>AK25</f>
        <v>-1942804</v>
      </c>
      <c r="DN33" s="462"/>
      <c r="DO33" s="462"/>
      <c r="DP33" s="462"/>
      <c r="DQ33" s="462">
        <f>BC12</f>
        <v>316905.9521234514</v>
      </c>
      <c r="DR33" s="448">
        <f t="shared" si="22"/>
        <v>20</v>
      </c>
      <c r="DS33" s="450" t="s">
        <v>505</v>
      </c>
      <c r="DT33" s="462"/>
      <c r="DU33" s="462"/>
      <c r="DV33" s="462"/>
      <c r="DW33" s="462"/>
      <c r="DX33" s="462"/>
      <c r="DY33" s="462"/>
      <c r="DZ33" s="462"/>
      <c r="EA33" s="462"/>
      <c r="EB33" s="462"/>
      <c r="EC33" s="462">
        <f t="shared" si="24"/>
        <v>-2380328.5460212971</v>
      </c>
      <c r="ED33" s="448">
        <f t="shared" si="23"/>
        <v>20</v>
      </c>
      <c r="EE33" s="450" t="s">
        <v>506</v>
      </c>
      <c r="EF33" s="373">
        <f t="shared" si="29"/>
        <v>52344099.460000001</v>
      </c>
      <c r="EG33" s="373">
        <f t="shared" si="30"/>
        <v>-2380328.5460212971</v>
      </c>
      <c r="EH33" s="462">
        <f t="shared" si="31"/>
        <v>49963770.913978703</v>
      </c>
    </row>
    <row r="34" spans="1:153" ht="15" customHeight="1">
      <c r="A34" s="469">
        <f t="shared" si="0"/>
        <v>24</v>
      </c>
      <c r="C34" s="450" t="s">
        <v>507</v>
      </c>
      <c r="E34" s="609">
        <v>-232908.63750466576</v>
      </c>
      <c r="F34" s="609">
        <v>-7568</v>
      </c>
      <c r="H34" s="469">
        <f t="shared" si="25"/>
        <v>23</v>
      </c>
      <c r="I34" s="472" t="s">
        <v>508</v>
      </c>
      <c r="K34" s="560"/>
      <c r="P34" s="448"/>
      <c r="Q34" s="375"/>
      <c r="R34" s="375"/>
      <c r="S34" s="375"/>
      <c r="T34" s="448">
        <v>23</v>
      </c>
      <c r="U34" s="630"/>
      <c r="W34" s="584"/>
      <c r="X34" s="614"/>
      <c r="Z34" s="375"/>
      <c r="AA34" s="375"/>
      <c r="AB34" s="375"/>
      <c r="AD34" s="380"/>
      <c r="AE34" s="380"/>
      <c r="AF34" s="380"/>
      <c r="AG34" s="380"/>
      <c r="AH34" s="380"/>
      <c r="AI34" s="380"/>
      <c r="AJ34" s="380"/>
      <c r="AK34" s="380"/>
      <c r="AL34" s="380"/>
      <c r="AM34" s="380"/>
      <c r="AN34" s="380"/>
      <c r="AO34" s="380"/>
      <c r="AP34" s="380"/>
      <c r="BI34" s="375"/>
      <c r="BJ34" s="375"/>
      <c r="BK34" s="375"/>
      <c r="BL34" s="375"/>
      <c r="BM34" s="375"/>
      <c r="BS34" s="626"/>
      <c r="BT34" s="626"/>
      <c r="BU34" s="626"/>
      <c r="BV34" s="626"/>
      <c r="BW34" s="626"/>
      <c r="BX34" s="626"/>
      <c r="BY34" s="626"/>
      <c r="BZ34" s="448">
        <f t="shared" si="14"/>
        <v>23</v>
      </c>
      <c r="CA34" s="623" t="s">
        <v>400</v>
      </c>
      <c r="CB34" s="632">
        <v>123613131.13</v>
      </c>
      <c r="CC34" s="624">
        <f t="shared" si="32"/>
        <v>123613131.13</v>
      </c>
      <c r="CD34" s="632">
        <v>0</v>
      </c>
      <c r="CK34" s="375"/>
      <c r="CL34" s="375"/>
      <c r="CM34" s="375"/>
      <c r="CN34" s="375"/>
      <c r="CP34" s="375"/>
      <c r="CQ34" s="375"/>
      <c r="CR34" s="375"/>
      <c r="CS34" s="375"/>
      <c r="CU34" s="375"/>
      <c r="CV34" s="375"/>
      <c r="CW34" s="375"/>
      <c r="CX34" s="375"/>
      <c r="DC34" s="377"/>
      <c r="DD34" s="448">
        <f t="shared" si="21"/>
        <v>21</v>
      </c>
      <c r="DE34" s="450" t="s">
        <v>509</v>
      </c>
      <c r="DF34" s="501">
        <v>24661300.450000003</v>
      </c>
      <c r="DG34" s="462"/>
      <c r="DH34" s="462"/>
      <c r="DI34" s="462"/>
      <c r="DJ34" s="462"/>
      <c r="DK34" s="462">
        <f>X39+X43</f>
        <v>-21099952.199999999</v>
      </c>
      <c r="DL34" s="462"/>
      <c r="DM34" s="462"/>
      <c r="DN34" s="462"/>
      <c r="DO34" s="462"/>
      <c r="DP34" s="462"/>
      <c r="DQ34" s="462"/>
      <c r="DR34" s="448">
        <f t="shared" si="22"/>
        <v>21</v>
      </c>
      <c r="DS34" s="450" t="s">
        <v>509</v>
      </c>
      <c r="DT34" s="462"/>
      <c r="DU34" s="462"/>
      <c r="DV34" s="462"/>
      <c r="DW34" s="462"/>
      <c r="DX34" s="462"/>
      <c r="DY34" s="462"/>
      <c r="DZ34" s="462"/>
      <c r="EA34" s="462"/>
      <c r="EB34" s="462"/>
      <c r="EC34" s="462">
        <f t="shared" si="24"/>
        <v>-21099952.199999999</v>
      </c>
      <c r="ED34" s="448">
        <f t="shared" si="23"/>
        <v>21</v>
      </c>
      <c r="EE34" s="450" t="s">
        <v>509</v>
      </c>
      <c r="EF34" s="373">
        <f t="shared" si="29"/>
        <v>24661300.450000003</v>
      </c>
      <c r="EG34" s="373">
        <f t="shared" si="30"/>
        <v>-21099952.199999999</v>
      </c>
      <c r="EH34" s="462">
        <f t="shared" si="31"/>
        <v>3561348.2500000037</v>
      </c>
    </row>
    <row r="35" spans="1:153" ht="15" customHeight="1">
      <c r="A35" s="469">
        <f t="shared" si="0"/>
        <v>25</v>
      </c>
      <c r="C35" s="450" t="s">
        <v>510</v>
      </c>
      <c r="E35" s="609">
        <v>3300800.1435003798</v>
      </c>
      <c r="F35" s="609">
        <v>89781</v>
      </c>
      <c r="H35" s="469">
        <f t="shared" si="25"/>
        <v>24</v>
      </c>
      <c r="I35" s="516" t="s">
        <v>511</v>
      </c>
      <c r="K35" s="633"/>
      <c r="L35" s="551">
        <f>SUM(K31:K34)</f>
        <v>29224716.27</v>
      </c>
      <c r="P35" s="448"/>
      <c r="Q35" s="375"/>
      <c r="R35" s="375"/>
      <c r="S35" s="375"/>
      <c r="T35" s="448">
        <v>24</v>
      </c>
      <c r="U35" s="634" t="s">
        <v>512</v>
      </c>
      <c r="W35" s="584"/>
      <c r="X35" s="611"/>
      <c r="Z35" s="375"/>
      <c r="AA35" s="375"/>
      <c r="AB35" s="375"/>
      <c r="AD35" s="380"/>
      <c r="AE35" s="380"/>
      <c r="AF35" s="380"/>
      <c r="AG35" s="380"/>
      <c r="AH35" s="380"/>
      <c r="AI35" s="380"/>
      <c r="AJ35" s="380"/>
      <c r="AK35" s="380"/>
      <c r="AL35" s="380"/>
      <c r="AM35" s="380"/>
      <c r="AN35" s="380"/>
      <c r="AO35" s="380"/>
      <c r="AP35" s="380"/>
      <c r="AQ35" s="111"/>
      <c r="AR35" s="111"/>
      <c r="AS35" s="111"/>
      <c r="AT35" s="111"/>
      <c r="AU35" s="111"/>
      <c r="AV35" s="111"/>
      <c r="AW35" s="111"/>
      <c r="AX35" s="111"/>
      <c r="AY35" s="111"/>
      <c r="BI35" s="375"/>
      <c r="BJ35" s="375"/>
      <c r="BK35" s="375"/>
      <c r="BL35" s="375"/>
      <c r="BM35" s="375"/>
      <c r="BS35" s="626"/>
      <c r="BT35" s="626"/>
      <c r="BU35" s="626"/>
      <c r="BV35" s="626"/>
      <c r="BW35" s="626"/>
      <c r="BX35" s="626"/>
      <c r="BY35" s="626"/>
      <c r="BZ35" s="448">
        <f t="shared" si="14"/>
        <v>24</v>
      </c>
      <c r="CA35" s="623" t="s">
        <v>410</v>
      </c>
      <c r="CB35" s="632">
        <v>-147733944.09999999</v>
      </c>
      <c r="CC35" s="624">
        <f t="shared" si="32"/>
        <v>-147733944.09999999</v>
      </c>
      <c r="CD35" s="623">
        <v>0</v>
      </c>
      <c r="CK35" s="375"/>
      <c r="CL35" s="375"/>
      <c r="CM35" s="375"/>
      <c r="CN35" s="375"/>
      <c r="CP35" s="375"/>
      <c r="CQ35" s="375"/>
      <c r="CR35" s="375"/>
      <c r="CS35" s="375"/>
      <c r="CU35" s="375"/>
      <c r="CV35" s="375"/>
      <c r="CW35" s="375"/>
      <c r="CX35" s="375"/>
      <c r="DC35" s="377"/>
      <c r="DD35" s="448">
        <f t="shared" si="21"/>
        <v>22</v>
      </c>
      <c r="DE35" s="450" t="s">
        <v>513</v>
      </c>
      <c r="DF35" s="501">
        <v>82342000.519999996</v>
      </c>
      <c r="DG35" s="462"/>
      <c r="DH35" s="462"/>
      <c r="DI35" s="462"/>
      <c r="DJ35" s="462"/>
      <c r="DK35" s="462">
        <f>X36</f>
        <v>-82342000.519999996</v>
      </c>
      <c r="DL35" s="462"/>
      <c r="DM35" s="462"/>
      <c r="DN35" s="462"/>
      <c r="DO35" s="462"/>
      <c r="DP35" s="462"/>
      <c r="DQ35" s="462"/>
      <c r="DR35" s="448">
        <f t="shared" si="22"/>
        <v>22</v>
      </c>
      <c r="DS35" s="450" t="s">
        <v>513</v>
      </c>
      <c r="DT35" s="462"/>
      <c r="DU35" s="462"/>
      <c r="DV35" s="462"/>
      <c r="DW35" s="462"/>
      <c r="DX35" s="462"/>
      <c r="DY35" s="462"/>
      <c r="DZ35" s="462"/>
      <c r="EA35" s="462"/>
      <c r="EB35" s="462"/>
      <c r="EC35" s="462">
        <f t="shared" si="24"/>
        <v>-82342000.519999996</v>
      </c>
      <c r="ED35" s="448">
        <f t="shared" si="23"/>
        <v>22</v>
      </c>
      <c r="EE35" s="450" t="s">
        <v>513</v>
      </c>
      <c r="EF35" s="373">
        <f t="shared" si="29"/>
        <v>82342000.519999996</v>
      </c>
      <c r="EG35" s="373">
        <f t="shared" si="30"/>
        <v>-82342000.519999996</v>
      </c>
      <c r="EH35" s="462">
        <f t="shared" si="31"/>
        <v>0</v>
      </c>
    </row>
    <row r="36" spans="1:153" ht="15" customHeight="1">
      <c r="A36" s="469">
        <f t="shared" si="0"/>
        <v>26</v>
      </c>
      <c r="C36" s="111" t="s">
        <v>514</v>
      </c>
      <c r="E36" s="609">
        <v>108163.91848034057</v>
      </c>
      <c r="F36" s="609">
        <v>4054</v>
      </c>
      <c r="H36" s="469">
        <f t="shared" si="25"/>
        <v>25</v>
      </c>
      <c r="I36" s="450"/>
      <c r="K36" s="500"/>
      <c r="L36" s="375"/>
      <c r="P36" s="448"/>
      <c r="Q36" s="375"/>
      <c r="R36" s="375"/>
      <c r="S36" s="375"/>
      <c r="T36" s="448">
        <v>25</v>
      </c>
      <c r="U36" s="503" t="s">
        <v>515</v>
      </c>
      <c r="W36" s="584"/>
      <c r="X36" s="488">
        <v>-82342000.519999996</v>
      </c>
      <c r="Z36" s="375"/>
      <c r="AA36" s="375"/>
      <c r="AB36" s="375"/>
      <c r="AD36" s="380"/>
      <c r="AE36" s="380"/>
      <c r="AF36" s="380"/>
      <c r="AG36" s="380"/>
      <c r="AH36" s="380"/>
      <c r="AI36" s="380"/>
      <c r="AJ36" s="380"/>
      <c r="AK36" s="380"/>
      <c r="AL36" s="380"/>
      <c r="AM36" s="380"/>
      <c r="AN36" s="380"/>
      <c r="AO36" s="380"/>
      <c r="AP36" s="380"/>
      <c r="AQ36" s="479"/>
      <c r="AR36" s="479"/>
      <c r="AS36" s="479"/>
      <c r="AT36" s="479"/>
      <c r="AU36" s="479"/>
      <c r="AV36" s="479"/>
      <c r="AW36" s="479"/>
      <c r="AX36" s="479"/>
      <c r="AY36" s="479"/>
      <c r="BI36" s="375"/>
      <c r="BJ36" s="375"/>
      <c r="BK36" s="375"/>
      <c r="BL36" s="375"/>
      <c r="BM36" s="375"/>
      <c r="BS36" s="626"/>
      <c r="BT36" s="626"/>
      <c r="BU36" s="626"/>
      <c r="BV36" s="626"/>
      <c r="BW36" s="626"/>
      <c r="BX36" s="626"/>
      <c r="BY36" s="626"/>
      <c r="BZ36" s="448">
        <f t="shared" si="14"/>
        <v>25</v>
      </c>
      <c r="CA36" s="623" t="s">
        <v>423</v>
      </c>
      <c r="CB36" s="632">
        <v>-8661803.3200000003</v>
      </c>
      <c r="CC36" s="624">
        <f t="shared" si="32"/>
        <v>-8661803.3200000003</v>
      </c>
      <c r="CD36" s="632">
        <v>0</v>
      </c>
      <c r="CK36" s="375"/>
      <c r="CL36" s="375"/>
      <c r="CM36" s="375"/>
      <c r="CN36" s="375"/>
      <c r="CP36" s="375"/>
      <c r="CQ36" s="375"/>
      <c r="CR36" s="375"/>
      <c r="CS36" s="375"/>
      <c r="CU36" s="375"/>
      <c r="CV36" s="375"/>
      <c r="CW36" s="375"/>
      <c r="CX36" s="375"/>
      <c r="DC36" s="377"/>
      <c r="DD36" s="448">
        <f t="shared" si="21"/>
        <v>23</v>
      </c>
      <c r="DE36" s="450" t="s">
        <v>516</v>
      </c>
      <c r="DF36" s="501">
        <v>132054202.63000003</v>
      </c>
      <c r="DG36" s="462">
        <f>F40</f>
        <v>12075</v>
      </c>
      <c r="DH36" s="462">
        <f>+K22</f>
        <v>107878.39632</v>
      </c>
      <c r="DI36" s="462"/>
      <c r="DJ36" s="462"/>
      <c r="DK36" s="462">
        <f>X31+X44</f>
        <v>-424327.34600797656</v>
      </c>
      <c r="DL36" s="462">
        <f>AB28</f>
        <v>-436053.45900000003</v>
      </c>
      <c r="DM36" s="462"/>
      <c r="DN36" s="462">
        <f>AP12</f>
        <v>3089658.9796001548</v>
      </c>
      <c r="DO36" s="462">
        <f>+AT18</f>
        <v>-166039.07720000017</v>
      </c>
      <c r="DP36" s="462">
        <f>AY14</f>
        <v>-18898.838024314158</v>
      </c>
      <c r="DQ36" s="462"/>
      <c r="DR36" s="448">
        <f t="shared" si="22"/>
        <v>23</v>
      </c>
      <c r="DS36" s="450" t="s">
        <v>516</v>
      </c>
      <c r="DT36" s="462">
        <f>+BH14</f>
        <v>317833.96316032484</v>
      </c>
      <c r="DU36" s="462">
        <f>BM16</f>
        <v>1881149.7675058593</v>
      </c>
      <c r="DV36" s="462"/>
      <c r="DW36" s="462">
        <f>+BX26</f>
        <v>-66093.093333333323</v>
      </c>
      <c r="DX36" s="462"/>
      <c r="DY36" s="462"/>
      <c r="DZ36" s="462"/>
      <c r="EA36" s="462"/>
      <c r="EB36" s="462"/>
      <c r="EC36" s="462">
        <f t="shared" si="24"/>
        <v>4297184.2930207141</v>
      </c>
      <c r="ED36" s="448">
        <f t="shared" si="23"/>
        <v>23</v>
      </c>
      <c r="EE36" s="450" t="s">
        <v>516</v>
      </c>
      <c r="EF36" s="373">
        <f t="shared" si="29"/>
        <v>132054202.63000003</v>
      </c>
      <c r="EG36" s="373">
        <f t="shared" si="30"/>
        <v>4297184.2930207141</v>
      </c>
      <c r="EH36" s="462">
        <f t="shared" si="31"/>
        <v>136351386.92302075</v>
      </c>
    </row>
    <row r="37" spans="1:153" ht="15" customHeight="1">
      <c r="A37" s="469">
        <f t="shared" si="0"/>
        <v>27</v>
      </c>
      <c r="B37" s="111" t="s">
        <v>405</v>
      </c>
      <c r="E37" s="509">
        <f>ROUND(SUM(E28:E36),0)</f>
        <v>154064958</v>
      </c>
      <c r="F37" s="635">
        <f>SUM(F28:F36)</f>
        <v>6037715</v>
      </c>
      <c r="G37" s="488">
        <f>SUM(F28:F36)</f>
        <v>6037715</v>
      </c>
      <c r="H37" s="469">
        <f t="shared" si="25"/>
        <v>26</v>
      </c>
      <c r="I37" s="450" t="s">
        <v>517</v>
      </c>
      <c r="K37" s="500"/>
      <c r="L37" s="500">
        <f>L20-L24-L27-L35</f>
        <v>22130039.149361756</v>
      </c>
      <c r="P37" s="448"/>
      <c r="Q37" s="375"/>
      <c r="R37" s="375"/>
      <c r="S37" s="375"/>
      <c r="T37" s="448">
        <v>26</v>
      </c>
      <c r="U37" s="519" t="s">
        <v>518</v>
      </c>
      <c r="W37" s="584"/>
      <c r="X37" s="373">
        <v>-54316256.589999996</v>
      </c>
      <c r="Z37" s="375"/>
      <c r="AA37" s="375"/>
      <c r="AB37" s="375"/>
      <c r="AD37" s="380"/>
      <c r="AE37" s="380"/>
      <c r="AF37" s="380"/>
      <c r="AG37" s="380"/>
      <c r="AH37" s="380"/>
      <c r="AI37" s="380"/>
      <c r="AJ37" s="380"/>
      <c r="AK37" s="380"/>
      <c r="AL37" s="380"/>
      <c r="AM37" s="380"/>
      <c r="AN37" s="380"/>
      <c r="AO37" s="380"/>
      <c r="AP37" s="380"/>
      <c r="AQ37" s="636"/>
      <c r="AR37" s="636"/>
      <c r="AS37" s="636"/>
      <c r="AT37" s="636"/>
      <c r="AU37" s="636"/>
      <c r="AV37" s="636"/>
      <c r="AW37" s="636"/>
      <c r="AX37" s="636"/>
      <c r="AY37" s="636"/>
      <c r="BI37" s="375"/>
      <c r="BJ37" s="375"/>
      <c r="BK37" s="375"/>
      <c r="BL37" s="375"/>
      <c r="BM37" s="375"/>
      <c r="BS37" s="626"/>
      <c r="BT37" s="626"/>
      <c r="BU37" s="626"/>
      <c r="BV37" s="626"/>
      <c r="BW37" s="626"/>
      <c r="BX37" s="626"/>
      <c r="BY37" s="626"/>
      <c r="BZ37" s="448">
        <f t="shared" si="14"/>
        <v>26</v>
      </c>
      <c r="CA37" s="623" t="s">
        <v>431</v>
      </c>
      <c r="CB37" s="637">
        <f>SUM(CB31:CB36)</f>
        <v>714116864.52999997</v>
      </c>
      <c r="CC37" s="637">
        <f>SUM(CC31:CC36)</f>
        <v>718903921.50999999</v>
      </c>
      <c r="CD37" s="637">
        <f>SUM(CD31:CD36)</f>
        <v>4787056.9800000004</v>
      </c>
      <c r="CK37" s="375"/>
      <c r="CL37" s="375"/>
      <c r="CM37" s="375"/>
      <c r="CN37" s="375"/>
      <c r="CP37" s="375"/>
      <c r="CQ37" s="375"/>
      <c r="CR37" s="375"/>
      <c r="CS37" s="375"/>
      <c r="CU37" s="375"/>
      <c r="CV37" s="375"/>
      <c r="CW37" s="375"/>
      <c r="CX37" s="375"/>
      <c r="DC37" s="377"/>
      <c r="DD37" s="448">
        <f t="shared" si="21"/>
        <v>24</v>
      </c>
      <c r="DE37" s="450" t="s">
        <v>519</v>
      </c>
      <c r="DF37" s="501">
        <v>363749690.18000001</v>
      </c>
      <c r="DG37" s="462"/>
      <c r="DH37" s="462"/>
      <c r="DI37" s="462"/>
      <c r="DJ37" s="462"/>
      <c r="DM37" s="462"/>
      <c r="DN37" s="462"/>
      <c r="DO37" s="462"/>
      <c r="DP37" s="462"/>
      <c r="DQ37" s="462"/>
      <c r="DR37" s="448">
        <f t="shared" si="22"/>
        <v>24</v>
      </c>
      <c r="DS37" s="450" t="s">
        <v>519</v>
      </c>
      <c r="DT37" s="462"/>
      <c r="DU37" s="462"/>
      <c r="DV37" s="462"/>
      <c r="DW37" s="462"/>
      <c r="DX37" s="462"/>
      <c r="DY37" s="462"/>
      <c r="DZ37" s="462">
        <f>CN20</f>
        <v>-212064</v>
      </c>
      <c r="EA37" s="462"/>
      <c r="EB37" s="462">
        <f>CX21</f>
        <v>-160773.44004334998</v>
      </c>
      <c r="EC37" s="462">
        <f t="shared" si="24"/>
        <v>-372837.44004334998</v>
      </c>
      <c r="ED37" s="448">
        <f t="shared" si="23"/>
        <v>24</v>
      </c>
      <c r="EE37" s="450" t="s">
        <v>519</v>
      </c>
      <c r="EF37" s="373">
        <f t="shared" si="29"/>
        <v>363749690.18000001</v>
      </c>
      <c r="EG37" s="373">
        <f t="shared" si="30"/>
        <v>-372837.44004334998</v>
      </c>
      <c r="EH37" s="462">
        <f t="shared" si="31"/>
        <v>363376852.73995668</v>
      </c>
    </row>
    <row r="38" spans="1:153" ht="13.5" customHeight="1">
      <c r="A38" s="469">
        <f t="shared" si="0"/>
        <v>28</v>
      </c>
      <c r="B38" s="594"/>
      <c r="C38" s="594"/>
      <c r="E38" s="638"/>
      <c r="F38" s="474"/>
      <c r="H38" s="469">
        <f t="shared" si="25"/>
        <v>27</v>
      </c>
      <c r="I38" s="450"/>
      <c r="J38" s="559">
        <f>FIT</f>
        <v>0.21</v>
      </c>
      <c r="K38" s="500"/>
      <c r="L38" s="500"/>
      <c r="P38" s="448"/>
      <c r="Q38" s="375"/>
      <c r="R38" s="375"/>
      <c r="S38" s="375"/>
      <c r="T38" s="448">
        <v>27</v>
      </c>
      <c r="U38" s="503" t="s">
        <v>382</v>
      </c>
      <c r="V38" s="465"/>
      <c r="W38" s="584"/>
      <c r="X38" s="373">
        <v>-79625628.030000001</v>
      </c>
      <c r="Z38" s="375"/>
      <c r="AA38" s="375"/>
      <c r="AB38" s="375"/>
      <c r="AD38" s="380"/>
      <c r="AE38" s="380"/>
      <c r="AF38" s="380"/>
      <c r="AG38" s="380"/>
      <c r="AH38" s="380"/>
      <c r="AI38" s="380"/>
      <c r="AJ38" s="380"/>
      <c r="AK38" s="380"/>
      <c r="AL38" s="380"/>
      <c r="AM38" s="380"/>
      <c r="AN38" s="380"/>
      <c r="AO38" s="380"/>
      <c r="AP38" s="380"/>
      <c r="AQ38" s="380"/>
      <c r="AR38" s="380"/>
      <c r="AS38" s="380"/>
      <c r="AT38" s="380"/>
      <c r="AU38" s="380"/>
      <c r="AV38" s="380"/>
      <c r="AW38" s="380"/>
      <c r="AX38" s="380"/>
      <c r="AY38" s="380"/>
      <c r="BA38" s="380"/>
      <c r="BB38" s="500"/>
      <c r="BC38" s="500"/>
      <c r="BD38" s="479"/>
      <c r="BI38" s="375"/>
      <c r="BJ38" s="375"/>
      <c r="BK38" s="375"/>
      <c r="BL38" s="375"/>
      <c r="BM38" s="375"/>
      <c r="BZ38" s="448">
        <f t="shared" si="14"/>
        <v>27</v>
      </c>
      <c r="CA38" s="623"/>
      <c r="CB38" s="623"/>
      <c r="CC38" s="623"/>
      <c r="CD38" s="623"/>
      <c r="CK38" s="375"/>
      <c r="CL38" s="375"/>
      <c r="CM38" s="375"/>
      <c r="CN38" s="375"/>
      <c r="CP38" s="375"/>
      <c r="CQ38" s="375"/>
      <c r="CR38" s="375"/>
      <c r="CS38" s="375"/>
      <c r="CU38" s="375"/>
      <c r="CV38" s="375"/>
      <c r="CW38" s="375"/>
      <c r="CX38" s="375"/>
      <c r="DC38" s="377"/>
      <c r="DD38" s="448">
        <f t="shared" si="21"/>
        <v>25</v>
      </c>
      <c r="DE38" s="450" t="s">
        <v>520</v>
      </c>
      <c r="DF38" s="501">
        <v>102961755.67</v>
      </c>
      <c r="DG38" s="462"/>
      <c r="DH38" s="462"/>
      <c r="DI38" s="462"/>
      <c r="DJ38" s="462"/>
      <c r="DK38" s="462"/>
      <c r="DL38" s="462"/>
      <c r="DM38" s="462"/>
      <c r="DN38" s="462"/>
      <c r="DO38" s="462"/>
      <c r="DP38" s="462"/>
      <c r="DQ38" s="462"/>
      <c r="DR38" s="448">
        <f t="shared" si="22"/>
        <v>25</v>
      </c>
      <c r="DS38" s="450" t="s">
        <v>520</v>
      </c>
      <c r="DT38" s="462"/>
      <c r="DU38" s="462"/>
      <c r="DV38" s="462"/>
      <c r="DW38" s="462"/>
      <c r="DX38" s="462"/>
      <c r="DY38" s="462"/>
      <c r="DZ38" s="462"/>
      <c r="EA38" s="462"/>
      <c r="EB38" s="462"/>
      <c r="EC38" s="462">
        <f t="shared" si="24"/>
        <v>0</v>
      </c>
      <c r="ED38" s="448">
        <f t="shared" si="23"/>
        <v>25</v>
      </c>
      <c r="EE38" s="450" t="s">
        <v>520</v>
      </c>
      <c r="EF38" s="373">
        <f t="shared" si="29"/>
        <v>102961755.67</v>
      </c>
      <c r="EG38" s="373">
        <f t="shared" si="30"/>
        <v>0</v>
      </c>
      <c r="EH38" s="462">
        <f t="shared" si="31"/>
        <v>102961755.67</v>
      </c>
    </row>
    <row r="39" spans="1:153" ht="15" customHeight="1">
      <c r="A39" s="469">
        <f t="shared" si="0"/>
        <v>29</v>
      </c>
      <c r="B39" s="450" t="s">
        <v>440</v>
      </c>
      <c r="C39" s="450"/>
      <c r="D39" s="450"/>
      <c r="E39" s="583">
        <f>BD</f>
        <v>7.4689999999999999E-3</v>
      </c>
      <c r="F39" s="522">
        <f>ROUND(G37*E39,0)</f>
        <v>45096</v>
      </c>
      <c r="G39" s="373"/>
      <c r="H39" s="469">
        <f t="shared" si="25"/>
        <v>28</v>
      </c>
      <c r="I39" s="450" t="s">
        <v>408</v>
      </c>
      <c r="J39" s="559"/>
      <c r="K39" s="500"/>
      <c r="L39" s="510">
        <f>ROUND(L37*J38,0)</f>
        <v>4647308</v>
      </c>
      <c r="P39" s="448"/>
      <c r="Q39" s="375"/>
      <c r="R39" s="375"/>
      <c r="S39" s="375"/>
      <c r="T39" s="448">
        <v>28</v>
      </c>
      <c r="U39" s="503" t="s">
        <v>521</v>
      </c>
      <c r="V39" s="465"/>
      <c r="W39" s="584"/>
      <c r="X39" s="373">
        <v>-19275463.140000001</v>
      </c>
      <c r="Z39" s="375"/>
      <c r="AA39" s="375"/>
      <c r="AB39" s="375"/>
      <c r="AD39" s="380"/>
      <c r="AE39" s="380"/>
      <c r="AF39" s="380"/>
      <c r="AG39" s="380"/>
      <c r="AH39" s="380"/>
      <c r="AI39" s="380"/>
      <c r="AJ39" s="380"/>
      <c r="AK39" s="380"/>
      <c r="AL39" s="380"/>
      <c r="AM39" s="380"/>
      <c r="AN39" s="380"/>
      <c r="AO39" s="380"/>
      <c r="AP39" s="373"/>
      <c r="AQ39" s="380"/>
      <c r="AR39" s="380"/>
      <c r="AS39" s="380"/>
      <c r="AT39" s="380"/>
      <c r="AU39" s="380"/>
      <c r="AV39" s="380"/>
      <c r="AW39" s="380"/>
      <c r="AX39" s="380"/>
      <c r="AY39" s="380"/>
      <c r="BI39" s="375"/>
      <c r="BJ39" s="375"/>
      <c r="BK39" s="375"/>
      <c r="BL39" s="375"/>
      <c r="BM39" s="375"/>
      <c r="BZ39" s="448">
        <f t="shared" si="14"/>
        <v>28</v>
      </c>
      <c r="CA39" s="639" t="s">
        <v>397</v>
      </c>
      <c r="CB39" s="640"/>
      <c r="CC39" s="641"/>
      <c r="CD39" s="642">
        <f>-CD37</f>
        <v>-4787056.9800000004</v>
      </c>
      <c r="CK39" s="375"/>
      <c r="CL39" s="375"/>
      <c r="CM39" s="375"/>
      <c r="CN39" s="375"/>
      <c r="CP39" s="375"/>
      <c r="CQ39" s="375"/>
      <c r="CR39" s="375"/>
      <c r="CS39" s="375"/>
      <c r="CU39" s="375"/>
      <c r="CV39" s="375"/>
      <c r="CW39" s="375"/>
      <c r="CX39" s="375"/>
      <c r="DC39" s="377"/>
      <c r="DD39" s="448">
        <f t="shared" si="21"/>
        <v>26</v>
      </c>
      <c r="DE39" s="516" t="s">
        <v>522</v>
      </c>
      <c r="DF39" s="501">
        <v>30979762.640000001</v>
      </c>
      <c r="DG39" s="462"/>
      <c r="DH39" s="462"/>
      <c r="DI39" s="462"/>
      <c r="DJ39" s="462"/>
      <c r="DK39" s="462"/>
      <c r="DL39" s="462"/>
      <c r="DM39" s="462"/>
      <c r="DN39" s="462"/>
      <c r="DO39" s="462"/>
      <c r="DP39" s="462"/>
      <c r="DQ39" s="462"/>
      <c r="DR39" s="448">
        <f t="shared" si="22"/>
        <v>26</v>
      </c>
      <c r="DS39" s="516" t="s">
        <v>522</v>
      </c>
      <c r="DT39" s="462"/>
      <c r="DU39" s="462"/>
      <c r="DV39" s="462"/>
      <c r="DW39" s="462"/>
      <c r="DX39" s="462"/>
      <c r="DY39" s="462"/>
      <c r="DZ39" s="462"/>
      <c r="EA39" s="462"/>
      <c r="EB39" s="462"/>
      <c r="EC39" s="462">
        <f t="shared" si="24"/>
        <v>0</v>
      </c>
      <c r="ED39" s="448">
        <f t="shared" si="23"/>
        <v>26</v>
      </c>
      <c r="EE39" s="516" t="s">
        <v>522</v>
      </c>
      <c r="EF39" s="373">
        <f t="shared" si="29"/>
        <v>30979762.640000001</v>
      </c>
      <c r="EG39" s="373">
        <f t="shared" si="30"/>
        <v>0</v>
      </c>
      <c r="EH39" s="462">
        <f t="shared" si="31"/>
        <v>30979762.640000001</v>
      </c>
    </row>
    <row r="40" spans="1:153" ht="15" customHeight="1">
      <c r="A40" s="469">
        <f t="shared" si="0"/>
        <v>30</v>
      </c>
      <c r="B40" s="450" t="s">
        <v>449</v>
      </c>
      <c r="C40" s="450"/>
      <c r="D40" s="450"/>
      <c r="E40" s="583">
        <f>FF</f>
        <v>2E-3</v>
      </c>
      <c r="F40" s="592">
        <f>ROUND(G37*E40,0)</f>
        <v>12075</v>
      </c>
      <c r="G40" s="373"/>
      <c r="H40" s="469">
        <f t="shared" si="25"/>
        <v>29</v>
      </c>
      <c r="I40" s="450"/>
      <c r="K40" s="500"/>
      <c r="L40" s="560"/>
      <c r="P40" s="448"/>
      <c r="Q40" s="375"/>
      <c r="R40" s="375"/>
      <c r="S40" s="375"/>
      <c r="T40" s="448">
        <v>29</v>
      </c>
      <c r="U40" s="552" t="s">
        <v>407</v>
      </c>
      <c r="V40" s="465"/>
      <c r="W40" s="584"/>
      <c r="X40" s="373">
        <v>80293647.069999993</v>
      </c>
      <c r="Z40" s="375"/>
      <c r="AA40" s="375"/>
      <c r="AB40" s="375"/>
      <c r="AD40" s="380"/>
      <c r="AE40" s="380"/>
      <c r="AF40" s="380"/>
      <c r="AG40" s="380"/>
      <c r="AH40" s="380"/>
      <c r="AI40" s="380"/>
      <c r="AJ40" s="380"/>
      <c r="AK40" s="380"/>
      <c r="AL40" s="380"/>
      <c r="AM40" s="380"/>
      <c r="AN40" s="380"/>
      <c r="AO40" s="380"/>
      <c r="AP40" s="380"/>
      <c r="AQ40" s="383"/>
      <c r="AR40" s="383"/>
      <c r="AS40" s="383"/>
      <c r="AT40" s="383"/>
      <c r="AU40" s="383"/>
      <c r="AV40" s="383"/>
      <c r="AW40" s="383"/>
      <c r="AX40" s="383"/>
      <c r="AY40" s="383"/>
      <c r="BI40" s="375"/>
      <c r="BJ40" s="375"/>
      <c r="BK40" s="375"/>
      <c r="BL40" s="375"/>
      <c r="BM40" s="375"/>
      <c r="BZ40" s="448">
        <f t="shared" si="14"/>
        <v>29</v>
      </c>
      <c r="CA40" s="640"/>
      <c r="CB40" s="640"/>
      <c r="CC40" s="641"/>
      <c r="CD40" s="641"/>
      <c r="DC40" s="377"/>
      <c r="DD40" s="448">
        <f t="shared" si="21"/>
        <v>27</v>
      </c>
      <c r="DE40" s="450" t="s">
        <v>523</v>
      </c>
      <c r="DF40" s="501">
        <v>-62471108.979999997</v>
      </c>
      <c r="DG40" s="462"/>
      <c r="DH40" s="462">
        <f>L35</f>
        <v>29224716.27</v>
      </c>
      <c r="DI40" s="462"/>
      <c r="DJ40" s="462"/>
      <c r="DK40" s="462">
        <f>X41+X47</f>
        <v>10823954.34</v>
      </c>
      <c r="DL40" s="462"/>
      <c r="DM40" s="462"/>
      <c r="DN40" s="462"/>
      <c r="DO40" s="462"/>
      <c r="DP40" s="462"/>
      <c r="DQ40" s="462"/>
      <c r="DR40" s="448">
        <f t="shared" si="22"/>
        <v>27</v>
      </c>
      <c r="DS40" s="450" t="s">
        <v>523</v>
      </c>
      <c r="DT40" s="462"/>
      <c r="DU40" s="462"/>
      <c r="DW40" s="462"/>
      <c r="DX40" s="462"/>
      <c r="DY40" s="462"/>
      <c r="DZ40" s="462"/>
      <c r="EA40" s="462"/>
      <c r="EB40" s="462"/>
      <c r="EC40" s="462">
        <f t="shared" si="24"/>
        <v>40048670.609999999</v>
      </c>
      <c r="ED40" s="448">
        <f t="shared" si="23"/>
        <v>27</v>
      </c>
      <c r="EE40" s="450" t="s">
        <v>523</v>
      </c>
      <c r="EF40" s="373">
        <f t="shared" si="29"/>
        <v>-62471108.979999997</v>
      </c>
      <c r="EG40" s="373">
        <f t="shared" si="30"/>
        <v>40048670.609999999</v>
      </c>
      <c r="EH40" s="462">
        <f t="shared" si="31"/>
        <v>-22422438.369999997</v>
      </c>
    </row>
    <row r="41" spans="1:153" ht="15" customHeight="1" thickBot="1">
      <c r="A41" s="469">
        <f t="shared" si="0"/>
        <v>31</v>
      </c>
      <c r="B41" s="516" t="s">
        <v>429</v>
      </c>
      <c r="C41" s="450"/>
      <c r="D41" s="450"/>
      <c r="E41" s="583"/>
      <c r="F41" s="500"/>
      <c r="G41" s="373">
        <f>SUM(F39:F40)</f>
        <v>57171</v>
      </c>
      <c r="H41" s="469">
        <f t="shared" si="25"/>
        <v>30</v>
      </c>
      <c r="I41" s="450" t="s">
        <v>385</v>
      </c>
      <c r="L41" s="571">
        <f>L37-L39</f>
        <v>17482731.149361756</v>
      </c>
      <c r="P41" s="448"/>
      <c r="Q41" s="375"/>
      <c r="R41" s="375"/>
      <c r="S41" s="375"/>
      <c r="T41" s="448">
        <v>30</v>
      </c>
      <c r="U41" s="541" t="s">
        <v>524</v>
      </c>
      <c r="V41" s="465"/>
      <c r="W41" s="584"/>
      <c r="X41" s="373">
        <v>103003.36</v>
      </c>
      <c r="Z41" s="375"/>
      <c r="AA41" s="375"/>
      <c r="AB41" s="375"/>
      <c r="AD41" s="380"/>
      <c r="AE41" s="380"/>
      <c r="AF41" s="380"/>
      <c r="AG41" s="380"/>
      <c r="AH41" s="380"/>
      <c r="AI41" s="380"/>
      <c r="AJ41" s="380"/>
      <c r="AK41" s="380"/>
      <c r="AL41" s="380"/>
      <c r="AM41" s="380"/>
      <c r="AN41" s="380"/>
      <c r="AO41" s="380"/>
      <c r="AP41" s="380"/>
      <c r="AQ41" s="643"/>
      <c r="AR41" s="643"/>
      <c r="AS41" s="643"/>
      <c r="AT41" s="643"/>
      <c r="AU41" s="643"/>
      <c r="AV41" s="643"/>
      <c r="AW41" s="643"/>
      <c r="AX41" s="643"/>
      <c r="AY41" s="643"/>
      <c r="BI41" s="644"/>
      <c r="BJ41" s="644"/>
      <c r="BK41" s="644"/>
      <c r="BL41" s="645"/>
      <c r="BM41" s="373"/>
      <c r="BZ41" s="448">
        <f t="shared" si="14"/>
        <v>30</v>
      </c>
      <c r="CA41" s="639" t="s">
        <v>408</v>
      </c>
      <c r="CB41" s="646">
        <v>0.21</v>
      </c>
      <c r="CC41" s="647"/>
      <c r="CD41" s="648">
        <f>CD39*CB41</f>
        <v>-1005281.9658</v>
      </c>
      <c r="DC41" s="375"/>
      <c r="DD41" s="448">
        <f t="shared" si="21"/>
        <v>28</v>
      </c>
      <c r="DE41" s="450" t="s">
        <v>525</v>
      </c>
      <c r="DF41" s="501"/>
      <c r="DG41" s="462"/>
      <c r="DH41" s="462"/>
      <c r="DI41" s="462"/>
      <c r="DJ41" s="462"/>
      <c r="DK41" s="462"/>
      <c r="DL41" s="462"/>
      <c r="DM41" s="462"/>
      <c r="DN41" s="462"/>
      <c r="DO41" s="462"/>
      <c r="DP41" s="462"/>
      <c r="DQ41" s="462"/>
      <c r="DR41" s="448">
        <f t="shared" si="22"/>
        <v>28</v>
      </c>
      <c r="DS41" s="450" t="s">
        <v>240</v>
      </c>
      <c r="DT41" s="462"/>
      <c r="DU41" s="462"/>
      <c r="DV41" s="462">
        <f>BR12</f>
        <v>0</v>
      </c>
      <c r="DW41" s="462"/>
      <c r="DX41" s="462"/>
      <c r="DY41" s="462"/>
      <c r="DZ41" s="462"/>
      <c r="EA41" s="462"/>
      <c r="EB41" s="462"/>
      <c r="EC41" s="462">
        <f t="shared" si="24"/>
        <v>0</v>
      </c>
      <c r="ED41" s="448">
        <f t="shared" si="23"/>
        <v>28</v>
      </c>
      <c r="EE41" s="111" t="s">
        <v>240</v>
      </c>
      <c r="EF41" s="373">
        <f t="shared" si="29"/>
        <v>0</v>
      </c>
      <c r="EG41" s="373">
        <f t="shared" si="30"/>
        <v>0</v>
      </c>
      <c r="EH41" s="462">
        <f t="shared" si="31"/>
        <v>0</v>
      </c>
    </row>
    <row r="42" spans="1:153" ht="15" customHeight="1" thickTop="1" thickBot="1">
      <c r="A42" s="469">
        <f t="shared" si="0"/>
        <v>32</v>
      </c>
      <c r="B42" s="450"/>
      <c r="C42" s="450"/>
      <c r="D42" s="450"/>
      <c r="E42" s="583"/>
      <c r="F42" s="479"/>
      <c r="G42" s="373"/>
      <c r="H42" s="469">
        <f t="shared" si="25"/>
        <v>31</v>
      </c>
      <c r="P42" s="448"/>
      <c r="Q42" s="375"/>
      <c r="R42" s="375"/>
      <c r="S42" s="375"/>
      <c r="T42" s="448">
        <v>31</v>
      </c>
      <c r="U42" s="552" t="s">
        <v>526</v>
      </c>
      <c r="V42" s="560"/>
      <c r="W42" s="584"/>
      <c r="X42" s="373">
        <v>-3538652.69</v>
      </c>
      <c r="Z42" s="375"/>
      <c r="AA42" s="375"/>
      <c r="AB42" s="375"/>
      <c r="AD42" s="380"/>
      <c r="AE42" s="380"/>
      <c r="AF42" s="380"/>
      <c r="AG42" s="380"/>
      <c r="AH42" s="380"/>
      <c r="AI42" s="380"/>
      <c r="AJ42" s="380"/>
      <c r="AK42" s="380"/>
      <c r="AL42" s="380"/>
      <c r="AM42" s="380"/>
      <c r="AN42" s="380"/>
      <c r="AO42" s="380"/>
      <c r="AP42" s="380"/>
      <c r="AQ42" s="643"/>
      <c r="AR42" s="643"/>
      <c r="AS42" s="643"/>
      <c r="AT42" s="643"/>
      <c r="AU42" s="643"/>
      <c r="AV42" s="643"/>
      <c r="AW42" s="643"/>
      <c r="AX42" s="643"/>
      <c r="AY42" s="643"/>
      <c r="BI42" s="644"/>
      <c r="BJ42" s="649"/>
      <c r="BK42" s="650"/>
      <c r="BL42" s="645" t="s">
        <v>226</v>
      </c>
      <c r="BM42" s="373"/>
      <c r="BZ42" s="448">
        <f t="shared" si="14"/>
        <v>31</v>
      </c>
      <c r="CA42" s="639" t="s">
        <v>385</v>
      </c>
      <c r="CB42" s="641"/>
      <c r="CC42" s="641"/>
      <c r="CD42" s="651">
        <f>CD39-CD41</f>
        <v>-3781775.0142000006</v>
      </c>
      <c r="DC42" s="377"/>
      <c r="DD42" s="448">
        <f t="shared" si="21"/>
        <v>29</v>
      </c>
      <c r="DE42" s="450" t="s">
        <v>527</v>
      </c>
      <c r="DF42" s="501">
        <v>225950249.87</v>
      </c>
      <c r="DG42" s="462">
        <f>+G44</f>
        <v>232120</v>
      </c>
      <c r="DH42" s="462">
        <f>+L27</f>
        <v>2073692.4732611999</v>
      </c>
      <c r="DI42" s="462"/>
      <c r="DJ42" s="462"/>
      <c r="DK42" s="462">
        <f>X32+X38+X45+X37</f>
        <v>-140159055.19281334</v>
      </c>
      <c r="DL42" s="462"/>
      <c r="DM42" s="462"/>
      <c r="DN42" s="462">
        <f>AP14</f>
        <v>266328.60404153325</v>
      </c>
      <c r="DO42" s="462">
        <f>AT14</f>
        <v>26860.645999997854</v>
      </c>
      <c r="DP42" s="462"/>
      <c r="DQ42" s="462"/>
      <c r="DR42" s="448">
        <f t="shared" si="22"/>
        <v>29</v>
      </c>
      <c r="DS42" s="450" t="s">
        <v>527</v>
      </c>
      <c r="DT42" s="462"/>
      <c r="DU42" s="462"/>
      <c r="DV42" s="462"/>
      <c r="DW42" s="462">
        <f>+BW26</f>
        <v>-21681.551666666666</v>
      </c>
      <c r="DX42" s="462"/>
      <c r="DY42" s="462">
        <f>-CI22</f>
        <v>-6923.234999999986</v>
      </c>
      <c r="DZ42" s="462"/>
      <c r="EA42" s="462"/>
      <c r="EB42" s="462"/>
      <c r="EC42" s="462">
        <f t="shared" si="24"/>
        <v>-137588658.25617728</v>
      </c>
      <c r="ED42" s="448">
        <f t="shared" si="23"/>
        <v>29</v>
      </c>
      <c r="EE42" s="450" t="s">
        <v>527</v>
      </c>
      <c r="EF42" s="373">
        <f t="shared" si="29"/>
        <v>225950249.87</v>
      </c>
      <c r="EG42" s="373">
        <f t="shared" si="30"/>
        <v>-137588658.25617728</v>
      </c>
      <c r="EH42" s="462">
        <f t="shared" si="31"/>
        <v>88361591.613822728</v>
      </c>
    </row>
    <row r="43" spans="1:153" ht="15" customHeight="1" thickTop="1">
      <c r="A43" s="469">
        <f t="shared" si="0"/>
        <v>33</v>
      </c>
      <c r="B43" s="450" t="s">
        <v>468</v>
      </c>
      <c r="C43" s="450"/>
      <c r="D43" s="450"/>
      <c r="E43" s="583">
        <f>UTN</f>
        <v>3.8445E-2</v>
      </c>
      <c r="F43" s="520">
        <f>ROUND(G37*E43,0)</f>
        <v>232120</v>
      </c>
      <c r="G43" s="373"/>
      <c r="H43" s="469"/>
      <c r="P43" s="448"/>
      <c r="Q43" s="375"/>
      <c r="R43" s="375"/>
      <c r="S43" s="375"/>
      <c r="T43" s="448">
        <v>32</v>
      </c>
      <c r="U43" s="552" t="s">
        <v>528</v>
      </c>
      <c r="V43" s="560"/>
      <c r="W43" s="584"/>
      <c r="X43" s="373">
        <v>-1824489.06</v>
      </c>
      <c r="Z43" s="375"/>
      <c r="AA43" s="375"/>
      <c r="AB43" s="375"/>
      <c r="AD43" s="380"/>
      <c r="AE43" s="380"/>
      <c r="AF43" s="380"/>
      <c r="AG43" s="380"/>
      <c r="AH43" s="380"/>
      <c r="AI43" s="380"/>
      <c r="AJ43" s="380"/>
      <c r="AK43" s="380"/>
      <c r="AL43" s="380"/>
      <c r="AM43" s="380"/>
      <c r="AN43" s="380"/>
      <c r="AO43" s="380"/>
      <c r="AP43" s="380"/>
      <c r="AQ43" s="643"/>
      <c r="AR43" s="643"/>
      <c r="AS43" s="643"/>
      <c r="AT43" s="643"/>
      <c r="AU43" s="643"/>
      <c r="AV43" s="643"/>
      <c r="AW43" s="643"/>
      <c r="AX43" s="643"/>
      <c r="AY43" s="643"/>
      <c r="BI43" s="644"/>
      <c r="BJ43" s="649"/>
      <c r="BK43" s="650"/>
      <c r="BL43" s="645"/>
      <c r="BM43" s="373"/>
      <c r="BZ43" s="448">
        <f t="shared" si="14"/>
        <v>32</v>
      </c>
      <c r="CA43" s="375"/>
      <c r="CB43" s="375"/>
      <c r="CC43" s="375"/>
      <c r="CD43" s="375"/>
      <c r="DC43" s="377"/>
      <c r="DD43" s="448">
        <f t="shared" si="21"/>
        <v>30</v>
      </c>
      <c r="DE43" s="450" t="s">
        <v>529</v>
      </c>
      <c r="DF43" s="501">
        <v>46951000.799999997</v>
      </c>
      <c r="DG43" s="462">
        <f>G48</f>
        <v>1207169</v>
      </c>
      <c r="DH43" s="462">
        <f>L39</f>
        <v>4647308</v>
      </c>
      <c r="DI43" s="462">
        <f>O27</f>
        <v>33418500.073694855</v>
      </c>
      <c r="DJ43" s="462">
        <f>S22</f>
        <v>-29895333.891126335</v>
      </c>
      <c r="DK43" s="462">
        <f>X51</f>
        <v>-281621.12721876561</v>
      </c>
      <c r="DL43" s="462">
        <f>AB30</f>
        <v>91571.226389999996</v>
      </c>
      <c r="DM43" s="462">
        <f>AK28</f>
        <v>407989</v>
      </c>
      <c r="DN43" s="462">
        <f>AP18</f>
        <v>-704757.39256475447</v>
      </c>
      <c r="DO43" s="462">
        <f>AT24</f>
        <v>29227</v>
      </c>
      <c r="DP43" s="462">
        <f>AY18</f>
        <v>3968.7559851059732</v>
      </c>
      <c r="DQ43" s="462"/>
      <c r="DR43" s="448">
        <f t="shared" si="22"/>
        <v>30</v>
      </c>
      <c r="DS43" s="450" t="s">
        <v>529</v>
      </c>
      <c r="DT43" s="462">
        <f>+BH17</f>
        <v>-66745.132263668216</v>
      </c>
      <c r="DU43" s="462">
        <f>BM17</f>
        <v>-395041</v>
      </c>
      <c r="DV43" s="462"/>
      <c r="DW43" s="462">
        <f>+BY28</f>
        <v>81887.364649999683</v>
      </c>
      <c r="DX43" s="462">
        <f>CD23</f>
        <v>-2353842.689008642</v>
      </c>
      <c r="DY43" s="462">
        <f>CI24</f>
        <v>1453.879349999997</v>
      </c>
      <c r="DZ43" s="462">
        <f>CN23</f>
        <v>44533.439999999995</v>
      </c>
      <c r="EA43" s="462"/>
      <c r="EB43" s="462">
        <f>CX23</f>
        <v>33762.422409103492</v>
      </c>
      <c r="EC43" s="462">
        <f t="shared" si="24"/>
        <v>6270028.9302968988</v>
      </c>
      <c r="ED43" s="448">
        <f t="shared" si="23"/>
        <v>30</v>
      </c>
      <c r="EE43" s="450" t="s">
        <v>529</v>
      </c>
      <c r="EF43" s="373">
        <f t="shared" si="29"/>
        <v>46951000.799999997</v>
      </c>
      <c r="EG43" s="373">
        <f t="shared" si="30"/>
        <v>6270028.9302968988</v>
      </c>
      <c r="EH43" s="462">
        <f t="shared" si="31"/>
        <v>53221029.730296895</v>
      </c>
    </row>
    <row r="44" spans="1:153" ht="15" customHeight="1">
      <c r="A44" s="469">
        <f t="shared" si="0"/>
        <v>34</v>
      </c>
      <c r="B44" s="516" t="s">
        <v>473</v>
      </c>
      <c r="C44" s="450"/>
      <c r="D44" s="450"/>
      <c r="F44" s="479"/>
      <c r="G44" s="510">
        <f>SUM(F43:F43)</f>
        <v>232120</v>
      </c>
      <c r="H44" s="469"/>
      <c r="Q44" s="375"/>
      <c r="R44" s="375"/>
      <c r="S44" s="375"/>
      <c r="T44" s="448">
        <v>33</v>
      </c>
      <c r="U44" s="483" t="s">
        <v>530</v>
      </c>
      <c r="W44" s="584"/>
      <c r="X44" s="373">
        <v>-102356.97</v>
      </c>
      <c r="Z44" s="375"/>
      <c r="AA44" s="375"/>
      <c r="AB44" s="375"/>
      <c r="AD44" s="380"/>
      <c r="AE44" s="380"/>
      <c r="AF44" s="380"/>
      <c r="AG44" s="380"/>
      <c r="AH44" s="380"/>
      <c r="AI44" s="380"/>
      <c r="AJ44" s="380"/>
      <c r="AK44" s="380"/>
      <c r="AL44" s="380"/>
      <c r="AM44" s="380"/>
      <c r="AN44" s="380"/>
      <c r="AO44" s="380"/>
      <c r="AP44" s="380"/>
      <c r="AQ44" s="643"/>
      <c r="AR44" s="643"/>
      <c r="AS44" s="643"/>
      <c r="AT44" s="643"/>
      <c r="AU44" s="643"/>
      <c r="AV44" s="643"/>
      <c r="AW44" s="643"/>
      <c r="AX44" s="643"/>
      <c r="AY44" s="643"/>
      <c r="BI44" s="644"/>
      <c r="BJ44" s="644"/>
      <c r="BK44" s="644"/>
      <c r="BL44" s="645" t="s">
        <v>226</v>
      </c>
      <c r="BM44" s="373"/>
      <c r="BZ44" s="448">
        <f t="shared" si="14"/>
        <v>33</v>
      </c>
      <c r="CA44" s="652"/>
      <c r="CB44" s="652"/>
      <c r="CC44" s="653" t="s">
        <v>531</v>
      </c>
      <c r="CD44" s="654">
        <f>+CD24-CD42</f>
        <v>-5073157.0063563194</v>
      </c>
      <c r="CY44" s="465"/>
      <c r="CZ44" s="465"/>
      <c r="DA44" s="465"/>
      <c r="DB44" s="465"/>
      <c r="DC44" s="382"/>
      <c r="DD44" s="448">
        <f t="shared" si="21"/>
        <v>31</v>
      </c>
      <c r="DE44" s="111" t="s">
        <v>532</v>
      </c>
      <c r="DF44" s="517">
        <v>63821212.819999993</v>
      </c>
      <c r="DG44" s="517"/>
      <c r="DH44" s="517"/>
      <c r="DI44" s="517">
        <f>O28</f>
        <v>-60852082.353969991</v>
      </c>
      <c r="DJ44" s="462">
        <f>S27</f>
        <v>0</v>
      </c>
      <c r="DK44" s="517"/>
      <c r="DL44" s="517"/>
      <c r="DM44" s="517"/>
      <c r="DN44" s="462"/>
      <c r="DO44" s="517"/>
      <c r="DP44" s="517"/>
      <c r="DQ44" s="517"/>
      <c r="DR44" s="448">
        <f t="shared" si="22"/>
        <v>31</v>
      </c>
      <c r="DS44" s="111" t="s">
        <v>532</v>
      </c>
      <c r="DT44" s="462"/>
      <c r="DU44" s="462"/>
      <c r="DV44" s="462">
        <f>BR18</f>
        <v>0</v>
      </c>
      <c r="DW44" s="462"/>
      <c r="DX44" s="517"/>
      <c r="DY44" s="517"/>
      <c r="DZ44" s="462"/>
      <c r="EA44" s="462"/>
      <c r="EB44" s="462"/>
      <c r="EC44" s="462">
        <f t="shared" si="24"/>
        <v>-60852082.353969991</v>
      </c>
      <c r="ED44" s="448">
        <f t="shared" si="23"/>
        <v>31</v>
      </c>
      <c r="EE44" s="111" t="s">
        <v>532</v>
      </c>
      <c r="EF44" s="373">
        <f t="shared" si="29"/>
        <v>63821212.819999993</v>
      </c>
      <c r="EG44" s="373">
        <f t="shared" si="30"/>
        <v>-60852082.353969991</v>
      </c>
      <c r="EH44" s="462">
        <f t="shared" si="31"/>
        <v>2969130.4660300016</v>
      </c>
      <c r="ES44" s="375"/>
      <c r="ET44" s="375"/>
      <c r="EU44" s="375"/>
      <c r="EV44" s="375"/>
      <c r="EW44" s="375"/>
    </row>
    <row r="45" spans="1:153" ht="15" customHeight="1">
      <c r="A45" s="469">
        <f t="shared" si="0"/>
        <v>35</v>
      </c>
      <c r="B45" s="450"/>
      <c r="C45" s="450"/>
      <c r="D45" s="450"/>
      <c r="E45" s="506"/>
      <c r="G45" s="373"/>
      <c r="H45" s="469"/>
      <c r="Q45" s="375"/>
      <c r="R45" s="375"/>
      <c r="S45" s="375"/>
      <c r="T45" s="448">
        <v>34</v>
      </c>
      <c r="U45" s="483" t="s">
        <v>533</v>
      </c>
      <c r="W45" s="554"/>
      <c r="X45" s="373">
        <v>-28095.02</v>
      </c>
      <c r="Z45" s="375"/>
      <c r="AA45" s="375"/>
      <c r="AB45" s="375"/>
      <c r="AD45" s="380"/>
      <c r="AE45" s="380"/>
      <c r="AF45" s="380"/>
      <c r="AG45" s="380"/>
      <c r="AH45" s="380"/>
      <c r="AI45" s="380"/>
      <c r="AJ45" s="380"/>
      <c r="AK45" s="380"/>
      <c r="AL45" s="380"/>
      <c r="AM45" s="380"/>
      <c r="AN45" s="380"/>
      <c r="AO45" s="380"/>
      <c r="AP45" s="380"/>
      <c r="AQ45" s="643"/>
      <c r="AR45" s="643"/>
      <c r="AS45" s="643"/>
      <c r="AT45" s="643"/>
      <c r="AU45" s="643"/>
      <c r="AV45" s="643"/>
      <c r="AW45" s="643"/>
      <c r="AX45" s="643"/>
      <c r="AY45" s="643"/>
      <c r="BI45" s="644"/>
      <c r="BJ45" s="644"/>
      <c r="BK45" s="644"/>
      <c r="BL45" s="645"/>
      <c r="BM45" s="373"/>
      <c r="BS45" s="380"/>
      <c r="BT45" s="380"/>
      <c r="BU45" s="380"/>
      <c r="BV45" s="380"/>
      <c r="BW45" s="380"/>
      <c r="BX45" s="380"/>
      <c r="BY45" s="380"/>
      <c r="CJ45" s="380"/>
      <c r="CK45" s="380"/>
      <c r="CL45" s="380"/>
      <c r="CM45" s="380"/>
      <c r="CN45" s="380"/>
      <c r="CO45" s="380"/>
      <c r="CP45" s="380"/>
      <c r="CQ45" s="380"/>
      <c r="CR45" s="380"/>
      <c r="CS45" s="380"/>
      <c r="CT45" s="380"/>
      <c r="CU45" s="380"/>
      <c r="CV45" s="380"/>
      <c r="CW45" s="380"/>
      <c r="CX45" s="380"/>
      <c r="CY45" s="655"/>
      <c r="CZ45" s="656"/>
      <c r="DA45" s="401"/>
      <c r="DB45" s="656"/>
      <c r="DC45" s="382"/>
      <c r="DD45" s="448">
        <f t="shared" si="21"/>
        <v>32</v>
      </c>
      <c r="DE45" s="450" t="s">
        <v>534</v>
      </c>
      <c r="DF45" s="635">
        <f t="shared" ref="DF45:DQ45" si="33">SUM(DF28:DF44)</f>
        <v>2077667625.7900004</v>
      </c>
      <c r="DG45" s="635">
        <f t="shared" si="33"/>
        <v>1496460</v>
      </c>
      <c r="DH45" s="635">
        <f t="shared" si="33"/>
        <v>36456467.010638237</v>
      </c>
      <c r="DI45" s="635">
        <f t="shared" si="33"/>
        <v>-27433582.280275136</v>
      </c>
      <c r="DJ45" s="635">
        <f t="shared" si="33"/>
        <v>-29895333.891126335</v>
      </c>
      <c r="DK45" s="635">
        <f>SUM(DK28:DK44)</f>
        <v>-162300027.29524186</v>
      </c>
      <c r="DL45" s="635">
        <f t="shared" si="33"/>
        <v>-344482.23261000006</v>
      </c>
      <c r="DM45" s="635">
        <f t="shared" si="33"/>
        <v>-1534815</v>
      </c>
      <c r="DN45" s="635">
        <f t="shared" si="33"/>
        <v>2651230.1910769334</v>
      </c>
      <c r="DO45" s="635">
        <f t="shared" si="33"/>
        <v>-109951.43120000232</v>
      </c>
      <c r="DP45" s="635">
        <f t="shared" si="33"/>
        <v>-14930.082039208184</v>
      </c>
      <c r="DQ45" s="635">
        <f t="shared" si="33"/>
        <v>316905.9521234514</v>
      </c>
      <c r="DR45" s="448">
        <f t="shared" si="22"/>
        <v>32</v>
      </c>
      <c r="DS45" s="450" t="s">
        <v>534</v>
      </c>
      <c r="DT45" s="635">
        <f t="shared" ref="DT45:EB45" si="34">SUM(DT28:DT44)</f>
        <v>251088.83089665661</v>
      </c>
      <c r="DU45" s="635">
        <f t="shared" si="34"/>
        <v>1486108.7675058593</v>
      </c>
      <c r="DV45" s="635">
        <f t="shared" si="34"/>
        <v>0</v>
      </c>
      <c r="DW45" s="635">
        <f t="shared" si="34"/>
        <v>-308052.46701666887</v>
      </c>
      <c r="DX45" s="635">
        <f t="shared" si="34"/>
        <v>8854932.0205563195</v>
      </c>
      <c r="DY45" s="635">
        <f t="shared" si="34"/>
        <v>-5469.3556499999886</v>
      </c>
      <c r="DZ45" s="635">
        <f t="shared" si="34"/>
        <v>-167530.56</v>
      </c>
      <c r="EA45" s="635">
        <f t="shared" si="34"/>
        <v>0</v>
      </c>
      <c r="EB45" s="635">
        <f t="shared" si="34"/>
        <v>-127011.0176342465</v>
      </c>
      <c r="EC45" s="635">
        <f t="shared" si="24"/>
        <v>-170727992.83999598</v>
      </c>
      <c r="ED45" s="448">
        <f t="shared" si="23"/>
        <v>32</v>
      </c>
      <c r="EE45" s="450" t="s">
        <v>534</v>
      </c>
      <c r="EF45" s="635">
        <f>SUM(EF28:EF44)</f>
        <v>2077667625.7900004</v>
      </c>
      <c r="EG45" s="635">
        <f>SUM(EG28:EG44)</f>
        <v>-170727992.83999601</v>
      </c>
      <c r="EH45" s="635">
        <f>SUM(EH28:EH44)</f>
        <v>1906939632.9500046</v>
      </c>
      <c r="ES45" s="375"/>
      <c r="ET45" s="375"/>
      <c r="EU45" s="375"/>
      <c r="EV45" s="375"/>
      <c r="EW45" s="375"/>
    </row>
    <row r="46" spans="1:153" ht="15" customHeight="1">
      <c r="A46" s="469">
        <f t="shared" si="0"/>
        <v>36</v>
      </c>
      <c r="B46" s="450" t="s">
        <v>396</v>
      </c>
      <c r="C46" s="450"/>
      <c r="D46" s="450"/>
      <c r="E46" s="506"/>
      <c r="F46" s="500"/>
      <c r="G46" s="560">
        <f>G37-G41-G44</f>
        <v>5748424</v>
      </c>
      <c r="H46" s="469"/>
      <c r="Q46" s="375"/>
      <c r="R46" s="375"/>
      <c r="S46" s="375"/>
      <c r="T46" s="448">
        <v>35</v>
      </c>
      <c r="U46" s="483" t="s">
        <v>535</v>
      </c>
      <c r="X46" s="373">
        <v>-4369621.26</v>
      </c>
      <c r="Z46" s="375"/>
      <c r="AA46" s="375"/>
      <c r="AB46" s="375"/>
      <c r="AD46" s="380"/>
      <c r="AE46" s="380"/>
      <c r="AF46" s="380"/>
      <c r="AG46" s="380"/>
      <c r="AH46" s="380"/>
      <c r="AI46" s="380"/>
      <c r="AJ46" s="380"/>
      <c r="AK46" s="380"/>
      <c r="AL46" s="380"/>
      <c r="AM46" s="380"/>
      <c r="AN46" s="380"/>
      <c r="AO46" s="380"/>
      <c r="AP46" s="380"/>
      <c r="AQ46" s="643"/>
      <c r="AR46" s="643"/>
      <c r="AS46" s="643"/>
      <c r="AT46" s="643"/>
      <c r="AU46" s="643"/>
      <c r="AV46" s="643"/>
      <c r="AW46" s="643"/>
      <c r="AX46" s="643"/>
      <c r="AY46" s="643"/>
      <c r="BI46" s="645"/>
      <c r="BJ46" s="645" t="s">
        <v>226</v>
      </c>
      <c r="BK46" s="645"/>
      <c r="BL46" s="645"/>
      <c r="BM46" s="373"/>
      <c r="BS46" s="380"/>
      <c r="BT46" s="380"/>
      <c r="BU46" s="380"/>
      <c r="BV46" s="380"/>
      <c r="BW46" s="380"/>
      <c r="BX46" s="380"/>
      <c r="BY46" s="380"/>
      <c r="BZ46" s="380"/>
      <c r="CA46" s="380"/>
      <c r="CB46" s="380"/>
      <c r="CC46" s="380"/>
      <c r="CD46" s="380"/>
      <c r="CE46" s="380"/>
      <c r="CF46" s="380"/>
      <c r="CG46" s="380"/>
      <c r="CH46" s="380"/>
      <c r="CI46" s="380"/>
      <c r="CJ46" s="380"/>
      <c r="CK46" s="380"/>
      <c r="CL46" s="380"/>
      <c r="CM46" s="380"/>
      <c r="CN46" s="380"/>
      <c r="CO46" s="380"/>
      <c r="CP46" s="380"/>
      <c r="CQ46" s="380"/>
      <c r="CR46" s="380"/>
      <c r="CS46" s="380"/>
      <c r="CT46" s="380"/>
      <c r="CU46" s="380"/>
      <c r="CV46" s="380"/>
      <c r="CW46" s="380"/>
      <c r="CX46" s="380"/>
      <c r="CY46" s="657"/>
      <c r="CZ46" s="656"/>
      <c r="DA46" s="401"/>
      <c r="DB46" s="656"/>
      <c r="DC46" s="658"/>
      <c r="DD46" s="448">
        <f t="shared" si="21"/>
        <v>33</v>
      </c>
      <c r="DF46" s="488"/>
      <c r="DG46" s="488" t="s">
        <v>218</v>
      </c>
      <c r="DH46" s="488" t="s">
        <v>218</v>
      </c>
      <c r="DI46" s="488" t="s">
        <v>218</v>
      </c>
      <c r="DJ46" s="488" t="s">
        <v>218</v>
      </c>
      <c r="DK46" s="488" t="s">
        <v>218</v>
      </c>
      <c r="DL46" s="488" t="s">
        <v>218</v>
      </c>
      <c r="DM46" s="488" t="s">
        <v>218</v>
      </c>
      <c r="DN46" s="488"/>
      <c r="DO46" s="488" t="s">
        <v>218</v>
      </c>
      <c r="DP46" s="488"/>
      <c r="DQ46" s="488" t="s">
        <v>218</v>
      </c>
      <c r="DR46" s="448">
        <f t="shared" si="22"/>
        <v>33</v>
      </c>
      <c r="DT46" s="488"/>
      <c r="DU46" s="488"/>
      <c r="DV46" s="488"/>
      <c r="DW46" s="488"/>
      <c r="DX46" s="488" t="s">
        <v>218</v>
      </c>
      <c r="DY46" s="488" t="s">
        <v>218</v>
      </c>
      <c r="DZ46" s="488"/>
      <c r="EA46" s="488"/>
      <c r="EB46" s="488"/>
      <c r="EC46" s="488"/>
      <c r="ED46" s="448">
        <f t="shared" si="23"/>
        <v>33</v>
      </c>
      <c r="EF46" s="488"/>
      <c r="EG46" s="488"/>
      <c r="EH46" s="488"/>
      <c r="ES46" s="375"/>
      <c r="ET46" s="375"/>
      <c r="EU46" s="375"/>
      <c r="EV46" s="375"/>
      <c r="EW46" s="375"/>
    </row>
    <row r="47" spans="1:153" ht="15" customHeight="1">
      <c r="A47" s="469">
        <f t="shared" si="0"/>
        <v>37</v>
      </c>
      <c r="B47" s="450"/>
      <c r="C47" s="450"/>
      <c r="D47" s="450"/>
      <c r="E47" s="506"/>
      <c r="F47" s="500"/>
      <c r="G47" s="500"/>
      <c r="H47" s="469"/>
      <c r="L47" s="373"/>
      <c r="Q47" s="375"/>
      <c r="R47" s="375"/>
      <c r="S47" s="375"/>
      <c r="T47" s="448">
        <v>36</v>
      </c>
      <c r="U47" s="483" t="s">
        <v>474</v>
      </c>
      <c r="V47" s="465"/>
      <c r="W47" s="465"/>
      <c r="X47" s="373">
        <v>10720950.98</v>
      </c>
      <c r="Z47" s="375"/>
      <c r="AA47" s="375"/>
      <c r="AB47" s="375"/>
      <c r="AD47" s="380"/>
      <c r="AE47" s="380"/>
      <c r="AF47" s="380"/>
      <c r="AG47" s="380"/>
      <c r="AH47" s="380"/>
      <c r="AI47" s="380"/>
      <c r="AJ47" s="380"/>
      <c r="AK47" s="380"/>
      <c r="AL47" s="380"/>
      <c r="AM47" s="380"/>
      <c r="AN47" s="380"/>
      <c r="AO47" s="380"/>
      <c r="AP47" s="380"/>
      <c r="BI47" s="645"/>
      <c r="BJ47" s="645" t="s">
        <v>226</v>
      </c>
      <c r="BK47" s="645"/>
      <c r="BL47" s="645"/>
      <c r="BM47" s="373"/>
      <c r="BS47" s="380"/>
      <c r="BT47" s="380"/>
      <c r="BU47" s="380"/>
      <c r="BV47" s="380"/>
      <c r="BW47" s="380"/>
      <c r="BX47" s="380"/>
      <c r="BY47" s="380"/>
      <c r="BZ47" s="380"/>
      <c r="CA47" s="380"/>
      <c r="CB47" s="380"/>
      <c r="CC47" s="380"/>
      <c r="CD47" s="380"/>
      <c r="CE47" s="380"/>
      <c r="CF47" s="380"/>
      <c r="CG47" s="380"/>
      <c r="CH47" s="380"/>
      <c r="CI47" s="380"/>
      <c r="CJ47" s="380"/>
      <c r="CK47" s="380"/>
      <c r="CL47" s="380"/>
      <c r="CM47" s="380"/>
      <c r="CN47" s="380"/>
      <c r="CO47" s="380"/>
      <c r="CP47" s="380"/>
      <c r="CQ47" s="380"/>
      <c r="CR47" s="380"/>
      <c r="CS47" s="380"/>
      <c r="CT47" s="380"/>
      <c r="CU47" s="380"/>
      <c r="CV47" s="380"/>
      <c r="CW47" s="380"/>
      <c r="CX47" s="380"/>
      <c r="CY47" s="657"/>
      <c r="CZ47" s="656"/>
      <c r="DA47" s="401"/>
      <c r="DB47" s="656"/>
      <c r="DC47" s="656"/>
      <c r="DD47" s="448">
        <f t="shared" si="21"/>
        <v>34</v>
      </c>
      <c r="DE47" s="450" t="s">
        <v>536</v>
      </c>
      <c r="DF47" s="476">
        <f>DF19-DF45</f>
        <v>281553948.53999949</v>
      </c>
      <c r="DG47" s="476">
        <f>DG19-DG45</f>
        <v>4541255</v>
      </c>
      <c r="DH47" s="476">
        <f>DH19-DH45</f>
        <v>17482731.149361759</v>
      </c>
      <c r="DI47" s="476">
        <f>DI19-DI45</f>
        <v>27433582.280275136</v>
      </c>
      <c r="DJ47" s="476">
        <f>DJ19-DJ45</f>
        <v>29895333.891126335</v>
      </c>
      <c r="DK47" s="476">
        <f>ROUND(DK19-DK45,0)</f>
        <v>-1059432</v>
      </c>
      <c r="DL47" s="476">
        <f>ROUND(DL19-DL45,0)</f>
        <v>344482</v>
      </c>
      <c r="DM47" s="476">
        <f>DM19-DM45</f>
        <v>1534815</v>
      </c>
      <c r="DN47" s="476">
        <f>DN19-DN45</f>
        <v>-2651230.1910769334</v>
      </c>
      <c r="DO47" s="476">
        <f>DO19-DO45</f>
        <v>109951.43120000232</v>
      </c>
      <c r="DP47" s="476">
        <f>DP19-DP45</f>
        <v>14930.082039208184</v>
      </c>
      <c r="DQ47" s="476">
        <f>DQ19-DQ45</f>
        <v>-316905.9521234514</v>
      </c>
      <c r="DR47" s="448">
        <f t="shared" si="22"/>
        <v>34</v>
      </c>
      <c r="DS47" s="450" t="s">
        <v>536</v>
      </c>
      <c r="DT47" s="476">
        <f t="shared" ref="DT47:EB47" si="35">DT19-DT45</f>
        <v>-251088.83089665661</v>
      </c>
      <c r="DU47" s="476">
        <f t="shared" si="35"/>
        <v>-1486108.7675058593</v>
      </c>
      <c r="DV47" s="476">
        <f t="shared" si="35"/>
        <v>0</v>
      </c>
      <c r="DW47" s="476">
        <f t="shared" si="35"/>
        <v>308052.46701666887</v>
      </c>
      <c r="DX47" s="476">
        <f t="shared" si="35"/>
        <v>-8854932.0205563195</v>
      </c>
      <c r="DY47" s="476">
        <f t="shared" si="35"/>
        <v>5469.3556499999886</v>
      </c>
      <c r="DZ47" s="476">
        <f t="shared" si="35"/>
        <v>167530.56</v>
      </c>
      <c r="EA47" s="476">
        <f t="shared" si="35"/>
        <v>0</v>
      </c>
      <c r="EB47" s="476">
        <f t="shared" si="35"/>
        <v>127011.0176342465</v>
      </c>
      <c r="EC47" s="476">
        <f t="shared" si="24"/>
        <v>67345446.472144127</v>
      </c>
      <c r="ED47" s="448">
        <f t="shared" si="23"/>
        <v>34</v>
      </c>
      <c r="EE47" s="111" t="str">
        <f>DE47</f>
        <v>NET OPERATING INCOME</v>
      </c>
      <c r="EF47" s="476">
        <f>EF19-EF45</f>
        <v>281553948.53999949</v>
      </c>
      <c r="EG47" s="476">
        <f>EG19-EG45</f>
        <v>67345446.8452169</v>
      </c>
      <c r="EH47" s="476">
        <f>EH19-EH45</f>
        <v>348899395.38521624</v>
      </c>
      <c r="ES47" s="375"/>
      <c r="ET47" s="375"/>
      <c r="EU47" s="375"/>
      <c r="EV47" s="375"/>
      <c r="EW47" s="375"/>
    </row>
    <row r="48" spans="1:153" ht="15" customHeight="1">
      <c r="A48" s="469">
        <f t="shared" si="0"/>
        <v>38</v>
      </c>
      <c r="B48" s="450" t="s">
        <v>408</v>
      </c>
      <c r="C48" s="450"/>
      <c r="D48" s="450"/>
      <c r="E48" s="559">
        <f>FIT</f>
        <v>0.21</v>
      </c>
      <c r="F48" s="500"/>
      <c r="G48" s="510">
        <f>ROUND(G46*E48,0)</f>
        <v>1207169</v>
      </c>
      <c r="H48" s="469"/>
      <c r="L48" s="373"/>
      <c r="Q48" s="375"/>
      <c r="R48" s="375"/>
      <c r="S48" s="375"/>
      <c r="T48" s="448">
        <v>37</v>
      </c>
      <c r="U48" s="552" t="s">
        <v>485</v>
      </c>
      <c r="V48" s="465"/>
      <c r="W48" s="465"/>
      <c r="X48" s="631">
        <f>SUM(X36:X47)</f>
        <v>-154304961.86999997</v>
      </c>
      <c r="Z48" s="375"/>
      <c r="AA48" s="375"/>
      <c r="AB48" s="375"/>
      <c r="AD48" s="380"/>
      <c r="AE48" s="380"/>
      <c r="AF48" s="380"/>
      <c r="AG48" s="380"/>
      <c r="AH48" s="380"/>
      <c r="AI48" s="380"/>
      <c r="AJ48" s="380"/>
      <c r="AK48" s="380"/>
      <c r="AL48" s="380"/>
      <c r="AM48" s="380"/>
      <c r="AN48" s="380"/>
      <c r="AO48" s="380"/>
      <c r="AP48" s="380"/>
      <c r="BI48" s="645" t="s">
        <v>226</v>
      </c>
      <c r="BJ48" s="645" t="s">
        <v>226</v>
      </c>
      <c r="BK48" s="645" t="s">
        <v>226</v>
      </c>
      <c r="BL48" s="645" t="s">
        <v>226</v>
      </c>
      <c r="BM48" s="373"/>
      <c r="BS48" s="380"/>
      <c r="BT48" s="380"/>
      <c r="BU48" s="380"/>
      <c r="BV48" s="380"/>
      <c r="BW48" s="380"/>
      <c r="BX48" s="380"/>
      <c r="BY48" s="380"/>
      <c r="BZ48" s="380"/>
      <c r="CA48" s="380"/>
      <c r="CB48" s="380"/>
      <c r="CC48" s="380"/>
      <c r="CD48" s="380"/>
      <c r="CE48" s="380"/>
      <c r="CF48" s="380"/>
      <c r="CG48" s="380"/>
      <c r="CH48" s="380"/>
      <c r="CI48" s="380"/>
      <c r="CJ48" s="380"/>
      <c r="CK48" s="380"/>
      <c r="CL48" s="380"/>
      <c r="CM48" s="380"/>
      <c r="CN48" s="380"/>
      <c r="CO48" s="380"/>
      <c r="CP48" s="380"/>
      <c r="CQ48" s="380"/>
      <c r="CR48" s="380"/>
      <c r="CS48" s="380"/>
      <c r="CT48" s="380"/>
      <c r="CU48" s="380"/>
      <c r="CV48" s="380"/>
      <c r="CW48" s="380"/>
      <c r="CX48" s="380"/>
      <c r="CY48" s="401"/>
      <c r="CZ48" s="656"/>
      <c r="DA48" s="401"/>
      <c r="DB48" s="656"/>
      <c r="DC48" s="656"/>
      <c r="DD48" s="448">
        <f t="shared" si="21"/>
        <v>35</v>
      </c>
      <c r="DF48" s="659"/>
      <c r="DG48" s="659"/>
      <c r="DH48" s="659"/>
      <c r="DI48" s="659"/>
      <c r="DJ48" s="659"/>
      <c r="DK48" s="659"/>
      <c r="DL48" s="659"/>
      <c r="DM48" s="659"/>
      <c r="DN48" s="659"/>
      <c r="DO48" s="659"/>
      <c r="DP48" s="659"/>
      <c r="DQ48" s="659"/>
      <c r="DR48" s="448">
        <f t="shared" si="22"/>
        <v>35</v>
      </c>
      <c r="DT48" s="659"/>
      <c r="DU48" s="659"/>
      <c r="DV48" s="659"/>
      <c r="DW48" s="659"/>
      <c r="DX48" s="659"/>
      <c r="DY48" s="659"/>
      <c r="DZ48" s="659"/>
      <c r="EA48" s="659"/>
      <c r="EB48" s="659"/>
      <c r="EC48" s="659"/>
      <c r="ED48" s="448">
        <f t="shared" si="23"/>
        <v>35</v>
      </c>
      <c r="EE48" s="450"/>
      <c r="EF48" s="659"/>
      <c r="EG48" s="659"/>
      <c r="EH48" s="659"/>
      <c r="ES48" s="375"/>
      <c r="ET48" s="375"/>
      <c r="EU48" s="375"/>
      <c r="EV48" s="375"/>
      <c r="EW48" s="375"/>
    </row>
    <row r="49" spans="1:153" ht="15" customHeight="1" thickBot="1">
      <c r="A49" s="469">
        <f t="shared" si="0"/>
        <v>39</v>
      </c>
      <c r="B49" s="450" t="s">
        <v>385</v>
      </c>
      <c r="C49" s="450"/>
      <c r="D49" s="450"/>
      <c r="F49" s="500"/>
      <c r="G49" s="571">
        <f>G46-G48</f>
        <v>4541255</v>
      </c>
      <c r="H49" s="469"/>
      <c r="L49" s="373"/>
      <c r="O49" s="375"/>
      <c r="Q49" s="375"/>
      <c r="R49" s="375"/>
      <c r="S49" s="375"/>
      <c r="T49" s="448">
        <v>38</v>
      </c>
      <c r="U49" s="552"/>
      <c r="V49" s="465"/>
      <c r="W49" s="465"/>
      <c r="X49" s="611"/>
      <c r="Z49" s="375"/>
      <c r="AA49" s="375"/>
      <c r="AB49" s="375"/>
      <c r="AD49" s="380"/>
      <c r="AE49" s="380"/>
      <c r="AF49" s="380"/>
      <c r="AG49" s="380"/>
      <c r="AH49" s="380"/>
      <c r="AI49" s="380"/>
      <c r="AJ49" s="380"/>
      <c r="AK49" s="380"/>
      <c r="AL49" s="380"/>
      <c r="AM49" s="380"/>
      <c r="AN49" s="380"/>
      <c r="AO49" s="380"/>
      <c r="AP49" s="380"/>
      <c r="BI49" s="645" t="s">
        <v>226</v>
      </c>
      <c r="BJ49" s="645" t="s">
        <v>226</v>
      </c>
      <c r="BK49" s="645" t="s">
        <v>226</v>
      </c>
      <c r="BL49" s="645" t="s">
        <v>226</v>
      </c>
      <c r="BM49" s="373"/>
      <c r="BS49" s="380"/>
      <c r="BT49" s="380"/>
      <c r="BU49" s="380"/>
      <c r="BV49" s="380"/>
      <c r="BW49" s="380"/>
      <c r="BX49" s="380"/>
      <c r="BY49" s="380"/>
      <c r="BZ49" s="380"/>
      <c r="CA49" s="380"/>
      <c r="CB49" s="380"/>
      <c r="CC49" s="380"/>
      <c r="CD49" s="380"/>
      <c r="CE49" s="380"/>
      <c r="CF49" s="380"/>
      <c r="CG49" s="380"/>
      <c r="CH49" s="380"/>
      <c r="CI49" s="380"/>
      <c r="CJ49" s="380"/>
      <c r="CK49" s="380"/>
      <c r="CL49" s="380"/>
      <c r="CM49" s="380"/>
      <c r="CN49" s="380"/>
      <c r="CO49" s="380"/>
      <c r="CP49" s="380"/>
      <c r="CQ49" s="380"/>
      <c r="CR49" s="380"/>
      <c r="CS49" s="380"/>
      <c r="CT49" s="380"/>
      <c r="CU49" s="380"/>
      <c r="CV49" s="380"/>
      <c r="CW49" s="380"/>
      <c r="CX49" s="380"/>
      <c r="CY49" s="657"/>
      <c r="CZ49" s="660"/>
      <c r="DA49" s="656"/>
      <c r="DB49" s="656"/>
      <c r="DC49" s="656"/>
      <c r="DD49" s="448">
        <f t="shared" si="21"/>
        <v>36</v>
      </c>
      <c r="DE49" s="450" t="s">
        <v>537</v>
      </c>
      <c r="DF49" s="488">
        <f>DF60</f>
        <v>5443851882.2468576</v>
      </c>
      <c r="DG49" s="488">
        <v>0</v>
      </c>
      <c r="DH49" s="488">
        <v>0</v>
      </c>
      <c r="DI49" s="488">
        <v>0</v>
      </c>
      <c r="DJ49" s="488">
        <v>0</v>
      </c>
      <c r="DK49" s="488"/>
      <c r="DL49" s="488"/>
      <c r="DM49" s="488">
        <v>0</v>
      </c>
      <c r="DN49" s="488">
        <v>0</v>
      </c>
      <c r="DO49" s="488">
        <v>0</v>
      </c>
      <c r="DP49" s="488">
        <v>0</v>
      </c>
      <c r="DQ49" s="488">
        <v>0</v>
      </c>
      <c r="DR49" s="448">
        <f t="shared" si="22"/>
        <v>36</v>
      </c>
      <c r="DS49" s="450" t="s">
        <v>537</v>
      </c>
      <c r="DT49" s="488">
        <v>0</v>
      </c>
      <c r="DU49" s="488">
        <v>0</v>
      </c>
      <c r="DV49" s="488">
        <v>0</v>
      </c>
      <c r="DW49" s="488">
        <v>0</v>
      </c>
      <c r="DX49" s="488">
        <v>0</v>
      </c>
      <c r="DY49" s="488">
        <v>0</v>
      </c>
      <c r="DZ49" s="488">
        <f>CN17</f>
        <v>-1402186.52</v>
      </c>
      <c r="EA49" s="488">
        <f>CS17</f>
        <v>-108497311.58370547</v>
      </c>
      <c r="EB49" s="488">
        <f>CX17</f>
        <v>-2164638.2672226988</v>
      </c>
      <c r="EC49" s="488">
        <f t="shared" si="24"/>
        <v>-112064136.37092817</v>
      </c>
      <c r="ED49" s="448">
        <f t="shared" si="23"/>
        <v>36</v>
      </c>
      <c r="EE49" s="111" t="str">
        <f>DE49</f>
        <v xml:space="preserve">RATE BASE </v>
      </c>
      <c r="EF49" s="488">
        <f>EF60</f>
        <v>5443851882.2468576</v>
      </c>
      <c r="EG49" s="488">
        <f>+EC49</f>
        <v>-112064136.37092817</v>
      </c>
      <c r="EH49" s="488">
        <f>SUM(EF49:EG49)</f>
        <v>5331787745.8759298</v>
      </c>
      <c r="ES49" s="375"/>
      <c r="ET49" s="375"/>
      <c r="EU49" s="375"/>
      <c r="EV49" s="375"/>
      <c r="EW49" s="375"/>
    </row>
    <row r="50" spans="1:153" ht="15" customHeight="1" thickTop="1">
      <c r="A50" s="469"/>
      <c r="G50" s="488"/>
      <c r="H50" s="373"/>
      <c r="L50" s="373"/>
      <c r="Q50" s="375"/>
      <c r="R50" s="375"/>
      <c r="S50" s="375"/>
      <c r="T50" s="448">
        <v>39</v>
      </c>
      <c r="U50" s="552" t="s">
        <v>517</v>
      </c>
      <c r="X50" s="488">
        <f>-X27-X33-X48</f>
        <v>-1341052.9867560267</v>
      </c>
      <c r="Z50" s="375"/>
      <c r="AA50" s="375"/>
      <c r="AB50" s="375"/>
      <c r="AD50" s="380"/>
      <c r="AE50" s="380"/>
      <c r="AF50" s="380"/>
      <c r="AG50" s="380"/>
      <c r="AH50" s="380"/>
      <c r="AI50" s="380"/>
      <c r="AJ50" s="380"/>
      <c r="AK50" s="380"/>
      <c r="AL50" s="380"/>
      <c r="AM50" s="380"/>
      <c r="AN50" s="380"/>
      <c r="AO50" s="380"/>
      <c r="AP50" s="380"/>
      <c r="BI50" s="645" t="s">
        <v>226</v>
      </c>
      <c r="BJ50" s="645" t="s">
        <v>226</v>
      </c>
      <c r="BK50" s="645" t="s">
        <v>226</v>
      </c>
      <c r="BL50" s="645" t="s">
        <v>226</v>
      </c>
      <c r="BM50" s="373"/>
      <c r="BS50" s="380"/>
      <c r="BT50" s="380"/>
      <c r="BU50" s="380"/>
      <c r="BV50" s="380"/>
      <c r="BW50" s="380"/>
      <c r="BX50" s="380"/>
      <c r="BY50" s="373">
        <f>ROUND(BH19-DT47,0)</f>
        <v>0</v>
      </c>
      <c r="BZ50" s="380"/>
      <c r="CA50" s="380"/>
      <c r="CB50" s="380"/>
      <c r="CC50" s="380"/>
      <c r="CD50" s="380"/>
      <c r="CE50" s="380"/>
      <c r="CF50" s="380"/>
      <c r="CG50" s="380"/>
      <c r="CH50" s="380"/>
      <c r="CI50" s="380"/>
      <c r="CJ50" s="373"/>
      <c r="CK50" s="373"/>
      <c r="CL50" s="373"/>
      <c r="CM50" s="373"/>
      <c r="CN50" s="373"/>
      <c r="CO50" s="373"/>
      <c r="CP50" s="373"/>
      <c r="CQ50" s="373"/>
      <c r="CR50" s="373"/>
      <c r="CS50" s="373"/>
      <c r="CT50" s="373"/>
      <c r="CU50" s="373"/>
      <c r="CV50" s="373"/>
      <c r="CW50" s="373"/>
      <c r="CX50" s="373"/>
      <c r="CY50" s="465"/>
      <c r="CZ50" s="465"/>
      <c r="DA50" s="465"/>
      <c r="DB50" s="465"/>
      <c r="DC50" s="465"/>
      <c r="DD50" s="448">
        <f t="shared" si="21"/>
        <v>37</v>
      </c>
      <c r="DF50" s="484"/>
      <c r="DN50" s="450"/>
      <c r="DR50" s="448">
        <f t="shared" si="22"/>
        <v>37</v>
      </c>
      <c r="DT50" s="450"/>
      <c r="DU50" s="450"/>
      <c r="DV50" s="450"/>
      <c r="DW50" s="450"/>
      <c r="DX50" s="484"/>
      <c r="DZ50" s="450"/>
      <c r="EA50" s="450"/>
      <c r="EB50" s="450"/>
      <c r="ED50" s="448">
        <f t="shared" si="23"/>
        <v>37</v>
      </c>
      <c r="EF50" s="488"/>
      <c r="EG50" s="488"/>
      <c r="ES50" s="375"/>
      <c r="ET50" s="375"/>
      <c r="EU50" s="375"/>
      <c r="EV50" s="375"/>
      <c r="EW50" s="375"/>
    </row>
    <row r="51" spans="1:153" ht="15" customHeight="1">
      <c r="A51" s="469"/>
      <c r="G51" s="373"/>
      <c r="H51" s="560"/>
      <c r="L51" s="373"/>
      <c r="Q51" s="375"/>
      <c r="R51" s="375"/>
      <c r="S51" s="375"/>
      <c r="T51" s="448">
        <v>40</v>
      </c>
      <c r="U51" s="552" t="s">
        <v>408</v>
      </c>
      <c r="W51" s="558">
        <f>FIT</f>
        <v>0.21</v>
      </c>
      <c r="X51" s="373">
        <f>X50*W51</f>
        <v>-281621.12721876561</v>
      </c>
      <c r="Z51" s="375"/>
      <c r="AA51" s="375"/>
      <c r="AB51" s="375"/>
      <c r="AD51" s="380"/>
      <c r="AE51" s="380"/>
      <c r="AF51" s="380"/>
      <c r="AG51" s="380"/>
      <c r="AH51" s="380"/>
      <c r="AI51" s="380"/>
      <c r="AJ51" s="380"/>
      <c r="AK51" s="380"/>
      <c r="AL51" s="380"/>
      <c r="AM51" s="380"/>
      <c r="AN51" s="380"/>
      <c r="AO51" s="380"/>
      <c r="AP51" s="380"/>
      <c r="AT51" s="373">
        <f>ROUND(AT26-DO47,0)</f>
        <v>0</v>
      </c>
      <c r="AY51" s="373">
        <f>ROUND(AY20-DP47,0)</f>
        <v>0</v>
      </c>
      <c r="BD51" s="373">
        <f>ROUND(CI25-DY47,0)</f>
        <v>0</v>
      </c>
      <c r="BH51" s="373">
        <f>ROUND(BC15-DQ47,0)</f>
        <v>0</v>
      </c>
      <c r="BI51" s="645" t="s">
        <v>226</v>
      </c>
      <c r="BJ51" s="661"/>
      <c r="BK51" s="645"/>
      <c r="BL51" s="645" t="s">
        <v>226</v>
      </c>
      <c r="BM51" s="373">
        <f>ROUND(BR20-DV47,0)</f>
        <v>0</v>
      </c>
      <c r="BS51" s="380"/>
      <c r="BT51" s="380"/>
      <c r="BU51" s="380"/>
      <c r="BV51" s="380"/>
      <c r="BW51" s="380"/>
      <c r="BX51" s="380"/>
      <c r="BY51" s="380"/>
      <c r="BZ51" s="373"/>
      <c r="CA51" s="373"/>
      <c r="CB51" s="373"/>
      <c r="CC51" s="373"/>
      <c r="CD51" s="373"/>
      <c r="CE51" s="373"/>
      <c r="CF51" s="373"/>
      <c r="CG51" s="373"/>
      <c r="CH51" s="373"/>
      <c r="CI51" s="373"/>
      <c r="CJ51" s="380"/>
      <c r="CK51" s="380"/>
      <c r="CL51" s="380"/>
      <c r="CM51" s="380"/>
      <c r="CN51" s="380"/>
      <c r="CO51" s="380"/>
      <c r="CP51" s="380"/>
      <c r="CQ51" s="380"/>
      <c r="CR51" s="380"/>
      <c r="CS51" s="380"/>
      <c r="CT51" s="380"/>
      <c r="CU51" s="380"/>
      <c r="CV51" s="380"/>
      <c r="CW51" s="380"/>
      <c r="CX51" s="380"/>
      <c r="CY51" s="417"/>
      <c r="CZ51" s="465"/>
      <c r="DA51" s="465"/>
      <c r="DB51" s="465"/>
      <c r="DC51" s="455"/>
      <c r="DD51" s="448">
        <f t="shared" si="21"/>
        <v>38</v>
      </c>
      <c r="DE51" s="450" t="s">
        <v>538</v>
      </c>
      <c r="DF51" s="662">
        <f>DF47/DF49</f>
        <v>5.1719619605776791E-2</v>
      </c>
      <c r="DN51" s="450"/>
      <c r="DR51" s="448">
        <f t="shared" si="22"/>
        <v>38</v>
      </c>
      <c r="DS51" s="450" t="s">
        <v>538</v>
      </c>
      <c r="DT51" s="450"/>
      <c r="DU51" s="450"/>
      <c r="DV51" s="450"/>
      <c r="DW51" s="450"/>
      <c r="DX51" s="484"/>
      <c r="DZ51" s="450"/>
      <c r="EA51" s="450"/>
      <c r="EB51" s="450"/>
      <c r="EC51" s="584">
        <f>EC47/EC49</f>
        <v>-0.60095449492630881</v>
      </c>
      <c r="ED51" s="448">
        <f t="shared" si="23"/>
        <v>38</v>
      </c>
      <c r="EE51" s="111" t="str">
        <f>DE51</f>
        <v>RATE OF RETURN</v>
      </c>
      <c r="EF51" s="584">
        <f>EF47/EF49</f>
        <v>5.1719619605776791E-2</v>
      </c>
      <c r="EG51" s="584"/>
      <c r="EH51" s="584">
        <f>EH47/EH49</f>
        <v>6.5437600297402213E-2</v>
      </c>
      <c r="ES51" s="375"/>
      <c r="ET51" s="375"/>
      <c r="EU51" s="375"/>
      <c r="EV51" s="375"/>
      <c r="EW51" s="375"/>
    </row>
    <row r="52" spans="1:153" ht="15" customHeight="1" thickBot="1">
      <c r="A52" s="469"/>
      <c r="H52" s="373"/>
      <c r="L52" s="373"/>
      <c r="Q52" s="375"/>
      <c r="R52" s="375"/>
      <c r="S52" s="375"/>
      <c r="T52" s="448">
        <v>41</v>
      </c>
      <c r="U52" s="552" t="s">
        <v>385</v>
      </c>
      <c r="X52" s="591">
        <f>X50-X51</f>
        <v>-1059431.8595372611</v>
      </c>
      <c r="Z52" s="373"/>
      <c r="AA52" s="373"/>
      <c r="AB52" s="373"/>
      <c r="AD52" s="380"/>
      <c r="AE52" s="380"/>
      <c r="AF52" s="380"/>
      <c r="AG52" s="380"/>
      <c r="AH52" s="380"/>
      <c r="AI52" s="380"/>
      <c r="AJ52" s="380"/>
      <c r="AK52" s="380"/>
      <c r="AL52" s="380"/>
      <c r="AM52" s="380"/>
      <c r="AN52" s="380"/>
      <c r="AO52" s="380"/>
      <c r="AP52" s="380"/>
      <c r="BI52" s="645" t="s">
        <v>226</v>
      </c>
      <c r="BJ52" s="661"/>
      <c r="BK52" s="645"/>
      <c r="BL52" s="645" t="s">
        <v>226</v>
      </c>
      <c r="BM52" s="373"/>
      <c r="BS52" s="380"/>
      <c r="BT52" s="380"/>
      <c r="BU52" s="380"/>
      <c r="BV52" s="380"/>
      <c r="BW52" s="380"/>
      <c r="BX52" s="380"/>
      <c r="BY52" s="380"/>
      <c r="BZ52" s="380"/>
      <c r="CA52" s="380"/>
      <c r="CB52" s="380"/>
      <c r="CC52" s="380"/>
      <c r="CD52" s="380"/>
      <c r="CE52" s="380"/>
      <c r="CF52" s="380"/>
      <c r="CG52" s="380"/>
      <c r="CH52" s="380"/>
      <c r="CI52" s="380"/>
      <c r="CJ52" s="380"/>
      <c r="CK52" s="380"/>
      <c r="CL52" s="380"/>
      <c r="CM52" s="380"/>
      <c r="CN52" s="380"/>
      <c r="CO52" s="380"/>
      <c r="CP52" s="380"/>
      <c r="CQ52" s="380"/>
      <c r="CR52" s="380"/>
      <c r="CS52" s="380"/>
      <c r="CT52" s="380"/>
      <c r="CU52" s="380"/>
      <c r="CV52" s="380"/>
      <c r="CW52" s="380"/>
      <c r="CX52" s="380"/>
      <c r="CY52" s="417"/>
      <c r="CZ52" s="663"/>
      <c r="DA52" s="465"/>
      <c r="DB52" s="465"/>
      <c r="DC52" s="455"/>
      <c r="DD52" s="448">
        <f t="shared" si="21"/>
        <v>39</v>
      </c>
      <c r="DR52" s="448">
        <f t="shared" si="22"/>
        <v>39</v>
      </c>
      <c r="ED52" s="448">
        <f t="shared" si="23"/>
        <v>39</v>
      </c>
      <c r="ES52" s="375"/>
      <c r="ET52" s="375"/>
      <c r="EU52" s="375"/>
      <c r="EV52" s="375"/>
      <c r="EW52" s="375"/>
    </row>
    <row r="53" spans="1:153" ht="15" customHeight="1" thickTop="1">
      <c r="A53" s="469"/>
      <c r="B53" s="483"/>
      <c r="H53" s="560"/>
      <c r="L53" s="373"/>
      <c r="Q53" s="375"/>
      <c r="R53" s="375"/>
      <c r="S53" s="375"/>
      <c r="U53" s="380"/>
      <c r="V53" s="380"/>
      <c r="W53" s="380"/>
      <c r="X53" s="380"/>
      <c r="Y53" s="373"/>
      <c r="AD53" s="380"/>
      <c r="AE53" s="380"/>
      <c r="AF53" s="380"/>
      <c r="AG53" s="380"/>
      <c r="AH53" s="380"/>
      <c r="AI53" s="380"/>
      <c r="AJ53" s="380"/>
      <c r="AK53" s="380"/>
      <c r="AL53" s="380"/>
      <c r="AM53" s="380"/>
      <c r="AN53" s="380"/>
      <c r="AO53" s="380"/>
      <c r="AP53" s="380"/>
      <c r="BK53" s="373"/>
      <c r="BL53" s="373"/>
      <c r="BM53" s="373"/>
      <c r="BS53" s="380"/>
      <c r="BT53" s="380"/>
      <c r="BU53" s="380"/>
      <c r="BV53" s="380"/>
      <c r="BW53" s="380"/>
      <c r="BX53" s="380"/>
      <c r="BY53" s="380"/>
      <c r="BZ53" s="380"/>
      <c r="CA53" s="380"/>
      <c r="CB53" s="380"/>
      <c r="CC53" s="380"/>
      <c r="CD53" s="380"/>
      <c r="CE53" s="380"/>
      <c r="CF53" s="380"/>
      <c r="CG53" s="380"/>
      <c r="CH53" s="380"/>
      <c r="CI53" s="380"/>
      <c r="CJ53" s="380"/>
      <c r="CK53" s="380"/>
      <c r="CL53" s="380"/>
      <c r="CM53" s="380"/>
      <c r="CN53" s="380"/>
      <c r="CO53" s="380"/>
      <c r="CP53" s="380"/>
      <c r="CQ53" s="380"/>
      <c r="CR53" s="380"/>
      <c r="CS53" s="380"/>
      <c r="CT53" s="380"/>
      <c r="CU53" s="380"/>
      <c r="CV53" s="380"/>
      <c r="CW53" s="380"/>
      <c r="CX53" s="380"/>
      <c r="CY53" s="465"/>
      <c r="CZ53" s="465"/>
      <c r="DA53" s="465"/>
      <c r="DB53" s="465"/>
      <c r="DC53" s="465"/>
      <c r="DD53" s="448">
        <f t="shared" si="21"/>
        <v>40</v>
      </c>
      <c r="DE53" s="111" t="s">
        <v>539</v>
      </c>
      <c r="DF53" s="418"/>
      <c r="DR53" s="448">
        <f t="shared" si="22"/>
        <v>40</v>
      </c>
      <c r="DS53" s="111" t="s">
        <v>539</v>
      </c>
      <c r="ED53" s="448">
        <f t="shared" si="23"/>
        <v>40</v>
      </c>
      <c r="EE53" s="111" t="s">
        <v>539</v>
      </c>
      <c r="ES53" s="375"/>
      <c r="ET53" s="375"/>
      <c r="EU53" s="375"/>
      <c r="EV53" s="375"/>
      <c r="EW53" s="375"/>
    </row>
    <row r="54" spans="1:153" ht="15" customHeight="1">
      <c r="A54" s="469"/>
      <c r="H54" s="500"/>
      <c r="L54" s="373"/>
      <c r="P54" s="465"/>
      <c r="Q54" s="375"/>
      <c r="R54" s="375"/>
      <c r="S54" s="375"/>
      <c r="T54" s="380"/>
      <c r="U54" s="380"/>
      <c r="V54" s="380"/>
      <c r="W54" s="380"/>
      <c r="X54" s="380"/>
      <c r="AD54" s="380"/>
      <c r="AE54" s="380"/>
      <c r="AF54" s="380"/>
      <c r="AG54" s="380"/>
      <c r="AH54" s="380"/>
      <c r="AI54" s="380"/>
      <c r="AJ54" s="380"/>
      <c r="AK54" s="380"/>
      <c r="AL54" s="380"/>
      <c r="AM54" s="380"/>
      <c r="AN54" s="380"/>
      <c r="AO54" s="380"/>
      <c r="AP54" s="380"/>
      <c r="BK54" s="373"/>
      <c r="BL54" s="373"/>
      <c r="BM54" s="373"/>
      <c r="BS54" s="380"/>
      <c r="BT54" s="380"/>
      <c r="BU54" s="380"/>
      <c r="BV54" s="380"/>
      <c r="BW54" s="380"/>
      <c r="BX54" s="380"/>
      <c r="BY54" s="380"/>
      <c r="BZ54" s="380"/>
      <c r="CA54" s="380"/>
      <c r="CB54" s="380"/>
      <c r="CC54" s="380"/>
      <c r="CD54" s="380"/>
      <c r="CE54" s="380"/>
      <c r="CF54" s="380"/>
      <c r="CG54" s="380"/>
      <c r="CH54" s="380"/>
      <c r="CI54" s="380"/>
      <c r="CJ54" s="380"/>
      <c r="CK54" s="380"/>
      <c r="CL54" s="380"/>
      <c r="CM54" s="380"/>
      <c r="CN54" s="380"/>
      <c r="CO54" s="380"/>
      <c r="CP54" s="380"/>
      <c r="CQ54" s="380"/>
      <c r="CR54" s="380"/>
      <c r="CS54" s="380"/>
      <c r="CT54" s="380"/>
      <c r="CU54" s="380"/>
      <c r="CV54" s="380"/>
      <c r="CW54" s="380"/>
      <c r="CX54" s="380"/>
      <c r="CY54" s="455"/>
      <c r="CZ54" s="465"/>
      <c r="DA54" s="465"/>
      <c r="DB54" s="465"/>
      <c r="DC54" s="664"/>
      <c r="DD54" s="448">
        <f t="shared" si="21"/>
        <v>41</v>
      </c>
      <c r="DE54" s="665" t="s">
        <v>540</v>
      </c>
      <c r="DF54" s="666">
        <v>11042232704.161736</v>
      </c>
      <c r="DG54" s="488">
        <v>0</v>
      </c>
      <c r="DH54" s="488">
        <v>0</v>
      </c>
      <c r="DI54" s="488">
        <v>0</v>
      </c>
      <c r="DJ54" s="488">
        <v>0</v>
      </c>
      <c r="DK54" s="488">
        <v>0</v>
      </c>
      <c r="DL54" s="488">
        <v>0</v>
      </c>
      <c r="DM54" s="488">
        <v>0</v>
      </c>
      <c r="DN54" s="488">
        <v>0</v>
      </c>
      <c r="DO54" s="488">
        <v>0</v>
      </c>
      <c r="DP54" s="488">
        <v>0</v>
      </c>
      <c r="DQ54" s="488">
        <v>0</v>
      </c>
      <c r="DR54" s="448">
        <f t="shared" si="22"/>
        <v>41</v>
      </c>
      <c r="DS54" s="665" t="s">
        <v>540</v>
      </c>
      <c r="DT54" s="488">
        <v>0</v>
      </c>
      <c r="DU54" s="488">
        <v>0</v>
      </c>
      <c r="DV54" s="488">
        <v>0</v>
      </c>
      <c r="DW54" s="488"/>
      <c r="DX54" s="488">
        <v>0</v>
      </c>
      <c r="DY54" s="488">
        <v>0</v>
      </c>
      <c r="DZ54" s="488">
        <f>CN14</f>
        <v>-4539303</v>
      </c>
      <c r="EA54" s="488">
        <f>CS14</f>
        <v>-140623727.13213542</v>
      </c>
      <c r="EB54" s="488">
        <f>CX14</f>
        <v>-3322158.5023114588</v>
      </c>
      <c r="EC54" s="488">
        <f t="shared" si="24"/>
        <v>-148485188.63444689</v>
      </c>
      <c r="ED54" s="448">
        <f t="shared" ref="ED54:ED60" si="36">ED53+1</f>
        <v>41</v>
      </c>
      <c r="EE54" s="665" t="s">
        <v>540</v>
      </c>
      <c r="EF54" s="488">
        <f t="shared" ref="EF54:EF59" si="37">DF54</f>
        <v>11042232704.161736</v>
      </c>
      <c r="EG54" s="488">
        <f t="shared" ref="EG54:EG59" si="38">+EC54</f>
        <v>-148485188.63444689</v>
      </c>
      <c r="EH54" s="488">
        <f t="shared" ref="EH54:EH59" si="39">+EG54+EF54</f>
        <v>10893747515.527288</v>
      </c>
      <c r="ES54" s="375"/>
      <c r="ET54" s="375"/>
      <c r="EU54" s="375"/>
      <c r="EV54" s="375"/>
      <c r="EW54" s="375"/>
    </row>
    <row r="55" spans="1:153" ht="15" customHeight="1">
      <c r="A55" s="469"/>
      <c r="H55" s="560"/>
      <c r="L55" s="373"/>
      <c r="P55" s="465"/>
      <c r="Q55" s="375"/>
      <c r="R55" s="375"/>
      <c r="S55" s="375"/>
      <c r="T55" s="380"/>
      <c r="U55" s="380"/>
      <c r="V55" s="380"/>
      <c r="W55" s="380"/>
      <c r="X55" s="380"/>
      <c r="AD55" s="380"/>
      <c r="AE55" s="380"/>
      <c r="AF55" s="380"/>
      <c r="AG55" s="380"/>
      <c r="AH55" s="380"/>
      <c r="AI55" s="380"/>
      <c r="AJ55" s="380"/>
      <c r="AK55" s="380"/>
      <c r="AL55" s="380"/>
      <c r="AM55" s="380"/>
      <c r="AN55" s="380"/>
      <c r="AO55" s="380"/>
      <c r="AP55" s="380"/>
      <c r="BK55" s="373"/>
      <c r="BL55" s="373"/>
      <c r="BM55" s="373"/>
      <c r="BS55" s="380"/>
      <c r="BT55" s="380"/>
      <c r="BU55" s="380"/>
      <c r="BV55" s="380"/>
      <c r="BW55" s="380"/>
      <c r="BX55" s="380"/>
      <c r="BY55" s="380"/>
      <c r="BZ55" s="380"/>
      <c r="CA55" s="380"/>
      <c r="CB55" s="380"/>
      <c r="CC55" s="380"/>
      <c r="CD55" s="380"/>
      <c r="CE55" s="380"/>
      <c r="CF55" s="380"/>
      <c r="CG55" s="380"/>
      <c r="CH55" s="380"/>
      <c r="CI55" s="380"/>
      <c r="CJ55" s="380"/>
      <c r="CK55" s="380"/>
      <c r="CL55" s="380"/>
      <c r="CM55" s="380"/>
      <c r="CN55" s="380"/>
      <c r="CO55" s="380"/>
      <c r="CP55" s="380"/>
      <c r="CQ55" s="380"/>
      <c r="CR55" s="380"/>
      <c r="CS55" s="380"/>
      <c r="CT55" s="380"/>
      <c r="CU55" s="380"/>
      <c r="CV55" s="380"/>
      <c r="CW55" s="380"/>
      <c r="CX55" s="380"/>
      <c r="CY55" s="455"/>
      <c r="CZ55" s="590"/>
      <c r="DA55" s="465"/>
      <c r="DB55" s="465"/>
      <c r="DC55" s="667"/>
      <c r="DD55" s="448">
        <f t="shared" si="21"/>
        <v>42</v>
      </c>
      <c r="DE55" s="665" t="s">
        <v>541</v>
      </c>
      <c r="DF55" s="668">
        <v>-4641992174.5613737</v>
      </c>
      <c r="DG55" s="488"/>
      <c r="DH55" s="488"/>
      <c r="DI55" s="488"/>
      <c r="DJ55" s="488"/>
      <c r="DK55" s="488"/>
      <c r="DL55" s="488"/>
      <c r="DM55" s="488"/>
      <c r="DN55" s="488"/>
      <c r="DO55" s="488"/>
      <c r="DP55" s="488"/>
      <c r="DQ55" s="488"/>
      <c r="DR55" s="448">
        <f t="shared" si="22"/>
        <v>42</v>
      </c>
      <c r="DS55" s="665" t="s">
        <v>541</v>
      </c>
      <c r="DT55" s="488"/>
      <c r="DU55" s="488"/>
      <c r="DV55" s="488"/>
      <c r="DW55" s="373"/>
      <c r="DX55" s="488"/>
      <c r="DY55" s="488"/>
      <c r="DZ55" s="373">
        <f>+CN15</f>
        <v>2438326</v>
      </c>
      <c r="EA55" s="373">
        <f>+CS15</f>
        <v>22362458.725304946</v>
      </c>
      <c r="EB55" s="373">
        <f>CX15</f>
        <v>379466.07733488001</v>
      </c>
      <c r="EC55" s="462">
        <f t="shared" si="24"/>
        <v>25180250.802639827</v>
      </c>
      <c r="ED55" s="448">
        <f t="shared" si="36"/>
        <v>42</v>
      </c>
      <c r="EE55" s="665" t="s">
        <v>541</v>
      </c>
      <c r="EF55" s="462">
        <f t="shared" si="37"/>
        <v>-4641992174.5613737</v>
      </c>
      <c r="EG55" s="462">
        <f t="shared" si="38"/>
        <v>25180250.802639827</v>
      </c>
      <c r="EH55" s="462">
        <f t="shared" si="39"/>
        <v>-4616811923.7587337</v>
      </c>
      <c r="ES55" s="375"/>
      <c r="ET55" s="375"/>
      <c r="EU55" s="375"/>
      <c r="EV55" s="375"/>
      <c r="EW55" s="375"/>
    </row>
    <row r="56" spans="1:153" ht="15" customHeight="1">
      <c r="A56" s="469"/>
      <c r="H56" s="474"/>
      <c r="L56" s="373"/>
      <c r="P56" s="465"/>
      <c r="Q56" s="375"/>
      <c r="R56" s="375"/>
      <c r="S56" s="375"/>
      <c r="T56" s="380"/>
      <c r="U56" s="380"/>
      <c r="V56" s="380"/>
      <c r="W56" s="380"/>
      <c r="X56" s="380"/>
      <c r="AD56" s="380"/>
      <c r="AE56" s="380"/>
      <c r="AF56" s="380"/>
      <c r="AG56" s="380"/>
      <c r="AH56" s="380"/>
      <c r="AI56" s="380"/>
      <c r="AJ56" s="380"/>
      <c r="AK56" s="380"/>
      <c r="AL56" s="380"/>
      <c r="AM56" s="380"/>
      <c r="AN56" s="380"/>
      <c r="AO56" s="380"/>
      <c r="AP56" s="380"/>
      <c r="BK56" s="373"/>
      <c r="BL56" s="373"/>
      <c r="BM56" s="373"/>
      <c r="BS56" s="380"/>
      <c r="BT56" s="380"/>
      <c r="BU56" s="380"/>
      <c r="BV56" s="380"/>
      <c r="BW56" s="380"/>
      <c r="BX56" s="380"/>
      <c r="BY56" s="380"/>
      <c r="BZ56" s="380"/>
      <c r="CA56" s="380"/>
      <c r="CB56" s="380"/>
      <c r="CC56" s="380"/>
      <c r="CD56" s="380"/>
      <c r="CE56" s="380"/>
      <c r="CF56" s="380"/>
      <c r="CG56" s="380"/>
      <c r="CH56" s="380"/>
      <c r="CI56" s="380"/>
      <c r="CJ56" s="380"/>
      <c r="CK56" s="380"/>
      <c r="CL56" s="380"/>
      <c r="CM56" s="380"/>
      <c r="CN56" s="380"/>
      <c r="CO56" s="380"/>
      <c r="CP56" s="380"/>
      <c r="CQ56" s="380"/>
      <c r="CR56" s="380"/>
      <c r="CS56" s="380"/>
      <c r="CT56" s="380"/>
      <c r="CU56" s="380"/>
      <c r="CV56" s="380"/>
      <c r="CW56" s="380"/>
      <c r="CX56" s="380"/>
      <c r="CY56" s="455"/>
      <c r="CZ56" s="590"/>
      <c r="DA56" s="588"/>
      <c r="DB56" s="465"/>
      <c r="DC56" s="465"/>
      <c r="DD56" s="448">
        <f t="shared" si="21"/>
        <v>43</v>
      </c>
      <c r="DE56" s="111" t="s">
        <v>542</v>
      </c>
      <c r="DF56" s="668">
        <v>369525014.03135419</v>
      </c>
      <c r="DG56" s="373"/>
      <c r="DH56" s="373"/>
      <c r="DI56" s="373"/>
      <c r="DJ56" s="373"/>
      <c r="DK56" s="373"/>
      <c r="DL56" s="373"/>
      <c r="DM56" s="373"/>
      <c r="DN56" s="373"/>
      <c r="DO56" s="373"/>
      <c r="DP56" s="373"/>
      <c r="DQ56" s="373"/>
      <c r="DR56" s="448">
        <f t="shared" si="22"/>
        <v>43</v>
      </c>
      <c r="DS56" s="111" t="s">
        <v>542</v>
      </c>
      <c r="DT56" s="373"/>
      <c r="DU56" s="373"/>
      <c r="DV56" s="373"/>
      <c r="DW56" s="373"/>
      <c r="DX56" s="373"/>
      <c r="DY56" s="373"/>
      <c r="DZ56" s="373"/>
      <c r="EA56" s="373"/>
      <c r="EB56" s="373"/>
      <c r="EC56" s="462">
        <f t="shared" si="24"/>
        <v>0</v>
      </c>
      <c r="ED56" s="448">
        <f t="shared" si="36"/>
        <v>43</v>
      </c>
      <c r="EE56" s="111" t="s">
        <v>542</v>
      </c>
      <c r="EF56" s="462">
        <f t="shared" si="37"/>
        <v>369525014.03135419</v>
      </c>
      <c r="EG56" s="462">
        <f t="shared" si="38"/>
        <v>0</v>
      </c>
      <c r="EH56" s="462">
        <f t="shared" si="39"/>
        <v>369525014.03135419</v>
      </c>
      <c r="ES56" s="375"/>
      <c r="ET56" s="375"/>
      <c r="EU56" s="375"/>
      <c r="EV56" s="375"/>
      <c r="EW56" s="375"/>
    </row>
    <row r="57" spans="1:153" ht="15" customHeight="1">
      <c r="A57" s="469"/>
      <c r="L57" s="373"/>
      <c r="P57" s="465"/>
      <c r="Q57" s="375"/>
      <c r="R57" s="375"/>
      <c r="S57" s="375"/>
      <c r="T57" s="380"/>
      <c r="U57" s="380"/>
      <c r="V57" s="380"/>
      <c r="W57" s="380"/>
      <c r="X57" s="380"/>
      <c r="AD57" s="380"/>
      <c r="AE57" s="380"/>
      <c r="AF57" s="380"/>
      <c r="AG57" s="380"/>
      <c r="AH57" s="380"/>
      <c r="AI57" s="380"/>
      <c r="AJ57" s="380"/>
      <c r="AK57" s="380"/>
      <c r="AL57" s="380"/>
      <c r="AM57" s="380"/>
      <c r="AN57" s="380"/>
      <c r="AO57" s="380"/>
      <c r="AP57" s="380"/>
      <c r="BK57" s="373"/>
      <c r="BL57" s="373"/>
      <c r="BM57" s="373"/>
      <c r="BS57" s="380"/>
      <c r="BT57" s="380"/>
      <c r="BU57" s="380"/>
      <c r="BV57" s="380"/>
      <c r="BW57" s="380"/>
      <c r="BX57" s="380"/>
      <c r="BY57" s="380"/>
      <c r="BZ57" s="380"/>
      <c r="CA57" s="380"/>
      <c r="CB57" s="380"/>
      <c r="CC57" s="380"/>
      <c r="CD57" s="380"/>
      <c r="CE57" s="380"/>
      <c r="CF57" s="380"/>
      <c r="CG57" s="380"/>
      <c r="CH57" s="380"/>
      <c r="CI57" s="380"/>
      <c r="CJ57" s="380"/>
      <c r="CK57" s="380"/>
      <c r="CL57" s="380"/>
      <c r="CM57" s="380"/>
      <c r="CN57" s="380"/>
      <c r="CO57" s="380"/>
      <c r="CP57" s="380"/>
      <c r="CQ57" s="380"/>
      <c r="CR57" s="380"/>
      <c r="CS57" s="380"/>
      <c r="CT57" s="380"/>
      <c r="CU57" s="380"/>
      <c r="CV57" s="380"/>
      <c r="CW57" s="380"/>
      <c r="CX57" s="380"/>
      <c r="CY57" s="455"/>
      <c r="CZ57" s="465"/>
      <c r="DA57" s="465"/>
      <c r="DB57" s="465"/>
      <c r="DC57" s="588"/>
      <c r="DD57" s="448">
        <f t="shared" si="21"/>
        <v>44</v>
      </c>
      <c r="DE57" s="111" t="s">
        <v>543</v>
      </c>
      <c r="DF57" s="668">
        <v>-1374807259.5834534</v>
      </c>
      <c r="DG57" s="373"/>
      <c r="DH57" s="373"/>
      <c r="DI57" s="373"/>
      <c r="DJ57" s="373"/>
      <c r="DK57" s="373"/>
      <c r="DL57" s="373"/>
      <c r="DM57" s="373"/>
      <c r="DN57" s="373"/>
      <c r="DO57" s="373"/>
      <c r="DP57" s="373"/>
      <c r="DQ57" s="373"/>
      <c r="DR57" s="448">
        <f t="shared" si="22"/>
        <v>44</v>
      </c>
      <c r="DS57" s="111" t="s">
        <v>543</v>
      </c>
      <c r="DT57" s="373"/>
      <c r="DU57" s="373"/>
      <c r="DV57" s="373"/>
      <c r="DW57" s="373"/>
      <c r="DX57" s="373"/>
      <c r="DY57" s="373"/>
      <c r="DZ57" s="373">
        <f>CN16</f>
        <v>698790.4800000001</v>
      </c>
      <c r="EA57" s="373">
        <f>CS16</f>
        <v>9763956.8231250029</v>
      </c>
      <c r="EB57" s="373">
        <f>CX16</f>
        <v>778054.15775388014</v>
      </c>
      <c r="EC57" s="462">
        <f t="shared" si="24"/>
        <v>11240801.460878883</v>
      </c>
      <c r="ED57" s="448">
        <f t="shared" si="36"/>
        <v>44</v>
      </c>
      <c r="EE57" s="111" t="s">
        <v>543</v>
      </c>
      <c r="EF57" s="462">
        <f t="shared" si="37"/>
        <v>-1374807259.5834534</v>
      </c>
      <c r="EG57" s="462">
        <f t="shared" si="38"/>
        <v>11240801.460878883</v>
      </c>
      <c r="EH57" s="462">
        <f t="shared" si="39"/>
        <v>-1363566458.1225746</v>
      </c>
      <c r="ES57" s="375"/>
      <c r="ET57" s="375"/>
      <c r="EU57" s="375"/>
      <c r="EV57" s="375"/>
      <c r="EW57" s="375"/>
    </row>
    <row r="58" spans="1:153" s="669" customFormat="1" ht="15" customHeight="1">
      <c r="A58" s="469"/>
      <c r="B58" s="111"/>
      <c r="C58" s="111"/>
      <c r="D58" s="111"/>
      <c r="E58" s="111"/>
      <c r="F58" s="111"/>
      <c r="G58" s="111"/>
      <c r="H58" s="111"/>
      <c r="I58" s="111"/>
      <c r="J58" s="111"/>
      <c r="K58" s="111"/>
      <c r="L58" s="373"/>
      <c r="M58" s="111"/>
      <c r="N58" s="111"/>
      <c r="O58" s="111"/>
      <c r="P58" s="465"/>
      <c r="Q58" s="465"/>
      <c r="R58" s="465"/>
      <c r="S58" s="465"/>
      <c r="T58" s="380"/>
      <c r="U58" s="380"/>
      <c r="V58" s="380"/>
      <c r="W58" s="380"/>
      <c r="X58" s="380"/>
      <c r="Y58" s="111"/>
      <c r="Z58" s="111"/>
      <c r="AA58" s="111"/>
      <c r="AB58" s="111"/>
      <c r="AC58" s="111"/>
      <c r="AD58" s="380"/>
      <c r="AE58" s="380"/>
      <c r="AF58" s="380"/>
      <c r="AG58" s="380"/>
      <c r="AH58" s="380"/>
      <c r="AI58" s="380"/>
      <c r="AJ58" s="380"/>
      <c r="AK58" s="380"/>
      <c r="AL58" s="380"/>
      <c r="AM58" s="380"/>
      <c r="AN58" s="380"/>
      <c r="AO58" s="380"/>
      <c r="AP58" s="380"/>
      <c r="AQ58" s="378"/>
      <c r="AR58" s="378"/>
      <c r="AS58" s="378"/>
      <c r="AT58" s="378"/>
      <c r="AU58" s="378"/>
      <c r="AV58" s="378"/>
      <c r="AW58" s="378"/>
      <c r="AX58" s="378"/>
      <c r="AY58" s="378"/>
      <c r="AZ58" s="111"/>
      <c r="BA58" s="111"/>
      <c r="BB58" s="111"/>
      <c r="BC58" s="111"/>
      <c r="BD58" s="111"/>
      <c r="BE58" s="111"/>
      <c r="BF58" s="111"/>
      <c r="BG58" s="111"/>
      <c r="BH58" s="111"/>
      <c r="BI58" s="111"/>
      <c r="BJ58" s="111"/>
      <c r="BK58" s="373"/>
      <c r="BL58" s="373"/>
      <c r="BM58" s="373"/>
      <c r="BN58" s="375"/>
      <c r="BO58" s="375"/>
      <c r="BP58" s="111"/>
      <c r="BQ58" s="111"/>
      <c r="BR58" s="111"/>
      <c r="BS58" s="380"/>
      <c r="BT58" s="380"/>
      <c r="BU58" s="380"/>
      <c r="BV58" s="380"/>
      <c r="BW58" s="380"/>
      <c r="BX58" s="380"/>
      <c r="BY58" s="380"/>
      <c r="BZ58" s="380"/>
      <c r="CA58" s="380"/>
      <c r="CB58" s="380"/>
      <c r="CC58" s="380"/>
      <c r="CD58" s="380"/>
      <c r="CE58" s="380"/>
      <c r="CF58" s="380"/>
      <c r="CG58" s="380"/>
      <c r="CH58" s="380"/>
      <c r="CI58" s="380"/>
      <c r="CJ58" s="380"/>
      <c r="CK58" s="380"/>
      <c r="CL58" s="380"/>
      <c r="CM58" s="380"/>
      <c r="CN58" s="380"/>
      <c r="CO58" s="380"/>
      <c r="CP58" s="380"/>
      <c r="CQ58" s="380"/>
      <c r="CR58" s="380"/>
      <c r="CS58" s="380"/>
      <c r="CT58" s="380"/>
      <c r="CU58" s="380"/>
      <c r="CV58" s="380"/>
      <c r="CW58" s="380"/>
      <c r="CX58" s="380"/>
      <c r="CY58" s="455"/>
      <c r="CZ58" s="590"/>
      <c r="DA58" s="465"/>
      <c r="DB58" s="465"/>
      <c r="DC58" s="588"/>
      <c r="DD58" s="448">
        <f t="shared" si="21"/>
        <v>45</v>
      </c>
      <c r="DE58" s="111" t="s">
        <v>544</v>
      </c>
      <c r="DF58" s="668">
        <v>158492779.51326612</v>
      </c>
      <c r="DG58" s="373"/>
      <c r="DH58" s="373"/>
      <c r="DI58" s="373"/>
      <c r="DJ58" s="373"/>
      <c r="DK58" s="373"/>
      <c r="DL58" s="373"/>
      <c r="DM58" s="373"/>
      <c r="DN58" s="373"/>
      <c r="DO58" s="373"/>
      <c r="DP58" s="373"/>
      <c r="DQ58" s="373"/>
      <c r="DR58" s="448">
        <f t="shared" si="22"/>
        <v>45</v>
      </c>
      <c r="DS58" s="111" t="s">
        <v>544</v>
      </c>
      <c r="DT58" s="373"/>
      <c r="DU58" s="373"/>
      <c r="DV58" s="373"/>
      <c r="DW58" s="373"/>
      <c r="DX58" s="373"/>
      <c r="DY58" s="373"/>
      <c r="DZ58" s="373"/>
      <c r="EA58" s="373"/>
      <c r="EB58" s="373"/>
      <c r="EC58" s="462">
        <f t="shared" si="24"/>
        <v>0</v>
      </c>
      <c r="ED58" s="448">
        <f t="shared" si="36"/>
        <v>45</v>
      </c>
      <c r="EE58" s="111" t="s">
        <v>544</v>
      </c>
      <c r="EF58" s="462">
        <f t="shared" si="37"/>
        <v>158492779.51326612</v>
      </c>
      <c r="EG58" s="462">
        <f t="shared" si="38"/>
        <v>0</v>
      </c>
      <c r="EH58" s="462">
        <f t="shared" si="39"/>
        <v>158492779.51326612</v>
      </c>
      <c r="EI58" s="375"/>
      <c r="EJ58" s="375"/>
      <c r="EK58" s="375"/>
      <c r="EQ58" s="111"/>
      <c r="ER58" s="111"/>
      <c r="ES58" s="375"/>
      <c r="ET58" s="375"/>
      <c r="EU58" s="375"/>
      <c r="EV58" s="375"/>
      <c r="EW58" s="375"/>
    </row>
    <row r="59" spans="1:153" s="669" customFormat="1" ht="15" customHeight="1">
      <c r="A59" s="469"/>
      <c r="B59" s="111"/>
      <c r="C59" s="111"/>
      <c r="D59" s="111"/>
      <c r="E59" s="111"/>
      <c r="F59" s="111"/>
      <c r="G59" s="111"/>
      <c r="H59" s="111"/>
      <c r="I59" s="111"/>
      <c r="J59" s="111"/>
      <c r="K59" s="111"/>
      <c r="L59" s="373"/>
      <c r="M59" s="111"/>
      <c r="N59" s="111"/>
      <c r="O59" s="111"/>
      <c r="P59" s="465"/>
      <c r="Q59" s="465"/>
      <c r="R59" s="465"/>
      <c r="S59" s="465"/>
      <c r="T59" s="380"/>
      <c r="U59" s="380"/>
      <c r="V59" s="380"/>
      <c r="W59" s="380"/>
      <c r="X59" s="380"/>
      <c r="Y59" s="111"/>
      <c r="Z59" s="111"/>
      <c r="AA59" s="111"/>
      <c r="AB59" s="111"/>
      <c r="AC59" s="111"/>
      <c r="AD59" s="380"/>
      <c r="AE59" s="380"/>
      <c r="AF59" s="380"/>
      <c r="AG59" s="380"/>
      <c r="AH59" s="380"/>
      <c r="AI59" s="380"/>
      <c r="AJ59" s="380"/>
      <c r="AK59" s="380"/>
      <c r="AL59" s="380"/>
      <c r="AM59" s="380"/>
      <c r="AN59" s="380"/>
      <c r="AO59" s="380"/>
      <c r="AP59" s="380"/>
      <c r="AQ59" s="643"/>
      <c r="AR59" s="378"/>
      <c r="AS59" s="378"/>
      <c r="AT59" s="378"/>
      <c r="AU59" s="378"/>
      <c r="AV59" s="643"/>
      <c r="AW59" s="378"/>
      <c r="AX59" s="378"/>
      <c r="AY59" s="378"/>
      <c r="AZ59" s="111"/>
      <c r="BA59" s="111"/>
      <c r="BB59" s="111"/>
      <c r="BC59" s="111"/>
      <c r="BD59" s="111"/>
      <c r="BE59" s="111"/>
      <c r="BF59" s="111"/>
      <c r="BG59" s="111"/>
      <c r="BH59" s="111"/>
      <c r="BI59" s="111"/>
      <c r="BJ59" s="111"/>
      <c r="BK59" s="373"/>
      <c r="BL59" s="373"/>
      <c r="BM59" s="373"/>
      <c r="BN59" s="375"/>
      <c r="BO59" s="375"/>
      <c r="BS59" s="380"/>
      <c r="BT59" s="380"/>
      <c r="BU59" s="380"/>
      <c r="BV59" s="380"/>
      <c r="BW59" s="380"/>
      <c r="BX59" s="380"/>
      <c r="BY59" s="380"/>
      <c r="BZ59" s="380"/>
      <c r="CA59" s="380"/>
      <c r="CB59" s="380"/>
      <c r="CC59" s="380"/>
      <c r="CD59" s="380"/>
      <c r="CE59" s="380"/>
      <c r="CF59" s="380"/>
      <c r="CG59" s="380"/>
      <c r="CH59" s="380"/>
      <c r="CI59" s="380"/>
      <c r="CJ59" s="380"/>
      <c r="CK59" s="380"/>
      <c r="CL59" s="380"/>
      <c r="CM59" s="380"/>
      <c r="CN59" s="380"/>
      <c r="CO59" s="380"/>
      <c r="CP59" s="380"/>
      <c r="CQ59" s="380"/>
      <c r="CR59" s="380"/>
      <c r="CS59" s="380"/>
      <c r="CT59" s="380"/>
      <c r="CU59" s="380"/>
      <c r="CV59" s="380"/>
      <c r="CW59" s="380"/>
      <c r="CX59" s="380"/>
      <c r="CY59" s="455"/>
      <c r="CZ59" s="590"/>
      <c r="DA59" s="465"/>
      <c r="DB59" s="465"/>
      <c r="DC59" s="588"/>
      <c r="DD59" s="448">
        <f t="shared" si="21"/>
        <v>46</v>
      </c>
      <c r="DE59" s="111" t="s">
        <v>545</v>
      </c>
      <c r="DF59" s="670">
        <v>-109599181.31467187</v>
      </c>
      <c r="DG59" s="510"/>
      <c r="DH59" s="510"/>
      <c r="DI59" s="510"/>
      <c r="DJ59" s="510"/>
      <c r="DK59" s="510"/>
      <c r="DL59" s="510"/>
      <c r="DM59" s="510"/>
      <c r="DN59" s="510"/>
      <c r="DO59" s="510"/>
      <c r="DP59" s="510"/>
      <c r="DQ59" s="510"/>
      <c r="DR59" s="448">
        <f t="shared" si="22"/>
        <v>46</v>
      </c>
      <c r="DS59" s="111" t="s">
        <v>545</v>
      </c>
      <c r="DT59" s="510"/>
      <c r="DU59" s="510"/>
      <c r="DV59" s="510"/>
      <c r="DW59" s="510"/>
      <c r="DX59" s="510"/>
      <c r="DY59" s="510"/>
      <c r="DZ59" s="510"/>
      <c r="EA59" s="510"/>
      <c r="EB59" s="510"/>
      <c r="EC59" s="462">
        <f t="shared" si="24"/>
        <v>0</v>
      </c>
      <c r="ED59" s="448">
        <f t="shared" si="36"/>
        <v>46</v>
      </c>
      <c r="EE59" s="111" t="s">
        <v>545</v>
      </c>
      <c r="EF59" s="462">
        <f t="shared" si="37"/>
        <v>-109599181.31467187</v>
      </c>
      <c r="EG59" s="462">
        <f t="shared" si="38"/>
        <v>0</v>
      </c>
      <c r="EH59" s="462">
        <f t="shared" si="39"/>
        <v>-109599181.31467187</v>
      </c>
      <c r="EI59" s="375"/>
      <c r="EJ59" s="375"/>
      <c r="EK59" s="375"/>
      <c r="ES59" s="111"/>
      <c r="ET59" s="111"/>
      <c r="EU59" s="111"/>
      <c r="EV59" s="111"/>
      <c r="EW59" s="111"/>
    </row>
    <row r="60" spans="1:153" s="669" customFormat="1" ht="15" customHeight="1" thickBot="1">
      <c r="A60" s="469"/>
      <c r="B60" s="111"/>
      <c r="C60" s="111"/>
      <c r="D60" s="111"/>
      <c r="E60" s="111"/>
      <c r="F60" s="111"/>
      <c r="G60" s="111"/>
      <c r="H60" s="111"/>
      <c r="I60" s="111"/>
      <c r="J60" s="111"/>
      <c r="K60" s="111"/>
      <c r="L60" s="373"/>
      <c r="M60" s="111"/>
      <c r="N60" s="111"/>
      <c r="O60" s="111"/>
      <c r="P60" s="465"/>
      <c r="Q60" s="465"/>
      <c r="R60" s="465"/>
      <c r="S60" s="465"/>
      <c r="T60" s="111"/>
      <c r="U60" s="111"/>
      <c r="V60" s="111"/>
      <c r="W60" s="111"/>
      <c r="X60" s="373"/>
      <c r="Y60" s="111"/>
      <c r="Z60" s="111"/>
      <c r="AA60" s="111"/>
      <c r="AB60" s="111"/>
      <c r="AC60" s="111"/>
      <c r="AD60" s="380"/>
      <c r="AE60" s="380"/>
      <c r="AF60" s="380"/>
      <c r="AG60" s="380"/>
      <c r="AH60" s="380"/>
      <c r="AI60" s="380"/>
      <c r="AJ60" s="380"/>
      <c r="AK60" s="380"/>
      <c r="AL60" s="380"/>
      <c r="AM60" s="380"/>
      <c r="AN60" s="380"/>
      <c r="AO60" s="380"/>
      <c r="AP60" s="380"/>
      <c r="AQ60" s="378"/>
      <c r="AR60" s="378"/>
      <c r="AS60" s="378"/>
      <c r="AT60" s="378"/>
      <c r="AU60" s="378"/>
      <c r="AV60" s="378"/>
      <c r="AW60" s="378"/>
      <c r="AX60" s="378"/>
      <c r="AY60" s="378"/>
      <c r="AZ60" s="111"/>
      <c r="BA60" s="111"/>
      <c r="BB60" s="111"/>
      <c r="BC60" s="111"/>
      <c r="BD60" s="111"/>
      <c r="BE60" s="111"/>
      <c r="BF60" s="111"/>
      <c r="BG60" s="111"/>
      <c r="BH60" s="111"/>
      <c r="BI60" s="111"/>
      <c r="BJ60" s="111"/>
      <c r="BK60" s="373"/>
      <c r="BL60" s="373"/>
      <c r="BM60" s="373"/>
      <c r="BN60" s="375"/>
      <c r="BO60" s="375"/>
      <c r="BS60" s="380"/>
      <c r="BT60" s="380"/>
      <c r="BU60" s="380"/>
      <c r="BV60" s="380"/>
      <c r="BW60" s="380"/>
      <c r="BX60" s="380"/>
      <c r="BY60" s="380"/>
      <c r="BZ60" s="380"/>
      <c r="CA60" s="380"/>
      <c r="CB60" s="380"/>
      <c r="CC60" s="380"/>
      <c r="CD60" s="380"/>
      <c r="CE60" s="380"/>
      <c r="CF60" s="380"/>
      <c r="CG60" s="380"/>
      <c r="CH60" s="380"/>
      <c r="CI60" s="380"/>
      <c r="CJ60" s="380"/>
      <c r="CK60" s="380"/>
      <c r="CL60" s="380"/>
      <c r="CM60" s="380"/>
      <c r="CN60" s="380"/>
      <c r="CO60" s="380"/>
      <c r="CP60" s="380"/>
      <c r="CQ60" s="380"/>
      <c r="CR60" s="380"/>
      <c r="CS60" s="380"/>
      <c r="CT60" s="380"/>
      <c r="CU60" s="380"/>
      <c r="CV60" s="380"/>
      <c r="CW60" s="380"/>
      <c r="CX60" s="380"/>
      <c r="CY60" s="455"/>
      <c r="CZ60" s="465"/>
      <c r="DA60" s="465"/>
      <c r="DB60" s="465"/>
      <c r="DC60" s="588"/>
      <c r="DD60" s="448">
        <f t="shared" si="21"/>
        <v>47</v>
      </c>
      <c r="DE60" s="111" t="s">
        <v>546</v>
      </c>
      <c r="DF60" s="671">
        <f t="shared" ref="DF60:DQ60" si="40">SUM(DF54:DF59)</f>
        <v>5443851882.2468576</v>
      </c>
      <c r="DG60" s="672">
        <f t="shared" si="40"/>
        <v>0</v>
      </c>
      <c r="DH60" s="672">
        <f t="shared" si="40"/>
        <v>0</v>
      </c>
      <c r="DI60" s="672">
        <f t="shared" si="40"/>
        <v>0</v>
      </c>
      <c r="DJ60" s="672">
        <f t="shared" si="40"/>
        <v>0</v>
      </c>
      <c r="DK60" s="672">
        <f t="shared" si="40"/>
        <v>0</v>
      </c>
      <c r="DL60" s="672">
        <f t="shared" si="40"/>
        <v>0</v>
      </c>
      <c r="DM60" s="672">
        <f t="shared" si="40"/>
        <v>0</v>
      </c>
      <c r="DN60" s="672">
        <f t="shared" si="40"/>
        <v>0</v>
      </c>
      <c r="DO60" s="672">
        <f t="shared" si="40"/>
        <v>0</v>
      </c>
      <c r="DP60" s="672">
        <f t="shared" si="40"/>
        <v>0</v>
      </c>
      <c r="DQ60" s="672">
        <f t="shared" si="40"/>
        <v>0</v>
      </c>
      <c r="DR60" s="448">
        <f t="shared" si="22"/>
        <v>47</v>
      </c>
      <c r="DS60" s="111" t="s">
        <v>546</v>
      </c>
      <c r="DT60" s="672">
        <f t="shared" ref="DT60:EB60" si="41">SUM(DT54:DT59)</f>
        <v>0</v>
      </c>
      <c r="DU60" s="672">
        <f t="shared" si="41"/>
        <v>0</v>
      </c>
      <c r="DV60" s="672">
        <f t="shared" si="41"/>
        <v>0</v>
      </c>
      <c r="DW60" s="672">
        <f t="shared" si="41"/>
        <v>0</v>
      </c>
      <c r="DX60" s="672">
        <f t="shared" si="41"/>
        <v>0</v>
      </c>
      <c r="DY60" s="672">
        <f t="shared" si="41"/>
        <v>0</v>
      </c>
      <c r="DZ60" s="672">
        <f t="shared" si="41"/>
        <v>-1402186.52</v>
      </c>
      <c r="EA60" s="672">
        <f t="shared" si="41"/>
        <v>-108497311.58370547</v>
      </c>
      <c r="EB60" s="672">
        <f t="shared" si="41"/>
        <v>-2164638.2672226988</v>
      </c>
      <c r="EC60" s="673">
        <f t="shared" si="24"/>
        <v>-112064136.37092817</v>
      </c>
      <c r="ED60" s="448">
        <f t="shared" si="36"/>
        <v>47</v>
      </c>
      <c r="EE60" s="111" t="s">
        <v>546</v>
      </c>
      <c r="EF60" s="673">
        <f>SUM(EF54:EF59)</f>
        <v>5443851882.2468576</v>
      </c>
      <c r="EG60" s="673">
        <f>SUM(EG54:EG59)</f>
        <v>-112064136.37092818</v>
      </c>
      <c r="EH60" s="673">
        <f>SUM(EH54:EH59)</f>
        <v>5331787745.8759289</v>
      </c>
      <c r="EI60" s="375"/>
      <c r="EJ60" s="375"/>
      <c r="EK60" s="375"/>
      <c r="ES60" s="111"/>
      <c r="ET60" s="111"/>
      <c r="EU60" s="111"/>
      <c r="EV60" s="111"/>
      <c r="EW60" s="111"/>
    </row>
    <row r="61" spans="1:153" ht="15" customHeight="1" thickTop="1">
      <c r="A61" s="469"/>
      <c r="L61" s="373"/>
      <c r="P61" s="465"/>
      <c r="Q61" s="465"/>
      <c r="R61" s="465"/>
      <c r="S61" s="465"/>
      <c r="AD61" s="380"/>
      <c r="AE61" s="380"/>
      <c r="AF61" s="380"/>
      <c r="AG61" s="380"/>
      <c r="AH61" s="380"/>
      <c r="AI61" s="380"/>
      <c r="AJ61" s="380"/>
      <c r="AK61" s="380"/>
      <c r="AL61" s="380"/>
      <c r="AM61" s="380"/>
      <c r="AN61" s="380"/>
      <c r="AO61" s="380"/>
      <c r="AP61" s="380"/>
      <c r="BK61" s="373"/>
      <c r="BL61" s="373"/>
      <c r="BM61" s="373"/>
      <c r="BP61" s="669"/>
      <c r="BQ61" s="669"/>
      <c r="BR61" s="669"/>
      <c r="BS61" s="380"/>
      <c r="BT61" s="380"/>
      <c r="BU61" s="380"/>
      <c r="BV61" s="380"/>
      <c r="BW61" s="380"/>
      <c r="BX61" s="380"/>
      <c r="BY61" s="380"/>
      <c r="BZ61" s="380"/>
      <c r="CA61" s="380"/>
      <c r="CB61" s="380"/>
      <c r="CC61" s="380"/>
      <c r="CD61" s="380"/>
      <c r="CE61" s="380"/>
      <c r="CF61" s="380"/>
      <c r="CG61" s="380"/>
      <c r="CH61" s="380"/>
      <c r="CI61" s="380"/>
      <c r="CJ61" s="380"/>
      <c r="CK61" s="380"/>
      <c r="CL61" s="380"/>
      <c r="CM61" s="380"/>
      <c r="CN61" s="380"/>
      <c r="CO61" s="380"/>
      <c r="CP61" s="380"/>
      <c r="CQ61" s="380"/>
      <c r="CR61" s="380"/>
      <c r="CS61" s="380"/>
      <c r="CT61" s="380"/>
      <c r="CU61" s="380"/>
      <c r="CV61" s="380"/>
      <c r="CW61" s="380"/>
      <c r="CX61" s="380"/>
      <c r="CY61" s="455"/>
      <c r="CZ61" s="465"/>
      <c r="DA61" s="465"/>
      <c r="DB61" s="465"/>
      <c r="DC61" s="674"/>
      <c r="DD61" s="675"/>
      <c r="DE61" s="669"/>
      <c r="DF61" s="676">
        <f t="shared" ref="DF61:DQ61" si="42">DF60-DF49</f>
        <v>0</v>
      </c>
      <c r="DG61" s="677">
        <f t="shared" si="42"/>
        <v>0</v>
      </c>
      <c r="DH61" s="677">
        <f t="shared" si="42"/>
        <v>0</v>
      </c>
      <c r="DI61" s="677">
        <f t="shared" si="42"/>
        <v>0</v>
      </c>
      <c r="DJ61" s="677">
        <f t="shared" si="42"/>
        <v>0</v>
      </c>
      <c r="DK61" s="677">
        <f t="shared" si="42"/>
        <v>0</v>
      </c>
      <c r="DL61" s="677">
        <f t="shared" si="42"/>
        <v>0</v>
      </c>
      <c r="DM61" s="677">
        <f t="shared" si="42"/>
        <v>0</v>
      </c>
      <c r="DN61" s="677">
        <f t="shared" si="42"/>
        <v>0</v>
      </c>
      <c r="DO61" s="677">
        <f t="shared" si="42"/>
        <v>0</v>
      </c>
      <c r="DP61" s="677">
        <f t="shared" si="42"/>
        <v>0</v>
      </c>
      <c r="DQ61" s="677">
        <f t="shared" si="42"/>
        <v>0</v>
      </c>
      <c r="DR61" s="669"/>
      <c r="DS61" s="669"/>
      <c r="DT61" s="677">
        <f>DT60-DT49</f>
        <v>0</v>
      </c>
      <c r="DU61" s="677">
        <f>DU60-DU49</f>
        <v>0</v>
      </c>
      <c r="DV61" s="677">
        <f>DV60-DV49</f>
        <v>0</v>
      </c>
      <c r="DW61" s="677"/>
      <c r="DX61" s="677">
        <f>DX60-DX49</f>
        <v>0</v>
      </c>
      <c r="DY61" s="677">
        <f>DY60-DY49</f>
        <v>0</v>
      </c>
      <c r="DZ61" s="677"/>
      <c r="EA61" s="677"/>
      <c r="EB61" s="677"/>
      <c r="EC61" s="669">
        <f t="shared" si="24"/>
        <v>0</v>
      </c>
      <c r="ED61" s="669"/>
      <c r="EE61" s="669" t="s">
        <v>218</v>
      </c>
      <c r="EF61" s="669"/>
      <c r="EG61" s="669"/>
      <c r="EH61" s="669"/>
      <c r="EQ61" s="669"/>
      <c r="ER61" s="669"/>
    </row>
    <row r="62" spans="1:153" ht="15" customHeight="1">
      <c r="L62" s="373"/>
      <c r="N62" s="465"/>
      <c r="O62" s="465"/>
      <c r="P62" s="465"/>
      <c r="Q62" s="465"/>
      <c r="R62" s="465"/>
      <c r="S62" s="465"/>
      <c r="AD62" s="380"/>
      <c r="AE62" s="380"/>
      <c r="AF62" s="380"/>
      <c r="AG62" s="380"/>
      <c r="AH62" s="380"/>
      <c r="AI62" s="380"/>
      <c r="AJ62" s="380"/>
      <c r="AK62" s="380"/>
      <c r="AL62" s="380"/>
      <c r="AM62" s="380"/>
      <c r="AN62" s="380"/>
      <c r="AO62" s="380"/>
      <c r="AP62" s="380"/>
      <c r="BK62" s="373"/>
      <c r="BL62" s="373"/>
      <c r="BM62" s="373"/>
      <c r="BS62" s="380"/>
      <c r="BT62" s="380"/>
      <c r="BU62" s="380"/>
      <c r="BV62" s="380"/>
      <c r="BW62" s="380"/>
      <c r="BX62" s="380"/>
      <c r="BY62" s="380"/>
      <c r="BZ62" s="380"/>
      <c r="CA62" s="380"/>
      <c r="CB62" s="380"/>
      <c r="CC62" s="380"/>
      <c r="CD62" s="380"/>
      <c r="CE62" s="380"/>
      <c r="CF62" s="380"/>
      <c r="CG62" s="380"/>
      <c r="CH62" s="380"/>
      <c r="CI62" s="380"/>
      <c r="CJ62" s="380"/>
      <c r="CK62" s="380"/>
      <c r="CL62" s="380"/>
      <c r="CM62" s="380"/>
      <c r="CN62" s="380"/>
      <c r="CO62" s="380"/>
      <c r="CP62" s="380"/>
      <c r="CQ62" s="380"/>
      <c r="CR62" s="380"/>
      <c r="CS62" s="380"/>
      <c r="CT62" s="380"/>
      <c r="CU62" s="380"/>
      <c r="CV62" s="380"/>
      <c r="CW62" s="380"/>
      <c r="CX62" s="380"/>
      <c r="CY62" s="455"/>
      <c r="CZ62" s="465"/>
      <c r="DA62" s="465"/>
      <c r="DB62" s="466"/>
      <c r="DC62" s="588"/>
      <c r="DD62" s="675"/>
      <c r="DE62" s="669"/>
      <c r="DF62" s="488" t="str">
        <f t="shared" ref="DF62:DQ62" si="43">IF(DF60=DF49,"OK","ERROR")</f>
        <v>OK</v>
      </c>
      <c r="DG62" s="678" t="str">
        <f t="shared" si="43"/>
        <v>OK</v>
      </c>
      <c r="DH62" s="678" t="str">
        <f t="shared" si="43"/>
        <v>OK</v>
      </c>
      <c r="DI62" s="678" t="str">
        <f t="shared" si="43"/>
        <v>OK</v>
      </c>
      <c r="DJ62" s="678" t="str">
        <f t="shared" si="43"/>
        <v>OK</v>
      </c>
      <c r="DK62" s="678" t="str">
        <f t="shared" si="43"/>
        <v>OK</v>
      </c>
      <c r="DL62" s="678" t="str">
        <f t="shared" si="43"/>
        <v>OK</v>
      </c>
      <c r="DM62" s="678" t="str">
        <f t="shared" si="43"/>
        <v>OK</v>
      </c>
      <c r="DN62" s="678" t="str">
        <f t="shared" si="43"/>
        <v>OK</v>
      </c>
      <c r="DO62" s="678" t="str">
        <f t="shared" si="43"/>
        <v>OK</v>
      </c>
      <c r="DP62" s="678" t="str">
        <f t="shared" si="43"/>
        <v>OK</v>
      </c>
      <c r="DQ62" s="678" t="str">
        <f t="shared" si="43"/>
        <v>OK</v>
      </c>
      <c r="DR62" s="678"/>
      <c r="DS62" s="678"/>
      <c r="DT62" s="678" t="str">
        <f t="shared" ref="DT62:EA62" si="44">IF(DT60=DT49,"OK","ERROR")</f>
        <v>OK</v>
      </c>
      <c r="DU62" s="678" t="str">
        <f t="shared" si="44"/>
        <v>OK</v>
      </c>
      <c r="DV62" s="678" t="str">
        <f t="shared" si="44"/>
        <v>OK</v>
      </c>
      <c r="DW62" s="678" t="str">
        <f t="shared" si="44"/>
        <v>OK</v>
      </c>
      <c r="DX62" s="678" t="str">
        <f t="shared" si="44"/>
        <v>OK</v>
      </c>
      <c r="DY62" s="678" t="str">
        <f t="shared" si="44"/>
        <v>OK</v>
      </c>
      <c r="DZ62" s="678" t="str">
        <f t="shared" si="44"/>
        <v>OK</v>
      </c>
      <c r="EA62" s="678" t="str">
        <f t="shared" si="44"/>
        <v>OK</v>
      </c>
      <c r="EB62" s="678" t="str">
        <f>IF(EB60=EB49,"OK","ERROR")</f>
        <v>OK</v>
      </c>
      <c r="EC62" s="678">
        <f t="shared" si="24"/>
        <v>0</v>
      </c>
      <c r="ED62" s="669"/>
      <c r="EE62" s="678"/>
      <c r="EF62" s="678" t="str">
        <f>IF(EF60=EF49,"OK","ERROR")</f>
        <v>OK</v>
      </c>
      <c r="EG62" s="678" t="str">
        <f>IF(EG60=EG49,"OK","ERROR")</f>
        <v>OK</v>
      </c>
      <c r="EH62" s="678" t="str">
        <f>IF(ROUND(EH60,0)=ROUND(EH49,0),"OK","ERROR")</f>
        <v>OK</v>
      </c>
    </row>
    <row r="63" spans="1:153" ht="15" customHeight="1">
      <c r="L63" s="373"/>
      <c r="N63" s="465"/>
      <c r="O63" s="465"/>
      <c r="P63" s="465"/>
      <c r="Q63" s="465"/>
      <c r="R63" s="465"/>
      <c r="S63" s="465"/>
      <c r="AD63" s="380"/>
      <c r="AE63" s="380"/>
      <c r="AF63" s="380"/>
      <c r="AG63" s="380"/>
      <c r="AH63" s="380"/>
      <c r="AI63" s="380"/>
      <c r="AJ63" s="380"/>
      <c r="AK63" s="380"/>
      <c r="AL63" s="380"/>
      <c r="AM63" s="380"/>
      <c r="AN63" s="380"/>
      <c r="AO63" s="380"/>
      <c r="AP63" s="380"/>
      <c r="BK63" s="373"/>
      <c r="BL63" s="373"/>
      <c r="BM63" s="373"/>
      <c r="BS63" s="380"/>
      <c r="BT63" s="380"/>
      <c r="BU63" s="380"/>
      <c r="BV63" s="380"/>
      <c r="BW63" s="380"/>
      <c r="BX63" s="380"/>
      <c r="BY63" s="380"/>
      <c r="BZ63" s="380"/>
      <c r="CA63" s="380"/>
      <c r="CB63" s="380"/>
      <c r="CC63" s="380"/>
      <c r="CD63" s="380"/>
      <c r="CE63" s="380"/>
      <c r="CF63" s="380"/>
      <c r="CG63" s="380"/>
      <c r="CH63" s="380"/>
      <c r="CI63" s="380"/>
      <c r="CJ63" s="380"/>
      <c r="CK63" s="380"/>
      <c r="CL63" s="380"/>
      <c r="CM63" s="380"/>
      <c r="CN63" s="380"/>
      <c r="CO63" s="380"/>
      <c r="CP63" s="380"/>
      <c r="CQ63" s="380"/>
      <c r="CR63" s="380"/>
      <c r="CS63" s="380"/>
      <c r="CT63" s="380"/>
      <c r="CU63" s="380"/>
      <c r="CV63" s="380"/>
      <c r="CW63" s="380"/>
      <c r="CX63" s="380"/>
      <c r="CY63" s="455"/>
      <c r="CZ63" s="465"/>
      <c r="DA63" s="465"/>
      <c r="DB63" s="465"/>
      <c r="DC63" s="679"/>
      <c r="DD63" s="675"/>
      <c r="DE63" s="680" t="s">
        <v>547</v>
      </c>
      <c r="DF63" s="680"/>
      <c r="DG63" s="680"/>
      <c r="DH63" s="680"/>
      <c r="DI63" s="680"/>
      <c r="DJ63" s="680"/>
      <c r="DK63" s="680"/>
      <c r="DL63" s="680"/>
      <c r="DM63" s="680"/>
      <c r="DN63" s="680"/>
      <c r="DO63" s="680"/>
      <c r="DP63" s="680"/>
      <c r="DQ63" s="680"/>
      <c r="DR63" s="680"/>
      <c r="DS63" s="680"/>
      <c r="DT63" s="680"/>
      <c r="DU63" s="680"/>
      <c r="DV63" s="680"/>
      <c r="DW63" s="680"/>
      <c r="DX63" s="680"/>
      <c r="DY63" s="680"/>
      <c r="DZ63" s="680"/>
      <c r="EA63" s="680"/>
      <c r="EB63" s="680"/>
      <c r="EC63" s="680">
        <f t="shared" si="24"/>
        <v>0</v>
      </c>
      <c r="ED63" s="681"/>
      <c r="EE63" s="680"/>
      <c r="EF63" s="680"/>
      <c r="EG63" s="680"/>
      <c r="EH63" s="680"/>
    </row>
    <row r="64" spans="1:153" ht="15" customHeight="1">
      <c r="L64" s="373"/>
      <c r="N64" s="465"/>
      <c r="O64" s="465"/>
      <c r="P64" s="465"/>
      <c r="Q64" s="465"/>
      <c r="R64" s="465"/>
      <c r="S64" s="465"/>
      <c r="AD64" s="380"/>
      <c r="AE64" s="380"/>
      <c r="AF64" s="380"/>
      <c r="AG64" s="380"/>
      <c r="AH64" s="380"/>
      <c r="AI64" s="380"/>
      <c r="AJ64" s="380"/>
      <c r="AK64" s="380"/>
      <c r="AL64" s="380"/>
      <c r="AM64" s="380"/>
      <c r="AN64" s="380"/>
      <c r="AO64" s="380"/>
      <c r="AP64" s="380"/>
      <c r="BK64" s="373"/>
      <c r="BL64" s="373"/>
      <c r="BM64" s="373"/>
      <c r="BS64" s="380"/>
      <c r="BT64" s="380"/>
      <c r="BU64" s="380"/>
      <c r="BV64" s="380"/>
      <c r="BW64" s="380"/>
      <c r="BX64" s="380"/>
      <c r="BY64" s="380"/>
      <c r="BZ64" s="380"/>
      <c r="CA64" s="380"/>
      <c r="CB64" s="380"/>
      <c r="CC64" s="380"/>
      <c r="CD64" s="380"/>
      <c r="CE64" s="380"/>
      <c r="CF64" s="380"/>
      <c r="CG64" s="380"/>
      <c r="CH64" s="380"/>
      <c r="CI64" s="380"/>
      <c r="CJ64" s="380"/>
      <c r="CK64" s="380"/>
      <c r="CL64" s="380"/>
      <c r="CM64" s="380"/>
      <c r="CN64" s="380"/>
      <c r="CO64" s="380"/>
      <c r="CP64" s="380"/>
      <c r="CQ64" s="380"/>
      <c r="CR64" s="380"/>
      <c r="CS64" s="380"/>
      <c r="CT64" s="380"/>
      <c r="CU64" s="380"/>
      <c r="CV64" s="380"/>
      <c r="CW64" s="380"/>
      <c r="CX64" s="380"/>
      <c r="CY64" s="455"/>
      <c r="CZ64" s="465"/>
      <c r="DA64" s="465"/>
      <c r="DB64" s="465"/>
      <c r="DC64" s="679"/>
      <c r="DD64" s="675"/>
      <c r="DE64" s="373" t="s">
        <v>548</v>
      </c>
      <c r="DF64" s="373">
        <v>281553948.53999949</v>
      </c>
      <c r="DG64" s="373">
        <v>4541255</v>
      </c>
      <c r="DH64" s="373">
        <v>17482731.149361759</v>
      </c>
      <c r="DI64" s="373">
        <v>27433582.280275136</v>
      </c>
      <c r="DJ64" s="373">
        <v>29895333.891126335</v>
      </c>
      <c r="DK64" s="373">
        <v>-1059432</v>
      </c>
      <c r="DL64" s="373">
        <v>344482</v>
      </c>
      <c r="DM64" s="373">
        <v>1534815</v>
      </c>
      <c r="DN64" s="373">
        <v>-2651230.1910769334</v>
      </c>
      <c r="DO64" s="373">
        <v>109951.43120000232</v>
      </c>
      <c r="DP64" s="373">
        <v>14930.082039208184</v>
      </c>
      <c r="DQ64" s="373">
        <v>-316905.9521234514</v>
      </c>
      <c r="DR64" s="373">
        <v>34</v>
      </c>
      <c r="DS64" s="373" t="s">
        <v>536</v>
      </c>
      <c r="DT64" s="373">
        <v>-251088.83089665661</v>
      </c>
      <c r="DU64" s="373">
        <v>-1486108.7675058593</v>
      </c>
      <c r="DV64" s="373">
        <v>0</v>
      </c>
      <c r="DW64" s="373">
        <v>308052.46701666887</v>
      </c>
      <c r="DX64" s="373">
        <v>-8854473.9894934427</v>
      </c>
      <c r="DY64" s="373">
        <v>5469.3556499999886</v>
      </c>
      <c r="DZ64" s="373">
        <v>167530.56</v>
      </c>
      <c r="EA64" s="373">
        <v>0</v>
      </c>
      <c r="EB64" s="373">
        <v>127011.0176342465</v>
      </c>
      <c r="EC64" s="373">
        <v>67474782.234668598</v>
      </c>
      <c r="ED64" s="373">
        <v>34</v>
      </c>
      <c r="EE64" s="373" t="s">
        <v>536</v>
      </c>
      <c r="EF64" s="373">
        <v>281553948.53999949</v>
      </c>
      <c r="EG64" s="373">
        <v>67345904.876279771</v>
      </c>
      <c r="EH64" s="373">
        <v>348899853.41627932</v>
      </c>
    </row>
    <row r="65" spans="12:151" ht="6.75" customHeight="1">
      <c r="L65" s="373"/>
      <c r="N65" s="465"/>
      <c r="O65" s="465"/>
      <c r="P65" s="465"/>
      <c r="Q65" s="465"/>
      <c r="R65" s="465"/>
      <c r="S65" s="465"/>
      <c r="AD65" s="380"/>
      <c r="AE65" s="380"/>
      <c r="AF65" s="380"/>
      <c r="AG65" s="380"/>
      <c r="AH65" s="380"/>
      <c r="AI65" s="380"/>
      <c r="AJ65" s="380"/>
      <c r="AK65" s="380"/>
      <c r="AL65" s="380"/>
      <c r="AM65" s="380"/>
      <c r="AN65" s="380"/>
      <c r="AO65" s="380"/>
      <c r="AP65" s="380"/>
      <c r="BK65" s="373"/>
      <c r="BL65" s="373"/>
      <c r="BM65" s="373"/>
      <c r="BS65" s="380"/>
      <c r="BT65" s="380"/>
      <c r="BU65" s="380"/>
      <c r="BV65" s="380"/>
      <c r="BW65" s="380"/>
      <c r="BX65" s="380"/>
      <c r="BY65" s="380"/>
      <c r="BZ65" s="380"/>
      <c r="CA65" s="380"/>
      <c r="CB65" s="380"/>
      <c r="CC65" s="380"/>
      <c r="CD65" s="380"/>
      <c r="CE65" s="380"/>
      <c r="CF65" s="380"/>
      <c r="CG65" s="380"/>
      <c r="CH65" s="380"/>
      <c r="CI65" s="380"/>
      <c r="CJ65" s="380"/>
      <c r="CK65" s="380"/>
      <c r="CL65" s="380"/>
      <c r="CM65" s="380"/>
      <c r="CN65" s="380"/>
      <c r="CO65" s="380"/>
      <c r="CP65" s="380"/>
      <c r="CQ65" s="380"/>
      <c r="CR65" s="380"/>
      <c r="CS65" s="380"/>
      <c r="CT65" s="380"/>
      <c r="CU65" s="380"/>
      <c r="CV65" s="380"/>
      <c r="CW65" s="380"/>
      <c r="CX65" s="380"/>
      <c r="CY65" s="455"/>
      <c r="CZ65" s="465"/>
      <c r="DA65" s="465"/>
      <c r="DB65" s="465"/>
      <c r="DC65" s="588"/>
      <c r="DJ65" s="373"/>
      <c r="DK65" s="373"/>
      <c r="DL65" s="373"/>
      <c r="DM65" s="373"/>
      <c r="DN65" s="373"/>
      <c r="DO65" s="373"/>
      <c r="DP65" s="373"/>
      <c r="DQ65" s="373"/>
      <c r="DR65" s="373">
        <v>35</v>
      </c>
      <c r="DS65" s="373"/>
      <c r="DT65" s="373"/>
      <c r="DU65" s="373"/>
      <c r="DV65" s="373"/>
      <c r="DW65" s="373"/>
      <c r="DX65" s="373"/>
      <c r="DY65" s="373"/>
      <c r="DZ65" s="373"/>
      <c r="EA65" s="373"/>
      <c r="EB65" s="373"/>
      <c r="EC65" s="373"/>
      <c r="ED65" s="373">
        <v>35</v>
      </c>
      <c r="EE65" s="373"/>
      <c r="EF65" s="373"/>
      <c r="EG65" s="373"/>
      <c r="EH65" s="373"/>
    </row>
    <row r="66" spans="12:151" ht="15" customHeight="1">
      <c r="L66" s="373"/>
      <c r="N66" s="465"/>
      <c r="O66" s="465"/>
      <c r="P66" s="465"/>
      <c r="Q66" s="465"/>
      <c r="R66" s="465"/>
      <c r="S66" s="465"/>
      <c r="AD66" s="380"/>
      <c r="AE66" s="380"/>
      <c r="AF66" s="380"/>
      <c r="AG66" s="380"/>
      <c r="AH66" s="380"/>
      <c r="AI66" s="380"/>
      <c r="AJ66" s="380"/>
      <c r="AK66" s="380"/>
      <c r="AN66" s="500"/>
      <c r="AP66" s="500"/>
      <c r="BS66" s="380"/>
      <c r="BT66" s="380"/>
      <c r="BU66" s="380"/>
      <c r="BV66" s="380"/>
      <c r="BW66" s="380"/>
      <c r="BX66" s="380"/>
      <c r="BY66" s="380"/>
      <c r="BZ66" s="380"/>
      <c r="CA66" s="380"/>
      <c r="CB66" s="380"/>
      <c r="CC66" s="380"/>
      <c r="CD66" s="380"/>
      <c r="CE66" s="380"/>
      <c r="CF66" s="380"/>
      <c r="CG66" s="380"/>
      <c r="CH66" s="380"/>
      <c r="CI66" s="380"/>
      <c r="CJ66" s="380"/>
      <c r="CK66" s="380"/>
      <c r="CL66" s="380"/>
      <c r="CM66" s="380"/>
      <c r="CN66" s="380"/>
      <c r="CO66" s="380"/>
      <c r="CP66" s="380"/>
      <c r="CQ66" s="380"/>
      <c r="CR66" s="380"/>
      <c r="CS66" s="380"/>
      <c r="CT66" s="380"/>
      <c r="CU66" s="380"/>
      <c r="CV66" s="380"/>
      <c r="CW66" s="380"/>
      <c r="CX66" s="380"/>
      <c r="DE66" s="373" t="s">
        <v>549</v>
      </c>
      <c r="DF66" s="373">
        <v>5443851882.2468576</v>
      </c>
      <c r="DG66" s="373">
        <v>0</v>
      </c>
      <c r="DH66" s="373">
        <v>0</v>
      </c>
      <c r="DI66" s="373">
        <v>0</v>
      </c>
      <c r="DJ66" s="373">
        <v>0</v>
      </c>
      <c r="DK66" s="373"/>
      <c r="DL66" s="373"/>
      <c r="DM66" s="373">
        <v>0</v>
      </c>
      <c r="DN66" s="373">
        <v>0</v>
      </c>
      <c r="DO66" s="373">
        <v>0</v>
      </c>
      <c r="DP66" s="373">
        <v>0</v>
      </c>
      <c r="DQ66" s="373">
        <v>0</v>
      </c>
      <c r="DR66" s="373">
        <v>36</v>
      </c>
      <c r="DS66" s="373" t="s">
        <v>537</v>
      </c>
      <c r="DT66" s="373">
        <v>0</v>
      </c>
      <c r="DU66" s="373">
        <v>0</v>
      </c>
      <c r="DV66" s="373">
        <v>0</v>
      </c>
      <c r="DW66" s="373">
        <v>0</v>
      </c>
      <c r="DX66" s="373">
        <v>0</v>
      </c>
      <c r="DY66" s="373">
        <v>0</v>
      </c>
      <c r="DZ66" s="373">
        <v>-1402186.52</v>
      </c>
      <c r="EA66" s="373">
        <v>-108497311.58370547</v>
      </c>
      <c r="EB66" s="560">
        <v>-2164638.2672226988</v>
      </c>
      <c r="EC66" s="373">
        <v>-112064136.37092817</v>
      </c>
      <c r="ED66" s="373">
        <v>36</v>
      </c>
      <c r="EE66" s="373" t="s">
        <v>537</v>
      </c>
      <c r="EF66" s="373">
        <v>5443851882.2468576</v>
      </c>
      <c r="EG66" s="373">
        <v>-112064136.37092817</v>
      </c>
      <c r="EH66" s="373">
        <v>5331787745.8759298</v>
      </c>
    </row>
    <row r="67" spans="12:151" ht="15" customHeight="1">
      <c r="L67" s="373"/>
      <c r="N67" s="465"/>
      <c r="O67" s="465"/>
      <c r="P67" s="465"/>
      <c r="Q67" s="465"/>
      <c r="R67" s="465"/>
      <c r="S67" s="465"/>
      <c r="BS67" s="380"/>
      <c r="BT67" s="380"/>
      <c r="BU67" s="380"/>
      <c r="BV67" s="380"/>
      <c r="BW67" s="380"/>
      <c r="BX67" s="380"/>
      <c r="BY67" s="380"/>
      <c r="BZ67" s="380"/>
      <c r="CA67" s="380"/>
      <c r="CB67" s="380"/>
      <c r="CC67" s="380"/>
      <c r="CD67" s="380"/>
      <c r="CE67" s="380"/>
      <c r="CF67" s="380"/>
      <c r="CG67" s="380"/>
      <c r="CH67" s="380"/>
      <c r="CI67" s="380"/>
      <c r="CJ67" s="380"/>
      <c r="CK67" s="380"/>
      <c r="CL67" s="380"/>
      <c r="CM67" s="380"/>
      <c r="CN67" s="380"/>
      <c r="CO67" s="380"/>
      <c r="CP67" s="380"/>
      <c r="CQ67" s="380"/>
      <c r="CR67" s="380"/>
      <c r="CS67" s="380"/>
      <c r="CT67" s="380"/>
      <c r="CU67" s="380"/>
      <c r="CV67" s="380"/>
      <c r="CW67" s="380"/>
      <c r="CX67" s="380"/>
      <c r="DE67" s="682" t="s">
        <v>550</v>
      </c>
      <c r="DF67" s="682"/>
      <c r="DG67" s="682"/>
      <c r="DH67" s="682"/>
      <c r="DI67" s="682"/>
      <c r="DJ67" s="682"/>
      <c r="DK67" s="682"/>
      <c r="DL67" s="682"/>
      <c r="DM67" s="682"/>
      <c r="DN67" s="682"/>
      <c r="DO67" s="682"/>
      <c r="DP67" s="682"/>
      <c r="DQ67" s="682"/>
      <c r="DR67" s="682"/>
      <c r="DS67" s="682"/>
      <c r="DT67" s="682"/>
      <c r="DU67" s="682"/>
      <c r="DV67" s="682"/>
      <c r="DW67" s="682"/>
      <c r="DX67" s="682"/>
      <c r="DY67" s="682"/>
      <c r="DZ67" s="682"/>
      <c r="EA67" s="682"/>
      <c r="EB67" s="682"/>
      <c r="EC67" s="682">
        <f t="shared" ref="EC67:EC72" si="45">SUM(DG67:EB67)-DR67</f>
        <v>0</v>
      </c>
      <c r="ED67" s="682"/>
      <c r="EE67" s="682"/>
      <c r="EF67" s="682"/>
      <c r="EG67" s="682"/>
      <c r="EH67" s="682"/>
    </row>
    <row r="68" spans="12:151" ht="15" customHeight="1">
      <c r="L68" s="373"/>
      <c r="N68" s="465"/>
      <c r="O68" s="465"/>
      <c r="P68" s="465"/>
      <c r="Q68" s="465"/>
      <c r="R68" s="465"/>
      <c r="S68" s="465"/>
      <c r="BE68" s="380"/>
      <c r="BS68" s="380"/>
      <c r="BT68" s="380"/>
      <c r="BU68" s="380"/>
      <c r="BV68" s="380"/>
      <c r="BW68" s="380"/>
      <c r="BX68" s="380"/>
      <c r="BY68" s="380"/>
      <c r="BZ68" s="380"/>
      <c r="CA68" s="380"/>
      <c r="CB68" s="380"/>
      <c r="CC68" s="380"/>
      <c r="CD68" s="380"/>
      <c r="CE68" s="380"/>
      <c r="CF68" s="380"/>
      <c r="CG68" s="380"/>
      <c r="CH68" s="380"/>
      <c r="CI68" s="380"/>
      <c r="CJ68" s="380"/>
      <c r="CK68" s="380"/>
      <c r="CL68" s="380"/>
      <c r="CM68" s="380"/>
      <c r="CN68" s="380"/>
      <c r="CO68" s="380"/>
      <c r="CP68" s="380"/>
      <c r="CQ68" s="380"/>
      <c r="CR68" s="380"/>
      <c r="CS68" s="380"/>
      <c r="CT68" s="380"/>
      <c r="CU68" s="380"/>
      <c r="CV68" s="380"/>
      <c r="CW68" s="380"/>
      <c r="CX68" s="380"/>
      <c r="DE68" s="683" t="s">
        <v>548</v>
      </c>
      <c r="DF68" s="684">
        <f t="shared" ref="DF68:DQ68" si="46">+DF47</f>
        <v>281553948.53999949</v>
      </c>
      <c r="DG68" s="684">
        <f t="shared" si="46"/>
        <v>4541255</v>
      </c>
      <c r="DH68" s="684">
        <f t="shared" si="46"/>
        <v>17482731.149361759</v>
      </c>
      <c r="DI68" s="684">
        <f t="shared" si="46"/>
        <v>27433582.280275136</v>
      </c>
      <c r="DJ68" s="684">
        <f t="shared" si="46"/>
        <v>29895333.891126335</v>
      </c>
      <c r="DK68" s="684">
        <f t="shared" si="46"/>
        <v>-1059432</v>
      </c>
      <c r="DL68" s="684">
        <f t="shared" si="46"/>
        <v>344482</v>
      </c>
      <c r="DM68" s="684">
        <f t="shared" si="46"/>
        <v>1534815</v>
      </c>
      <c r="DN68" s="684">
        <f t="shared" si="46"/>
        <v>-2651230.1910769334</v>
      </c>
      <c r="DO68" s="684">
        <f t="shared" si="46"/>
        <v>109951.43120000232</v>
      </c>
      <c r="DP68" s="684">
        <f t="shared" si="46"/>
        <v>14930.082039208184</v>
      </c>
      <c r="DQ68" s="684">
        <f t="shared" si="46"/>
        <v>-316905.9521234514</v>
      </c>
      <c r="DR68" s="684">
        <v>0</v>
      </c>
      <c r="DS68" s="684" t="str">
        <f t="shared" ref="DS68:EB68" si="47">+DS47</f>
        <v>NET OPERATING INCOME</v>
      </c>
      <c r="DT68" s="684">
        <f t="shared" si="47"/>
        <v>-251088.83089665661</v>
      </c>
      <c r="DU68" s="684">
        <f t="shared" si="47"/>
        <v>-1486108.7675058593</v>
      </c>
      <c r="DV68" s="684">
        <f t="shared" si="47"/>
        <v>0</v>
      </c>
      <c r="DW68" s="684">
        <f t="shared" si="47"/>
        <v>308052.46701666887</v>
      </c>
      <c r="DX68" s="684">
        <f t="shared" si="47"/>
        <v>-8854932.0205563195</v>
      </c>
      <c r="DY68" s="684">
        <f t="shared" si="47"/>
        <v>5469.3556499999886</v>
      </c>
      <c r="DZ68" s="684">
        <f t="shared" si="47"/>
        <v>167530.56</v>
      </c>
      <c r="EA68" s="684">
        <f t="shared" si="47"/>
        <v>0</v>
      </c>
      <c r="EB68" s="684">
        <f t="shared" si="47"/>
        <v>127011.0176342465</v>
      </c>
      <c r="EC68" s="684">
        <f t="shared" si="45"/>
        <v>67345446.472144127</v>
      </c>
      <c r="ED68" s="684">
        <v>0</v>
      </c>
      <c r="EE68" s="684" t="str">
        <f>+EE47</f>
        <v>NET OPERATING INCOME</v>
      </c>
      <c r="EF68" s="684">
        <f>+EF47</f>
        <v>281553948.53999949</v>
      </c>
      <c r="EG68" s="684">
        <f>+EG47</f>
        <v>67345446.8452169</v>
      </c>
      <c r="EH68" s="684">
        <f>+EH47</f>
        <v>348899395.38521624</v>
      </c>
    </row>
    <row r="69" spans="12:151" ht="15" customHeight="1">
      <c r="L69" s="373"/>
      <c r="N69" s="465"/>
      <c r="O69" s="465"/>
      <c r="P69" s="465"/>
      <c r="Q69" s="465"/>
      <c r="R69" s="465"/>
      <c r="S69" s="465"/>
      <c r="BS69" s="380"/>
      <c r="BT69" s="380"/>
      <c r="BU69" s="380"/>
      <c r="BV69" s="380"/>
      <c r="BW69" s="380"/>
      <c r="BX69" s="380"/>
      <c r="BY69" s="380"/>
      <c r="BZ69" s="380"/>
      <c r="CA69" s="380"/>
      <c r="CB69" s="380"/>
      <c r="CC69" s="380"/>
      <c r="CD69" s="380"/>
      <c r="CE69" s="380"/>
      <c r="CF69" s="380"/>
      <c r="CG69" s="380"/>
      <c r="CH69" s="380"/>
      <c r="CI69" s="380"/>
      <c r="CJ69" s="380"/>
      <c r="CK69" s="380"/>
      <c r="CL69" s="380"/>
      <c r="CM69" s="380"/>
      <c r="CN69" s="380"/>
      <c r="CO69" s="380"/>
      <c r="CP69" s="380"/>
      <c r="CQ69" s="380"/>
      <c r="CR69" s="380"/>
      <c r="CS69" s="380"/>
      <c r="CT69" s="380"/>
      <c r="CU69" s="380"/>
      <c r="CV69" s="380"/>
      <c r="CW69" s="380"/>
      <c r="CX69" s="380"/>
      <c r="DE69" s="685" t="s">
        <v>549</v>
      </c>
      <c r="DF69" s="686">
        <f t="shared" ref="DF69:DQ69" si="48">+DF49</f>
        <v>5443851882.2468576</v>
      </c>
      <c r="DG69" s="686">
        <f t="shared" si="48"/>
        <v>0</v>
      </c>
      <c r="DH69" s="686">
        <f t="shared" si="48"/>
        <v>0</v>
      </c>
      <c r="DI69" s="686">
        <f t="shared" si="48"/>
        <v>0</v>
      </c>
      <c r="DJ69" s="686">
        <f t="shared" si="48"/>
        <v>0</v>
      </c>
      <c r="DK69" s="686">
        <f t="shared" si="48"/>
        <v>0</v>
      </c>
      <c r="DL69" s="686">
        <f t="shared" si="48"/>
        <v>0</v>
      </c>
      <c r="DM69" s="686">
        <f t="shared" si="48"/>
        <v>0</v>
      </c>
      <c r="DN69" s="686">
        <f t="shared" si="48"/>
        <v>0</v>
      </c>
      <c r="DO69" s="686">
        <f t="shared" si="48"/>
        <v>0</v>
      </c>
      <c r="DP69" s="686">
        <f t="shared" si="48"/>
        <v>0</v>
      </c>
      <c r="DQ69" s="686">
        <f t="shared" si="48"/>
        <v>0</v>
      </c>
      <c r="DR69" s="686">
        <v>0</v>
      </c>
      <c r="DS69" s="686" t="str">
        <f t="shared" ref="DS69:EB69" si="49">+DS49</f>
        <v xml:space="preserve">RATE BASE </v>
      </c>
      <c r="DT69" s="686">
        <f t="shared" si="49"/>
        <v>0</v>
      </c>
      <c r="DU69" s="686">
        <f t="shared" si="49"/>
        <v>0</v>
      </c>
      <c r="DV69" s="686">
        <f t="shared" si="49"/>
        <v>0</v>
      </c>
      <c r="DW69" s="686">
        <f t="shared" si="49"/>
        <v>0</v>
      </c>
      <c r="DX69" s="686">
        <f t="shared" si="49"/>
        <v>0</v>
      </c>
      <c r="DY69" s="686">
        <f t="shared" si="49"/>
        <v>0</v>
      </c>
      <c r="DZ69" s="686">
        <f t="shared" si="49"/>
        <v>-1402186.52</v>
      </c>
      <c r="EA69" s="686">
        <f t="shared" si="49"/>
        <v>-108497311.58370547</v>
      </c>
      <c r="EB69" s="686">
        <f t="shared" si="49"/>
        <v>-2164638.2672226988</v>
      </c>
      <c r="EC69" s="686">
        <f t="shared" si="45"/>
        <v>-112064136.37092817</v>
      </c>
      <c r="ED69" s="686">
        <v>0</v>
      </c>
      <c r="EE69" s="686" t="str">
        <f>+EE49</f>
        <v xml:space="preserve">RATE BASE </v>
      </c>
      <c r="EF69" s="686">
        <f>+EF49</f>
        <v>5443851882.2468576</v>
      </c>
      <c r="EG69" s="686">
        <f>+EG49</f>
        <v>-112064136.37092817</v>
      </c>
      <c r="EH69" s="686">
        <f>+EH49</f>
        <v>5331787745.8759298</v>
      </c>
    </row>
    <row r="70" spans="12:151" ht="15" customHeight="1">
      <c r="L70" s="373"/>
      <c r="N70" s="465"/>
      <c r="O70" s="465"/>
      <c r="P70" s="465"/>
      <c r="Q70" s="465"/>
      <c r="R70" s="465"/>
      <c r="S70" s="465"/>
      <c r="BS70" s="380"/>
      <c r="BT70" s="380"/>
      <c r="BU70" s="380"/>
      <c r="BV70" s="380"/>
      <c r="BW70" s="380"/>
      <c r="BX70" s="380"/>
      <c r="BY70" s="380"/>
      <c r="BZ70" s="380"/>
      <c r="CA70" s="380"/>
      <c r="CB70" s="380"/>
      <c r="CC70" s="380"/>
      <c r="CD70" s="380"/>
      <c r="CE70" s="380"/>
      <c r="CF70" s="380"/>
      <c r="CG70" s="380"/>
      <c r="CH70" s="380"/>
      <c r="CI70" s="380"/>
      <c r="CJ70" s="380"/>
      <c r="CK70" s="380"/>
      <c r="CL70" s="380"/>
      <c r="CM70" s="380"/>
      <c r="CN70" s="380"/>
      <c r="CO70" s="380"/>
      <c r="CP70" s="380"/>
      <c r="CQ70" s="380"/>
      <c r="CR70" s="380"/>
      <c r="CS70" s="380"/>
      <c r="CT70" s="380"/>
      <c r="CU70" s="380"/>
      <c r="CV70" s="380"/>
      <c r="CW70" s="380"/>
      <c r="CX70" s="380"/>
      <c r="DE70" s="682" t="s">
        <v>551</v>
      </c>
      <c r="DF70" s="682"/>
      <c r="DG70" s="682"/>
      <c r="DH70" s="682"/>
      <c r="DI70" s="682"/>
      <c r="DJ70" s="682"/>
      <c r="DK70" s="682"/>
      <c r="DL70" s="682"/>
      <c r="DM70" s="682"/>
      <c r="DN70" s="682"/>
      <c r="DO70" s="682"/>
      <c r="DP70" s="682"/>
      <c r="DQ70" s="682"/>
      <c r="DR70" s="682"/>
      <c r="DS70" s="682"/>
      <c r="DT70" s="682"/>
      <c r="DU70" s="682"/>
      <c r="DV70" s="682"/>
      <c r="DW70" s="682"/>
      <c r="DX70" s="682"/>
      <c r="DY70" s="682"/>
      <c r="DZ70" s="682"/>
      <c r="EA70" s="682"/>
      <c r="EB70" s="682"/>
      <c r="EC70" s="682">
        <f t="shared" si="45"/>
        <v>0</v>
      </c>
      <c r="ED70" s="682"/>
      <c r="EE70" s="682"/>
      <c r="EF70" s="682"/>
      <c r="EG70" s="682"/>
      <c r="EH70" s="682"/>
    </row>
    <row r="71" spans="12:151" ht="15" customHeight="1">
      <c r="L71" s="373"/>
      <c r="N71" s="465"/>
      <c r="O71" s="465"/>
      <c r="P71" s="465"/>
      <c r="Q71" s="465"/>
      <c r="R71" s="465"/>
      <c r="S71" s="465"/>
      <c r="BS71" s="380"/>
      <c r="BT71" s="380"/>
      <c r="BU71" s="380"/>
      <c r="BV71" s="380"/>
      <c r="BW71" s="380"/>
      <c r="BX71" s="380"/>
      <c r="BY71" s="380"/>
      <c r="BZ71" s="380"/>
      <c r="CA71" s="380"/>
      <c r="CB71" s="380"/>
      <c r="CC71" s="380"/>
      <c r="CD71" s="380"/>
      <c r="CE71" s="380"/>
      <c r="CF71" s="380"/>
      <c r="CG71" s="380"/>
      <c r="CH71" s="380"/>
      <c r="CI71" s="380"/>
      <c r="CJ71" s="380"/>
      <c r="CK71" s="380"/>
      <c r="CL71" s="380"/>
      <c r="CM71" s="380"/>
      <c r="CN71" s="380"/>
      <c r="CO71" s="380"/>
      <c r="CP71" s="380"/>
      <c r="CQ71" s="380"/>
      <c r="CR71" s="380"/>
      <c r="CS71" s="380"/>
      <c r="CT71" s="380"/>
      <c r="CU71" s="380"/>
      <c r="CV71" s="380"/>
      <c r="CW71" s="380"/>
      <c r="CX71" s="380"/>
      <c r="DE71" s="687" t="s">
        <v>552</v>
      </c>
      <c r="DF71" s="688">
        <f t="shared" ref="DF71:DQ71" si="50">DF68-DF64</f>
        <v>0</v>
      </c>
      <c r="DG71" s="688">
        <f t="shared" si="50"/>
        <v>0</v>
      </c>
      <c r="DH71" s="688">
        <f t="shared" si="50"/>
        <v>0</v>
      </c>
      <c r="DI71" s="688">
        <f t="shared" si="50"/>
        <v>0</v>
      </c>
      <c r="DJ71" s="688">
        <f t="shared" si="50"/>
        <v>0</v>
      </c>
      <c r="DK71" s="688">
        <f t="shared" si="50"/>
        <v>0</v>
      </c>
      <c r="DL71" s="688">
        <f t="shared" si="50"/>
        <v>0</v>
      </c>
      <c r="DM71" s="688">
        <f t="shared" si="50"/>
        <v>0</v>
      </c>
      <c r="DN71" s="688">
        <f t="shared" si="50"/>
        <v>0</v>
      </c>
      <c r="DO71" s="689">
        <f t="shared" si="50"/>
        <v>0</v>
      </c>
      <c r="DP71" s="688">
        <f t="shared" si="50"/>
        <v>0</v>
      </c>
      <c r="DQ71" s="688">
        <f t="shared" si="50"/>
        <v>0</v>
      </c>
      <c r="DR71" s="688"/>
      <c r="DS71" s="688"/>
      <c r="DT71" s="688">
        <f t="shared" ref="DT71:EB71" si="51">DT68-DT64</f>
        <v>0</v>
      </c>
      <c r="DU71" s="688">
        <f t="shared" si="51"/>
        <v>0</v>
      </c>
      <c r="DV71" s="688">
        <f t="shared" si="51"/>
        <v>0</v>
      </c>
      <c r="DW71" s="688">
        <f t="shared" si="51"/>
        <v>0</v>
      </c>
      <c r="DX71" s="688">
        <f t="shared" si="51"/>
        <v>-458.03106287680566</v>
      </c>
      <c r="DY71" s="688">
        <f t="shared" si="51"/>
        <v>0</v>
      </c>
      <c r="DZ71" s="688">
        <f t="shared" si="51"/>
        <v>0</v>
      </c>
      <c r="EA71" s="688">
        <f t="shared" si="51"/>
        <v>0</v>
      </c>
      <c r="EB71" s="688">
        <f t="shared" si="51"/>
        <v>0</v>
      </c>
      <c r="EC71" s="688">
        <f t="shared" si="45"/>
        <v>-458.03106287680566</v>
      </c>
      <c r="ED71" s="688"/>
      <c r="EE71" s="688"/>
      <c r="EF71" s="688">
        <f>EF68-EF64</f>
        <v>0</v>
      </c>
      <c r="EG71" s="688">
        <f>EG68-EG64</f>
        <v>-458.03106287121773</v>
      </c>
      <c r="EH71" s="688">
        <f>EH68-EH64</f>
        <v>-458.03106307983398</v>
      </c>
    </row>
    <row r="72" spans="12:151" ht="15" customHeight="1">
      <c r="L72" s="373"/>
      <c r="N72" s="465"/>
      <c r="O72" s="465"/>
      <c r="P72" s="465"/>
      <c r="Q72" s="465"/>
      <c r="R72" s="465"/>
      <c r="S72" s="465"/>
      <c r="BS72" s="380"/>
      <c r="BT72" s="380"/>
      <c r="BU72" s="380"/>
      <c r="BV72" s="380"/>
      <c r="BW72" s="380"/>
      <c r="BX72" s="380"/>
      <c r="BY72" s="380"/>
      <c r="BZ72" s="380"/>
      <c r="CA72" s="380"/>
      <c r="CB72" s="380"/>
      <c r="CC72" s="380"/>
      <c r="CD72" s="380"/>
      <c r="CE72" s="380"/>
      <c r="CF72" s="380"/>
      <c r="CG72" s="380"/>
      <c r="CH72" s="380"/>
      <c r="CI72" s="380"/>
      <c r="CJ72" s="380"/>
      <c r="CK72" s="380"/>
      <c r="CL72" s="380"/>
      <c r="CM72" s="380"/>
      <c r="CN72" s="380"/>
      <c r="CO72" s="380"/>
      <c r="CP72" s="380"/>
      <c r="CQ72" s="380"/>
      <c r="CR72" s="380"/>
      <c r="CS72" s="380"/>
      <c r="CT72" s="380"/>
      <c r="CU72" s="380"/>
      <c r="CV72" s="380"/>
      <c r="CW72" s="380"/>
      <c r="CX72" s="380"/>
      <c r="DE72" s="690" t="s">
        <v>324</v>
      </c>
      <c r="DF72" s="689">
        <f t="shared" ref="DF72:DQ72" si="52">DF69-DF66</f>
        <v>0</v>
      </c>
      <c r="DG72" s="689">
        <f t="shared" si="52"/>
        <v>0</v>
      </c>
      <c r="DH72" s="689">
        <f t="shared" si="52"/>
        <v>0</v>
      </c>
      <c r="DI72" s="689">
        <f t="shared" si="52"/>
        <v>0</v>
      </c>
      <c r="DJ72" s="689">
        <f t="shared" si="52"/>
        <v>0</v>
      </c>
      <c r="DK72" s="689">
        <f t="shared" si="52"/>
        <v>0</v>
      </c>
      <c r="DL72" s="689">
        <f t="shared" si="52"/>
        <v>0</v>
      </c>
      <c r="DM72" s="689">
        <f t="shared" si="52"/>
        <v>0</v>
      </c>
      <c r="DN72" s="689">
        <f t="shared" si="52"/>
        <v>0</v>
      </c>
      <c r="DO72" s="689">
        <f t="shared" si="52"/>
        <v>0</v>
      </c>
      <c r="DP72" s="689">
        <f t="shared" si="52"/>
        <v>0</v>
      </c>
      <c r="DQ72" s="689">
        <f t="shared" si="52"/>
        <v>0</v>
      </c>
      <c r="DR72" s="689"/>
      <c r="DS72" s="689"/>
      <c r="DT72" s="689">
        <f t="shared" ref="DT72:EB72" si="53">DT69-DT66</f>
        <v>0</v>
      </c>
      <c r="DU72" s="689">
        <f t="shared" si="53"/>
        <v>0</v>
      </c>
      <c r="DV72" s="689">
        <f t="shared" si="53"/>
        <v>0</v>
      </c>
      <c r="DW72" s="689">
        <f t="shared" si="53"/>
        <v>0</v>
      </c>
      <c r="DX72" s="689">
        <f t="shared" si="53"/>
        <v>0</v>
      </c>
      <c r="DY72" s="689">
        <f t="shared" si="53"/>
        <v>0</v>
      </c>
      <c r="DZ72" s="689">
        <f t="shared" si="53"/>
        <v>0</v>
      </c>
      <c r="EA72" s="689">
        <f t="shared" si="53"/>
        <v>0</v>
      </c>
      <c r="EB72" s="689">
        <f t="shared" si="53"/>
        <v>0</v>
      </c>
      <c r="EC72" s="689">
        <f t="shared" si="45"/>
        <v>0</v>
      </c>
      <c r="ED72" s="689"/>
      <c r="EE72" s="689"/>
      <c r="EF72" s="689">
        <f>EF69-EF66</f>
        <v>0</v>
      </c>
      <c r="EG72" s="689">
        <f>EG69-EG66</f>
        <v>0</v>
      </c>
      <c r="EH72" s="689">
        <f>EH69-EH66</f>
        <v>0</v>
      </c>
    </row>
    <row r="73" spans="12:151" ht="15" customHeight="1">
      <c r="L73" s="373"/>
      <c r="N73" s="465"/>
      <c r="O73" s="465"/>
      <c r="P73" s="465"/>
      <c r="Q73" s="465"/>
      <c r="R73" s="465"/>
      <c r="S73" s="465"/>
      <c r="BS73" s="380"/>
      <c r="BT73" s="380"/>
      <c r="BU73" s="380"/>
      <c r="BV73" s="380"/>
      <c r="BW73" s="380"/>
      <c r="BX73" s="380"/>
      <c r="BY73" s="380"/>
      <c r="BZ73" s="380"/>
      <c r="CA73" s="380"/>
      <c r="CB73" s="380"/>
      <c r="CC73" s="380"/>
      <c r="CD73" s="380"/>
      <c r="CE73" s="380"/>
      <c r="CF73" s="380"/>
      <c r="CG73" s="380"/>
      <c r="CH73" s="380"/>
      <c r="CI73" s="380"/>
      <c r="CJ73" s="380"/>
      <c r="CK73" s="380"/>
      <c r="CL73" s="380"/>
      <c r="CM73" s="380"/>
      <c r="CN73" s="380"/>
      <c r="CO73" s="380"/>
      <c r="CP73" s="380"/>
      <c r="CQ73" s="380"/>
      <c r="CR73" s="380"/>
      <c r="CS73" s="380"/>
      <c r="CT73" s="380"/>
      <c r="CU73" s="380"/>
      <c r="CV73" s="380"/>
      <c r="CW73" s="380"/>
      <c r="CX73" s="380"/>
      <c r="DF73" s="373"/>
      <c r="DI73" s="375"/>
      <c r="DJ73" s="375"/>
      <c r="DK73" s="375"/>
    </row>
    <row r="74" spans="12:151" ht="15" customHeight="1">
      <c r="L74" s="373"/>
      <c r="N74" s="465"/>
      <c r="O74" s="465"/>
      <c r="P74" s="465"/>
      <c r="Q74" s="465"/>
      <c r="R74" s="465"/>
      <c r="S74" s="465"/>
      <c r="BS74" s="380"/>
      <c r="BT74" s="380"/>
      <c r="BU74" s="380"/>
      <c r="BV74" s="380"/>
      <c r="BW74" s="380"/>
      <c r="BX74" s="380"/>
      <c r="BY74" s="380"/>
      <c r="BZ74" s="380"/>
      <c r="CA74" s="380"/>
      <c r="CB74" s="380"/>
      <c r="CC74" s="380"/>
      <c r="CD74" s="380"/>
      <c r="CE74" s="380"/>
      <c r="CF74" s="380"/>
      <c r="CG74" s="380"/>
      <c r="CH74" s="380"/>
      <c r="CI74" s="380"/>
      <c r="CJ74" s="380"/>
      <c r="CK74" s="380"/>
      <c r="CL74" s="380"/>
      <c r="CM74" s="380"/>
      <c r="CN74" s="380"/>
      <c r="CO74" s="380"/>
      <c r="CP74" s="380"/>
      <c r="CQ74" s="380"/>
      <c r="CR74" s="380"/>
      <c r="CS74" s="380"/>
      <c r="CT74" s="380"/>
      <c r="CU74" s="380"/>
      <c r="CV74" s="380"/>
      <c r="CW74" s="380"/>
      <c r="CX74" s="380"/>
      <c r="DE74" s="375"/>
      <c r="DF74" s="589"/>
      <c r="DG74" s="375"/>
      <c r="DH74" s="375"/>
      <c r="DI74" s="375"/>
      <c r="DJ74" s="375"/>
      <c r="DK74" s="375"/>
      <c r="DL74" s="375"/>
      <c r="DM74" s="375"/>
      <c r="DN74" s="375"/>
      <c r="DO74" s="375"/>
      <c r="DP74" s="375"/>
      <c r="DQ74" s="375"/>
      <c r="DR74" s="375"/>
      <c r="DS74" s="375"/>
      <c r="DT74" s="375"/>
      <c r="DU74" s="375"/>
      <c r="DV74" s="375"/>
      <c r="DW74" s="375"/>
      <c r="DX74" s="375"/>
      <c r="DY74" s="375"/>
      <c r="DZ74" s="375"/>
      <c r="EA74" s="375"/>
      <c r="EB74" s="375"/>
      <c r="EC74" s="375"/>
      <c r="ED74" s="375"/>
      <c r="EE74" s="375"/>
      <c r="EF74" s="375"/>
      <c r="EG74" s="375"/>
      <c r="EH74" s="375"/>
      <c r="EQ74" s="375"/>
      <c r="ER74" s="375"/>
      <c r="ES74" s="375"/>
      <c r="ET74" s="375"/>
      <c r="EU74" s="375"/>
    </row>
    <row r="75" spans="12:151" s="378" customFormat="1" ht="15" customHeight="1">
      <c r="N75" s="679"/>
      <c r="O75" s="679"/>
      <c r="P75" s="679"/>
      <c r="Q75" s="679"/>
      <c r="R75" s="679"/>
      <c r="S75" s="679"/>
      <c r="T75" s="111"/>
      <c r="U75" s="111"/>
      <c r="V75" s="111"/>
      <c r="W75" s="111"/>
      <c r="X75" s="111"/>
      <c r="BN75" s="691"/>
      <c r="BO75" s="691"/>
      <c r="BS75" s="643"/>
      <c r="BT75" s="643"/>
      <c r="BU75" s="643"/>
      <c r="BV75" s="643"/>
      <c r="BW75" s="643"/>
      <c r="BX75" s="643"/>
      <c r="BY75" s="643"/>
      <c r="BZ75" s="643"/>
      <c r="CA75" s="643"/>
      <c r="CB75" s="643"/>
      <c r="CC75" s="643"/>
      <c r="CD75" s="643"/>
      <c r="CE75" s="643"/>
      <c r="CF75" s="643"/>
      <c r="CG75" s="643"/>
      <c r="CH75" s="643"/>
      <c r="CI75" s="643"/>
      <c r="CJ75" s="643"/>
      <c r="CK75" s="643"/>
      <c r="CL75" s="643"/>
      <c r="CM75" s="643"/>
      <c r="CN75" s="643"/>
      <c r="CO75" s="643"/>
      <c r="CP75" s="643"/>
      <c r="CQ75" s="643"/>
      <c r="CR75" s="643"/>
      <c r="CS75" s="643"/>
      <c r="CT75" s="643"/>
      <c r="CU75" s="643"/>
      <c r="CV75" s="643"/>
      <c r="CW75" s="643"/>
      <c r="CX75" s="643"/>
      <c r="DE75" s="375"/>
      <c r="DF75" s="589"/>
      <c r="DG75" s="375"/>
      <c r="DH75" s="375"/>
      <c r="DI75" s="375"/>
      <c r="DJ75" s="375"/>
      <c r="DK75" s="375"/>
      <c r="DL75" s="375"/>
      <c r="DM75" s="375"/>
      <c r="DN75" s="375"/>
      <c r="DO75" s="375"/>
      <c r="DP75" s="375"/>
      <c r="DQ75" s="375"/>
      <c r="DR75" s="375"/>
      <c r="DS75" s="375"/>
      <c r="DT75" s="375"/>
      <c r="DU75" s="375"/>
      <c r="DV75" s="375"/>
      <c r="DW75" s="375"/>
      <c r="DX75" s="375"/>
      <c r="DY75" s="375"/>
      <c r="DZ75" s="375"/>
      <c r="EA75" s="375"/>
      <c r="EB75" s="375"/>
      <c r="EC75" s="375"/>
      <c r="ED75" s="375"/>
      <c r="EE75" s="375"/>
      <c r="EF75" s="375"/>
      <c r="EG75" s="375"/>
      <c r="EH75" s="375"/>
      <c r="EI75" s="375"/>
      <c r="EJ75" s="375"/>
      <c r="EK75" s="375"/>
      <c r="EL75" s="375"/>
      <c r="EM75" s="375"/>
      <c r="EN75" s="375"/>
      <c r="EO75" s="375"/>
      <c r="EP75" s="375"/>
      <c r="EQ75" s="375"/>
      <c r="ER75" s="375"/>
      <c r="ES75" s="375"/>
      <c r="ET75" s="375"/>
      <c r="EU75" s="375"/>
    </row>
    <row r="76" spans="12:151" ht="15" customHeight="1">
      <c r="L76" s="373"/>
      <c r="N76" s="465"/>
      <c r="O76" s="465"/>
      <c r="P76" s="465"/>
      <c r="Q76" s="465"/>
      <c r="R76" s="465"/>
      <c r="S76" s="465"/>
      <c r="BS76" s="380"/>
      <c r="BT76" s="380"/>
      <c r="BU76" s="380"/>
      <c r="BV76" s="380"/>
      <c r="BW76" s="380"/>
      <c r="BX76" s="380"/>
      <c r="BY76" s="380"/>
      <c r="BZ76" s="380"/>
      <c r="CA76" s="380"/>
      <c r="CB76" s="380"/>
      <c r="CC76" s="380"/>
      <c r="CD76" s="380"/>
      <c r="CE76" s="380"/>
      <c r="CF76" s="380"/>
      <c r="CG76" s="380"/>
      <c r="CH76" s="380"/>
      <c r="CI76" s="380"/>
      <c r="CJ76" s="380"/>
      <c r="CK76" s="380"/>
      <c r="CL76" s="380"/>
      <c r="CM76" s="380"/>
      <c r="CN76" s="380"/>
      <c r="CO76" s="380"/>
      <c r="CP76" s="380"/>
      <c r="CQ76" s="380"/>
      <c r="CR76" s="380"/>
      <c r="CS76" s="380"/>
      <c r="CT76" s="380"/>
      <c r="CU76" s="380"/>
      <c r="CV76" s="380"/>
      <c r="CW76" s="380"/>
      <c r="CX76" s="380"/>
      <c r="DE76" s="375"/>
      <c r="DF76" s="589"/>
      <c r="DG76" s="375"/>
      <c r="DH76" s="375"/>
      <c r="DI76" s="375"/>
      <c r="DJ76" s="375"/>
      <c r="DK76" s="375"/>
      <c r="DL76" s="375"/>
      <c r="DM76" s="375"/>
      <c r="DN76" s="375"/>
      <c r="DO76" s="375"/>
      <c r="DP76" s="375"/>
      <c r="DQ76" s="375"/>
      <c r="DR76" s="375"/>
      <c r="DS76" s="375"/>
      <c r="DT76" s="375"/>
      <c r="DU76" s="375"/>
      <c r="DV76" s="375"/>
      <c r="DW76" s="375"/>
      <c r="DX76" s="375"/>
      <c r="DY76" s="375"/>
      <c r="DZ76" s="375"/>
      <c r="EA76" s="375"/>
      <c r="EB76" s="375"/>
      <c r="EC76" s="375"/>
      <c r="ED76" s="375"/>
      <c r="EE76" s="375"/>
      <c r="EF76" s="375"/>
      <c r="EG76" s="375"/>
      <c r="EH76" s="375"/>
      <c r="EQ76" s="375"/>
      <c r="ER76" s="375"/>
      <c r="ES76" s="375"/>
      <c r="ET76" s="375"/>
      <c r="EU76" s="375"/>
    </row>
    <row r="77" spans="12:151" ht="15" customHeight="1">
      <c r="L77" s="373"/>
      <c r="N77" s="465"/>
      <c r="O77" s="465"/>
      <c r="P77" s="465"/>
      <c r="Q77" s="465"/>
      <c r="R77" s="465"/>
      <c r="S77" s="465"/>
      <c r="BU77" s="500"/>
      <c r="BY77" s="500"/>
      <c r="BZ77" s="380"/>
      <c r="CA77" s="380"/>
      <c r="CB77" s="380"/>
      <c r="CC77" s="380"/>
      <c r="CD77" s="380"/>
      <c r="CE77" s="380"/>
      <c r="CF77" s="380"/>
      <c r="CG77" s="380"/>
      <c r="CH77" s="380"/>
      <c r="CI77" s="380"/>
      <c r="CJ77" s="500"/>
      <c r="CK77" s="500"/>
      <c r="CL77" s="500"/>
      <c r="CM77" s="500"/>
      <c r="CN77" s="500"/>
      <c r="CO77" s="500"/>
      <c r="CP77" s="500"/>
      <c r="CQ77" s="500"/>
      <c r="CR77" s="500"/>
      <c r="CS77" s="500"/>
      <c r="CT77" s="500"/>
      <c r="CU77" s="500"/>
      <c r="CV77" s="500"/>
      <c r="CW77" s="500"/>
      <c r="CX77" s="500"/>
      <c r="DE77" s="375"/>
      <c r="DF77" s="589"/>
      <c r="DG77" s="375"/>
      <c r="DH77" s="375"/>
      <c r="DI77" s="375"/>
      <c r="DJ77" s="375"/>
      <c r="DK77" s="375"/>
      <c r="DL77" s="375"/>
      <c r="DM77" s="375"/>
      <c r="DN77" s="375"/>
      <c r="DO77" s="375"/>
      <c r="DP77" s="375"/>
      <c r="DQ77" s="375"/>
      <c r="DR77" s="375"/>
      <c r="DS77" s="375"/>
      <c r="DT77" s="375"/>
      <c r="DU77" s="375"/>
      <c r="DV77" s="375"/>
      <c r="DW77" s="375"/>
      <c r="DX77" s="375"/>
      <c r="DY77" s="375"/>
      <c r="DZ77" s="375"/>
      <c r="EA77" s="375"/>
      <c r="EB77" s="375"/>
      <c r="EC77" s="375"/>
      <c r="ED77" s="375"/>
      <c r="EE77" s="375"/>
      <c r="EF77" s="375"/>
      <c r="EG77" s="375"/>
      <c r="EH77" s="375"/>
      <c r="EQ77" s="375"/>
      <c r="ER77" s="375"/>
      <c r="ES77" s="375"/>
      <c r="ET77" s="375"/>
      <c r="EU77" s="375"/>
    </row>
    <row r="78" spans="12:151" ht="15" customHeight="1">
      <c r="L78" s="373"/>
      <c r="N78" s="465"/>
      <c r="O78" s="465"/>
      <c r="P78" s="465"/>
      <c r="Q78" s="465"/>
      <c r="R78" s="465"/>
      <c r="S78" s="465"/>
      <c r="T78" s="378"/>
      <c r="U78" s="378"/>
      <c r="V78" s="378"/>
      <c r="W78" s="378"/>
      <c r="X78" s="378"/>
      <c r="BZ78" s="500"/>
      <c r="CA78" s="500"/>
      <c r="CB78" s="500"/>
      <c r="CC78" s="500"/>
      <c r="CD78" s="500"/>
      <c r="CE78" s="500"/>
      <c r="CF78" s="500"/>
      <c r="CG78" s="500"/>
      <c r="CH78" s="500"/>
      <c r="CI78" s="500"/>
      <c r="DE78" s="375"/>
      <c r="DF78" s="589"/>
      <c r="DG78" s="375"/>
      <c r="DH78" s="375"/>
      <c r="DI78" s="375"/>
      <c r="DJ78" s="375"/>
      <c r="DK78" s="375"/>
      <c r="DL78" s="375"/>
      <c r="DM78" s="375"/>
      <c r="DN78" s="375"/>
      <c r="DO78" s="375"/>
      <c r="DP78" s="375"/>
      <c r="DQ78" s="375"/>
      <c r="DR78" s="375"/>
      <c r="DS78" s="375"/>
      <c r="DT78" s="375"/>
      <c r="DU78" s="375"/>
      <c r="DV78" s="375"/>
      <c r="DW78" s="375"/>
      <c r="DX78" s="375"/>
      <c r="DY78" s="375"/>
      <c r="DZ78" s="375"/>
      <c r="EA78" s="375"/>
      <c r="EB78" s="375"/>
      <c r="EC78" s="375"/>
      <c r="ED78" s="375"/>
      <c r="EE78" s="375"/>
      <c r="EF78" s="375"/>
      <c r="EG78" s="375"/>
      <c r="EH78" s="375"/>
      <c r="EQ78" s="375"/>
      <c r="ER78" s="375"/>
      <c r="ES78" s="375"/>
      <c r="ET78" s="375"/>
      <c r="EU78" s="375"/>
    </row>
    <row r="79" spans="12:151" ht="15" customHeight="1">
      <c r="L79" s="373"/>
      <c r="N79" s="465"/>
      <c r="O79" s="465"/>
      <c r="P79" s="465"/>
      <c r="Q79" s="465"/>
      <c r="R79" s="465"/>
      <c r="S79" s="465"/>
      <c r="DE79" s="375"/>
      <c r="DF79" s="589"/>
      <c r="DG79" s="375"/>
      <c r="DH79" s="375"/>
      <c r="DI79" s="375"/>
      <c r="DJ79" s="375"/>
      <c r="DK79" s="375"/>
      <c r="DL79" s="375"/>
      <c r="DM79" s="375"/>
      <c r="DN79" s="375"/>
      <c r="DO79" s="375"/>
      <c r="DP79" s="375"/>
      <c r="DQ79" s="375"/>
      <c r="DR79" s="375"/>
      <c r="DS79" s="375"/>
      <c r="DT79" s="375"/>
      <c r="DU79" s="375"/>
      <c r="DV79" s="375"/>
      <c r="DW79" s="375"/>
      <c r="DX79" s="375"/>
      <c r="DY79" s="375"/>
      <c r="DZ79" s="375"/>
      <c r="EA79" s="375"/>
      <c r="EB79" s="375"/>
      <c r="EC79" s="375"/>
      <c r="ED79" s="375"/>
      <c r="EE79" s="375"/>
      <c r="EF79" s="375"/>
      <c r="EG79" s="375"/>
      <c r="EH79" s="375"/>
      <c r="EQ79" s="375"/>
      <c r="ER79" s="375"/>
      <c r="ES79" s="375"/>
      <c r="ET79" s="375"/>
      <c r="EU79" s="375"/>
    </row>
    <row r="80" spans="12:151" ht="15" customHeight="1">
      <c r="L80" s="373"/>
      <c r="N80" s="465"/>
      <c r="O80" s="465"/>
      <c r="P80" s="465"/>
      <c r="Q80" s="465"/>
      <c r="R80" s="465"/>
      <c r="S80" s="465"/>
      <c r="DE80" s="375"/>
      <c r="DF80" s="589"/>
      <c r="DG80" s="375"/>
      <c r="DH80" s="375"/>
      <c r="DI80" s="375"/>
      <c r="DJ80" s="375"/>
      <c r="DK80" s="375"/>
      <c r="DL80" s="375"/>
      <c r="DM80" s="375"/>
      <c r="DN80" s="375"/>
      <c r="DO80" s="375"/>
      <c r="DP80" s="375"/>
      <c r="DQ80" s="375"/>
      <c r="DR80" s="375"/>
      <c r="DS80" s="375"/>
      <c r="DT80" s="375"/>
      <c r="DU80" s="375"/>
      <c r="DV80" s="375"/>
      <c r="DW80" s="375"/>
      <c r="DX80" s="375"/>
      <c r="DY80" s="375"/>
      <c r="DZ80" s="375"/>
      <c r="EA80" s="375"/>
      <c r="EB80" s="375"/>
      <c r="EC80" s="375"/>
      <c r="ED80" s="375"/>
      <c r="EE80" s="375"/>
      <c r="EF80" s="375"/>
      <c r="EG80" s="375"/>
      <c r="EH80" s="375"/>
      <c r="EQ80" s="375"/>
      <c r="ER80" s="375"/>
      <c r="ES80" s="375"/>
      <c r="ET80" s="375"/>
      <c r="EU80" s="375"/>
    </row>
    <row r="81" spans="12:151" ht="15" customHeight="1">
      <c r="L81" s="373"/>
      <c r="N81" s="465"/>
      <c r="O81" s="465"/>
      <c r="P81" s="465"/>
      <c r="Q81" s="465"/>
      <c r="R81" s="465"/>
      <c r="S81" s="465"/>
      <c r="DE81" s="375"/>
      <c r="DF81" s="589"/>
      <c r="DG81" s="375"/>
      <c r="DH81" s="375"/>
      <c r="DI81" s="375"/>
      <c r="DJ81" s="375"/>
      <c r="DK81" s="375"/>
      <c r="DL81" s="375"/>
      <c r="DM81" s="375"/>
      <c r="DN81" s="375"/>
      <c r="DO81" s="375"/>
      <c r="DP81" s="375"/>
      <c r="DQ81" s="375"/>
      <c r="DR81" s="375"/>
      <c r="DS81" s="375"/>
      <c r="DT81" s="375"/>
      <c r="DU81" s="375"/>
      <c r="DV81" s="375"/>
      <c r="DW81" s="375"/>
      <c r="DX81" s="375"/>
      <c r="DY81" s="375"/>
      <c r="DZ81" s="375"/>
      <c r="EA81" s="375"/>
      <c r="EB81" s="375"/>
      <c r="EC81" s="375"/>
      <c r="ED81" s="375"/>
      <c r="EE81" s="375"/>
      <c r="EF81" s="375"/>
      <c r="EG81" s="375"/>
      <c r="EH81" s="375"/>
      <c r="EQ81" s="375"/>
      <c r="ER81" s="375"/>
      <c r="ES81" s="375"/>
      <c r="ET81" s="375"/>
      <c r="EU81" s="375"/>
    </row>
    <row r="82" spans="12:151" ht="15" customHeight="1">
      <c r="L82" s="373"/>
      <c r="N82" s="465"/>
      <c r="O82" s="465"/>
      <c r="P82" s="465"/>
      <c r="Q82" s="465"/>
      <c r="R82" s="465"/>
      <c r="S82" s="465"/>
      <c r="DE82" s="375"/>
      <c r="DF82" s="589"/>
      <c r="DG82" s="375"/>
      <c r="DH82" s="375"/>
      <c r="DI82" s="375"/>
      <c r="DJ82" s="375"/>
      <c r="DK82" s="375"/>
      <c r="DL82" s="375"/>
      <c r="DM82" s="375"/>
      <c r="DN82" s="375"/>
      <c r="DO82" s="375"/>
      <c r="DP82" s="375"/>
      <c r="DQ82" s="375"/>
      <c r="DR82" s="375"/>
      <c r="DS82" s="375"/>
      <c r="DT82" s="375"/>
      <c r="DU82" s="375"/>
      <c r="DV82" s="375"/>
      <c r="DW82" s="375"/>
      <c r="DX82" s="375"/>
      <c r="DY82" s="375"/>
      <c r="DZ82" s="375"/>
      <c r="EA82" s="375"/>
      <c r="EB82" s="375"/>
      <c r="EC82" s="375"/>
      <c r="ED82" s="375"/>
      <c r="EE82" s="375"/>
      <c r="EF82" s="375"/>
      <c r="EG82" s="375"/>
      <c r="EH82" s="375"/>
      <c r="EQ82" s="375"/>
      <c r="ER82" s="375"/>
      <c r="ES82" s="375"/>
      <c r="ET82" s="375"/>
      <c r="EU82" s="375"/>
    </row>
    <row r="83" spans="12:151" ht="15" customHeight="1">
      <c r="L83" s="373"/>
      <c r="N83" s="465"/>
      <c r="O83" s="465"/>
      <c r="P83" s="465"/>
      <c r="Q83" s="465"/>
      <c r="R83" s="465"/>
      <c r="S83" s="465"/>
      <c r="EQ83" s="375"/>
      <c r="ER83" s="375"/>
      <c r="ES83" s="375"/>
      <c r="ET83" s="375"/>
      <c r="EU83" s="375"/>
    </row>
    <row r="84" spans="12:151" ht="15" customHeight="1">
      <c r="L84" s="373"/>
      <c r="N84" s="465"/>
      <c r="O84" s="465"/>
      <c r="P84" s="465"/>
      <c r="Q84" s="465"/>
      <c r="R84" s="465"/>
      <c r="S84" s="465"/>
    </row>
    <row r="85" spans="12:151" ht="15" customHeight="1">
      <c r="L85" s="373"/>
      <c r="N85" s="465"/>
      <c r="O85" s="465"/>
      <c r="P85" s="465"/>
      <c r="Q85" s="465"/>
      <c r="R85" s="465"/>
      <c r="S85" s="465"/>
    </row>
    <row r="86" spans="12:151" ht="15" customHeight="1">
      <c r="L86" s="373"/>
      <c r="N86" s="465"/>
      <c r="O86" s="465"/>
      <c r="P86" s="465"/>
      <c r="Q86" s="465"/>
      <c r="R86" s="465"/>
      <c r="S86" s="465"/>
    </row>
    <row r="87" spans="12:151" ht="15" customHeight="1">
      <c r="L87" s="373"/>
      <c r="N87" s="465"/>
      <c r="O87" s="465"/>
      <c r="P87" s="465"/>
      <c r="Q87" s="465"/>
      <c r="R87" s="465"/>
      <c r="S87" s="465"/>
      <c r="DE87" s="375"/>
      <c r="DF87" s="589"/>
      <c r="DG87" s="375"/>
      <c r="DH87" s="375"/>
      <c r="DI87" s="375"/>
      <c r="DJ87" s="375"/>
      <c r="DK87" s="375"/>
      <c r="DL87" s="375"/>
      <c r="DM87" s="375"/>
      <c r="DN87" s="375"/>
      <c r="DO87" s="375"/>
      <c r="DP87" s="375"/>
      <c r="DQ87" s="375"/>
      <c r="DR87" s="375"/>
      <c r="DS87" s="375"/>
      <c r="DT87" s="375"/>
      <c r="DU87" s="375"/>
      <c r="DV87" s="375"/>
      <c r="DW87" s="375"/>
      <c r="DX87" s="375"/>
      <c r="DY87" s="375"/>
      <c r="DZ87" s="375"/>
      <c r="EA87" s="375"/>
      <c r="EB87" s="375"/>
      <c r="EC87" s="375"/>
      <c r="ED87" s="375"/>
      <c r="EE87" s="375"/>
      <c r="EF87" s="375"/>
      <c r="EG87" s="375"/>
      <c r="EH87" s="375"/>
    </row>
    <row r="88" spans="12:151" ht="15" customHeight="1">
      <c r="L88" s="373"/>
      <c r="N88" s="465"/>
      <c r="O88" s="465"/>
      <c r="P88" s="465"/>
      <c r="Q88" s="465"/>
      <c r="R88" s="465"/>
      <c r="S88" s="465"/>
      <c r="BP88" s="375"/>
      <c r="DE88" s="375"/>
      <c r="DF88" s="589"/>
      <c r="DG88" s="375"/>
      <c r="DH88" s="375"/>
      <c r="DI88" s="375"/>
      <c r="DJ88" s="375"/>
      <c r="DK88" s="375"/>
      <c r="DL88" s="375"/>
      <c r="DM88" s="375"/>
      <c r="DN88" s="375"/>
      <c r="DO88" s="375"/>
      <c r="DP88" s="375"/>
      <c r="DQ88" s="375"/>
      <c r="DR88" s="375"/>
      <c r="DS88" s="375"/>
      <c r="DT88" s="375"/>
      <c r="DU88" s="375"/>
      <c r="DV88" s="375"/>
      <c r="DW88" s="375"/>
      <c r="DX88" s="375"/>
      <c r="DY88" s="375"/>
      <c r="DZ88" s="375"/>
      <c r="EA88" s="375"/>
      <c r="EB88" s="375"/>
      <c r="EC88" s="375"/>
      <c r="ED88" s="375"/>
      <c r="EE88" s="375"/>
      <c r="EF88" s="375"/>
      <c r="EG88" s="375"/>
      <c r="EH88" s="375"/>
    </row>
    <row r="89" spans="12:151" ht="15" customHeight="1">
      <c r="L89" s="373"/>
      <c r="N89" s="465"/>
      <c r="O89" s="465"/>
      <c r="P89" s="465"/>
      <c r="Q89" s="465"/>
      <c r="R89" s="465"/>
      <c r="S89" s="465"/>
      <c r="BP89" s="375"/>
      <c r="DE89" s="375"/>
      <c r="DF89" s="589"/>
      <c r="DG89" s="375"/>
      <c r="DH89" s="375"/>
      <c r="DI89" s="375"/>
      <c r="DJ89" s="375"/>
      <c r="DK89" s="375"/>
      <c r="DN89" s="375"/>
      <c r="DO89" s="375"/>
      <c r="DP89" s="375"/>
      <c r="DQ89" s="375"/>
      <c r="DR89" s="375"/>
      <c r="DS89" s="375"/>
      <c r="DT89" s="375"/>
      <c r="DU89" s="375"/>
      <c r="DV89" s="375"/>
      <c r="DW89" s="375"/>
      <c r="DX89" s="375"/>
      <c r="DY89" s="375"/>
      <c r="DZ89" s="375"/>
      <c r="EA89" s="375"/>
      <c r="EB89" s="375"/>
      <c r="EC89" s="375"/>
      <c r="ED89" s="375"/>
      <c r="EE89" s="375"/>
      <c r="EF89" s="375"/>
      <c r="EG89" s="375"/>
      <c r="EH89" s="375"/>
    </row>
    <row r="90" spans="12:151" ht="15" customHeight="1">
      <c r="L90" s="373"/>
      <c r="N90" s="465"/>
      <c r="O90" s="465"/>
      <c r="P90" s="465"/>
      <c r="Q90" s="465"/>
      <c r="R90" s="465"/>
      <c r="S90" s="465"/>
      <c r="BP90" s="375"/>
      <c r="DE90" s="375"/>
      <c r="DF90" s="589"/>
      <c r="DG90" s="375"/>
      <c r="DH90" s="375"/>
      <c r="DI90" s="375"/>
      <c r="DJ90" s="375"/>
      <c r="DK90" s="375"/>
      <c r="DN90" s="375"/>
      <c r="DO90" s="375"/>
      <c r="DP90" s="375"/>
      <c r="DQ90" s="375"/>
      <c r="DR90" s="375"/>
      <c r="DS90" s="375"/>
      <c r="DT90" s="375"/>
      <c r="DU90" s="375"/>
      <c r="DV90" s="375"/>
      <c r="DW90" s="375"/>
      <c r="DX90" s="375"/>
      <c r="DY90" s="375"/>
      <c r="DZ90" s="375"/>
      <c r="EA90" s="375"/>
      <c r="EB90" s="375"/>
      <c r="EC90" s="375"/>
      <c r="ED90" s="375"/>
      <c r="EE90" s="375"/>
      <c r="EF90" s="375"/>
      <c r="EG90" s="375"/>
      <c r="EH90" s="375"/>
    </row>
    <row r="91" spans="12:151" ht="15" customHeight="1">
      <c r="L91" s="373"/>
      <c r="N91" s="465"/>
      <c r="O91" s="465"/>
      <c r="P91" s="465"/>
      <c r="Q91" s="465"/>
      <c r="R91" s="465"/>
      <c r="S91" s="465"/>
      <c r="BP91" s="375"/>
      <c r="DE91" s="375"/>
      <c r="DF91" s="589"/>
      <c r="DG91" s="375"/>
      <c r="DH91" s="375"/>
      <c r="DI91" s="375"/>
      <c r="DJ91" s="375"/>
      <c r="DK91" s="375"/>
      <c r="DN91" s="375"/>
      <c r="DO91" s="375"/>
      <c r="DP91" s="375"/>
      <c r="DQ91" s="375"/>
      <c r="DR91" s="375"/>
      <c r="DS91" s="375"/>
      <c r="DT91" s="375"/>
      <c r="DU91" s="375"/>
      <c r="DV91" s="375"/>
      <c r="DW91" s="375"/>
      <c r="DX91" s="375"/>
      <c r="DY91" s="375"/>
      <c r="DZ91" s="375"/>
      <c r="EA91" s="375"/>
      <c r="EB91" s="375"/>
      <c r="EC91" s="375"/>
      <c r="ED91" s="375"/>
      <c r="EE91" s="375"/>
      <c r="EF91" s="375"/>
      <c r="EG91" s="375"/>
      <c r="EH91" s="375"/>
    </row>
    <row r="92" spans="12:151" ht="15" customHeight="1">
      <c r="L92" s="373"/>
      <c r="N92" s="465"/>
      <c r="O92" s="465"/>
      <c r="P92" s="465"/>
      <c r="Q92" s="465"/>
      <c r="R92" s="465"/>
      <c r="S92" s="465"/>
      <c r="BP92" s="375"/>
      <c r="DE92" s="375"/>
      <c r="DF92" s="589"/>
      <c r="DG92" s="375"/>
      <c r="DH92" s="375"/>
      <c r="DI92" s="375"/>
      <c r="DJ92" s="375"/>
      <c r="DK92" s="375"/>
      <c r="DL92" s="375"/>
      <c r="DP92" s="375"/>
      <c r="DQ92" s="375"/>
      <c r="DR92" s="375"/>
      <c r="DS92" s="375"/>
      <c r="DT92" s="375"/>
      <c r="DU92" s="375"/>
      <c r="DV92" s="375"/>
      <c r="DW92" s="375"/>
      <c r="DX92" s="375"/>
      <c r="DY92" s="375"/>
      <c r="DZ92" s="375"/>
      <c r="EA92" s="375"/>
      <c r="EB92" s="375"/>
      <c r="EC92" s="375"/>
      <c r="ED92" s="375"/>
      <c r="EE92" s="375"/>
      <c r="EF92" s="375"/>
      <c r="EG92" s="375"/>
      <c r="EH92" s="375"/>
    </row>
    <row r="93" spans="12:151" ht="15" customHeight="1">
      <c r="L93" s="373"/>
      <c r="N93" s="465"/>
      <c r="O93" s="465"/>
      <c r="P93" s="465"/>
      <c r="Q93" s="465"/>
      <c r="R93" s="465"/>
      <c r="S93" s="465"/>
      <c r="BP93" s="375"/>
      <c r="DE93" s="375"/>
      <c r="DF93" s="589"/>
      <c r="DG93" s="375"/>
      <c r="DH93" s="375"/>
      <c r="DI93" s="375"/>
      <c r="DJ93" s="375"/>
      <c r="DK93" s="375"/>
      <c r="DL93" s="375"/>
      <c r="DP93" s="375"/>
      <c r="DQ93" s="375"/>
      <c r="DR93" s="375"/>
      <c r="DS93" s="375"/>
      <c r="DT93" s="375"/>
      <c r="DU93" s="375"/>
      <c r="DV93" s="375"/>
      <c r="DW93" s="375"/>
      <c r="DX93" s="375"/>
      <c r="DY93" s="375"/>
      <c r="DZ93" s="375"/>
      <c r="EA93" s="375"/>
      <c r="EB93" s="375"/>
      <c r="EC93" s="375"/>
      <c r="ED93" s="375"/>
      <c r="EE93" s="375"/>
      <c r="EF93" s="375"/>
      <c r="EG93" s="375"/>
      <c r="EH93" s="375"/>
    </row>
    <row r="94" spans="12:151" ht="15" customHeight="1">
      <c r="L94" s="373"/>
      <c r="N94" s="465"/>
      <c r="O94" s="465"/>
      <c r="P94" s="465"/>
      <c r="Q94" s="465"/>
      <c r="R94" s="465"/>
      <c r="S94" s="465"/>
      <c r="BP94" s="375"/>
      <c r="DE94" s="375"/>
      <c r="DF94" s="589"/>
      <c r="DG94" s="375"/>
      <c r="DH94" s="375"/>
      <c r="DI94" s="375"/>
      <c r="DJ94" s="375"/>
      <c r="DK94" s="375"/>
      <c r="DL94" s="375"/>
      <c r="DP94" s="375"/>
      <c r="DQ94" s="375"/>
      <c r="DR94" s="375"/>
      <c r="DS94" s="375"/>
      <c r="DT94" s="375"/>
      <c r="DU94" s="375"/>
      <c r="DV94" s="375"/>
      <c r="DW94" s="375"/>
      <c r="DX94" s="375"/>
      <c r="DY94" s="375"/>
      <c r="DZ94" s="375"/>
      <c r="EA94" s="375"/>
      <c r="EB94" s="375"/>
      <c r="EC94" s="375"/>
      <c r="ED94" s="375"/>
      <c r="EE94" s="375"/>
      <c r="EF94" s="375"/>
      <c r="EG94" s="375"/>
      <c r="EH94" s="375"/>
    </row>
    <row r="95" spans="12:151" ht="15" customHeight="1">
      <c r="L95" s="373"/>
      <c r="N95" s="465"/>
      <c r="O95" s="465"/>
      <c r="P95" s="465"/>
      <c r="Q95" s="465"/>
      <c r="R95" s="465"/>
      <c r="S95" s="465"/>
      <c r="BP95" s="375"/>
      <c r="DE95" s="375"/>
      <c r="DF95" s="589"/>
      <c r="DG95" s="375"/>
      <c r="DH95" s="375"/>
      <c r="DI95" s="375"/>
      <c r="DJ95" s="375"/>
      <c r="DK95" s="375"/>
      <c r="DL95" s="375"/>
      <c r="DM95" s="375"/>
      <c r="DN95" s="375"/>
      <c r="DO95" s="375"/>
      <c r="DP95" s="375"/>
      <c r="DQ95" s="375"/>
      <c r="DR95" s="375"/>
      <c r="DS95" s="375"/>
      <c r="DT95" s="375"/>
      <c r="DU95" s="375"/>
      <c r="DV95" s="375"/>
      <c r="DW95" s="375"/>
      <c r="DX95" s="375"/>
      <c r="DY95" s="375"/>
      <c r="DZ95" s="375"/>
      <c r="EA95" s="375"/>
      <c r="EB95" s="375"/>
      <c r="EC95" s="375"/>
      <c r="ED95" s="375"/>
      <c r="EE95" s="375"/>
      <c r="EF95" s="375"/>
      <c r="EG95" s="375"/>
      <c r="EH95" s="375"/>
    </row>
    <row r="96" spans="12:151" ht="15" customHeight="1">
      <c r="L96" s="373"/>
      <c r="N96" s="465"/>
      <c r="O96" s="465"/>
      <c r="P96" s="465"/>
      <c r="Q96" s="465"/>
      <c r="R96" s="465"/>
      <c r="S96" s="465"/>
      <c r="BP96" s="375"/>
      <c r="DE96" s="375"/>
      <c r="DF96" s="589"/>
      <c r="DG96" s="375"/>
      <c r="DH96" s="375"/>
      <c r="DI96" s="375"/>
      <c r="DJ96" s="375"/>
      <c r="DK96" s="375"/>
      <c r="DL96" s="375"/>
      <c r="DM96" s="375"/>
      <c r="DN96" s="375"/>
      <c r="DO96" s="375"/>
      <c r="DP96" s="375"/>
      <c r="DQ96" s="375"/>
      <c r="DR96" s="375"/>
      <c r="DS96" s="375"/>
      <c r="DT96" s="375"/>
      <c r="DU96" s="375"/>
      <c r="DV96" s="375"/>
      <c r="DW96" s="375"/>
      <c r="DX96" s="375"/>
      <c r="DY96" s="375"/>
      <c r="DZ96" s="375"/>
      <c r="EA96" s="375"/>
      <c r="EB96" s="375"/>
      <c r="EC96" s="375"/>
      <c r="ED96" s="375"/>
      <c r="EE96" s="375"/>
      <c r="EF96" s="375"/>
      <c r="EG96" s="375"/>
      <c r="EH96" s="375"/>
    </row>
    <row r="97" spans="12:138" ht="15" customHeight="1">
      <c r="L97" s="373"/>
      <c r="N97" s="465"/>
      <c r="O97" s="465"/>
      <c r="P97" s="465"/>
      <c r="Q97" s="465"/>
      <c r="R97" s="465"/>
      <c r="S97" s="465"/>
      <c r="BP97" s="375"/>
      <c r="DE97" s="375"/>
      <c r="DF97" s="589"/>
      <c r="DG97" s="375"/>
      <c r="DH97" s="375"/>
      <c r="DI97" s="375"/>
      <c r="DJ97" s="375"/>
      <c r="DK97" s="375"/>
      <c r="DL97" s="375"/>
      <c r="DM97" s="375"/>
      <c r="DN97" s="375"/>
      <c r="DO97" s="375"/>
      <c r="DP97" s="375"/>
      <c r="DQ97" s="375"/>
      <c r="DR97" s="375"/>
      <c r="DS97" s="375"/>
      <c r="DT97" s="375"/>
      <c r="DU97" s="375"/>
      <c r="DV97" s="375"/>
      <c r="DW97" s="375"/>
      <c r="DX97" s="375"/>
      <c r="DY97" s="375"/>
      <c r="DZ97" s="375"/>
      <c r="EA97" s="375"/>
      <c r="EB97" s="375"/>
      <c r="EC97" s="375"/>
      <c r="ED97" s="375"/>
      <c r="EE97" s="375"/>
      <c r="EF97" s="375"/>
      <c r="EG97" s="375"/>
      <c r="EH97" s="375"/>
    </row>
    <row r="98" spans="12:138" ht="15" customHeight="1">
      <c r="L98" s="373"/>
      <c r="N98" s="465"/>
      <c r="O98" s="465"/>
      <c r="P98" s="465"/>
      <c r="Q98" s="465"/>
      <c r="R98" s="465"/>
      <c r="S98" s="465"/>
      <c r="BP98" s="375"/>
      <c r="DE98" s="375"/>
      <c r="DF98" s="589"/>
      <c r="DG98" s="375"/>
      <c r="DH98" s="375"/>
      <c r="DI98" s="375"/>
      <c r="DJ98" s="375"/>
      <c r="DK98" s="375"/>
      <c r="DL98" s="375"/>
      <c r="DM98" s="375"/>
      <c r="DN98" s="375"/>
      <c r="DO98" s="375"/>
      <c r="DP98" s="375"/>
      <c r="DQ98" s="375"/>
      <c r="DR98" s="375"/>
      <c r="DS98" s="375"/>
      <c r="DT98" s="375"/>
      <c r="DU98" s="375"/>
      <c r="DV98" s="375"/>
      <c r="DW98" s="375"/>
      <c r="DX98" s="375"/>
      <c r="DY98" s="375"/>
      <c r="DZ98" s="375"/>
      <c r="EA98" s="375"/>
      <c r="EB98" s="375"/>
      <c r="EC98" s="375"/>
      <c r="ED98" s="375"/>
      <c r="EE98" s="375"/>
      <c r="EF98" s="375"/>
      <c r="EG98" s="375"/>
      <c r="EH98" s="375"/>
    </row>
    <row r="99" spans="12:138" ht="15" customHeight="1">
      <c r="L99" s="373"/>
      <c r="N99" s="465"/>
      <c r="O99" s="465"/>
      <c r="P99" s="465"/>
      <c r="Q99" s="465"/>
      <c r="R99" s="465"/>
      <c r="S99" s="465"/>
      <c r="BP99" s="375"/>
      <c r="DE99" s="375"/>
      <c r="DF99" s="589"/>
      <c r="DG99" s="375"/>
      <c r="DH99" s="375"/>
      <c r="DI99" s="375"/>
      <c r="DJ99" s="375"/>
      <c r="DK99" s="375"/>
      <c r="DL99" s="375"/>
      <c r="DM99" s="375"/>
      <c r="DN99" s="375"/>
      <c r="DO99" s="375"/>
      <c r="DP99" s="375"/>
      <c r="DQ99" s="375"/>
      <c r="DR99" s="375"/>
      <c r="DS99" s="375"/>
      <c r="DT99" s="375"/>
      <c r="DU99" s="375"/>
      <c r="DV99" s="375"/>
      <c r="DW99" s="375"/>
      <c r="DX99" s="375"/>
      <c r="DY99" s="375"/>
      <c r="DZ99" s="375"/>
      <c r="EA99" s="375"/>
      <c r="EB99" s="375"/>
      <c r="EC99" s="375"/>
      <c r="ED99" s="375"/>
      <c r="EE99" s="375"/>
      <c r="EF99" s="375"/>
      <c r="EG99" s="375"/>
      <c r="EH99" s="375"/>
    </row>
    <row r="100" spans="12:138" ht="15" customHeight="1">
      <c r="L100" s="373"/>
      <c r="N100" s="465"/>
      <c r="O100" s="465"/>
      <c r="P100" s="465"/>
      <c r="Q100" s="465"/>
      <c r="R100" s="465"/>
      <c r="S100" s="465"/>
      <c r="BP100" s="375"/>
      <c r="DE100" s="375"/>
      <c r="DF100" s="589"/>
      <c r="DG100" s="375"/>
      <c r="DH100" s="375"/>
      <c r="DI100" s="375"/>
      <c r="DJ100" s="375"/>
      <c r="DK100" s="375"/>
      <c r="DL100" s="375"/>
      <c r="DM100" s="375"/>
      <c r="DN100" s="375"/>
      <c r="DO100" s="375"/>
      <c r="DP100" s="375"/>
      <c r="DQ100" s="375"/>
      <c r="DR100" s="375"/>
      <c r="DS100" s="375"/>
      <c r="DT100" s="375"/>
      <c r="DU100" s="375"/>
      <c r="DV100" s="375"/>
      <c r="DW100" s="375"/>
      <c r="DX100" s="375"/>
      <c r="DY100" s="375"/>
      <c r="DZ100" s="375"/>
      <c r="EA100" s="375"/>
      <c r="EB100" s="375"/>
      <c r="EC100" s="375"/>
      <c r="ED100" s="375"/>
      <c r="EE100" s="375"/>
      <c r="EF100" s="375"/>
      <c r="EG100" s="375"/>
      <c r="EH100" s="375"/>
    </row>
    <row r="101" spans="12:138" ht="15" customHeight="1">
      <c r="L101" s="373"/>
      <c r="N101" s="465"/>
      <c r="O101" s="465"/>
      <c r="P101" s="465"/>
      <c r="Q101" s="465"/>
      <c r="R101" s="465"/>
      <c r="S101" s="465"/>
      <c r="BP101" s="375"/>
      <c r="DE101" s="375"/>
      <c r="DF101" s="589"/>
      <c r="DG101" s="375"/>
      <c r="DH101" s="375"/>
      <c r="DI101" s="375"/>
      <c r="DJ101" s="375"/>
      <c r="DK101" s="375"/>
      <c r="DL101" s="375"/>
      <c r="DM101" s="375"/>
      <c r="DN101" s="375"/>
      <c r="DO101" s="375"/>
      <c r="DP101" s="375"/>
      <c r="DQ101" s="375"/>
      <c r="DR101" s="375"/>
      <c r="DS101" s="375"/>
      <c r="DT101" s="375"/>
      <c r="DU101" s="375"/>
      <c r="DV101" s="375"/>
      <c r="DW101" s="375"/>
      <c r="DX101" s="375"/>
      <c r="DY101" s="375"/>
      <c r="DZ101" s="375"/>
      <c r="EA101" s="375"/>
      <c r="EB101" s="375"/>
      <c r="EC101" s="375"/>
      <c r="ED101" s="375"/>
      <c r="EE101" s="375"/>
      <c r="EF101" s="375"/>
      <c r="EG101" s="375"/>
      <c r="EH101" s="375"/>
    </row>
    <row r="102" spans="12:138" ht="15" customHeight="1">
      <c r="L102" s="373"/>
      <c r="N102" s="465"/>
      <c r="O102" s="465"/>
      <c r="P102" s="465"/>
      <c r="Q102" s="465"/>
      <c r="R102" s="465"/>
      <c r="S102" s="465"/>
      <c r="BP102" s="375"/>
      <c r="DE102" s="375"/>
      <c r="DF102" s="589"/>
      <c r="DG102" s="375"/>
      <c r="DH102" s="375"/>
      <c r="DI102" s="375"/>
      <c r="DJ102" s="375"/>
      <c r="DK102" s="375"/>
      <c r="DL102" s="375"/>
      <c r="DM102" s="375"/>
      <c r="DN102" s="375"/>
      <c r="DO102" s="375"/>
      <c r="DP102" s="375"/>
      <c r="DQ102" s="375"/>
      <c r="DR102" s="375"/>
      <c r="DS102" s="375"/>
      <c r="DT102" s="375"/>
      <c r="DU102" s="375"/>
      <c r="DV102" s="375"/>
      <c r="DW102" s="375"/>
      <c r="DX102" s="375"/>
      <c r="DY102" s="375"/>
      <c r="DZ102" s="375"/>
      <c r="EA102" s="375"/>
      <c r="EB102" s="375"/>
      <c r="EC102" s="375"/>
      <c r="ED102" s="375"/>
      <c r="EE102" s="375"/>
      <c r="EF102" s="375"/>
      <c r="EG102" s="375"/>
      <c r="EH102" s="375"/>
    </row>
    <row r="103" spans="12:138" ht="15" customHeight="1">
      <c r="L103" s="373"/>
      <c r="N103" s="465"/>
      <c r="O103" s="465"/>
      <c r="P103" s="465"/>
      <c r="Q103" s="465"/>
      <c r="R103" s="465"/>
      <c r="S103" s="465"/>
      <c r="BP103" s="375"/>
      <c r="DE103" s="375"/>
      <c r="DF103" s="589"/>
      <c r="DG103" s="375"/>
      <c r="DH103" s="375"/>
      <c r="DI103" s="375"/>
      <c r="DJ103" s="375"/>
      <c r="DK103" s="375"/>
      <c r="DL103" s="375"/>
      <c r="DM103" s="375"/>
      <c r="DN103" s="375"/>
      <c r="DO103" s="375"/>
      <c r="DP103" s="375"/>
      <c r="DQ103" s="375"/>
      <c r="DR103" s="375"/>
      <c r="DS103" s="375"/>
      <c r="DT103" s="375"/>
      <c r="DU103" s="375"/>
      <c r="DV103" s="375"/>
      <c r="DW103" s="375"/>
      <c r="DX103" s="375"/>
      <c r="DY103" s="375"/>
      <c r="DZ103" s="375"/>
      <c r="EA103" s="375"/>
      <c r="EB103" s="375"/>
      <c r="EC103" s="375"/>
      <c r="ED103" s="375"/>
      <c r="EE103" s="375"/>
      <c r="EF103" s="375"/>
      <c r="EG103" s="375"/>
      <c r="EH103" s="375"/>
    </row>
    <row r="104" spans="12:138" ht="15" customHeight="1">
      <c r="L104" s="373"/>
      <c r="N104" s="465"/>
      <c r="O104" s="465"/>
      <c r="P104" s="465"/>
      <c r="Q104" s="465"/>
      <c r="R104" s="465"/>
      <c r="S104" s="465"/>
      <c r="BP104" s="375"/>
      <c r="DE104" s="375"/>
      <c r="DF104" s="589"/>
      <c r="DG104" s="375"/>
      <c r="DH104" s="375"/>
      <c r="DI104" s="375"/>
      <c r="DJ104" s="375"/>
      <c r="DK104" s="375"/>
      <c r="DL104" s="375"/>
      <c r="DM104" s="375"/>
      <c r="DN104" s="375"/>
      <c r="DO104" s="375"/>
      <c r="DP104" s="375"/>
      <c r="DQ104" s="375"/>
      <c r="DR104" s="375"/>
      <c r="DS104" s="375"/>
      <c r="DT104" s="375"/>
      <c r="DU104" s="375"/>
      <c r="DV104" s="375"/>
      <c r="DW104" s="375"/>
      <c r="DX104" s="375"/>
      <c r="DY104" s="375"/>
      <c r="DZ104" s="375"/>
      <c r="EA104" s="375"/>
      <c r="EB104" s="375"/>
      <c r="EC104" s="375"/>
      <c r="ED104" s="375"/>
      <c r="EE104" s="375"/>
      <c r="EF104" s="375"/>
      <c r="EG104" s="375"/>
      <c r="EH104" s="375"/>
    </row>
    <row r="105" spans="12:138" ht="15" customHeight="1">
      <c r="L105" s="373"/>
      <c r="N105" s="465"/>
      <c r="O105" s="465"/>
      <c r="P105" s="465"/>
      <c r="Q105" s="465"/>
      <c r="R105" s="465"/>
      <c r="S105" s="465"/>
      <c r="BP105" s="375"/>
      <c r="DE105" s="375"/>
      <c r="DF105" s="589"/>
      <c r="DG105" s="375"/>
      <c r="DH105" s="375"/>
      <c r="DI105" s="375"/>
      <c r="DJ105" s="375"/>
      <c r="DK105" s="375"/>
      <c r="DL105" s="375"/>
      <c r="DM105" s="375"/>
      <c r="DN105" s="375"/>
      <c r="DO105" s="375"/>
      <c r="DP105" s="375"/>
      <c r="DQ105" s="375"/>
      <c r="DR105" s="375"/>
      <c r="DS105" s="375"/>
      <c r="DT105" s="375"/>
      <c r="DU105" s="375"/>
      <c r="DV105" s="375"/>
      <c r="DW105" s="375"/>
      <c r="DX105" s="375"/>
      <c r="DY105" s="375"/>
      <c r="DZ105" s="375"/>
      <c r="EA105" s="375"/>
      <c r="EB105" s="375"/>
      <c r="EC105" s="375"/>
      <c r="ED105" s="375"/>
      <c r="EE105" s="375"/>
      <c r="EF105" s="375"/>
      <c r="EG105" s="375"/>
      <c r="EH105" s="375"/>
    </row>
    <row r="106" spans="12:138" ht="15" customHeight="1">
      <c r="L106" s="373"/>
      <c r="N106" s="465"/>
      <c r="O106" s="465"/>
      <c r="P106" s="465"/>
      <c r="Q106" s="465"/>
      <c r="R106" s="465"/>
      <c r="S106" s="465"/>
      <c r="BP106" s="375"/>
      <c r="DE106" s="375"/>
      <c r="DF106" s="589"/>
      <c r="DG106" s="375"/>
      <c r="DH106" s="375"/>
      <c r="DI106" s="375"/>
      <c r="DJ106" s="375"/>
      <c r="DK106" s="375"/>
      <c r="DL106" s="375"/>
      <c r="DM106" s="375"/>
      <c r="DN106" s="375"/>
      <c r="DO106" s="375"/>
      <c r="DP106" s="375"/>
      <c r="DQ106" s="375"/>
      <c r="DR106" s="375"/>
      <c r="DS106" s="375"/>
      <c r="DT106" s="375"/>
      <c r="DU106" s="375"/>
      <c r="DV106" s="375"/>
      <c r="DW106" s="375"/>
      <c r="DX106" s="375"/>
      <c r="DY106" s="375"/>
      <c r="DZ106" s="375"/>
      <c r="EA106" s="375"/>
      <c r="EB106" s="375"/>
      <c r="EC106" s="375"/>
      <c r="ED106" s="375"/>
      <c r="EE106" s="375"/>
      <c r="EF106" s="375"/>
      <c r="EG106" s="375"/>
      <c r="EH106" s="375"/>
    </row>
    <row r="107" spans="12:138" ht="15" customHeight="1">
      <c r="L107" s="373"/>
      <c r="N107" s="465"/>
      <c r="O107" s="465"/>
      <c r="P107" s="465"/>
      <c r="Q107" s="465"/>
      <c r="R107" s="465"/>
      <c r="S107" s="465"/>
      <c r="BP107" s="375"/>
      <c r="DE107" s="375"/>
      <c r="DF107" s="589"/>
      <c r="DG107" s="375"/>
      <c r="DH107" s="375"/>
      <c r="DI107" s="375"/>
      <c r="DJ107" s="375"/>
      <c r="DK107" s="375"/>
      <c r="DL107" s="375"/>
      <c r="DM107" s="375"/>
      <c r="DN107" s="375"/>
      <c r="DO107" s="375"/>
      <c r="DP107" s="375"/>
      <c r="DQ107" s="375"/>
      <c r="DR107" s="375"/>
      <c r="DS107" s="375"/>
      <c r="DT107" s="375"/>
      <c r="DU107" s="375"/>
      <c r="DV107" s="375"/>
      <c r="DW107" s="375"/>
      <c r="DX107" s="375"/>
      <c r="DY107" s="375"/>
      <c r="DZ107" s="375"/>
      <c r="EA107" s="375"/>
      <c r="EB107" s="375"/>
      <c r="EC107" s="375"/>
      <c r="ED107" s="375"/>
      <c r="EE107" s="375"/>
      <c r="EF107" s="375"/>
      <c r="EG107" s="375"/>
      <c r="EH107" s="375"/>
    </row>
    <row r="108" spans="12:138" ht="15" customHeight="1">
      <c r="L108" s="373"/>
      <c r="N108" s="465"/>
      <c r="O108" s="465"/>
      <c r="P108" s="465"/>
      <c r="Q108" s="465"/>
      <c r="R108" s="465"/>
      <c r="S108" s="465"/>
      <c r="BP108" s="375"/>
      <c r="DE108" s="375"/>
      <c r="DF108" s="589"/>
      <c r="DG108" s="375"/>
      <c r="DH108" s="375"/>
      <c r="DI108" s="375"/>
      <c r="DJ108" s="375"/>
      <c r="DK108" s="375"/>
      <c r="DL108" s="375"/>
      <c r="DM108" s="375"/>
      <c r="DN108" s="375"/>
      <c r="DO108" s="375"/>
      <c r="DP108" s="375"/>
      <c r="DQ108" s="375"/>
      <c r="DR108" s="375"/>
      <c r="DS108" s="375"/>
      <c r="DT108" s="375"/>
      <c r="DU108" s="375"/>
      <c r="DV108" s="375"/>
      <c r="DW108" s="375"/>
      <c r="DX108" s="375"/>
      <c r="DY108" s="375"/>
      <c r="DZ108" s="375"/>
      <c r="EA108" s="375"/>
      <c r="EB108" s="375"/>
      <c r="EC108" s="375"/>
      <c r="ED108" s="375"/>
      <c r="EE108" s="375"/>
      <c r="EF108" s="375"/>
      <c r="EG108" s="375"/>
      <c r="EH108" s="375"/>
    </row>
    <row r="109" spans="12:138" ht="15" customHeight="1">
      <c r="L109" s="373"/>
      <c r="N109" s="465"/>
      <c r="O109" s="465"/>
      <c r="P109" s="465"/>
      <c r="Q109" s="465"/>
      <c r="R109" s="465"/>
      <c r="S109" s="465"/>
      <c r="BP109" s="375"/>
      <c r="DE109" s="375"/>
      <c r="DF109" s="589"/>
      <c r="DG109" s="375"/>
      <c r="DH109" s="375"/>
      <c r="DI109" s="375"/>
      <c r="DJ109" s="375"/>
      <c r="DK109" s="375"/>
      <c r="DL109" s="375"/>
      <c r="DM109" s="375"/>
      <c r="DN109" s="375"/>
      <c r="DO109" s="375"/>
      <c r="DP109" s="375"/>
      <c r="DQ109" s="375"/>
      <c r="DR109" s="375"/>
      <c r="DS109" s="375"/>
      <c r="DT109" s="375"/>
      <c r="DU109" s="375"/>
      <c r="DV109" s="375"/>
      <c r="DW109" s="375"/>
      <c r="DX109" s="375"/>
      <c r="DY109" s="375"/>
      <c r="DZ109" s="375"/>
      <c r="EA109" s="375"/>
      <c r="EB109" s="375"/>
      <c r="EC109" s="375"/>
      <c r="ED109" s="375"/>
      <c r="EE109" s="375"/>
      <c r="EF109" s="375"/>
      <c r="EG109" s="375"/>
      <c r="EH109" s="375"/>
    </row>
    <row r="110" spans="12:138" ht="15" customHeight="1">
      <c r="L110" s="373"/>
      <c r="N110" s="465"/>
      <c r="O110" s="465"/>
      <c r="P110" s="465"/>
      <c r="Q110" s="465"/>
      <c r="R110" s="465"/>
      <c r="S110" s="465"/>
      <c r="BP110" s="375"/>
      <c r="DE110" s="375"/>
      <c r="DF110" s="589"/>
      <c r="DG110" s="375"/>
      <c r="DH110" s="375"/>
      <c r="DI110" s="375"/>
      <c r="DJ110" s="375"/>
      <c r="DK110" s="375"/>
      <c r="DL110" s="375"/>
      <c r="DM110" s="375"/>
      <c r="DN110" s="375"/>
      <c r="DO110" s="375"/>
      <c r="DP110" s="375"/>
      <c r="DQ110" s="375"/>
      <c r="DR110" s="375"/>
      <c r="DS110" s="375"/>
      <c r="DT110" s="375"/>
      <c r="DU110" s="375"/>
      <c r="DV110" s="375"/>
      <c r="DW110" s="375"/>
      <c r="DX110" s="375"/>
      <c r="DY110" s="375"/>
      <c r="DZ110" s="375"/>
      <c r="EA110" s="375"/>
      <c r="EB110" s="375"/>
      <c r="EC110" s="375"/>
      <c r="ED110" s="375"/>
      <c r="EE110" s="375"/>
      <c r="EF110" s="375"/>
      <c r="EG110" s="375"/>
      <c r="EH110" s="375"/>
    </row>
    <row r="111" spans="12:138" ht="15" customHeight="1">
      <c r="N111" s="465"/>
      <c r="O111" s="465"/>
      <c r="P111" s="465"/>
      <c r="Q111" s="465"/>
      <c r="R111" s="465"/>
      <c r="S111" s="465"/>
      <c r="BP111" s="375"/>
      <c r="DE111" s="375"/>
      <c r="DF111" s="589"/>
      <c r="DG111" s="375"/>
      <c r="DH111" s="375"/>
      <c r="DI111" s="375"/>
      <c r="DJ111" s="375"/>
      <c r="DK111" s="375"/>
      <c r="DL111" s="375"/>
      <c r="DM111" s="375"/>
      <c r="DN111" s="375"/>
      <c r="DO111" s="375"/>
      <c r="DP111" s="375"/>
      <c r="DQ111" s="375"/>
      <c r="DR111" s="375"/>
      <c r="DS111" s="375"/>
      <c r="DT111" s="375"/>
      <c r="DU111" s="375"/>
      <c r="DV111" s="375"/>
      <c r="DW111" s="375"/>
      <c r="DX111" s="375"/>
      <c r="DY111" s="375"/>
      <c r="DZ111" s="375"/>
      <c r="EA111" s="375"/>
      <c r="EB111" s="375"/>
      <c r="EC111" s="375"/>
      <c r="ED111" s="375"/>
      <c r="EE111" s="375"/>
      <c r="EF111" s="375"/>
      <c r="EG111" s="375"/>
      <c r="EH111" s="375"/>
    </row>
    <row r="112" spans="12:138" ht="15" customHeight="1">
      <c r="N112" s="465"/>
      <c r="O112" s="465"/>
      <c r="P112" s="465"/>
      <c r="Q112" s="465"/>
      <c r="R112" s="465"/>
      <c r="S112" s="465"/>
      <c r="BP112" s="375"/>
      <c r="DE112" s="375"/>
      <c r="DF112" s="589"/>
      <c r="DG112" s="375"/>
      <c r="DH112" s="375"/>
      <c r="DI112" s="375"/>
      <c r="DJ112" s="375"/>
      <c r="DK112" s="375"/>
      <c r="DL112" s="375"/>
      <c r="DM112" s="375"/>
      <c r="DN112" s="375"/>
      <c r="DO112" s="375"/>
      <c r="DP112" s="375"/>
      <c r="DQ112" s="375"/>
      <c r="DR112" s="375"/>
      <c r="DS112" s="375"/>
      <c r="DT112" s="375"/>
      <c r="DU112" s="375"/>
      <c r="DV112" s="375"/>
      <c r="DW112" s="375"/>
      <c r="DX112" s="375"/>
      <c r="DY112" s="375"/>
      <c r="DZ112" s="375"/>
      <c r="EA112" s="375"/>
      <c r="EB112" s="375"/>
      <c r="EC112" s="375"/>
      <c r="ED112" s="375"/>
      <c r="EE112" s="375"/>
      <c r="EF112" s="375"/>
      <c r="EG112" s="375"/>
      <c r="EH112" s="375"/>
    </row>
    <row r="113" spans="14:138" ht="15" customHeight="1">
      <c r="N113" s="465"/>
      <c r="O113" s="465"/>
      <c r="P113" s="465"/>
      <c r="Q113" s="465"/>
      <c r="R113" s="465"/>
      <c r="S113" s="465"/>
      <c r="BP113" s="375"/>
      <c r="DE113" s="375"/>
      <c r="DF113" s="589"/>
      <c r="DG113" s="375"/>
      <c r="DH113" s="375"/>
      <c r="DI113" s="375"/>
      <c r="DJ113" s="375"/>
      <c r="DK113" s="375"/>
      <c r="DL113" s="375"/>
      <c r="DM113" s="375"/>
      <c r="DN113" s="375"/>
      <c r="DO113" s="375"/>
      <c r="DP113" s="375"/>
      <c r="DQ113" s="375"/>
      <c r="DR113" s="375"/>
      <c r="DS113" s="375"/>
      <c r="DT113" s="375"/>
      <c r="DU113" s="375"/>
      <c r="DV113" s="375"/>
      <c r="DW113" s="375"/>
      <c r="DX113" s="375"/>
      <c r="DY113" s="375"/>
      <c r="DZ113" s="375"/>
      <c r="EA113" s="375"/>
      <c r="EB113" s="375"/>
      <c r="EC113" s="375"/>
      <c r="ED113" s="375"/>
      <c r="EE113" s="375"/>
      <c r="EF113" s="375"/>
      <c r="EG113" s="375"/>
      <c r="EH113" s="375"/>
    </row>
    <row r="114" spans="14:138" ht="15" customHeight="1">
      <c r="N114" s="465"/>
      <c r="O114" s="465"/>
      <c r="P114" s="465"/>
      <c r="Q114" s="465"/>
      <c r="R114" s="465"/>
      <c r="S114" s="465"/>
      <c r="BP114" s="375"/>
      <c r="DE114" s="375"/>
      <c r="DF114" s="589"/>
      <c r="DG114" s="375"/>
      <c r="DH114" s="375"/>
      <c r="DI114" s="375"/>
      <c r="DJ114" s="375"/>
      <c r="DK114" s="375"/>
      <c r="DL114" s="375"/>
      <c r="DM114" s="375"/>
      <c r="DN114" s="375"/>
      <c r="DO114" s="375"/>
      <c r="DP114" s="375"/>
      <c r="DQ114" s="375"/>
      <c r="DR114" s="375"/>
      <c r="DS114" s="375"/>
      <c r="DT114" s="375"/>
      <c r="DU114" s="375"/>
      <c r="DV114" s="375"/>
      <c r="DW114" s="375"/>
      <c r="DX114" s="375"/>
      <c r="DY114" s="375"/>
      <c r="DZ114" s="375"/>
      <c r="EA114" s="375"/>
      <c r="EB114" s="375"/>
      <c r="EC114" s="375"/>
      <c r="ED114" s="375"/>
      <c r="EE114" s="375"/>
      <c r="EF114" s="375"/>
      <c r="EG114" s="375"/>
      <c r="EH114" s="375"/>
    </row>
    <row r="115" spans="14:138" ht="15" customHeight="1">
      <c r="N115" s="465"/>
      <c r="O115" s="465"/>
      <c r="P115" s="465"/>
      <c r="Q115" s="465"/>
      <c r="R115" s="465"/>
      <c r="S115" s="465"/>
      <c r="BP115" s="375"/>
      <c r="DE115" s="375"/>
      <c r="DF115" s="589"/>
      <c r="DG115" s="375"/>
      <c r="DH115" s="375"/>
      <c r="DI115" s="375"/>
      <c r="DJ115" s="375"/>
      <c r="DK115" s="375"/>
      <c r="DL115" s="375"/>
      <c r="DM115" s="375"/>
      <c r="DN115" s="375"/>
      <c r="DO115" s="375"/>
      <c r="DP115" s="375"/>
      <c r="DQ115" s="375"/>
      <c r="DR115" s="375"/>
      <c r="DS115" s="375"/>
      <c r="DT115" s="375"/>
      <c r="DU115" s="375"/>
      <c r="DV115" s="375"/>
      <c r="DW115" s="375"/>
      <c r="DX115" s="375"/>
      <c r="DY115" s="375"/>
      <c r="DZ115" s="375"/>
      <c r="EA115" s="375"/>
      <c r="EB115" s="375"/>
      <c r="EC115" s="375"/>
      <c r="ED115" s="375"/>
      <c r="EE115" s="375"/>
      <c r="EF115" s="375"/>
      <c r="EG115" s="375"/>
      <c r="EH115" s="375"/>
    </row>
    <row r="116" spans="14:138" ht="15" customHeight="1">
      <c r="N116" s="465"/>
      <c r="O116" s="465"/>
      <c r="P116" s="465"/>
      <c r="Q116" s="465"/>
      <c r="R116" s="465"/>
      <c r="S116" s="465"/>
      <c r="BP116" s="375"/>
      <c r="DE116" s="375"/>
      <c r="DF116" s="589"/>
      <c r="DG116" s="375"/>
      <c r="DH116" s="375"/>
      <c r="DI116" s="375"/>
      <c r="DJ116" s="375"/>
      <c r="DK116" s="375"/>
      <c r="DL116" s="375"/>
      <c r="DM116" s="375"/>
      <c r="DN116" s="375"/>
      <c r="DO116" s="375"/>
      <c r="DP116" s="375"/>
      <c r="DQ116" s="375"/>
      <c r="DR116" s="375"/>
      <c r="DS116" s="375"/>
      <c r="DT116" s="375"/>
      <c r="DU116" s="375"/>
      <c r="DV116" s="375"/>
      <c r="DW116" s="375"/>
      <c r="DX116" s="375"/>
      <c r="DY116" s="375"/>
      <c r="DZ116" s="375"/>
      <c r="EA116" s="375"/>
      <c r="EB116" s="375"/>
      <c r="EC116" s="375"/>
      <c r="ED116" s="375"/>
      <c r="EE116" s="375"/>
      <c r="EF116" s="375"/>
      <c r="EG116" s="375"/>
      <c r="EH116" s="375"/>
    </row>
    <row r="117" spans="14:138" ht="15" customHeight="1">
      <c r="N117" s="465"/>
      <c r="O117" s="465"/>
      <c r="P117" s="465"/>
      <c r="Q117" s="465"/>
      <c r="R117" s="465"/>
      <c r="S117" s="465"/>
      <c r="BP117" s="375"/>
      <c r="DE117" s="375"/>
      <c r="DF117" s="589"/>
      <c r="DG117" s="375"/>
      <c r="DH117" s="375"/>
      <c r="DI117" s="375"/>
      <c r="DJ117" s="375"/>
      <c r="DK117" s="375"/>
      <c r="DL117" s="375"/>
      <c r="DM117" s="375"/>
      <c r="DN117" s="375"/>
      <c r="DO117" s="375"/>
      <c r="DP117" s="375"/>
      <c r="DQ117" s="375"/>
      <c r="DR117" s="375"/>
      <c r="DS117" s="375"/>
      <c r="DT117" s="375"/>
      <c r="DU117" s="375"/>
      <c r="DV117" s="375"/>
      <c r="DW117" s="375"/>
      <c r="DX117" s="375"/>
      <c r="DY117" s="375"/>
      <c r="DZ117" s="375"/>
      <c r="EA117" s="375"/>
      <c r="EB117" s="375"/>
      <c r="EC117" s="375"/>
      <c r="ED117" s="375"/>
      <c r="EE117" s="375"/>
      <c r="EF117" s="375"/>
      <c r="EG117" s="375"/>
      <c r="EH117" s="375"/>
    </row>
    <row r="118" spans="14:138" ht="15" customHeight="1">
      <c r="N118" s="465"/>
      <c r="O118" s="465"/>
      <c r="P118" s="465"/>
      <c r="Q118" s="465"/>
      <c r="R118" s="465"/>
      <c r="S118" s="465"/>
      <c r="BP118" s="375"/>
      <c r="DE118" s="375"/>
      <c r="DF118" s="589"/>
      <c r="DG118" s="375"/>
      <c r="DH118" s="375"/>
      <c r="DI118" s="375"/>
      <c r="DJ118" s="375"/>
      <c r="DK118" s="375"/>
      <c r="DL118" s="375"/>
      <c r="DM118" s="375"/>
      <c r="DN118" s="375"/>
      <c r="DO118" s="375"/>
      <c r="DP118" s="375"/>
      <c r="DQ118" s="375"/>
      <c r="DR118" s="375"/>
      <c r="DS118" s="375"/>
      <c r="DT118" s="375"/>
      <c r="DU118" s="375"/>
      <c r="DV118" s="375"/>
      <c r="DW118" s="375"/>
      <c r="DX118" s="375"/>
      <c r="DY118" s="375"/>
      <c r="DZ118" s="375"/>
      <c r="EA118" s="375"/>
      <c r="EB118" s="375"/>
      <c r="EC118" s="375"/>
      <c r="ED118" s="375"/>
      <c r="EE118" s="375"/>
      <c r="EF118" s="375"/>
      <c r="EG118" s="375"/>
      <c r="EH118" s="375"/>
    </row>
    <row r="119" spans="14:138" ht="15" customHeight="1">
      <c r="N119" s="465"/>
      <c r="O119" s="465"/>
      <c r="P119" s="465"/>
      <c r="Q119" s="465"/>
      <c r="R119" s="465"/>
      <c r="S119" s="465"/>
      <c r="BP119" s="375"/>
    </row>
    <row r="120" spans="14:138" ht="15" customHeight="1">
      <c r="N120" s="465"/>
      <c r="O120" s="465"/>
      <c r="P120" s="465"/>
      <c r="Q120" s="465"/>
      <c r="R120" s="465"/>
      <c r="S120" s="465"/>
    </row>
    <row r="121" spans="14:138" ht="15" customHeight="1">
      <c r="N121" s="465"/>
      <c r="O121" s="465"/>
      <c r="Q121" s="465"/>
      <c r="R121" s="465"/>
      <c r="S121" s="465"/>
    </row>
    <row r="122" spans="14:138" ht="15" customHeight="1">
      <c r="N122" s="465"/>
      <c r="O122" s="465"/>
      <c r="Q122" s="465"/>
      <c r="R122" s="465"/>
      <c r="S122" s="465"/>
    </row>
    <row r="123" spans="14:138" ht="15" customHeight="1">
      <c r="N123" s="465"/>
      <c r="O123" s="465"/>
    </row>
    <row r="124" spans="14:138" ht="15" customHeight="1">
      <c r="N124" s="465"/>
      <c r="O124" s="465"/>
    </row>
    <row r="125" spans="14:138" ht="15" customHeight="1">
      <c r="N125" s="465"/>
      <c r="O125" s="465"/>
    </row>
    <row r="126" spans="14:138" ht="15" customHeight="1">
      <c r="N126" s="465"/>
      <c r="O126" s="465"/>
    </row>
    <row r="127" spans="14:138" ht="15" customHeight="1">
      <c r="N127" s="465"/>
      <c r="O127" s="465"/>
    </row>
    <row r="128" spans="14:138" ht="15" customHeight="1">
      <c r="N128" s="465"/>
      <c r="O128" s="465"/>
    </row>
  </sheetData>
  <conditionalFormatting sqref="E38">
    <cfRule type="cellIs" dxfId="10" priority="11" operator="notEqual">
      <formula>0</formula>
    </cfRule>
  </conditionalFormatting>
  <conditionalFormatting sqref="EF62:EH62 DF62:DZ62">
    <cfRule type="cellIs" dxfId="9" priority="9" stopIfTrue="1" operator="equal">
      <formula>"OK"</formula>
    </cfRule>
    <cfRule type="cellIs" dxfId="8" priority="10" stopIfTrue="1" operator="equal">
      <formula>"ERROR"</formula>
    </cfRule>
  </conditionalFormatting>
  <conditionalFormatting sqref="EE62">
    <cfRule type="cellIs" dxfId="7" priority="7" stopIfTrue="1" operator="equal">
      <formula>"OK"</formula>
    </cfRule>
    <cfRule type="cellIs" dxfId="6" priority="8" stopIfTrue="1" operator="equal">
      <formula>"ERROR"</formula>
    </cfRule>
  </conditionalFormatting>
  <conditionalFormatting sqref="EA62">
    <cfRule type="cellIs" dxfId="5" priority="5" stopIfTrue="1" operator="equal">
      <formula>"OK"</formula>
    </cfRule>
    <cfRule type="cellIs" dxfId="4" priority="6" stopIfTrue="1" operator="equal">
      <formula>"ERROR"</formula>
    </cfRule>
  </conditionalFormatting>
  <conditionalFormatting sqref="EB62">
    <cfRule type="cellIs" dxfId="3" priority="3" stopIfTrue="1" operator="equal">
      <formula>"OK"</formula>
    </cfRule>
    <cfRule type="cellIs" dxfId="2" priority="4" stopIfTrue="1" operator="equal">
      <formula>"ERROR"</formula>
    </cfRule>
  </conditionalFormatting>
  <conditionalFormatting sqref="EC62">
    <cfRule type="cellIs" dxfId="1" priority="1" stopIfTrue="1" operator="equal">
      <formula>"OK"</formula>
    </cfRule>
    <cfRule type="cellIs" dxfId="0" priority="2" stopIfTrue="1" operator="equal">
      <formula>"ERROR"</formula>
    </cfRule>
  </conditionalFormatting>
  <pageMargins left="0.7" right="0.7" top="0.75" bottom="0.75" header="0.3" footer="0.3"/>
  <pageSetup paperSize="119" orientation="landscape" horizontalDpi="1200" verticalDpi="1200" r:id="rId1"/>
  <headerFooter>
    <oddHeader>&amp;LAppendix E: Incremental Cost Calculation&amp;RDraft Clean Energy Implementation Plan</oddHeader>
    <oddFooter>&amp;LOCTOBER 15, 2021&amp;C&amp;P of &amp;N&amp;RPuget Sound Energy</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38"/>
  <sheetViews>
    <sheetView workbookViewId="0">
      <pane xSplit="1" topLeftCell="B1" activePane="topRight" state="frozen"/>
      <selection activeCell="B28" sqref="B28"/>
      <selection pane="topRight" activeCell="B28" sqref="B28"/>
    </sheetView>
  </sheetViews>
  <sheetFormatPr defaultRowHeight="12.75"/>
  <cols>
    <col min="1" max="1" width="60.28515625" style="140" customWidth="1"/>
    <col min="2" max="2" width="9.140625" style="140"/>
    <col min="3" max="3" width="5.7109375" style="140" customWidth="1"/>
    <col min="4" max="5" width="14.85546875" style="140" customWidth="1"/>
    <col min="6" max="7" width="16.28515625" style="140" bestFit="1" customWidth="1"/>
    <col min="8" max="8" width="17" style="140" bestFit="1" customWidth="1"/>
    <col min="9" max="12" width="16.28515625" style="140" bestFit="1" customWidth="1"/>
    <col min="13" max="13" width="15.28515625" style="140" bestFit="1" customWidth="1"/>
    <col min="14" max="14" width="5.7109375" style="140" customWidth="1"/>
    <col min="15" max="16384" width="9.140625" style="140"/>
  </cols>
  <sheetData>
    <row r="2" spans="1:15">
      <c r="D2" s="268">
        <v>2022</v>
      </c>
      <c r="E2" s="268">
        <v>2023</v>
      </c>
      <c r="F2" s="268">
        <v>2024</v>
      </c>
      <c r="G2" s="268">
        <v>2025</v>
      </c>
      <c r="H2" s="268">
        <f>G2+1</f>
        <v>2026</v>
      </c>
      <c r="I2" s="268">
        <f t="shared" ref="I2:L2" si="0">H2+1</f>
        <v>2027</v>
      </c>
      <c r="J2" s="268">
        <f t="shared" si="0"/>
        <v>2028</v>
      </c>
      <c r="K2" s="268">
        <f t="shared" si="0"/>
        <v>2029</v>
      </c>
      <c r="L2" s="268">
        <f t="shared" si="0"/>
        <v>2030</v>
      </c>
      <c r="M2" s="699" t="s">
        <v>15</v>
      </c>
      <c r="N2" s="268"/>
      <c r="O2" s="268" t="s">
        <v>4</v>
      </c>
    </row>
    <row r="3" spans="1:15">
      <c r="A3" s="268" t="s">
        <v>569</v>
      </c>
      <c r="B3" s="140" t="s">
        <v>577</v>
      </c>
      <c r="D3" s="244">
        <f>'3. Incremental Resource Cost'!B7</f>
        <v>627469972.47290039</v>
      </c>
      <c r="E3" s="244">
        <f>'3. Incremental Resource Cost'!C7</f>
        <v>655304475.97129273</v>
      </c>
      <c r="F3" s="244">
        <f>'3. Incremental Resource Cost'!D7</f>
        <v>653623907.15278673</v>
      </c>
      <c r="G3" s="244">
        <f>'3. Incremental Resource Cost'!E7</f>
        <v>675597567.65571272</v>
      </c>
      <c r="H3" s="244">
        <f>'3. Incremental Resource Cost'!F7</f>
        <v>552033417.89173746</v>
      </c>
      <c r="I3" s="244">
        <f>'3. Incremental Resource Cost'!G7</f>
        <v>619072180.76909006</v>
      </c>
      <c r="J3" s="244">
        <f>'3. Incremental Resource Cost'!H7</f>
        <v>639390679.55364299</v>
      </c>
      <c r="K3" s="244">
        <f>'3. Incremental Resource Cost'!I7</f>
        <v>658152700.49948049</v>
      </c>
      <c r="L3" s="244">
        <f>'3. Incremental Resource Cost'!J7</f>
        <v>810389570.73882699</v>
      </c>
      <c r="M3" s="222">
        <f>SUM(D3:L3)</f>
        <v>5891034472.7054701</v>
      </c>
      <c r="O3" s="140" t="s">
        <v>575</v>
      </c>
    </row>
    <row r="4" spans="1:15">
      <c r="A4" s="283" t="s">
        <v>571</v>
      </c>
      <c r="B4" s="140" t="s">
        <v>577</v>
      </c>
      <c r="D4" s="244"/>
      <c r="E4" s="244">
        <f>E3-D3</f>
        <v>27834503.498392344</v>
      </c>
      <c r="F4" s="244">
        <f t="shared" ref="F4:L4" si="1">F3-E3</f>
        <v>-1680568.8185060024</v>
      </c>
      <c r="G4" s="244">
        <f t="shared" si="1"/>
        <v>21973660.502925992</v>
      </c>
      <c r="H4" s="244">
        <f t="shared" si="1"/>
        <v>-123564149.76397526</v>
      </c>
      <c r="I4" s="244">
        <f t="shared" si="1"/>
        <v>67038762.877352595</v>
      </c>
      <c r="J4" s="244">
        <f t="shared" si="1"/>
        <v>20318498.784552932</v>
      </c>
      <c r="K4" s="244">
        <f t="shared" si="1"/>
        <v>18762020.945837498</v>
      </c>
      <c r="L4" s="244">
        <f t="shared" si="1"/>
        <v>152236870.2393465</v>
      </c>
      <c r="M4" s="222">
        <f>SUM(D4:L4)</f>
        <v>182919598.2659266</v>
      </c>
    </row>
    <row r="6" spans="1:15">
      <c r="A6" s="268" t="s">
        <v>570</v>
      </c>
      <c r="B6" s="140" t="s">
        <v>577</v>
      </c>
      <c r="D6" s="222">
        <f>D3+'7. Incremental Cost'!E22</f>
        <v>665792952.38123894</v>
      </c>
      <c r="E6" s="222">
        <f>E3+'7. Incremental Cost'!F22</f>
        <v>726494273.64850712</v>
      </c>
      <c r="F6" s="222">
        <f>F3+'7. Incremental Cost'!G22</f>
        <v>824846981.40161633</v>
      </c>
      <c r="G6" s="222">
        <f>G3+'7. Incremental Cost'!H22</f>
        <v>840356341.76363111</v>
      </c>
      <c r="H6" s="222">
        <f>H3+'7. Incremental Cost'!I22</f>
        <v>755698266.33121681</v>
      </c>
      <c r="I6" s="222">
        <f>I3+'7. Incremental Cost'!J22</f>
        <v>1011096877.6108696</v>
      </c>
      <c r="J6" s="222">
        <f>J3+'7. Incremental Cost'!K22</f>
        <v>1103672683.9122617</v>
      </c>
      <c r="K6" s="222">
        <f>K3+'7. Incremental Cost'!L22</f>
        <v>1186217398.9089384</v>
      </c>
      <c r="L6" s="222">
        <f>L3+'7. Incremental Cost'!M22</f>
        <v>1349825183.9340117</v>
      </c>
      <c r="M6" s="222">
        <f>SUM(D6:L6)</f>
        <v>8464000959.8922911</v>
      </c>
      <c r="O6" s="140" t="s">
        <v>576</v>
      </c>
    </row>
    <row r="7" spans="1:15">
      <c r="A7" s="283" t="s">
        <v>571</v>
      </c>
      <c r="B7" s="140" t="s">
        <v>577</v>
      </c>
      <c r="E7" s="222">
        <f>E6-D6</f>
        <v>60701321.267268181</v>
      </c>
      <c r="F7" s="222">
        <f t="shared" ref="F7:L7" si="2">F6-E6</f>
        <v>98352707.753109217</v>
      </c>
      <c r="G7" s="222">
        <f t="shared" si="2"/>
        <v>15509360.362014771</v>
      </c>
      <c r="H7" s="222">
        <f t="shared" si="2"/>
        <v>-84658075.432414293</v>
      </c>
      <c r="I7" s="222">
        <f t="shared" si="2"/>
        <v>255398611.27965283</v>
      </c>
      <c r="J7" s="222">
        <f t="shared" si="2"/>
        <v>92575806.301392078</v>
      </c>
      <c r="K7" s="222">
        <f t="shared" si="2"/>
        <v>82544714.996676683</v>
      </c>
      <c r="L7" s="222">
        <f t="shared" si="2"/>
        <v>163607785.02507329</v>
      </c>
      <c r="M7" s="222">
        <f>SUM(D7:L7)</f>
        <v>684032231.55277276</v>
      </c>
    </row>
    <row r="8" spans="1:15">
      <c r="A8" s="283"/>
      <c r="E8" s="222"/>
      <c r="F8" s="222"/>
      <c r="G8" s="222"/>
      <c r="H8" s="222"/>
      <c r="I8" s="222"/>
      <c r="J8" s="222"/>
      <c r="K8" s="222"/>
      <c r="L8" s="222"/>
      <c r="M8" s="222"/>
    </row>
    <row r="9" spans="1:15">
      <c r="A9" s="717" t="s">
        <v>589</v>
      </c>
      <c r="D9" s="222">
        <f>D6-D3</f>
        <v>38322979.908338547</v>
      </c>
      <c r="E9" s="222">
        <f t="shared" ref="E9:L9" si="3">E6-E3</f>
        <v>71189797.677214384</v>
      </c>
      <c r="F9" s="222">
        <f t="shared" si="3"/>
        <v>171223074.2488296</v>
      </c>
      <c r="G9" s="222">
        <f t="shared" si="3"/>
        <v>164758774.10791838</v>
      </c>
      <c r="H9" s="222">
        <f t="shared" si="3"/>
        <v>203664848.43947935</v>
      </c>
      <c r="I9" s="222">
        <f t="shared" si="3"/>
        <v>392024696.84177959</v>
      </c>
      <c r="J9" s="222">
        <f t="shared" si="3"/>
        <v>464282004.35861874</v>
      </c>
      <c r="K9" s="222">
        <f t="shared" si="3"/>
        <v>528064698.40945792</v>
      </c>
      <c r="L9" s="222">
        <f t="shared" si="3"/>
        <v>539435613.19518471</v>
      </c>
      <c r="M9" s="222"/>
    </row>
    <row r="10" spans="1:15">
      <c r="D10" s="694"/>
    </row>
    <row r="11" spans="1:15">
      <c r="A11" s="268" t="s">
        <v>572</v>
      </c>
      <c r="B11" s="140" t="s">
        <v>573</v>
      </c>
      <c r="D11" s="237">
        <v>19668370</v>
      </c>
      <c r="E11" s="237">
        <v>19509096</v>
      </c>
      <c r="F11" s="237">
        <v>19423911</v>
      </c>
      <c r="G11" s="237">
        <v>19201550</v>
      </c>
      <c r="H11" s="237">
        <v>18991609</v>
      </c>
      <c r="I11" s="237">
        <v>18794669</v>
      </c>
      <c r="J11" s="237">
        <v>18650108</v>
      </c>
      <c r="K11" s="237">
        <v>18373416</v>
      </c>
      <c r="L11" s="237">
        <v>18309691</v>
      </c>
      <c r="O11" s="140" t="s">
        <v>574</v>
      </c>
    </row>
    <row r="13" spans="1:15">
      <c r="A13" s="283" t="s">
        <v>587</v>
      </c>
      <c r="B13" s="140" t="s">
        <v>578</v>
      </c>
      <c r="E13" s="695">
        <f>E4/(E11*1000)</f>
        <v>1.426744914187328E-3</v>
      </c>
      <c r="F13" s="695">
        <f t="shared" ref="F13:L13" si="4">F4/(F11*1000)</f>
        <v>-8.6520619792069804E-5</v>
      </c>
      <c r="G13" s="695">
        <f t="shared" si="4"/>
        <v>1.1443691005635478E-3</v>
      </c>
      <c r="H13" s="695">
        <f t="shared" si="4"/>
        <v>-6.5062496686813243E-3</v>
      </c>
      <c r="I13" s="695">
        <f t="shared" si="4"/>
        <v>3.5669030871122334E-3</v>
      </c>
      <c r="J13" s="695">
        <f t="shared" si="4"/>
        <v>1.0894574328766853E-3</v>
      </c>
      <c r="K13" s="695">
        <f t="shared" si="4"/>
        <v>1.0211503917310475E-3</v>
      </c>
      <c r="L13" s="695">
        <f t="shared" si="4"/>
        <v>8.3145515803268611E-3</v>
      </c>
      <c r="M13" s="696">
        <f t="shared" ref="M13:M14" si="5">SUM(D13:L13)</f>
        <v>9.9704062183243094E-3</v>
      </c>
    </row>
    <row r="14" spans="1:15">
      <c r="A14" s="283" t="s">
        <v>588</v>
      </c>
      <c r="B14" s="140" t="s">
        <v>578</v>
      </c>
      <c r="E14" s="697">
        <f>E7/(E11*1000)</f>
        <v>3.1114369044710315E-3</v>
      </c>
      <c r="F14" s="697">
        <f t="shared" ref="F14:L14" si="6">F7/(F11*1000)</f>
        <v>5.0634863263690419E-3</v>
      </c>
      <c r="G14" s="697">
        <f t="shared" si="6"/>
        <v>8.0771397944513702E-4</v>
      </c>
      <c r="H14" s="697">
        <f t="shared" si="6"/>
        <v>-4.4576568226743869E-3</v>
      </c>
      <c r="I14" s="697">
        <f t="shared" si="6"/>
        <v>1.358888583138404E-2</v>
      </c>
      <c r="J14" s="697">
        <f t="shared" si="6"/>
        <v>4.9638214589101618E-3</v>
      </c>
      <c r="K14" s="697">
        <f t="shared" si="6"/>
        <v>4.4926166694683606E-3</v>
      </c>
      <c r="L14" s="697">
        <f t="shared" si="6"/>
        <v>8.9355841682458373E-3</v>
      </c>
      <c r="M14" s="696">
        <f t="shared" si="5"/>
        <v>3.6505888515619221E-2</v>
      </c>
    </row>
    <row r="15" spans="1:15">
      <c r="A15" s="283" t="s">
        <v>200</v>
      </c>
      <c r="E15" s="698">
        <f>E14-E13</f>
        <v>1.6846919902837034E-3</v>
      </c>
      <c r="F15" s="698">
        <f t="shared" ref="F15:L15" si="7">F14-F13</f>
        <v>5.1500069461611116E-3</v>
      </c>
      <c r="G15" s="698">
        <f t="shared" si="7"/>
        <v>-3.3665512111841081E-4</v>
      </c>
      <c r="H15" s="698">
        <f t="shared" si="7"/>
        <v>2.0485928460069374E-3</v>
      </c>
      <c r="I15" s="698">
        <f t="shared" si="7"/>
        <v>1.0021982744271806E-2</v>
      </c>
      <c r="J15" s="698">
        <f t="shared" si="7"/>
        <v>3.8743640260334765E-3</v>
      </c>
      <c r="K15" s="698">
        <f t="shared" si="7"/>
        <v>3.4714662777373131E-3</v>
      </c>
      <c r="L15" s="698">
        <f t="shared" si="7"/>
        <v>6.2103258791897618E-4</v>
      </c>
      <c r="M15" s="696">
        <f>SUM(D15:L15)</f>
        <v>2.653548229729491E-2</v>
      </c>
    </row>
    <row r="16" spans="1:15">
      <c r="M16" s="696"/>
    </row>
    <row r="17" spans="1:15">
      <c r="A17" s="717" t="s">
        <v>579</v>
      </c>
      <c r="B17" s="140" t="s">
        <v>573</v>
      </c>
      <c r="D17" s="257">
        <v>9.9948521430923449</v>
      </c>
      <c r="E17" s="257">
        <v>9.7865706723537595</v>
      </c>
      <c r="F17" s="257">
        <v>9.6858142144377197</v>
      </c>
      <c r="G17" s="257">
        <v>9.5468980615135539</v>
      </c>
      <c r="H17" s="257">
        <v>9.4042214489460161</v>
      </c>
      <c r="I17" s="257">
        <v>9.2609137744625087</v>
      </c>
      <c r="J17" s="257">
        <v>9.1360451608124666</v>
      </c>
      <c r="K17" s="257">
        <v>8.9670068085014467</v>
      </c>
      <c r="L17" s="257">
        <v>8.8713057528782944</v>
      </c>
      <c r="M17" s="696">
        <f t="shared" ref="M17:M20" si="8">SUM(D17:L17)</f>
        <v>84.653628036998128</v>
      </c>
      <c r="O17" s="140" t="s">
        <v>583</v>
      </c>
    </row>
    <row r="18" spans="1:15">
      <c r="A18" s="283" t="s">
        <v>580</v>
      </c>
      <c r="B18" s="140" t="s">
        <v>577</v>
      </c>
      <c r="E18" s="242">
        <f>E$13*1000*E17</f>
        <v>13.962939934115587</v>
      </c>
      <c r="F18" s="242">
        <f t="shared" ref="F18:L18" si="9">F$13*1000*F17</f>
        <v>-0.83802264902399126</v>
      </c>
      <c r="G18" s="242">
        <f t="shared" si="9"/>
        <v>10.925175147826145</v>
      </c>
      <c r="H18" s="242">
        <f t="shared" si="9"/>
        <v>-61.186212686410819</v>
      </c>
      <c r="I18" s="242">
        <f t="shared" si="9"/>
        <v>33.032781931610529</v>
      </c>
      <c r="J18" s="242">
        <f t="shared" si="9"/>
        <v>9.9533323075442137</v>
      </c>
      <c r="K18" s="242">
        <f t="shared" si="9"/>
        <v>9.1566625151562224</v>
      </c>
      <c r="L18" s="242">
        <f t="shared" si="9"/>
        <v>73.76092926715701</v>
      </c>
      <c r="M18" s="696">
        <f t="shared" si="8"/>
        <v>88.767585767974907</v>
      </c>
    </row>
    <row r="19" spans="1:15">
      <c r="A19" s="283" t="s">
        <v>581</v>
      </c>
      <c r="B19" s="140" t="s">
        <v>577</v>
      </c>
      <c r="E19" s="242">
        <f>E$14*1000*E17</f>
        <v>30.45029715817536</v>
      </c>
      <c r="F19" s="242">
        <f t="shared" ref="F19:L19" si="10">F$14*1000*F17</f>
        <v>49.043987834556297</v>
      </c>
      <c r="G19" s="242">
        <f t="shared" si="10"/>
        <v>7.7111630246221772</v>
      </c>
      <c r="H19" s="242">
        <f t="shared" si="10"/>
        <v>-41.92079190383501</v>
      </c>
      <c r="I19" s="242">
        <f t="shared" si="10"/>
        <v>125.84549997546287</v>
      </c>
      <c r="J19" s="242">
        <f t="shared" si="10"/>
        <v>45.349697018813259</v>
      </c>
      <c r="K19" s="242">
        <f t="shared" si="10"/>
        <v>40.285324263109885</v>
      </c>
      <c r="L19" s="242">
        <f t="shared" si="10"/>
        <v>79.270299237087499</v>
      </c>
      <c r="M19" s="696">
        <f t="shared" si="8"/>
        <v>336.03547660799234</v>
      </c>
    </row>
    <row r="20" spans="1:15">
      <c r="A20" s="283" t="s">
        <v>200</v>
      </c>
      <c r="B20" s="140" t="s">
        <v>577</v>
      </c>
      <c r="E20" s="242">
        <f>E19-E18</f>
        <v>16.487357224059771</v>
      </c>
      <c r="F20" s="242">
        <f t="shared" ref="F20:L20" si="11">F19-F18</f>
        <v>49.882010483580288</v>
      </c>
      <c r="G20" s="242">
        <f t="shared" si="11"/>
        <v>-3.2140121232039682</v>
      </c>
      <c r="H20" s="242">
        <f t="shared" si="11"/>
        <v>19.265420782575809</v>
      </c>
      <c r="I20" s="242">
        <f t="shared" si="11"/>
        <v>92.812718043852342</v>
      </c>
      <c r="J20" s="242">
        <f t="shared" si="11"/>
        <v>35.396364711269044</v>
      </c>
      <c r="K20" s="242">
        <f t="shared" si="11"/>
        <v>31.128661747953664</v>
      </c>
      <c r="L20" s="242">
        <f t="shared" si="11"/>
        <v>5.5093699699304892</v>
      </c>
      <c r="M20" s="696">
        <f t="shared" si="8"/>
        <v>247.2678908400174</v>
      </c>
    </row>
    <row r="21" spans="1:15">
      <c r="A21" s="283"/>
      <c r="E21" s="242"/>
      <c r="F21" s="242"/>
      <c r="G21" s="242"/>
      <c r="H21" s="242"/>
      <c r="I21" s="242"/>
      <c r="J21" s="242"/>
      <c r="K21" s="242"/>
      <c r="L21" s="242"/>
    </row>
    <row r="22" spans="1:15">
      <c r="A22" s="283" t="s">
        <v>584</v>
      </c>
      <c r="B22" s="140" t="s">
        <v>577</v>
      </c>
      <c r="E22" s="242">
        <f>SUM($D18:E18)</f>
        <v>13.962939934115587</v>
      </c>
      <c r="F22" s="242">
        <f>SUM($D18:F18)</f>
        <v>13.124917285091596</v>
      </c>
      <c r="G22" s="242">
        <f>SUM($D18:G18)</f>
        <v>24.050092432917744</v>
      </c>
      <c r="H22" s="242">
        <f>SUM($D18:H18)</f>
        <v>-37.136120253493075</v>
      </c>
      <c r="I22" s="242">
        <f>SUM($D18:I18)</f>
        <v>-4.1033383218825463</v>
      </c>
      <c r="J22" s="242">
        <f>SUM($D18:J18)</f>
        <v>5.8499939856616674</v>
      </c>
      <c r="K22" s="242">
        <f>SUM($D18:K18)</f>
        <v>15.00665650081789</v>
      </c>
      <c r="L22" s="242">
        <f>SUM($D18:L18)</f>
        <v>88.767585767974907</v>
      </c>
    </row>
    <row r="23" spans="1:15">
      <c r="A23" s="283" t="s">
        <v>582</v>
      </c>
      <c r="B23" s="140" t="s">
        <v>577</v>
      </c>
      <c r="D23" s="356"/>
      <c r="E23" s="356">
        <f>SUM($D20:E20)</f>
        <v>16.487357224059771</v>
      </c>
      <c r="F23" s="356">
        <f>SUM($D20:F20)</f>
        <v>66.369367707640066</v>
      </c>
      <c r="G23" s="356">
        <f>SUM($D20:G20)</f>
        <v>63.155355584436094</v>
      </c>
      <c r="H23" s="356">
        <f>SUM($D20:H20)</f>
        <v>82.420776367011911</v>
      </c>
      <c r="I23" s="356">
        <f>SUM($D20:I20)</f>
        <v>175.23349441086424</v>
      </c>
      <c r="J23" s="356">
        <f>SUM($D20:J20)</f>
        <v>210.62985912213327</v>
      </c>
      <c r="K23" s="356">
        <f>SUM($D20:K20)</f>
        <v>241.75852087008693</v>
      </c>
      <c r="L23" s="356">
        <f>SUM($D20:L20)</f>
        <v>247.2678908400174</v>
      </c>
    </row>
    <row r="24" spans="1:15">
      <c r="A24" s="283" t="s">
        <v>590</v>
      </c>
      <c r="B24" s="140" t="s">
        <v>577</v>
      </c>
      <c r="D24" s="356"/>
      <c r="E24" s="356">
        <f>E23/12</f>
        <v>1.3739464353383142</v>
      </c>
      <c r="F24" s="356">
        <f>F23/12</f>
        <v>5.5307806423033385</v>
      </c>
      <c r="G24" s="356">
        <f>G23/12</f>
        <v>5.2629462987030076</v>
      </c>
      <c r="H24" s="356"/>
      <c r="I24" s="356"/>
      <c r="J24" s="356"/>
      <c r="K24" s="356"/>
      <c r="L24" s="356"/>
    </row>
    <row r="25" spans="1:15">
      <c r="A25" s="283"/>
      <c r="D25" s="152"/>
      <c r="E25" s="152"/>
      <c r="F25" s="152"/>
      <c r="G25" s="152"/>
      <c r="H25" s="152"/>
      <c r="I25" s="152"/>
      <c r="J25" s="152"/>
      <c r="K25" s="152"/>
      <c r="L25" s="152"/>
    </row>
    <row r="26" spans="1:15">
      <c r="A26" s="283"/>
      <c r="D26" s="152"/>
      <c r="E26" s="152"/>
      <c r="F26" s="152"/>
      <c r="G26" s="152"/>
      <c r="H26" s="152"/>
      <c r="I26" s="152"/>
      <c r="J26" s="152"/>
      <c r="K26" s="152"/>
      <c r="L26" s="152"/>
    </row>
    <row r="27" spans="1:15">
      <c r="A27" s="717" t="s">
        <v>591</v>
      </c>
      <c r="B27" s="140" t="s">
        <v>573</v>
      </c>
      <c r="D27" s="257">
        <v>60.379897594180221</v>
      </c>
      <c r="E27" s="257">
        <v>59.386352944901077</v>
      </c>
      <c r="F27" s="257">
        <v>58.169478358769773</v>
      </c>
      <c r="G27" s="257">
        <v>56.440636235296289</v>
      </c>
      <c r="H27" s="257">
        <v>54.874864513265969</v>
      </c>
      <c r="I27" s="257">
        <v>53.458296639752746</v>
      </c>
      <c r="J27" s="257">
        <v>52.286840695691318</v>
      </c>
      <c r="K27" s="257">
        <v>50.634493728168636</v>
      </c>
      <c r="L27" s="257">
        <v>49.793542304004603</v>
      </c>
      <c r="M27" s="696">
        <f t="shared" ref="M27:M30" si="12">SUM(D27:L27)</f>
        <v>495.42440301403064</v>
      </c>
      <c r="O27" s="140" t="s">
        <v>583</v>
      </c>
    </row>
    <row r="28" spans="1:15">
      <c r="A28" s="283" t="s">
        <v>580</v>
      </c>
      <c r="B28" s="140" t="s">
        <v>577</v>
      </c>
      <c r="E28" s="242">
        <f>E$13*1000*E27</f>
        <v>84.729177036271267</v>
      </c>
      <c r="F28" s="242">
        <f t="shared" ref="F28" si="13">F$13*1000*F27</f>
        <v>-5.0328593205821521</v>
      </c>
      <c r="G28" s="242">
        <f t="shared" ref="G28" si="14">G$13*1000*G27</f>
        <v>64.588920123820401</v>
      </c>
      <c r="H28" s="242">
        <f t="shared" ref="H28" si="15">H$13*1000*H27</f>
        <v>-357.02956905836925</v>
      </c>
      <c r="I28" s="242">
        <f t="shared" ref="I28" si="16">I$13*1000*I27</f>
        <v>190.6805633160956</v>
      </c>
      <c r="J28" s="242">
        <f t="shared" ref="J28" si="17">J$13*1000*J27</f>
        <v>56.964287237560058</v>
      </c>
      <c r="K28" s="242">
        <f t="shared" ref="K28" si="18">K$13*1000*K27</f>
        <v>51.705433105622674</v>
      </c>
      <c r="L28" s="242">
        <f t="shared" ref="L28" si="19">L$13*1000*L27</f>
        <v>414.01097585383394</v>
      </c>
      <c r="M28" s="696">
        <f t="shared" si="12"/>
        <v>500.61692829425255</v>
      </c>
    </row>
    <row r="29" spans="1:15">
      <c r="A29" s="283" t="s">
        <v>581</v>
      </c>
      <c r="B29" s="140" t="s">
        <v>577</v>
      </c>
      <c r="E29" s="242">
        <f>E$14*1000*E27</f>
        <v>184.77689017470712</v>
      </c>
      <c r="F29" s="242">
        <f t="shared" ref="F29:L29" si="20">F$14*1000*F27</f>
        <v>294.54035828165064</v>
      </c>
      <c r="G29" s="242">
        <f t="shared" si="20"/>
        <v>45.587890896026565</v>
      </c>
      <c r="H29" s="242">
        <f t="shared" si="20"/>
        <v>-244.61331419089262</v>
      </c>
      <c r="I29" s="242">
        <f t="shared" si="20"/>
        <v>726.4386897778611</v>
      </c>
      <c r="J29" s="242">
        <f t="shared" si="20"/>
        <v>259.54254186388971</v>
      </c>
      <c r="K29" s="242">
        <f t="shared" si="20"/>
        <v>227.48137057326159</v>
      </c>
      <c r="L29" s="242">
        <f t="shared" si="20"/>
        <v>444.93438829254291</v>
      </c>
      <c r="M29" s="696">
        <f t="shared" si="12"/>
        <v>1938.688815669047</v>
      </c>
    </row>
    <row r="30" spans="1:15">
      <c r="A30" s="283" t="s">
        <v>200</v>
      </c>
      <c r="B30" s="140" t="s">
        <v>577</v>
      </c>
      <c r="E30" s="242">
        <f>E29-E28</f>
        <v>100.04771313843585</v>
      </c>
      <c r="F30" s="242">
        <f t="shared" ref="F30" si="21">F29-F28</f>
        <v>299.57321760223277</v>
      </c>
      <c r="G30" s="242">
        <f t="shared" ref="G30" si="22">G29-G28</f>
        <v>-19.001029227793836</v>
      </c>
      <c r="H30" s="242">
        <f t="shared" ref="H30" si="23">H29-H28</f>
        <v>112.41625486747662</v>
      </c>
      <c r="I30" s="242">
        <f t="shared" ref="I30" si="24">I29-I28</f>
        <v>535.75812646176553</v>
      </c>
      <c r="J30" s="242">
        <f t="shared" ref="J30" si="25">J29-J28</f>
        <v>202.57825462632965</v>
      </c>
      <c r="K30" s="242">
        <f t="shared" ref="K30" si="26">K29-K28</f>
        <v>175.77593746763893</v>
      </c>
      <c r="L30" s="242">
        <f t="shared" ref="L30" si="27">L29-L28</f>
        <v>30.923412438708965</v>
      </c>
      <c r="M30" s="696">
        <f t="shared" si="12"/>
        <v>1438.0718873747944</v>
      </c>
    </row>
    <row r="31" spans="1:15">
      <c r="A31" s="283"/>
      <c r="E31" s="242"/>
      <c r="F31" s="242"/>
      <c r="G31" s="242"/>
      <c r="H31" s="242"/>
      <c r="I31" s="242"/>
      <c r="J31" s="242"/>
      <c r="K31" s="242"/>
      <c r="L31" s="242"/>
    </row>
    <row r="32" spans="1:15">
      <c r="A32" s="283" t="s">
        <v>584</v>
      </c>
      <c r="B32" s="140" t="s">
        <v>577</v>
      </c>
      <c r="E32" s="242">
        <f>SUM($D28:E28)</f>
        <v>84.729177036271267</v>
      </c>
      <c r="F32" s="242">
        <f>SUM($D28:F28)</f>
        <v>79.696317715689119</v>
      </c>
      <c r="G32" s="242">
        <f>SUM($D28:G28)</f>
        <v>144.28523783950953</v>
      </c>
      <c r="H32" s="242">
        <f>SUM($D28:H28)</f>
        <v>-212.74433121885971</v>
      </c>
      <c r="I32" s="242">
        <f>SUM($D28:I28)</f>
        <v>-22.063767902764113</v>
      </c>
      <c r="J32" s="242">
        <f>SUM($D28:J28)</f>
        <v>34.900519334795945</v>
      </c>
      <c r="K32" s="242">
        <f>SUM($D28:K28)</f>
        <v>86.605952440418619</v>
      </c>
      <c r="L32" s="242">
        <f>SUM($D28:L28)</f>
        <v>500.61692829425255</v>
      </c>
    </row>
    <row r="33" spans="1:12">
      <c r="A33" s="283" t="s">
        <v>582</v>
      </c>
      <c r="B33" s="140" t="s">
        <v>577</v>
      </c>
      <c r="D33" s="356"/>
      <c r="E33" s="356">
        <f>SUM($D30:E30)</f>
        <v>100.04771313843585</v>
      </c>
      <c r="F33" s="356">
        <f>SUM($D30:F30)</f>
        <v>399.62093074066865</v>
      </c>
      <c r="G33" s="356">
        <f>SUM($D30:G30)</f>
        <v>380.61990151287483</v>
      </c>
      <c r="H33" s="356">
        <f>SUM($D30:H30)</f>
        <v>493.03615638035149</v>
      </c>
      <c r="I33" s="356">
        <f>SUM($D30:I30)</f>
        <v>1028.7942828421169</v>
      </c>
      <c r="J33" s="356">
        <f>SUM($D30:J30)</f>
        <v>1231.3725374684466</v>
      </c>
      <c r="K33" s="356">
        <f>SUM($D30:K30)</f>
        <v>1407.1484749360854</v>
      </c>
      <c r="L33" s="356">
        <f>SUM($D30:L30)</f>
        <v>1438.0718873747944</v>
      </c>
    </row>
    <row r="34" spans="1:12">
      <c r="A34" s="283" t="s">
        <v>590</v>
      </c>
      <c r="B34" s="140" t="s">
        <v>577</v>
      </c>
      <c r="D34" s="356"/>
      <c r="E34" s="356">
        <f>E33/12</f>
        <v>8.3373094282029871</v>
      </c>
      <c r="F34" s="356">
        <f>F33/12</f>
        <v>33.301744228389055</v>
      </c>
      <c r="G34" s="356">
        <f>G33/12</f>
        <v>31.718325126072902</v>
      </c>
      <c r="H34" s="356">
        <f t="shared" ref="H34:L34" si="28">H33/12</f>
        <v>41.086346365029293</v>
      </c>
      <c r="I34" s="356">
        <f t="shared" si="28"/>
        <v>85.732856903509742</v>
      </c>
      <c r="J34" s="356">
        <f t="shared" si="28"/>
        <v>102.61437812237055</v>
      </c>
      <c r="K34" s="356">
        <f t="shared" si="28"/>
        <v>117.26237291134045</v>
      </c>
      <c r="L34" s="356">
        <f t="shared" si="28"/>
        <v>119.83932394789953</v>
      </c>
    </row>
    <row r="35" spans="1:12">
      <c r="A35" s="283"/>
      <c r="D35" s="356"/>
      <c r="E35" s="356"/>
      <c r="F35" s="356"/>
      <c r="G35" s="356"/>
      <c r="H35" s="356"/>
      <c r="I35" s="356"/>
      <c r="J35" s="356"/>
      <c r="K35" s="356"/>
      <c r="L35" s="356"/>
    </row>
    <row r="36" spans="1:12">
      <c r="A36" s="283"/>
      <c r="D36" s="356"/>
      <c r="E36" s="356"/>
      <c r="F36" s="356"/>
      <c r="G36" s="356"/>
      <c r="H36" s="356"/>
      <c r="I36" s="356"/>
      <c r="J36" s="356"/>
      <c r="K36" s="356"/>
      <c r="L36" s="356"/>
    </row>
    <row r="37" spans="1:12">
      <c r="A37" s="140" t="s">
        <v>585</v>
      </c>
    </row>
    <row r="38" spans="1:12">
      <c r="A38" s="140" t="s">
        <v>586</v>
      </c>
    </row>
  </sheetData>
  <pageMargins left="0.7" right="0.7" top="0.75" bottom="0.75" header="0.3" footer="0.3"/>
  <pageSetup paperSize="119" orientation="landscape" horizontalDpi="1200" verticalDpi="1200" r:id="rId1"/>
  <headerFooter>
    <oddHeader>&amp;LAppendix E: Incremental Cost Calculation&amp;RDraft Clean Energy Implementation Plan</oddHeader>
    <oddFooter>&amp;LOCTOBER 15, 2021&amp;C&amp;P of &amp;N&amp;RPuget Sound Energy</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
  <sheetViews>
    <sheetView workbookViewId="0">
      <selection activeCell="B28" sqref="B28"/>
    </sheetView>
  </sheetViews>
  <sheetFormatPr defaultRowHeight="15"/>
  <sheetData/>
  <pageMargins left="0.7" right="0.7" top="0.75" bottom="0.75" header="0.3" footer="0.3"/>
  <pageSetup orientation="portrait" horizontalDpi="90" verticalDpi="90" r:id="rId1"/>
  <headerFooter>
    <oddHeader>&amp;LAppendix E: Incremental Cost Calculation&amp;RDraft Clean Energy Implementation Plan</oddHeader>
    <oddFooter>&amp;LOCTOBER 15, 2021&amp;C&amp;P of &amp;N&amp;RPuget Sound Energy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55"/>
  <sheetViews>
    <sheetView view="pageLayout" zoomScaleNormal="100" workbookViewId="0">
      <selection activeCell="B58" sqref="B58"/>
    </sheetView>
  </sheetViews>
  <sheetFormatPr defaultColWidth="13" defaultRowHeight="12.75" outlineLevelRow="2"/>
  <cols>
    <col min="1" max="1" width="34.7109375" style="140" customWidth="1"/>
    <col min="2" max="4" width="13" style="140"/>
    <col min="5" max="5" width="18.5703125" style="140" customWidth="1"/>
    <col min="6" max="6" width="9.28515625" style="144" customWidth="1"/>
    <col min="7" max="16" width="13" style="140"/>
    <col min="17" max="17" width="5.7109375" style="140" customWidth="1"/>
    <col min="18" max="27" width="13" style="140"/>
    <col min="28" max="28" width="5.7109375" style="140" customWidth="1"/>
    <col min="29" max="38" width="13" style="140"/>
    <col min="39" max="39" width="5.7109375" style="140" customWidth="1"/>
    <col min="40" max="49" width="13" style="140"/>
    <col min="50" max="50" width="5.7109375" style="140" customWidth="1"/>
    <col min="51" max="72" width="13" style="140"/>
    <col min="73" max="73" width="11.5703125" style="140" customWidth="1"/>
    <col min="74" max="74" width="10.85546875" style="140" customWidth="1"/>
    <col min="75" max="16384" width="13" style="140"/>
  </cols>
  <sheetData>
    <row r="1" spans="1:74" ht="14.45" customHeight="1">
      <c r="G1" s="757" t="s">
        <v>726</v>
      </c>
      <c r="H1" s="758"/>
      <c r="I1" s="758"/>
      <c r="J1" s="758"/>
      <c r="K1" s="758"/>
      <c r="L1" s="758"/>
      <c r="M1" s="758"/>
      <c r="N1" s="758"/>
      <c r="O1" s="758"/>
      <c r="P1" s="759"/>
      <c r="Q1" s="145"/>
      <c r="R1" s="757" t="s">
        <v>725</v>
      </c>
      <c r="S1" s="758"/>
      <c r="T1" s="758"/>
      <c r="U1" s="758"/>
      <c r="V1" s="758"/>
      <c r="W1" s="758"/>
      <c r="X1" s="758"/>
      <c r="Y1" s="758"/>
      <c r="Z1" s="758"/>
      <c r="AA1" s="759"/>
      <c r="AC1" s="754" t="s">
        <v>593</v>
      </c>
      <c r="AD1" s="755"/>
      <c r="AE1" s="755"/>
      <c r="AF1" s="755"/>
      <c r="AG1" s="755"/>
      <c r="AH1" s="755"/>
      <c r="AI1" s="755"/>
      <c r="AJ1" s="755"/>
      <c r="AK1" s="755"/>
      <c r="AL1" s="756"/>
      <c r="AM1" s="146"/>
      <c r="AN1" s="754" t="s">
        <v>594</v>
      </c>
      <c r="AO1" s="755"/>
      <c r="AP1" s="755"/>
      <c r="AQ1" s="755"/>
      <c r="AR1" s="755"/>
      <c r="AS1" s="755"/>
      <c r="AT1" s="755"/>
      <c r="AU1" s="755"/>
      <c r="AV1" s="755"/>
      <c r="AW1" s="756"/>
      <c r="AX1" s="146"/>
      <c r="AY1" s="754" t="s">
        <v>595</v>
      </c>
      <c r="AZ1" s="755"/>
      <c r="BA1" s="755"/>
      <c r="BB1" s="755"/>
      <c r="BC1" s="755"/>
      <c r="BD1" s="755"/>
      <c r="BE1" s="755"/>
      <c r="BF1" s="755"/>
      <c r="BG1" s="755"/>
      <c r="BH1" s="756"/>
      <c r="BJ1" s="754" t="s">
        <v>217</v>
      </c>
      <c r="BK1" s="755"/>
      <c r="BL1" s="755"/>
      <c r="BM1" s="755"/>
      <c r="BN1" s="755"/>
      <c r="BO1" s="755"/>
      <c r="BP1" s="755"/>
      <c r="BQ1" s="755"/>
      <c r="BR1" s="755"/>
      <c r="BS1" s="755"/>
      <c r="BT1" s="755"/>
      <c r="BU1" s="755"/>
      <c r="BV1" s="756"/>
    </row>
    <row r="2" spans="1:74" ht="38.25">
      <c r="A2" s="205" t="s">
        <v>789</v>
      </c>
      <c r="G2" s="140">
        <v>2022</v>
      </c>
      <c r="H2" s="140">
        <v>2023</v>
      </c>
      <c r="I2" s="140">
        <v>2024</v>
      </c>
      <c r="J2" s="140">
        <v>2025</v>
      </c>
      <c r="K2" s="140">
        <v>2026</v>
      </c>
      <c r="L2" s="140">
        <v>2027</v>
      </c>
      <c r="M2" s="140">
        <v>2028</v>
      </c>
      <c r="N2" s="140">
        <v>2029</v>
      </c>
      <c r="O2" s="140">
        <v>2030</v>
      </c>
      <c r="P2" s="140">
        <v>2031</v>
      </c>
      <c r="R2" s="140">
        <v>2022</v>
      </c>
      <c r="S2" s="140">
        <v>2023</v>
      </c>
      <c r="T2" s="140">
        <v>2024</v>
      </c>
      <c r="U2" s="140">
        <v>2025</v>
      </c>
      <c r="V2" s="140">
        <v>2026</v>
      </c>
      <c r="W2" s="140">
        <v>2027</v>
      </c>
      <c r="X2" s="140">
        <v>2028</v>
      </c>
      <c r="Y2" s="140">
        <v>2029</v>
      </c>
      <c r="Z2" s="140">
        <v>2030</v>
      </c>
      <c r="AA2" s="140">
        <v>2031</v>
      </c>
      <c r="AC2" s="140">
        <v>2022</v>
      </c>
      <c r="AD2" s="140">
        <v>2023</v>
      </c>
      <c r="AE2" s="140">
        <v>2024</v>
      </c>
      <c r="AF2" s="140">
        <v>2025</v>
      </c>
      <c r="AG2" s="140">
        <v>2026</v>
      </c>
      <c r="AH2" s="140">
        <v>2027</v>
      </c>
      <c r="AI2" s="140">
        <v>2028</v>
      </c>
      <c r="AJ2" s="140">
        <v>2029</v>
      </c>
      <c r="AK2" s="140">
        <v>2030</v>
      </c>
      <c r="AL2" s="140">
        <v>2031</v>
      </c>
      <c r="AN2" s="140">
        <v>2022</v>
      </c>
      <c r="AO2" s="140">
        <v>2023</v>
      </c>
      <c r="AP2" s="140">
        <v>2024</v>
      </c>
      <c r="AQ2" s="140">
        <v>2025</v>
      </c>
      <c r="AR2" s="140">
        <v>2026</v>
      </c>
      <c r="AS2" s="140">
        <v>2027</v>
      </c>
      <c r="AT2" s="140">
        <v>2028</v>
      </c>
      <c r="AU2" s="140">
        <v>2029</v>
      </c>
      <c r="AV2" s="140">
        <v>2030</v>
      </c>
      <c r="AW2" s="140">
        <v>2031</v>
      </c>
      <c r="AY2" s="140">
        <v>2022</v>
      </c>
      <c r="AZ2" s="140">
        <v>2023</v>
      </c>
      <c r="BA2" s="140">
        <v>2024</v>
      </c>
      <c r="BB2" s="140">
        <v>2025</v>
      </c>
      <c r="BC2" s="140">
        <v>2026</v>
      </c>
      <c r="BD2" s="140">
        <v>2027</v>
      </c>
      <c r="BE2" s="140">
        <v>2028</v>
      </c>
      <c r="BF2" s="140">
        <v>2029</v>
      </c>
      <c r="BG2" s="140">
        <v>2030</v>
      </c>
      <c r="BH2" s="140">
        <v>2031</v>
      </c>
      <c r="BK2" s="140">
        <v>2022</v>
      </c>
      <c r="BL2" s="140">
        <v>2023</v>
      </c>
      <c r="BM2" s="140">
        <v>2024</v>
      </c>
      <c r="BN2" s="140">
        <v>2025</v>
      </c>
      <c r="BO2" s="140">
        <v>2026</v>
      </c>
      <c r="BP2" s="140">
        <v>2027</v>
      </c>
      <c r="BQ2" s="140">
        <v>2028</v>
      </c>
      <c r="BR2" s="140">
        <v>2029</v>
      </c>
      <c r="BS2" s="140">
        <v>2030</v>
      </c>
      <c r="BT2" s="140">
        <v>2031</v>
      </c>
      <c r="BU2" s="206" t="s">
        <v>15</v>
      </c>
      <c r="BV2" s="208" t="s">
        <v>716</v>
      </c>
    </row>
    <row r="3" spans="1:74">
      <c r="D3" s="206" t="s">
        <v>596</v>
      </c>
      <c r="E3" s="206" t="s">
        <v>597</v>
      </c>
      <c r="F3" s="207" t="s">
        <v>598</v>
      </c>
      <c r="G3" s="147">
        <f>$BV$8/2*(1+0.05)</f>
        <v>165511.94460937503</v>
      </c>
      <c r="H3" s="147">
        <f>$BV$8/2*(1+0.05)</f>
        <v>165511.94460937503</v>
      </c>
      <c r="I3" s="147">
        <f>$BV$8/2*(1+0.05)</f>
        <v>165511.94460937503</v>
      </c>
      <c r="J3" s="147">
        <f>$BV$8/2*(1+0.05)</f>
        <v>165511.94460937503</v>
      </c>
      <c r="K3" s="147">
        <f t="shared" ref="K3:P3" si="0">BO8*(1+0.05)</f>
        <v>169680.04511718752</v>
      </c>
      <c r="L3" s="147">
        <f t="shared" si="0"/>
        <v>177051.03178710939</v>
      </c>
      <c r="M3" s="147">
        <f t="shared" si="0"/>
        <v>188166.60556640624</v>
      </c>
      <c r="N3" s="147">
        <f t="shared" si="0"/>
        <v>185009.6103515625</v>
      </c>
      <c r="O3" s="147">
        <f t="shared" si="0"/>
        <v>192927.68496093751</v>
      </c>
      <c r="P3" s="147">
        <f t="shared" si="0"/>
        <v>199995.99785156251</v>
      </c>
      <c r="Q3" s="148"/>
      <c r="R3" s="147">
        <f>$BV$7/2*(1+0.05)</f>
        <v>241998.57855468753</v>
      </c>
      <c r="S3" s="147">
        <f>$BV$7/2*(1+0.05)</f>
        <v>241998.57855468753</v>
      </c>
      <c r="T3" s="147">
        <f>$BV$7/2*(1+0.05)</f>
        <v>241998.57855468753</v>
      </c>
      <c r="U3" s="147">
        <f>$BV$7/2*(1+0.05)</f>
        <v>241998.57855468753</v>
      </c>
      <c r="V3" s="147">
        <f t="shared" ref="V3:AA3" si="1">BO7*(1+0.05)</f>
        <v>245847.57011718751</v>
      </c>
      <c r="W3" s="147">
        <f t="shared" si="1"/>
        <v>260544.34321289064</v>
      </c>
      <c r="X3" s="147">
        <f t="shared" si="1"/>
        <v>280587.79833984375</v>
      </c>
      <c r="Y3" s="147">
        <f t="shared" si="1"/>
        <v>279657.81621093751</v>
      </c>
      <c r="Z3" s="147">
        <f t="shared" si="1"/>
        <v>294064.71035156253</v>
      </c>
      <c r="AA3" s="147">
        <f t="shared" si="1"/>
        <v>309111.4072265625</v>
      </c>
      <c r="AC3" s="149"/>
      <c r="AD3" s="149"/>
      <c r="AE3" s="149"/>
      <c r="AF3" s="149"/>
      <c r="AG3" s="149"/>
      <c r="AH3" s="149"/>
      <c r="AI3" s="149"/>
      <c r="AJ3" s="149"/>
      <c r="AK3" s="149"/>
      <c r="AL3" s="149"/>
      <c r="AM3" s="149"/>
      <c r="AN3" s="149"/>
      <c r="AO3" s="149"/>
      <c r="AP3" s="149"/>
      <c r="AQ3" s="149"/>
      <c r="AR3" s="149"/>
      <c r="AS3" s="149"/>
      <c r="AT3" s="149"/>
      <c r="AU3" s="149"/>
      <c r="AV3" s="149"/>
      <c r="AW3" s="149"/>
      <c r="AX3" s="149"/>
      <c r="AY3" s="149"/>
      <c r="AZ3" s="149"/>
      <c r="BA3" s="149"/>
      <c r="BB3" s="149"/>
      <c r="BC3" s="149"/>
      <c r="BD3" s="149"/>
      <c r="BE3" s="149"/>
      <c r="BF3" s="149"/>
      <c r="BG3" s="149"/>
      <c r="BH3" s="149"/>
      <c r="BJ3" s="209" t="s">
        <v>217</v>
      </c>
    </row>
    <row r="4" spans="1:74">
      <c r="G4" s="148"/>
      <c r="H4" s="148"/>
      <c r="I4" s="148"/>
      <c r="J4" s="148"/>
      <c r="K4" s="148"/>
      <c r="L4" s="148"/>
      <c r="M4" s="148"/>
      <c r="N4" s="148"/>
      <c r="O4" s="148"/>
      <c r="P4" s="148"/>
      <c r="Q4" s="148"/>
      <c r="R4" s="148"/>
      <c r="S4" s="148"/>
      <c r="T4" s="148"/>
      <c r="U4" s="148"/>
      <c r="V4" s="148"/>
      <c r="W4" s="148"/>
      <c r="X4" s="148"/>
      <c r="Y4" s="148"/>
      <c r="Z4" s="148"/>
      <c r="AA4" s="148"/>
      <c r="AC4" s="149"/>
      <c r="AD4" s="149"/>
      <c r="AE4" s="149"/>
      <c r="AF4" s="149"/>
      <c r="AG4" s="149"/>
      <c r="AH4" s="149"/>
      <c r="AI4" s="149"/>
      <c r="AJ4" s="149"/>
      <c r="AK4" s="149"/>
      <c r="AL4" s="149"/>
      <c r="AM4" s="149"/>
      <c r="AN4" s="149"/>
      <c r="AO4" s="149"/>
      <c r="AP4" s="149"/>
      <c r="AQ4" s="149"/>
      <c r="AR4" s="149"/>
      <c r="AS4" s="149"/>
      <c r="AT4" s="149"/>
      <c r="AU4" s="149"/>
      <c r="AV4" s="149"/>
      <c r="AW4" s="149"/>
      <c r="AX4" s="149"/>
      <c r="AY4" s="149"/>
      <c r="AZ4" s="149"/>
      <c r="BA4" s="149"/>
      <c r="BB4" s="149"/>
      <c r="BC4" s="149"/>
      <c r="BD4" s="149"/>
      <c r="BE4" s="149"/>
      <c r="BF4" s="149"/>
      <c r="BG4" s="149"/>
      <c r="BH4" s="149"/>
      <c r="BJ4" s="140" t="s">
        <v>599</v>
      </c>
      <c r="BK4" s="151">
        <v>87240.804321289063</v>
      </c>
      <c r="BL4" s="151">
        <v>280809.8544921875</v>
      </c>
      <c r="BM4" s="151">
        <v>492824.349609375</v>
      </c>
      <c r="BN4" s="151">
        <v>714449.6572265625</v>
      </c>
      <c r="BO4" s="151">
        <v>948590.2001953125</v>
      </c>
      <c r="BP4" s="151">
        <v>1196727.669921875</v>
      </c>
      <c r="BQ4" s="151">
        <v>1463954.14453125</v>
      </c>
      <c r="BR4" s="151">
        <v>1730294.921875</v>
      </c>
      <c r="BS4" s="151">
        <v>2010356.55078125</v>
      </c>
      <c r="BT4" s="151">
        <v>2304748.3671875</v>
      </c>
      <c r="BV4" s="152">
        <f>BT4*0.2</f>
        <v>460949.67343750002</v>
      </c>
    </row>
    <row r="5" spans="1:74">
      <c r="G5" s="148"/>
      <c r="H5" s="148"/>
      <c r="I5" s="148"/>
      <c r="J5" s="148"/>
      <c r="K5" s="148"/>
      <c r="L5" s="148"/>
      <c r="M5" s="148"/>
      <c r="N5" s="148"/>
      <c r="O5" s="148"/>
      <c r="P5" s="148"/>
      <c r="Q5" s="148"/>
      <c r="R5" s="148"/>
      <c r="S5" s="148"/>
      <c r="T5" s="148"/>
      <c r="U5" s="148"/>
      <c r="V5" s="148"/>
      <c r="W5" s="148"/>
      <c r="X5" s="148"/>
      <c r="Y5" s="148"/>
      <c r="Z5" s="148"/>
      <c r="AA5" s="148"/>
      <c r="AC5" s="149"/>
      <c r="AD5" s="149"/>
      <c r="AE5" s="149"/>
      <c r="AF5" s="149"/>
      <c r="AG5" s="149"/>
      <c r="AH5" s="149"/>
      <c r="AI5" s="149"/>
      <c r="AJ5" s="149"/>
      <c r="AK5" s="149"/>
      <c r="AL5" s="149"/>
      <c r="AM5" s="149"/>
      <c r="AN5" s="149"/>
      <c r="AO5" s="149"/>
      <c r="AP5" s="149"/>
      <c r="AQ5" s="149"/>
      <c r="AR5" s="149"/>
      <c r="AS5" s="149"/>
      <c r="AT5" s="149"/>
      <c r="AU5" s="149"/>
      <c r="AV5" s="149"/>
      <c r="AW5" s="149"/>
      <c r="AX5" s="149"/>
      <c r="AY5" s="149"/>
      <c r="AZ5" s="149"/>
      <c r="BA5" s="149"/>
      <c r="BB5" s="149"/>
      <c r="BC5" s="149"/>
      <c r="BD5" s="149"/>
      <c r="BE5" s="149"/>
      <c r="BF5" s="149"/>
      <c r="BG5" s="149"/>
      <c r="BH5" s="149"/>
      <c r="BJ5" s="140" t="s">
        <v>205</v>
      </c>
      <c r="BK5" s="151">
        <v>66137.778930664063</v>
      </c>
      <c r="BL5" s="151">
        <v>209431.60595703125</v>
      </c>
      <c r="BM5" s="151">
        <v>361154.17578125</v>
      </c>
      <c r="BN5" s="151">
        <v>516465.2099609375</v>
      </c>
      <c r="BO5" s="151">
        <v>678065.2529296875</v>
      </c>
      <c r="BP5" s="151">
        <v>846685.283203125</v>
      </c>
      <c r="BQ5" s="151">
        <v>1025891.57421875</v>
      </c>
      <c r="BR5" s="151">
        <v>1202091.203125</v>
      </c>
      <c r="BS5" s="151">
        <v>1385831.85546875</v>
      </c>
      <c r="BT5" s="151">
        <v>1576304.234375</v>
      </c>
      <c r="BV5" s="152"/>
    </row>
    <row r="6" spans="1:74">
      <c r="G6" s="148"/>
      <c r="H6" s="148"/>
      <c r="I6" s="148"/>
      <c r="J6" s="148"/>
      <c r="K6" s="148"/>
      <c r="L6" s="148"/>
      <c r="M6" s="148"/>
      <c r="N6" s="148"/>
      <c r="O6" s="148"/>
      <c r="P6" s="148"/>
      <c r="Q6" s="148"/>
      <c r="R6" s="148"/>
      <c r="S6" s="148"/>
      <c r="T6" s="148"/>
      <c r="U6" s="148"/>
      <c r="V6" s="148"/>
      <c r="W6" s="148"/>
      <c r="X6" s="148"/>
      <c r="Y6" s="148"/>
      <c r="Z6" s="148"/>
      <c r="AA6" s="148"/>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J6" s="209" t="s">
        <v>752</v>
      </c>
    </row>
    <row r="7" spans="1:74">
      <c r="G7" s="148"/>
      <c r="H7" s="148"/>
      <c r="I7" s="148"/>
      <c r="J7" s="148"/>
      <c r="K7" s="148"/>
      <c r="L7" s="148"/>
      <c r="M7" s="148"/>
      <c r="N7" s="148"/>
      <c r="O7" s="148"/>
      <c r="P7" s="148"/>
      <c r="Q7" s="148"/>
      <c r="R7" s="148"/>
      <c r="S7" s="148"/>
      <c r="T7" s="148"/>
      <c r="U7" s="148"/>
      <c r="V7" s="148"/>
      <c r="W7" s="148"/>
      <c r="X7" s="148"/>
      <c r="Y7" s="148"/>
      <c r="Z7" s="148"/>
      <c r="AA7" s="148"/>
      <c r="AC7" s="149"/>
      <c r="AD7" s="149"/>
      <c r="AE7" s="149"/>
      <c r="AF7" s="149"/>
      <c r="AG7" s="149"/>
      <c r="AH7" s="149"/>
      <c r="AI7" s="149"/>
      <c r="AJ7" s="149"/>
      <c r="AK7" s="149"/>
      <c r="AL7" s="149"/>
      <c r="AM7" s="149"/>
      <c r="AN7" s="149"/>
      <c r="AO7" s="149"/>
      <c r="AP7" s="149"/>
      <c r="AQ7" s="149"/>
      <c r="AR7" s="149"/>
      <c r="AS7" s="149"/>
      <c r="AT7" s="149"/>
      <c r="AU7" s="149"/>
      <c r="AV7" s="149"/>
      <c r="AW7" s="149"/>
      <c r="AX7" s="149"/>
      <c r="AY7" s="149"/>
      <c r="AZ7" s="149"/>
      <c r="BA7" s="149"/>
      <c r="BB7" s="149"/>
      <c r="BC7" s="149"/>
      <c r="BD7" s="149"/>
      <c r="BE7" s="149"/>
      <c r="BF7" s="149"/>
      <c r="BG7" s="149"/>
      <c r="BH7" s="149"/>
      <c r="BJ7" s="140" t="s">
        <v>599</v>
      </c>
      <c r="BK7" s="152">
        <f>BK4</f>
        <v>87240.804321289063</v>
      </c>
      <c r="BL7" s="152">
        <f t="shared" ref="BL7:BT7" si="2">BL4-BK4</f>
        <v>193569.05017089844</v>
      </c>
      <c r="BM7" s="152">
        <f t="shared" si="2"/>
        <v>212014.4951171875</v>
      </c>
      <c r="BN7" s="152">
        <f t="shared" si="2"/>
        <v>221625.3076171875</v>
      </c>
      <c r="BO7" s="152">
        <f t="shared" si="2"/>
        <v>234140.54296875</v>
      </c>
      <c r="BP7" s="152">
        <f t="shared" si="2"/>
        <v>248137.4697265625</v>
      </c>
      <c r="BQ7" s="152">
        <f t="shared" si="2"/>
        <v>267226.474609375</v>
      </c>
      <c r="BR7" s="152">
        <f t="shared" si="2"/>
        <v>266340.77734375</v>
      </c>
      <c r="BS7" s="152">
        <f t="shared" si="2"/>
        <v>280061.62890625</v>
      </c>
      <c r="BT7" s="152">
        <f t="shared" si="2"/>
        <v>294391.81640625</v>
      </c>
      <c r="BU7" s="152">
        <f>SUM(BK6:BT7)</f>
        <v>2304748.3671875</v>
      </c>
      <c r="BV7" s="152">
        <f>BU7*0.2</f>
        <v>460949.67343750002</v>
      </c>
    </row>
    <row r="8" spans="1:74">
      <c r="G8" s="148"/>
      <c r="H8" s="148"/>
      <c r="I8" s="148"/>
      <c r="J8" s="148"/>
      <c r="K8" s="148"/>
      <c r="L8" s="148"/>
      <c r="M8" s="148"/>
      <c r="N8" s="148"/>
      <c r="O8" s="148"/>
      <c r="P8" s="148"/>
      <c r="Q8" s="148"/>
      <c r="R8" s="148"/>
      <c r="S8" s="148"/>
      <c r="T8" s="148"/>
      <c r="U8" s="148"/>
      <c r="V8" s="148"/>
      <c r="W8" s="148"/>
      <c r="X8" s="148"/>
      <c r="Y8" s="148"/>
      <c r="Z8" s="148"/>
      <c r="AA8" s="148"/>
      <c r="AC8" s="149"/>
      <c r="AD8" s="149"/>
      <c r="AE8" s="149"/>
      <c r="AF8" s="149"/>
      <c r="AG8" s="149"/>
      <c r="AH8" s="149"/>
      <c r="AI8" s="149"/>
      <c r="AJ8" s="149"/>
      <c r="AK8" s="149"/>
      <c r="AL8" s="149"/>
      <c r="AM8" s="149"/>
      <c r="AN8" s="149"/>
      <c r="AO8" s="149"/>
      <c r="AP8" s="149"/>
      <c r="AQ8" s="149"/>
      <c r="AR8" s="149"/>
      <c r="AS8" s="149"/>
      <c r="AT8" s="149"/>
      <c r="AU8" s="149"/>
      <c r="AV8" s="149"/>
      <c r="AW8" s="149"/>
      <c r="AX8" s="149"/>
      <c r="AY8" s="149"/>
      <c r="AZ8" s="149"/>
      <c r="BA8" s="149"/>
      <c r="BB8" s="149"/>
      <c r="BC8" s="149"/>
      <c r="BD8" s="149"/>
      <c r="BE8" s="149"/>
      <c r="BF8" s="149"/>
      <c r="BG8" s="149"/>
      <c r="BH8" s="149"/>
      <c r="BJ8" s="140" t="s">
        <v>205</v>
      </c>
      <c r="BK8" s="152">
        <f>BK5</f>
        <v>66137.778930664063</v>
      </c>
      <c r="BL8" s="152">
        <f t="shared" ref="BL8:BT8" si="3">BL5-BK5</f>
        <v>143293.82702636719</v>
      </c>
      <c r="BM8" s="152">
        <f t="shared" si="3"/>
        <v>151722.56982421875</v>
      </c>
      <c r="BN8" s="152">
        <f t="shared" si="3"/>
        <v>155311.0341796875</v>
      </c>
      <c r="BO8" s="152">
        <f t="shared" si="3"/>
        <v>161600.04296875</v>
      </c>
      <c r="BP8" s="152">
        <f t="shared" si="3"/>
        <v>168620.0302734375</v>
      </c>
      <c r="BQ8" s="152">
        <f t="shared" si="3"/>
        <v>179206.291015625</v>
      </c>
      <c r="BR8" s="152">
        <f t="shared" si="3"/>
        <v>176199.62890625</v>
      </c>
      <c r="BS8" s="152">
        <f t="shared" si="3"/>
        <v>183740.65234375</v>
      </c>
      <c r="BT8" s="152">
        <f t="shared" si="3"/>
        <v>190472.37890625</v>
      </c>
      <c r="BU8" s="152">
        <f>SUM(BK8:BT8)</f>
        <v>1576304.234375</v>
      </c>
      <c r="BV8" s="152">
        <f>BU8*0.2</f>
        <v>315260.84687500005</v>
      </c>
    </row>
    <row r="9" spans="1:74" ht="13.5" thickBot="1">
      <c r="G9" s="148"/>
      <c r="H9" s="148"/>
      <c r="I9" s="148"/>
      <c r="J9" s="148"/>
      <c r="K9" s="148"/>
      <c r="L9" s="148"/>
      <c r="M9" s="148"/>
      <c r="N9" s="148"/>
      <c r="O9" s="148"/>
      <c r="P9" s="148"/>
      <c r="Q9" s="148"/>
      <c r="R9" s="148"/>
      <c r="S9" s="148"/>
      <c r="T9" s="148"/>
      <c r="U9" s="148"/>
      <c r="V9" s="148"/>
      <c r="W9" s="148"/>
      <c r="X9" s="148"/>
      <c r="Y9" s="148"/>
      <c r="Z9" s="148"/>
      <c r="AA9" s="148"/>
      <c r="AC9" s="149"/>
      <c r="AD9" s="149"/>
      <c r="AE9" s="149"/>
      <c r="AF9" s="149"/>
      <c r="AG9" s="149"/>
      <c r="AH9" s="149"/>
      <c r="AI9" s="149"/>
      <c r="AJ9" s="149"/>
      <c r="AK9" s="149"/>
      <c r="AL9" s="149"/>
      <c r="AM9" s="149"/>
      <c r="AN9" s="149"/>
      <c r="AO9" s="149"/>
      <c r="AP9" s="149"/>
      <c r="AQ9" s="149"/>
      <c r="AR9" s="149"/>
      <c r="AS9" s="149"/>
      <c r="AT9" s="149"/>
      <c r="AU9" s="149"/>
      <c r="AV9" s="149"/>
      <c r="AW9" s="149"/>
      <c r="AX9" s="149"/>
      <c r="AY9" s="149"/>
      <c r="AZ9" s="149"/>
      <c r="BA9" s="149"/>
      <c r="BB9" s="149"/>
      <c r="BC9" s="149"/>
      <c r="BD9" s="149"/>
      <c r="BE9" s="149"/>
      <c r="BF9" s="149"/>
      <c r="BG9" s="149"/>
      <c r="BH9" s="149"/>
    </row>
    <row r="10" spans="1:74">
      <c r="A10" s="153" t="s">
        <v>600</v>
      </c>
      <c r="B10" s="153"/>
      <c r="C10" s="153"/>
      <c r="D10" s="154"/>
      <c r="E10" s="155"/>
      <c r="G10" s="156"/>
      <c r="H10" s="156"/>
      <c r="I10" s="156"/>
      <c r="J10" s="156"/>
      <c r="K10" s="156"/>
      <c r="L10" s="156"/>
      <c r="M10" s="156"/>
      <c r="N10" s="156"/>
      <c r="O10" s="156"/>
      <c r="P10" s="156"/>
      <c r="Q10" s="156"/>
      <c r="R10" s="156"/>
      <c r="S10" s="156"/>
      <c r="T10" s="156"/>
      <c r="U10" s="156"/>
      <c r="V10" s="156"/>
      <c r="W10" s="156"/>
      <c r="X10" s="156"/>
      <c r="Y10" s="156"/>
      <c r="Z10" s="156"/>
      <c r="AA10" s="156"/>
      <c r="AC10" s="156"/>
      <c r="AD10" s="156"/>
      <c r="AE10" s="156"/>
      <c r="AF10" s="156"/>
      <c r="AG10" s="156"/>
      <c r="AH10" s="156"/>
      <c r="AI10" s="156"/>
      <c r="AJ10" s="156"/>
      <c r="AK10" s="156"/>
      <c r="AL10" s="156"/>
      <c r="AM10" s="156"/>
      <c r="AN10" s="156"/>
      <c r="AO10" s="156"/>
      <c r="AP10" s="156"/>
      <c r="AQ10" s="156"/>
      <c r="AR10" s="156"/>
      <c r="AS10" s="156"/>
      <c r="AT10" s="156"/>
      <c r="AU10" s="156"/>
      <c r="AV10" s="156"/>
      <c r="AW10" s="156"/>
      <c r="AX10" s="156"/>
      <c r="AY10" s="156"/>
      <c r="AZ10" s="156"/>
      <c r="BA10" s="156"/>
      <c r="BB10" s="156"/>
      <c r="BC10" s="156"/>
      <c r="BD10" s="156"/>
      <c r="BE10" s="156"/>
      <c r="BF10" s="156"/>
      <c r="BG10" s="156"/>
      <c r="BH10" s="156"/>
      <c r="BJ10" s="140" t="s">
        <v>602</v>
      </c>
      <c r="BK10" s="152">
        <v>467784</v>
      </c>
    </row>
    <row r="11" spans="1:74" hidden="1" outlineLevel="1">
      <c r="A11" s="157" t="s">
        <v>206</v>
      </c>
      <c r="B11" s="158"/>
      <c r="C11" s="158"/>
      <c r="D11" s="159">
        <v>3954.8820000000001</v>
      </c>
      <c r="E11" s="159">
        <v>12216391.930999998</v>
      </c>
      <c r="F11" s="160">
        <f>E11/D11</f>
        <v>3088.9396778462665</v>
      </c>
      <c r="G11" s="161">
        <f t="shared" ref="G11:P20" si="4">$D11/$D$51*G$3</f>
        <v>1294.3897808355835</v>
      </c>
      <c r="H11" s="152">
        <f t="shared" si="4"/>
        <v>1294.3897808355835</v>
      </c>
      <c r="I11" s="152">
        <f t="shared" si="4"/>
        <v>1294.3897808355835</v>
      </c>
      <c r="J11" s="152">
        <f t="shared" si="4"/>
        <v>1294.3897808355835</v>
      </c>
      <c r="K11" s="152">
        <f t="shared" si="4"/>
        <v>1326.9865019697661</v>
      </c>
      <c r="L11" s="152">
        <f t="shared" si="4"/>
        <v>1384.6314643484013</v>
      </c>
      <c r="M11" s="152">
        <f t="shared" si="4"/>
        <v>1471.5610520709231</v>
      </c>
      <c r="N11" s="152">
        <f t="shared" si="4"/>
        <v>1446.8717019827172</v>
      </c>
      <c r="O11" s="152">
        <f t="shared" si="4"/>
        <v>1508.7951775509464</v>
      </c>
      <c r="P11" s="152">
        <f t="shared" si="4"/>
        <v>1564.0730730222754</v>
      </c>
      <c r="Q11" s="152"/>
      <c r="R11" s="152">
        <f>$D11/$D$51*R$3</f>
        <v>1892.5551735689169</v>
      </c>
      <c r="S11" s="152">
        <f t="shared" ref="S11:AA11" si="5">$D11/$D$51*S$3</f>
        <v>1892.5551735689169</v>
      </c>
      <c r="T11" s="152">
        <f t="shared" si="5"/>
        <v>1892.5551735689169</v>
      </c>
      <c r="U11" s="152">
        <f t="shared" si="5"/>
        <v>1892.5551735689169</v>
      </c>
      <c r="V11" s="152">
        <f t="shared" si="5"/>
        <v>1922.6562962207026</v>
      </c>
      <c r="W11" s="152">
        <f t="shared" si="5"/>
        <v>2037.592731480614</v>
      </c>
      <c r="X11" s="152">
        <f t="shared" si="5"/>
        <v>2194.3430104420222</v>
      </c>
      <c r="Y11" s="152">
        <f t="shared" si="5"/>
        <v>2187.0700648739125</v>
      </c>
      <c r="Z11" s="152">
        <f t="shared" si="5"/>
        <v>2299.7394954290098</v>
      </c>
      <c r="AA11" s="152">
        <f t="shared" si="5"/>
        <v>2417.4125172540912</v>
      </c>
      <c r="AC11" s="162">
        <f>G11*$F11</f>
        <v>3998291.9526217668</v>
      </c>
      <c r="AD11" s="162">
        <f t="shared" ref="AD11:AL11" si="6">H11*$F11</f>
        <v>3998291.9526217668</v>
      </c>
      <c r="AE11" s="162">
        <f t="shared" si="6"/>
        <v>3998291.9526217668</v>
      </c>
      <c r="AF11" s="162">
        <f t="shared" si="6"/>
        <v>3998291.9526217668</v>
      </c>
      <c r="AG11" s="162">
        <f t="shared" si="6"/>
        <v>4098981.2579008332</v>
      </c>
      <c r="AH11" s="162">
        <f t="shared" si="6"/>
        <v>4277043.0694201551</v>
      </c>
      <c r="AI11" s="162">
        <f t="shared" si="6"/>
        <v>4545563.3221150702</v>
      </c>
      <c r="AJ11" s="162">
        <f t="shared" si="6"/>
        <v>4469299.4090073742</v>
      </c>
      <c r="AK11" s="162">
        <f t="shared" si="6"/>
        <v>4660577.2896802211</v>
      </c>
      <c r="AL11" s="162">
        <f t="shared" si="6"/>
        <v>4831327.3743094476</v>
      </c>
      <c r="AM11" s="162"/>
      <c r="AN11" s="162">
        <f>R11*$F11</f>
        <v>5845988.7681502551</v>
      </c>
      <c r="AO11" s="162">
        <f t="shared" ref="AO11:AW11" si="7">S11*$F11</f>
        <v>5845988.7681502551</v>
      </c>
      <c r="AP11" s="162">
        <f t="shared" si="7"/>
        <v>5845988.7681502551</v>
      </c>
      <c r="AQ11" s="162">
        <f t="shared" si="7"/>
        <v>5845988.7681502551</v>
      </c>
      <c r="AR11" s="162">
        <f t="shared" si="7"/>
        <v>5938969.3202570733</v>
      </c>
      <c r="AS11" s="162">
        <f t="shared" si="7"/>
        <v>6294001.0355616221</v>
      </c>
      <c r="AT11" s="162">
        <f t="shared" si="7"/>
        <v>6778193.1917589866</v>
      </c>
      <c r="AU11" s="162">
        <f t="shared" si="7"/>
        <v>6755727.5016188361</v>
      </c>
      <c r="AV11" s="162">
        <f t="shared" si="7"/>
        <v>7103756.576140821</v>
      </c>
      <c r="AW11" s="162">
        <f t="shared" si="7"/>
        <v>7467241.4422683846</v>
      </c>
      <c r="AX11" s="162"/>
      <c r="AY11" s="162">
        <f t="shared" ref="AY11:BH37" si="8">AN11-AC11</f>
        <v>1847696.8155284883</v>
      </c>
      <c r="AZ11" s="162">
        <f t="shared" si="8"/>
        <v>1847696.8155284883</v>
      </c>
      <c r="BA11" s="162">
        <f t="shared" si="8"/>
        <v>1847696.8155284883</v>
      </c>
      <c r="BB11" s="162">
        <f t="shared" si="8"/>
        <v>1847696.8155284883</v>
      </c>
      <c r="BC11" s="162">
        <f t="shared" si="8"/>
        <v>1839988.0623562401</v>
      </c>
      <c r="BD11" s="162">
        <f t="shared" si="8"/>
        <v>2016957.966141467</v>
      </c>
      <c r="BE11" s="162">
        <f t="shared" si="8"/>
        <v>2232629.8696439164</v>
      </c>
      <c r="BF11" s="162">
        <f t="shared" si="8"/>
        <v>2286428.0926114619</v>
      </c>
      <c r="BG11" s="162">
        <f t="shared" si="8"/>
        <v>2443179.2864605999</v>
      </c>
      <c r="BH11" s="162">
        <f t="shared" si="8"/>
        <v>2635914.067958937</v>
      </c>
    </row>
    <row r="12" spans="1:74" hidden="1" outlineLevel="2">
      <c r="A12" s="163" t="s">
        <v>207</v>
      </c>
      <c r="B12" s="164"/>
      <c r="C12" s="164"/>
      <c r="D12" s="165">
        <v>109048.70014999999</v>
      </c>
      <c r="E12" s="166">
        <v>43056284.370000005</v>
      </c>
      <c r="F12" s="160">
        <f>E12/D12</f>
        <v>394.83537456911182</v>
      </c>
      <c r="G12" s="147">
        <f t="shared" si="4"/>
        <v>35690.451216386165</v>
      </c>
      <c r="H12" s="147">
        <f t="shared" si="4"/>
        <v>35690.451216386165</v>
      </c>
      <c r="I12" s="147">
        <f t="shared" si="4"/>
        <v>35690.451216386165</v>
      </c>
      <c r="J12" s="147">
        <f t="shared" si="4"/>
        <v>35690.451216386165</v>
      </c>
      <c r="K12" s="147">
        <f t="shared" si="4"/>
        <v>36589.246697220908</v>
      </c>
      <c r="L12" s="147">
        <f t="shared" si="4"/>
        <v>38178.702012850001</v>
      </c>
      <c r="M12" s="147">
        <f t="shared" si="4"/>
        <v>40575.627773395165</v>
      </c>
      <c r="N12" s="147">
        <f t="shared" si="4"/>
        <v>39894.863711492151</v>
      </c>
      <c r="O12" s="147">
        <f t="shared" si="4"/>
        <v>41602.291270515569</v>
      </c>
      <c r="P12" s="147">
        <f t="shared" si="4"/>
        <v>43126.479008146176</v>
      </c>
      <c r="Q12" s="152"/>
      <c r="R12" s="167">
        <f>SUM(R13:R22)</f>
        <v>52183.777326314164</v>
      </c>
      <c r="S12" s="167">
        <f t="shared" ref="S12:AA12" si="9">SUM(S13:S22)</f>
        <v>52183.777326314164</v>
      </c>
      <c r="T12" s="167">
        <f t="shared" si="9"/>
        <v>52183.777326314164</v>
      </c>
      <c r="U12" s="167">
        <f t="shared" si="9"/>
        <v>52183.777326314164</v>
      </c>
      <c r="V12" s="167">
        <f t="shared" si="9"/>
        <v>53013.761204021001</v>
      </c>
      <c r="W12" s="167">
        <f t="shared" si="9"/>
        <v>56182.925003337383</v>
      </c>
      <c r="X12" s="167">
        <f t="shared" si="9"/>
        <v>60505.029725777</v>
      </c>
      <c r="Y12" s="167">
        <f t="shared" si="9"/>
        <v>60304.491439055928</v>
      </c>
      <c r="Z12" s="167">
        <f t="shared" si="9"/>
        <v>63411.146694174546</v>
      </c>
      <c r="AA12" s="167">
        <f t="shared" si="9"/>
        <v>66655.76690604123</v>
      </c>
      <c r="AC12" s="168">
        <f>SUM(AC13:AC22)</f>
        <v>14091852.674562443</v>
      </c>
      <c r="AD12" s="168">
        <f t="shared" ref="AD12:AL12" si="10">SUM(AD13:AD22)</f>
        <v>14091852.674562443</v>
      </c>
      <c r="AE12" s="168">
        <f t="shared" si="10"/>
        <v>14091852.674562443</v>
      </c>
      <c r="AF12" s="168">
        <f t="shared" si="10"/>
        <v>14091852.674562443</v>
      </c>
      <c r="AG12" s="168">
        <f t="shared" si="10"/>
        <v>14446728.924898852</v>
      </c>
      <c r="AH12" s="168">
        <f t="shared" si="10"/>
        <v>15074302.109806132</v>
      </c>
      <c r="AI12" s="168">
        <f t="shared" si="10"/>
        <v>16020693.190285333</v>
      </c>
      <c r="AJ12" s="168">
        <f t="shared" si="10"/>
        <v>15751903.456910666</v>
      </c>
      <c r="AK12" s="168">
        <f t="shared" si="10"/>
        <v>16426056.256727302</v>
      </c>
      <c r="AL12" s="168">
        <f t="shared" si="10"/>
        <v>17027859.493028328</v>
      </c>
      <c r="AM12" s="169"/>
      <c r="AN12" s="168">
        <f>SUM(AN13:AN22)</f>
        <v>20604001.267066374</v>
      </c>
      <c r="AO12" s="168">
        <f t="shared" ref="AO12:AW12" si="11">SUM(AO13:AO22)</f>
        <v>20604001.267066374</v>
      </c>
      <c r="AP12" s="168">
        <f t="shared" si="11"/>
        <v>20604001.267066374</v>
      </c>
      <c r="AQ12" s="168">
        <f t="shared" si="11"/>
        <v>20604001.267066374</v>
      </c>
      <c r="AR12" s="168">
        <f t="shared" si="11"/>
        <v>20931708.262307078</v>
      </c>
      <c r="AS12" s="168">
        <f t="shared" si="11"/>
        <v>22183006.238081031</v>
      </c>
      <c r="AT12" s="168">
        <f t="shared" si="11"/>
        <v>23889526.075092401</v>
      </c>
      <c r="AU12" s="168">
        <f t="shared" si="11"/>
        <v>23810346.465539437</v>
      </c>
      <c r="AV12" s="168">
        <f t="shared" si="11"/>
        <v>25036963.856851295</v>
      </c>
      <c r="AW12" s="168">
        <f t="shared" si="11"/>
        <v>26318054.693538189</v>
      </c>
      <c r="AX12" s="169"/>
      <c r="AY12" s="168">
        <f t="shared" si="8"/>
        <v>6512148.5925039314</v>
      </c>
      <c r="AZ12" s="168">
        <f t="shared" si="8"/>
        <v>6512148.5925039314</v>
      </c>
      <c r="BA12" s="168">
        <f t="shared" si="8"/>
        <v>6512148.5925039314</v>
      </c>
      <c r="BB12" s="168">
        <f t="shared" si="8"/>
        <v>6512148.5925039314</v>
      </c>
      <c r="BC12" s="168">
        <f t="shared" si="8"/>
        <v>6484979.337408226</v>
      </c>
      <c r="BD12" s="168">
        <f t="shared" si="8"/>
        <v>7108704.128274899</v>
      </c>
      <c r="BE12" s="168">
        <f t="shared" si="8"/>
        <v>7868832.8848070689</v>
      </c>
      <c r="BF12" s="168">
        <f t="shared" si="8"/>
        <v>8058443.0086287707</v>
      </c>
      <c r="BG12" s="168">
        <f t="shared" si="8"/>
        <v>8610907.6001239922</v>
      </c>
      <c r="BH12" s="168">
        <f t="shared" si="8"/>
        <v>9290195.2005098611</v>
      </c>
    </row>
    <row r="13" spans="1:74" hidden="1" outlineLevel="2">
      <c r="A13" s="112"/>
      <c r="B13" s="170" t="s">
        <v>601</v>
      </c>
      <c r="C13" s="113"/>
      <c r="D13" s="114">
        <v>2038.6063999999999</v>
      </c>
      <c r="E13" s="171">
        <v>2186289.5</v>
      </c>
      <c r="F13" s="160">
        <f t="shared" ref="F13:F49" si="12">E13/D13</f>
        <v>1072.443165095528</v>
      </c>
      <c r="G13" s="152">
        <f t="shared" si="4"/>
        <v>667.21365929653984</v>
      </c>
      <c r="H13" s="152">
        <f t="shared" si="4"/>
        <v>667.21365929653984</v>
      </c>
      <c r="I13" s="152">
        <f t="shared" si="4"/>
        <v>667.21365929653984</v>
      </c>
      <c r="J13" s="152">
        <f t="shared" si="4"/>
        <v>667.21365929653984</v>
      </c>
      <c r="K13" s="152">
        <f t="shared" si="4"/>
        <v>684.01615411766466</v>
      </c>
      <c r="L13" s="152">
        <f t="shared" si="4"/>
        <v>713.73016056155984</v>
      </c>
      <c r="M13" s="152">
        <f t="shared" si="4"/>
        <v>758.53938973211268</v>
      </c>
      <c r="N13" s="152">
        <f t="shared" si="4"/>
        <v>745.81287422503635</v>
      </c>
      <c r="O13" s="152">
        <f t="shared" si="4"/>
        <v>777.73230787783189</v>
      </c>
      <c r="P13" s="152">
        <f t="shared" si="4"/>
        <v>806.22617229309947</v>
      </c>
      <c r="Q13" s="152"/>
      <c r="R13" s="152">
        <f t="shared" ref="R13:R26" si="13">$D13/$D$51*R$3</f>
        <v>975.54745987129456</v>
      </c>
      <c r="S13" s="152">
        <f t="shared" ref="S13:AA13" si="14">$D13/$D$51*S$3</f>
        <v>975.54745987129456</v>
      </c>
      <c r="T13" s="152">
        <f t="shared" si="14"/>
        <v>975.54745987129456</v>
      </c>
      <c r="U13" s="152">
        <f t="shared" si="14"/>
        <v>975.54745987129456</v>
      </c>
      <c r="V13" s="152">
        <f t="shared" si="14"/>
        <v>991.0635590330686</v>
      </c>
      <c r="W13" s="152">
        <f t="shared" si="14"/>
        <v>1050.3093601755656</v>
      </c>
      <c r="X13" s="152">
        <f t="shared" si="14"/>
        <v>1131.1087675643353</v>
      </c>
      <c r="Y13" s="152">
        <f t="shared" si="14"/>
        <v>1127.3598128845244</v>
      </c>
      <c r="Z13" s="152">
        <f t="shared" si="14"/>
        <v>1185.4370506412961</v>
      </c>
      <c r="AA13" s="152">
        <f t="shared" si="14"/>
        <v>1246.0934685571658</v>
      </c>
      <c r="AC13" s="162">
        <f>G13*$F13</f>
        <v>715548.72857095045</v>
      </c>
      <c r="AD13" s="162">
        <f t="shared" ref="AD13:AL15" si="15">H13*$F13</f>
        <v>715548.72857095045</v>
      </c>
      <c r="AE13" s="162">
        <f t="shared" si="15"/>
        <v>715548.72857095045</v>
      </c>
      <c r="AF13" s="162">
        <f t="shared" si="15"/>
        <v>715548.72857095045</v>
      </c>
      <c r="AG13" s="162">
        <f t="shared" si="15"/>
        <v>733568.44929841871</v>
      </c>
      <c r="AH13" s="162">
        <f t="shared" si="15"/>
        <v>765435.03241677862</v>
      </c>
      <c r="AI13" s="162">
        <f t="shared" si="15"/>
        <v>813490.38397393713</v>
      </c>
      <c r="AJ13" s="162">
        <f t="shared" si="15"/>
        <v>799841.91940289096</v>
      </c>
      <c r="AK13" s="162">
        <f t="shared" si="15"/>
        <v>834073.69785755163</v>
      </c>
      <c r="AL13" s="162">
        <f t="shared" si="15"/>
        <v>864631.74799686403</v>
      </c>
      <c r="AM13" s="162"/>
      <c r="AN13" s="162">
        <f t="shared" ref="AN13:AN49" si="16">R13*$F13</f>
        <v>1046219.2055652738</v>
      </c>
      <c r="AO13" s="162">
        <f t="shared" ref="AO13:AO26" si="17">S13*$F13</f>
        <v>1046219.2055652738</v>
      </c>
      <c r="AP13" s="162">
        <f t="shared" ref="AP13:AP26" si="18">T13*$F13</f>
        <v>1046219.2055652738</v>
      </c>
      <c r="AQ13" s="162">
        <f t="shared" ref="AQ13:AQ26" si="19">U13*$F13</f>
        <v>1046219.2055652738</v>
      </c>
      <c r="AR13" s="162">
        <f t="shared" ref="AR13:AR26" si="20">V13*$F13</f>
        <v>1062859.3400602627</v>
      </c>
      <c r="AS13" s="162">
        <f t="shared" ref="AS13:AS26" si="21">W13*$F13</f>
        <v>1126397.0945561426</v>
      </c>
      <c r="AT13" s="162">
        <f t="shared" ref="AT13:AT26" si="22">X13*$F13</f>
        <v>1213049.8667539975</v>
      </c>
      <c r="AU13" s="162">
        <f t="shared" ref="AU13:AU26" si="23">Y13*$F13</f>
        <v>1209029.3259313817</v>
      </c>
      <c r="AV13" s="162">
        <f t="shared" ref="AV13:AV26" si="24">Z13*$F13</f>
        <v>1271313.8626112593</v>
      </c>
      <c r="AW13" s="162">
        <f t="shared" ref="AW13:AW26" si="25">AA13*$F13</f>
        <v>1336364.4234243117</v>
      </c>
      <c r="AX13" s="162"/>
      <c r="AY13" s="162">
        <f t="shared" si="8"/>
        <v>330670.47699432331</v>
      </c>
      <c r="AZ13" s="162">
        <f t="shared" si="8"/>
        <v>330670.47699432331</v>
      </c>
      <c r="BA13" s="162">
        <f t="shared" si="8"/>
        <v>330670.47699432331</v>
      </c>
      <c r="BB13" s="162">
        <f t="shared" si="8"/>
        <v>330670.47699432331</v>
      </c>
      <c r="BC13" s="162">
        <f t="shared" si="8"/>
        <v>329290.890761844</v>
      </c>
      <c r="BD13" s="162">
        <f t="shared" si="8"/>
        <v>360962.06213936396</v>
      </c>
      <c r="BE13" s="162">
        <f t="shared" si="8"/>
        <v>399559.48278006038</v>
      </c>
      <c r="BF13" s="162">
        <f t="shared" si="8"/>
        <v>409187.40652849071</v>
      </c>
      <c r="BG13" s="162">
        <f t="shared" si="8"/>
        <v>437240.16475370771</v>
      </c>
      <c r="BH13" s="162">
        <f t="shared" si="8"/>
        <v>471732.67542744766</v>
      </c>
    </row>
    <row r="14" spans="1:74" hidden="1" outlineLevel="2">
      <c r="A14" s="115"/>
      <c r="B14" s="170" t="s">
        <v>603</v>
      </c>
      <c r="C14" s="113"/>
      <c r="D14" s="114">
        <v>16517.34</v>
      </c>
      <c r="E14" s="171">
        <v>8750082.6999999993</v>
      </c>
      <c r="F14" s="160">
        <f t="shared" si="12"/>
        <v>529.75132194409025</v>
      </c>
      <c r="G14" s="152">
        <f t="shared" si="4"/>
        <v>5405.9453866352569</v>
      </c>
      <c r="H14" s="152">
        <f t="shared" si="4"/>
        <v>5405.9453866352569</v>
      </c>
      <c r="I14" s="152">
        <f t="shared" si="4"/>
        <v>5405.9453866352569</v>
      </c>
      <c r="J14" s="152">
        <f t="shared" si="4"/>
        <v>5405.9453866352569</v>
      </c>
      <c r="K14" s="152">
        <f t="shared" si="4"/>
        <v>5542.0837406641467</v>
      </c>
      <c r="L14" s="152">
        <f t="shared" si="4"/>
        <v>5782.8346512842672</v>
      </c>
      <c r="M14" s="152">
        <f t="shared" si="4"/>
        <v>6145.8911360220463</v>
      </c>
      <c r="N14" s="152">
        <f t="shared" si="4"/>
        <v>6042.777467956621</v>
      </c>
      <c r="O14" s="152">
        <f t="shared" si="4"/>
        <v>6301.3973458549081</v>
      </c>
      <c r="P14" s="152">
        <f t="shared" si="4"/>
        <v>6532.262336007434</v>
      </c>
      <c r="Q14" s="152"/>
      <c r="R14" s="152">
        <f t="shared" si="13"/>
        <v>7904.1491681918242</v>
      </c>
      <c r="S14" s="152">
        <f t="shared" ref="S14:AA26" si="26">$D14/$D$51*S$3</f>
        <v>7904.1491681918242</v>
      </c>
      <c r="T14" s="152">
        <f t="shared" si="26"/>
        <v>7904.1491681918242</v>
      </c>
      <c r="U14" s="152">
        <f t="shared" si="26"/>
        <v>7904.1491681918242</v>
      </c>
      <c r="V14" s="152">
        <f t="shared" si="26"/>
        <v>8029.8647969315052</v>
      </c>
      <c r="W14" s="152">
        <f t="shared" si="26"/>
        <v>8509.8902893674222</v>
      </c>
      <c r="X14" s="152">
        <f t="shared" si="26"/>
        <v>9164.5489246188481</v>
      </c>
      <c r="Y14" s="152">
        <f t="shared" si="26"/>
        <v>9134.1738806226022</v>
      </c>
      <c r="Z14" s="152">
        <f t="shared" si="26"/>
        <v>9604.7313566951943</v>
      </c>
      <c r="AA14" s="152">
        <f t="shared" si="26"/>
        <v>10096.186047457724</v>
      </c>
      <c r="AC14" s="162">
        <f t="shared" ref="AC14:AC26" si="27">G14*$F14</f>
        <v>2863806.7149275835</v>
      </c>
      <c r="AD14" s="162">
        <f t="shared" si="15"/>
        <v>2863806.7149275835</v>
      </c>
      <c r="AE14" s="162">
        <f t="shared" si="15"/>
        <v>2863806.7149275835</v>
      </c>
      <c r="AF14" s="162">
        <f t="shared" si="15"/>
        <v>2863806.7149275835</v>
      </c>
      <c r="AG14" s="162">
        <f t="shared" si="15"/>
        <v>2935926.1879416802</v>
      </c>
      <c r="AH14" s="162">
        <f t="shared" si="15"/>
        <v>3063464.3011019328</v>
      </c>
      <c r="AI14" s="162">
        <f t="shared" si="15"/>
        <v>3255793.9538321458</v>
      </c>
      <c r="AJ14" s="162">
        <f t="shared" si="15"/>
        <v>3201169.3518639826</v>
      </c>
      <c r="AK14" s="162">
        <f t="shared" si="15"/>
        <v>3338173.5740616191</v>
      </c>
      <c r="AL14" s="162">
        <f t="shared" si="15"/>
        <v>3460474.607785529</v>
      </c>
      <c r="AM14" s="162"/>
      <c r="AN14" s="162">
        <f t="shared" si="16"/>
        <v>4187233.4706929</v>
      </c>
      <c r="AO14" s="162">
        <f t="shared" si="17"/>
        <v>4187233.4706929</v>
      </c>
      <c r="AP14" s="162">
        <f t="shared" si="18"/>
        <v>4187233.4706929</v>
      </c>
      <c r="AQ14" s="162">
        <f t="shared" si="19"/>
        <v>4187233.4706929</v>
      </c>
      <c r="AR14" s="162">
        <f t="shared" si="20"/>
        <v>4253831.4912067791</v>
      </c>
      <c r="AS14" s="162">
        <f t="shared" si="21"/>
        <v>4508125.6303915689</v>
      </c>
      <c r="AT14" s="162">
        <f t="shared" si="22"/>
        <v>4854931.9078381257</v>
      </c>
      <c r="AU14" s="162">
        <f t="shared" si="23"/>
        <v>4838840.6881270045</v>
      </c>
      <c r="AV14" s="162">
        <f t="shared" si="24"/>
        <v>5088119.1331271343</v>
      </c>
      <c r="AW14" s="162">
        <f t="shared" si="25"/>
        <v>5348467.9052342093</v>
      </c>
      <c r="AX14" s="162"/>
      <c r="AY14" s="162">
        <f t="shared" si="8"/>
        <v>1323426.7557653165</v>
      </c>
      <c r="AZ14" s="162">
        <f t="shared" si="8"/>
        <v>1323426.7557653165</v>
      </c>
      <c r="BA14" s="162">
        <f t="shared" si="8"/>
        <v>1323426.7557653165</v>
      </c>
      <c r="BB14" s="162">
        <f t="shared" si="8"/>
        <v>1323426.7557653165</v>
      </c>
      <c r="BC14" s="162">
        <f t="shared" si="8"/>
        <v>1317905.3032650989</v>
      </c>
      <c r="BD14" s="162">
        <f t="shared" si="8"/>
        <v>1444661.3292896361</v>
      </c>
      <c r="BE14" s="162">
        <f t="shared" si="8"/>
        <v>1599137.9540059799</v>
      </c>
      <c r="BF14" s="162">
        <f t="shared" si="8"/>
        <v>1637671.3362630219</v>
      </c>
      <c r="BG14" s="162">
        <f t="shared" si="8"/>
        <v>1749945.5590655152</v>
      </c>
      <c r="BH14" s="162">
        <f t="shared" si="8"/>
        <v>1887993.2974486803</v>
      </c>
    </row>
    <row r="15" spans="1:74" hidden="1" outlineLevel="2">
      <c r="A15" s="115"/>
      <c r="B15" s="170" t="s">
        <v>604</v>
      </c>
      <c r="C15" s="113"/>
      <c r="D15" s="114">
        <v>3009.6958999999997</v>
      </c>
      <c r="E15" s="171">
        <v>2289697.5</v>
      </c>
      <c r="F15" s="160">
        <f t="shared" si="12"/>
        <v>760.77370474538645</v>
      </c>
      <c r="G15" s="161">
        <f t="shared" si="4"/>
        <v>985.04067033675199</v>
      </c>
      <c r="H15" s="161">
        <f t="shared" si="4"/>
        <v>985.04067033675199</v>
      </c>
      <c r="I15" s="161">
        <f t="shared" si="4"/>
        <v>985.04067033675199</v>
      </c>
      <c r="J15" s="161">
        <f t="shared" si="4"/>
        <v>985.04067033675199</v>
      </c>
      <c r="K15" s="161">
        <f t="shared" si="4"/>
        <v>1009.8470281373116</v>
      </c>
      <c r="L15" s="161">
        <f t="shared" si="4"/>
        <v>1053.7152919506523</v>
      </c>
      <c r="M15" s="161">
        <f t="shared" si="4"/>
        <v>1119.8693829594774</v>
      </c>
      <c r="N15" s="161">
        <f t="shared" si="4"/>
        <v>1101.0805959023319</v>
      </c>
      <c r="O15" s="161">
        <f t="shared" si="4"/>
        <v>1148.2048414629958</v>
      </c>
      <c r="P15" s="161">
        <f t="shared" si="4"/>
        <v>1190.2717489865797</v>
      </c>
      <c r="Q15" s="152"/>
      <c r="R15" s="161">
        <f t="shared" si="13"/>
        <v>1440.2491771977413</v>
      </c>
      <c r="S15" s="161">
        <f t="shared" si="26"/>
        <v>1440.2491771977413</v>
      </c>
      <c r="T15" s="161">
        <f t="shared" si="26"/>
        <v>1440.2491771977413</v>
      </c>
      <c r="U15" s="161">
        <f t="shared" si="26"/>
        <v>1440.2491771977413</v>
      </c>
      <c r="V15" s="161">
        <f t="shared" si="26"/>
        <v>1463.1563651822316</v>
      </c>
      <c r="W15" s="161">
        <f t="shared" si="26"/>
        <v>1550.623884557619</v>
      </c>
      <c r="X15" s="161">
        <f t="shared" si="26"/>
        <v>1669.9120635510774</v>
      </c>
      <c r="Y15" s="161">
        <f t="shared" si="26"/>
        <v>1664.3772955207637</v>
      </c>
      <c r="Z15" s="161">
        <f t="shared" si="26"/>
        <v>1750.119606719179</v>
      </c>
      <c r="AA15" s="161">
        <f t="shared" si="26"/>
        <v>1839.6696897121881</v>
      </c>
      <c r="AC15" s="162">
        <f t="shared" si="27"/>
        <v>749393.04009696969</v>
      </c>
      <c r="AD15" s="162">
        <f t="shared" si="15"/>
        <v>749393.04009696969</v>
      </c>
      <c r="AE15" s="162">
        <f t="shared" si="15"/>
        <v>749393.04009696969</v>
      </c>
      <c r="AF15" s="162">
        <f t="shared" si="15"/>
        <v>749393.04009696969</v>
      </c>
      <c r="AG15" s="162">
        <f t="shared" si="15"/>
        <v>768265.06482214108</v>
      </c>
      <c r="AH15" s="162">
        <f t="shared" si="15"/>
        <v>801638.88640416425</v>
      </c>
      <c r="AI15" s="162">
        <f t="shared" si="15"/>
        <v>851967.17930501164</v>
      </c>
      <c r="AJ15" s="162">
        <f t="shared" si="15"/>
        <v>837673.16416787484</v>
      </c>
      <c r="AK15" s="162">
        <f t="shared" si="15"/>
        <v>873524.05104639241</v>
      </c>
      <c r="AL15" s="162">
        <f t="shared" si="15"/>
        <v>905527.44813029096</v>
      </c>
      <c r="AM15" s="162"/>
      <c r="AN15" s="162">
        <f t="shared" si="16"/>
        <v>1095703.7022932202</v>
      </c>
      <c r="AO15" s="162">
        <f t="shared" si="17"/>
        <v>1095703.7022932202</v>
      </c>
      <c r="AP15" s="162">
        <f t="shared" si="18"/>
        <v>1095703.7022932202</v>
      </c>
      <c r="AQ15" s="162">
        <f t="shared" si="19"/>
        <v>1095703.7022932202</v>
      </c>
      <c r="AR15" s="162">
        <f t="shared" si="20"/>
        <v>1113130.88856148</v>
      </c>
      <c r="AS15" s="162">
        <f t="shared" si="21"/>
        <v>1179673.8773215823</v>
      </c>
      <c r="AT15" s="162">
        <f t="shared" si="22"/>
        <v>1270425.1871867664</v>
      </c>
      <c r="AU15" s="162">
        <f t="shared" si="23"/>
        <v>1266214.4812074383</v>
      </c>
      <c r="AV15" s="162">
        <f t="shared" si="24"/>
        <v>1331444.9769512885</v>
      </c>
      <c r="AW15" s="162">
        <f t="shared" si="25"/>
        <v>1399572.325350137</v>
      </c>
      <c r="AX15" s="162"/>
      <c r="AY15" s="162">
        <f t="shared" si="8"/>
        <v>346310.66219625052</v>
      </c>
      <c r="AZ15" s="162">
        <f t="shared" si="8"/>
        <v>346310.66219625052</v>
      </c>
      <c r="BA15" s="162">
        <f t="shared" si="8"/>
        <v>346310.66219625052</v>
      </c>
      <c r="BB15" s="162">
        <f t="shared" si="8"/>
        <v>346310.66219625052</v>
      </c>
      <c r="BC15" s="162">
        <f t="shared" si="8"/>
        <v>344865.8237393389</v>
      </c>
      <c r="BD15" s="162">
        <f t="shared" si="8"/>
        <v>378034.99091741804</v>
      </c>
      <c r="BE15" s="162">
        <f t="shared" si="8"/>
        <v>418458.00788175478</v>
      </c>
      <c r="BF15" s="162">
        <f t="shared" si="8"/>
        <v>428541.31703956344</v>
      </c>
      <c r="BG15" s="162">
        <f t="shared" si="8"/>
        <v>457920.92590489611</v>
      </c>
      <c r="BH15" s="162">
        <f t="shared" si="8"/>
        <v>494044.87721984601</v>
      </c>
    </row>
    <row r="16" spans="1:74" hidden="1" outlineLevel="2">
      <c r="A16" s="115"/>
      <c r="B16" s="170" t="s">
        <v>605</v>
      </c>
      <c r="C16" s="113"/>
      <c r="D16" s="139">
        <v>0</v>
      </c>
      <c r="E16" s="171">
        <v>0</v>
      </c>
      <c r="F16" s="160"/>
      <c r="G16" s="152">
        <f t="shared" si="4"/>
        <v>0</v>
      </c>
      <c r="H16" s="152">
        <f t="shared" si="4"/>
        <v>0</v>
      </c>
      <c r="I16" s="152">
        <f t="shared" si="4"/>
        <v>0</v>
      </c>
      <c r="J16" s="152">
        <f t="shared" si="4"/>
        <v>0</v>
      </c>
      <c r="K16" s="152">
        <f t="shared" si="4"/>
        <v>0</v>
      </c>
      <c r="L16" s="152">
        <f t="shared" si="4"/>
        <v>0</v>
      </c>
      <c r="M16" s="152">
        <f t="shared" si="4"/>
        <v>0</v>
      </c>
      <c r="N16" s="152">
        <f t="shared" si="4"/>
        <v>0</v>
      </c>
      <c r="O16" s="152">
        <f t="shared" si="4"/>
        <v>0</v>
      </c>
      <c r="P16" s="152">
        <f t="shared" si="4"/>
        <v>0</v>
      </c>
      <c r="Q16" s="152"/>
      <c r="R16" s="152">
        <f t="shared" si="13"/>
        <v>0</v>
      </c>
      <c r="S16" s="152">
        <f t="shared" si="26"/>
        <v>0</v>
      </c>
      <c r="T16" s="152">
        <f t="shared" si="26"/>
        <v>0</v>
      </c>
      <c r="U16" s="152">
        <f t="shared" si="26"/>
        <v>0</v>
      </c>
      <c r="V16" s="152">
        <f t="shared" si="26"/>
        <v>0</v>
      </c>
      <c r="W16" s="152">
        <f t="shared" si="26"/>
        <v>0</v>
      </c>
      <c r="X16" s="152">
        <f t="shared" si="26"/>
        <v>0</v>
      </c>
      <c r="Y16" s="152">
        <f t="shared" si="26"/>
        <v>0</v>
      </c>
      <c r="Z16" s="152">
        <f t="shared" si="26"/>
        <v>0</v>
      </c>
      <c r="AA16" s="152">
        <f t="shared" si="26"/>
        <v>0</v>
      </c>
      <c r="AC16" s="162">
        <f t="shared" ref="AC16" si="28">G16*$F16</f>
        <v>0</v>
      </c>
      <c r="AD16" s="162">
        <f t="shared" ref="AD16" si="29">H16*$F16</f>
        <v>0</v>
      </c>
      <c r="AE16" s="162">
        <f t="shared" ref="AE16" si="30">I16*$F16</f>
        <v>0</v>
      </c>
      <c r="AF16" s="162">
        <f t="shared" ref="AF16" si="31">J16*$F16</f>
        <v>0</v>
      </c>
      <c r="AG16" s="162">
        <f t="shared" ref="AG16" si="32">K16*$F16</f>
        <v>0</v>
      </c>
      <c r="AH16" s="162">
        <f t="shared" ref="AH16" si="33">L16*$F16</f>
        <v>0</v>
      </c>
      <c r="AI16" s="162">
        <f t="shared" ref="AI16" si="34">M16*$F16</f>
        <v>0</v>
      </c>
      <c r="AJ16" s="162">
        <f t="shared" ref="AJ16" si="35">N16*$F16</f>
        <v>0</v>
      </c>
      <c r="AK16" s="162">
        <f t="shared" ref="AK16" si="36">O16*$F16</f>
        <v>0</v>
      </c>
      <c r="AL16" s="162">
        <f t="shared" ref="AL16" si="37">P16*$F16</f>
        <v>0</v>
      </c>
      <c r="AM16" s="162"/>
      <c r="AN16" s="162">
        <f t="shared" si="16"/>
        <v>0</v>
      </c>
      <c r="AO16" s="162">
        <f t="shared" si="17"/>
        <v>0</v>
      </c>
      <c r="AP16" s="162">
        <f t="shared" si="18"/>
        <v>0</v>
      </c>
      <c r="AQ16" s="162">
        <f t="shared" si="19"/>
        <v>0</v>
      </c>
      <c r="AR16" s="162">
        <f t="shared" si="20"/>
        <v>0</v>
      </c>
      <c r="AS16" s="162">
        <f t="shared" si="21"/>
        <v>0</v>
      </c>
      <c r="AT16" s="162">
        <f t="shared" si="22"/>
        <v>0</v>
      </c>
      <c r="AU16" s="162">
        <f t="shared" si="23"/>
        <v>0</v>
      </c>
      <c r="AV16" s="162">
        <f t="shared" si="24"/>
        <v>0</v>
      </c>
      <c r="AW16" s="162">
        <f t="shared" si="25"/>
        <v>0</v>
      </c>
      <c r="AX16" s="162"/>
      <c r="AY16" s="162">
        <f t="shared" ref="AY16" si="38">AN16-AC16</f>
        <v>0</v>
      </c>
      <c r="AZ16" s="162">
        <f t="shared" ref="AZ16" si="39">AO16-AD16</f>
        <v>0</v>
      </c>
      <c r="BA16" s="162">
        <f t="shared" ref="BA16" si="40">AP16-AE16</f>
        <v>0</v>
      </c>
      <c r="BB16" s="162">
        <f t="shared" ref="BB16" si="41">AQ16-AF16</f>
        <v>0</v>
      </c>
      <c r="BC16" s="162">
        <f t="shared" ref="BC16" si="42">AR16-AG16</f>
        <v>0</v>
      </c>
      <c r="BD16" s="162">
        <f t="shared" ref="BD16" si="43">AS16-AH16</f>
        <v>0</v>
      </c>
      <c r="BE16" s="162">
        <f t="shared" ref="BE16" si="44">AT16-AI16</f>
        <v>0</v>
      </c>
      <c r="BF16" s="162">
        <f t="shared" ref="BF16" si="45">AU16-AJ16</f>
        <v>0</v>
      </c>
      <c r="BG16" s="162">
        <f t="shared" ref="BG16" si="46">AV16-AK16</f>
        <v>0</v>
      </c>
      <c r="BH16" s="162">
        <f t="shared" ref="BH16" si="47">AW16-AL16</f>
        <v>0</v>
      </c>
    </row>
    <row r="17" spans="1:74" hidden="1" outlineLevel="2">
      <c r="A17" s="115"/>
      <c r="B17" s="170" t="s">
        <v>606</v>
      </c>
      <c r="C17" s="113"/>
      <c r="D17" s="114">
        <v>1197.328</v>
      </c>
      <c r="E17" s="171">
        <v>1377979.7</v>
      </c>
      <c r="F17" s="160">
        <f t="shared" si="12"/>
        <v>1150.8790406638782</v>
      </c>
      <c r="G17" s="152">
        <f t="shared" si="4"/>
        <v>391.87240668831782</v>
      </c>
      <c r="H17" s="152">
        <f t="shared" si="4"/>
        <v>391.87240668831782</v>
      </c>
      <c r="I17" s="152">
        <f t="shared" si="4"/>
        <v>391.87240668831782</v>
      </c>
      <c r="J17" s="152">
        <f t="shared" si="4"/>
        <v>391.87240668831782</v>
      </c>
      <c r="K17" s="152">
        <f t="shared" si="4"/>
        <v>401.74096077467203</v>
      </c>
      <c r="L17" s="152">
        <f t="shared" si="4"/>
        <v>419.19279056754232</v>
      </c>
      <c r="M17" s="152">
        <f t="shared" si="4"/>
        <v>445.51044793598754</v>
      </c>
      <c r="N17" s="152">
        <f t="shared" si="4"/>
        <v>438.0358253903816</v>
      </c>
      <c r="O17" s="152">
        <f t="shared" si="4"/>
        <v>456.78296150092967</v>
      </c>
      <c r="P17" s="152">
        <f t="shared" si="4"/>
        <v>473.51816928434658</v>
      </c>
      <c r="Q17" s="152"/>
      <c r="R17" s="152">
        <f t="shared" si="13"/>
        <v>572.96508488974496</v>
      </c>
      <c r="S17" s="152">
        <f t="shared" si="26"/>
        <v>572.96508488974496</v>
      </c>
      <c r="T17" s="152">
        <f t="shared" si="26"/>
        <v>572.96508488974496</v>
      </c>
      <c r="U17" s="152">
        <f t="shared" si="26"/>
        <v>572.96508488974496</v>
      </c>
      <c r="V17" s="152">
        <f t="shared" si="26"/>
        <v>582.07810443935921</v>
      </c>
      <c r="W17" s="152">
        <f t="shared" si="26"/>
        <v>616.87474619931038</v>
      </c>
      <c r="X17" s="152">
        <f t="shared" si="26"/>
        <v>664.33039671133702</v>
      </c>
      <c r="Y17" s="152">
        <f t="shared" si="26"/>
        <v>662.12853547472525</v>
      </c>
      <c r="Z17" s="152">
        <f t="shared" si="26"/>
        <v>696.23884874012072</v>
      </c>
      <c r="AA17" s="152">
        <f t="shared" si="26"/>
        <v>731.86398341563847</v>
      </c>
      <c r="AC17" s="162">
        <f t="shared" si="27"/>
        <v>450997.73947209632</v>
      </c>
      <c r="AD17" s="162">
        <f t="shared" ref="AD17:AD24" si="48">H17*$F17</f>
        <v>450997.73947209632</v>
      </c>
      <c r="AE17" s="162">
        <f t="shared" ref="AE17:AE24" si="49">I17*$F17</f>
        <v>450997.73947209632</v>
      </c>
      <c r="AF17" s="162">
        <f t="shared" ref="AF17:AF24" si="50">J17*$F17</f>
        <v>450997.73947209632</v>
      </c>
      <c r="AG17" s="162">
        <f t="shared" ref="AG17:AG24" si="51">K17*$F17</f>
        <v>462355.25153173925</v>
      </c>
      <c r="AH17" s="162">
        <f t="shared" ref="AH17:AH24" si="52">L17*$F17</f>
        <v>482440.19666158711</v>
      </c>
      <c r="AI17" s="162">
        <f t="shared" ref="AI17:AI24" si="53">M17*$F17</f>
        <v>512728.63692630397</v>
      </c>
      <c r="AJ17" s="162">
        <f t="shared" ref="AJ17:AJ24" si="54">N17*$F17</f>
        <v>504126.25050169241</v>
      </c>
      <c r="AK17" s="162">
        <f t="shared" ref="AK17:AK24" si="55">O17*$F17</f>
        <v>525701.93652379513</v>
      </c>
      <c r="AL17" s="162">
        <f t="shared" ref="AL17:AL24" si="56">P17*$F17</f>
        <v>544962.13640288461</v>
      </c>
      <c r="AM17" s="162"/>
      <c r="AN17" s="162">
        <f t="shared" si="16"/>
        <v>659413.50723180722</v>
      </c>
      <c r="AO17" s="162">
        <f t="shared" si="17"/>
        <v>659413.50723180722</v>
      </c>
      <c r="AP17" s="162">
        <f t="shared" si="18"/>
        <v>659413.50723180722</v>
      </c>
      <c r="AQ17" s="162">
        <f t="shared" si="19"/>
        <v>659413.50723180722</v>
      </c>
      <c r="AR17" s="162">
        <f t="shared" si="20"/>
        <v>669901.49042861839</v>
      </c>
      <c r="AS17" s="162">
        <f t="shared" si="21"/>
        <v>709948.2161156357</v>
      </c>
      <c r="AT17" s="162">
        <f t="shared" si="22"/>
        <v>764563.92965099716</v>
      </c>
      <c r="AU17" s="162">
        <f t="shared" si="23"/>
        <v>762029.85370333039</v>
      </c>
      <c r="AV17" s="162">
        <f t="shared" si="24"/>
        <v>801286.6983109531</v>
      </c>
      <c r="AW17" s="162">
        <f t="shared" si="25"/>
        <v>842286.91912983451</v>
      </c>
      <c r="AX17" s="162"/>
      <c r="AY17" s="162">
        <f t="shared" si="8"/>
        <v>208415.7677597109</v>
      </c>
      <c r="AZ17" s="162">
        <f t="shared" si="8"/>
        <v>208415.7677597109</v>
      </c>
      <c r="BA17" s="162">
        <f t="shared" si="8"/>
        <v>208415.7677597109</v>
      </c>
      <c r="BB17" s="162">
        <f t="shared" si="8"/>
        <v>208415.7677597109</v>
      </c>
      <c r="BC17" s="162">
        <f t="shared" si="8"/>
        <v>207546.23889687913</v>
      </c>
      <c r="BD17" s="162">
        <f t="shared" si="8"/>
        <v>227508.0194540486</v>
      </c>
      <c r="BE17" s="162">
        <f t="shared" si="8"/>
        <v>251835.29272469319</v>
      </c>
      <c r="BF17" s="162">
        <f t="shared" si="8"/>
        <v>257903.60320163798</v>
      </c>
      <c r="BG17" s="162">
        <f t="shared" si="8"/>
        <v>275584.76178715797</v>
      </c>
      <c r="BH17" s="162">
        <f t="shared" si="8"/>
        <v>297324.7827269499</v>
      </c>
    </row>
    <row r="18" spans="1:74" hidden="1" outlineLevel="2">
      <c r="A18" s="115"/>
      <c r="B18" s="170" t="s">
        <v>607</v>
      </c>
      <c r="C18" s="113"/>
      <c r="D18" s="114">
        <v>2470.904</v>
      </c>
      <c r="E18" s="171">
        <v>1798394</v>
      </c>
      <c r="F18" s="160">
        <f t="shared" si="12"/>
        <v>727.82835755658652</v>
      </c>
      <c r="G18" s="152">
        <f t="shared" si="4"/>
        <v>808.69995287489405</v>
      </c>
      <c r="H18" s="152">
        <f t="shared" si="4"/>
        <v>808.69995287489405</v>
      </c>
      <c r="I18" s="152">
        <f t="shared" si="4"/>
        <v>808.69995287489405</v>
      </c>
      <c r="J18" s="152">
        <f t="shared" si="4"/>
        <v>808.69995287489405</v>
      </c>
      <c r="K18" s="152">
        <f t="shared" si="4"/>
        <v>829.06550831683558</v>
      </c>
      <c r="L18" s="152">
        <f t="shared" si="4"/>
        <v>865.08053180457034</v>
      </c>
      <c r="M18" s="152">
        <f t="shared" si="4"/>
        <v>919.39180228544171</v>
      </c>
      <c r="N18" s="152">
        <f t="shared" si="4"/>
        <v>903.96655979012894</v>
      </c>
      <c r="O18" s="152">
        <f t="shared" si="4"/>
        <v>942.65468334866728</v>
      </c>
      <c r="P18" s="152">
        <f t="shared" si="4"/>
        <v>977.19082703934851</v>
      </c>
      <c r="Q18" s="152"/>
      <c r="R18" s="152">
        <f t="shared" si="13"/>
        <v>1182.417616655094</v>
      </c>
      <c r="S18" s="152">
        <f t="shared" si="26"/>
        <v>1182.417616655094</v>
      </c>
      <c r="T18" s="152">
        <f t="shared" si="26"/>
        <v>1182.417616655094</v>
      </c>
      <c r="U18" s="152">
        <f t="shared" si="26"/>
        <v>1182.417616655094</v>
      </c>
      <c r="V18" s="152">
        <f t="shared" si="26"/>
        <v>1201.2239892257012</v>
      </c>
      <c r="W18" s="152">
        <f t="shared" si="26"/>
        <v>1273.0331854620126</v>
      </c>
      <c r="X18" s="152">
        <f t="shared" si="26"/>
        <v>1370.9665476424418</v>
      </c>
      <c r="Y18" s="152">
        <f t="shared" si="26"/>
        <v>1366.4226066864223</v>
      </c>
      <c r="Z18" s="152">
        <f t="shared" si="26"/>
        <v>1436.8154393009761</v>
      </c>
      <c r="AA18" s="152">
        <f t="shared" si="26"/>
        <v>1510.334381287028</v>
      </c>
      <c r="AC18" s="162">
        <f t="shared" si="27"/>
        <v>588594.75845702307</v>
      </c>
      <c r="AD18" s="162">
        <f t="shared" si="48"/>
        <v>588594.75845702307</v>
      </c>
      <c r="AE18" s="162">
        <f t="shared" si="49"/>
        <v>588594.75845702307</v>
      </c>
      <c r="AF18" s="162">
        <f t="shared" si="50"/>
        <v>588594.75845702307</v>
      </c>
      <c r="AG18" s="162">
        <f t="shared" si="51"/>
        <v>603417.38722505898</v>
      </c>
      <c r="AH18" s="162">
        <f t="shared" si="52"/>
        <v>629630.14261749887</v>
      </c>
      <c r="AI18" s="162">
        <f t="shared" si="53"/>
        <v>669159.42540840292</v>
      </c>
      <c r="AJ18" s="162">
        <f t="shared" si="54"/>
        <v>657932.49649812747</v>
      </c>
      <c r="AK18" s="162">
        <f t="shared" si="55"/>
        <v>686090.8099246847</v>
      </c>
      <c r="AL18" s="162">
        <f t="shared" si="56"/>
        <v>711227.19466341147</v>
      </c>
      <c r="AM18" s="162"/>
      <c r="AN18" s="162">
        <f t="shared" si="16"/>
        <v>860597.07187605056</v>
      </c>
      <c r="AO18" s="162">
        <f t="shared" si="17"/>
        <v>860597.07187605056</v>
      </c>
      <c r="AP18" s="162">
        <f t="shared" si="18"/>
        <v>860597.07187605056</v>
      </c>
      <c r="AQ18" s="162">
        <f t="shared" si="19"/>
        <v>860597.07187605056</v>
      </c>
      <c r="AR18" s="162">
        <f t="shared" si="20"/>
        <v>874284.88313571294</v>
      </c>
      <c r="AS18" s="162">
        <f t="shared" si="21"/>
        <v>926549.65248984611</v>
      </c>
      <c r="AT18" s="162">
        <f t="shared" si="22"/>
        <v>997828.33063562214</v>
      </c>
      <c r="AU18" s="162">
        <f t="shared" si="23"/>
        <v>994521.1215527684</v>
      </c>
      <c r="AV18" s="162">
        <f t="shared" si="24"/>
        <v>1045755.0212983747</v>
      </c>
      <c r="AW18" s="162">
        <f t="shared" si="25"/>
        <v>1099264.192093381</v>
      </c>
      <c r="AX18" s="162"/>
      <c r="AY18" s="162">
        <f t="shared" si="8"/>
        <v>272002.31341902749</v>
      </c>
      <c r="AZ18" s="162">
        <f t="shared" si="8"/>
        <v>272002.31341902749</v>
      </c>
      <c r="BA18" s="162">
        <f t="shared" si="8"/>
        <v>272002.31341902749</v>
      </c>
      <c r="BB18" s="162">
        <f t="shared" si="8"/>
        <v>272002.31341902749</v>
      </c>
      <c r="BC18" s="162">
        <f t="shared" si="8"/>
        <v>270867.49591065396</v>
      </c>
      <c r="BD18" s="162">
        <f t="shared" si="8"/>
        <v>296919.50987234723</v>
      </c>
      <c r="BE18" s="162">
        <f t="shared" si="8"/>
        <v>328668.90522721922</v>
      </c>
      <c r="BF18" s="162">
        <f t="shared" si="8"/>
        <v>336588.62505464093</v>
      </c>
      <c r="BG18" s="162">
        <f t="shared" si="8"/>
        <v>359664.21137369005</v>
      </c>
      <c r="BH18" s="162">
        <f t="shared" si="8"/>
        <v>388036.99742996949</v>
      </c>
    </row>
    <row r="19" spans="1:74" hidden="1" outlineLevel="2">
      <c r="A19" s="115"/>
      <c r="B19" s="170" t="s">
        <v>662</v>
      </c>
      <c r="C19" s="113"/>
      <c r="D19" s="114">
        <v>9.4799999999999995E-2</v>
      </c>
      <c r="E19" s="171">
        <v>5108.3500000000004</v>
      </c>
      <c r="F19" s="160">
        <f t="shared" si="12"/>
        <v>53885.548523206759</v>
      </c>
      <c r="G19" s="161">
        <f t="shared" si="4"/>
        <v>3.1027006930475626E-2</v>
      </c>
      <c r="H19" s="152">
        <f t="shared" si="4"/>
        <v>3.1027006930475626E-2</v>
      </c>
      <c r="I19" s="152">
        <f t="shared" si="4"/>
        <v>3.1027006930475626E-2</v>
      </c>
      <c r="J19" s="152">
        <f t="shared" si="4"/>
        <v>3.1027006930475626E-2</v>
      </c>
      <c r="K19" s="152">
        <f t="shared" si="4"/>
        <v>3.1808362521747506E-2</v>
      </c>
      <c r="L19" s="152">
        <f t="shared" si="4"/>
        <v>3.3190133819473867E-2</v>
      </c>
      <c r="M19" s="152">
        <f t="shared" si="4"/>
        <v>3.5273868534212528E-2</v>
      </c>
      <c r="N19" s="152">
        <f t="shared" si="4"/>
        <v>3.4682055582938152E-2</v>
      </c>
      <c r="O19" s="152">
        <f t="shared" si="4"/>
        <v>3.6166384441262647E-2</v>
      </c>
      <c r="P19" s="152">
        <f t="shared" si="4"/>
        <v>3.7491416260336391E-2</v>
      </c>
      <c r="Q19" s="152"/>
      <c r="R19" s="152">
        <f t="shared" si="13"/>
        <v>4.5365255007439743E-2</v>
      </c>
      <c r="S19" s="152">
        <f t="shared" si="26"/>
        <v>4.5365255007439743E-2</v>
      </c>
      <c r="T19" s="152">
        <f t="shared" si="26"/>
        <v>4.5365255007439743E-2</v>
      </c>
      <c r="U19" s="152">
        <f t="shared" si="26"/>
        <v>4.5365255007439743E-2</v>
      </c>
      <c r="V19" s="152">
        <f t="shared" si="26"/>
        <v>4.6086790170154913E-2</v>
      </c>
      <c r="W19" s="152">
        <f t="shared" si="26"/>
        <v>4.8841859490210381E-2</v>
      </c>
      <c r="X19" s="152">
        <f t="shared" si="26"/>
        <v>5.2599222275128234E-2</v>
      </c>
      <c r="Y19" s="152">
        <f t="shared" si="26"/>
        <v>5.2424887051003524E-2</v>
      </c>
      <c r="Z19" s="152">
        <f t="shared" si="26"/>
        <v>5.5125615420806524E-2</v>
      </c>
      <c r="AA19" s="152">
        <f t="shared" si="26"/>
        <v>5.7946281743851739E-2</v>
      </c>
      <c r="AC19" s="162">
        <f t="shared" si="27"/>
        <v>1671.9072874820167</v>
      </c>
      <c r="AD19" s="162">
        <f t="shared" si="48"/>
        <v>1671.9072874820167</v>
      </c>
      <c r="AE19" s="162">
        <f t="shared" si="49"/>
        <v>1671.9072874820167</v>
      </c>
      <c r="AF19" s="162">
        <f t="shared" si="50"/>
        <v>1671.9072874820167</v>
      </c>
      <c r="AG19" s="162">
        <f t="shared" si="51"/>
        <v>1714.0110621093766</v>
      </c>
      <c r="AH19" s="162">
        <f t="shared" si="52"/>
        <v>1788.4685664209846</v>
      </c>
      <c r="AI19" s="162">
        <f t="shared" si="53"/>
        <v>1900.7517545015253</v>
      </c>
      <c r="AJ19" s="162">
        <f t="shared" si="54"/>
        <v>1868.8615889989676</v>
      </c>
      <c r="AK19" s="162">
        <f t="shared" si="55"/>
        <v>1948.8454637186082</v>
      </c>
      <c r="AL19" s="162">
        <f t="shared" si="56"/>
        <v>2020.2455301000994</v>
      </c>
      <c r="AM19" s="162"/>
      <c r="AN19" s="162">
        <f t="shared" si="16"/>
        <v>2444.5316499710425</v>
      </c>
      <c r="AO19" s="162">
        <f t="shared" si="17"/>
        <v>2444.5316499710425</v>
      </c>
      <c r="AP19" s="162">
        <f t="shared" si="18"/>
        <v>2444.5316499710425</v>
      </c>
      <c r="AQ19" s="162">
        <f t="shared" si="19"/>
        <v>2444.5316499710425</v>
      </c>
      <c r="AR19" s="162">
        <f t="shared" si="20"/>
        <v>2483.4119679927308</v>
      </c>
      <c r="AS19" s="162">
        <f t="shared" si="21"/>
        <v>2631.870389523378</v>
      </c>
      <c r="AT19" s="162">
        <f t="shared" si="22"/>
        <v>2834.3379441893603</v>
      </c>
      <c r="AU19" s="162">
        <f t="shared" si="23"/>
        <v>2824.9437950104839</v>
      </c>
      <c r="AV19" s="162">
        <f t="shared" si="24"/>
        <v>2970.4740246295046</v>
      </c>
      <c r="AW19" s="162">
        <f t="shared" si="25"/>
        <v>3122.4671766477327</v>
      </c>
      <c r="AX19" s="162"/>
      <c r="AY19" s="162">
        <f t="shared" si="8"/>
        <v>772.62436248902577</v>
      </c>
      <c r="AZ19" s="162">
        <f t="shared" si="8"/>
        <v>772.62436248902577</v>
      </c>
      <c r="BA19" s="162">
        <f t="shared" si="8"/>
        <v>772.62436248902577</v>
      </c>
      <c r="BB19" s="162">
        <f t="shared" si="8"/>
        <v>772.62436248902577</v>
      </c>
      <c r="BC19" s="162">
        <f t="shared" si="8"/>
        <v>769.4009058833542</v>
      </c>
      <c r="BD19" s="162">
        <f t="shared" si="8"/>
        <v>843.40182310239334</v>
      </c>
      <c r="BE19" s="162">
        <f t="shared" si="8"/>
        <v>933.58618968783503</v>
      </c>
      <c r="BF19" s="162">
        <f t="shared" si="8"/>
        <v>956.08220601151629</v>
      </c>
      <c r="BG19" s="162">
        <f t="shared" si="8"/>
        <v>1021.6285609108963</v>
      </c>
      <c r="BH19" s="162">
        <f t="shared" si="8"/>
        <v>1102.2216465476333</v>
      </c>
      <c r="BU19" s="152"/>
      <c r="BV19" s="151"/>
    </row>
    <row r="20" spans="1:74" hidden="1" outlineLevel="2">
      <c r="A20" s="115"/>
      <c r="B20" s="170" t="s">
        <v>608</v>
      </c>
      <c r="C20" s="113"/>
      <c r="D20" s="114">
        <v>2434.2610499999987</v>
      </c>
      <c r="E20" s="171">
        <v>2199889</v>
      </c>
      <c r="F20" s="160">
        <f t="shared" si="12"/>
        <v>903.71942647646654</v>
      </c>
      <c r="G20" s="152">
        <f t="shared" si="4"/>
        <v>796.70711465123259</v>
      </c>
      <c r="H20" s="152">
        <f t="shared" si="4"/>
        <v>796.70711465123259</v>
      </c>
      <c r="I20" s="152">
        <f t="shared" si="4"/>
        <v>796.70711465123259</v>
      </c>
      <c r="J20" s="152">
        <f t="shared" si="4"/>
        <v>796.70711465123259</v>
      </c>
      <c r="K20" s="152">
        <f t="shared" si="4"/>
        <v>816.77065349124155</v>
      </c>
      <c r="L20" s="152">
        <f t="shared" si="4"/>
        <v>852.25158228937687</v>
      </c>
      <c r="M20" s="152">
        <f t="shared" si="4"/>
        <v>905.75742885711077</v>
      </c>
      <c r="N20" s="152">
        <f t="shared" si="4"/>
        <v>890.56093923503533</v>
      </c>
      <c r="O20" s="152">
        <f t="shared" si="4"/>
        <v>928.67532663176837</v>
      </c>
      <c r="P20" s="152">
        <f t="shared" si="4"/>
        <v>962.69930708727316</v>
      </c>
      <c r="Q20" s="152"/>
      <c r="R20" s="152">
        <f t="shared" si="13"/>
        <v>1164.8826296194936</v>
      </c>
      <c r="S20" s="152">
        <f t="shared" si="26"/>
        <v>1164.8826296194936</v>
      </c>
      <c r="T20" s="152">
        <f t="shared" si="26"/>
        <v>1164.8826296194936</v>
      </c>
      <c r="U20" s="152">
        <f t="shared" si="26"/>
        <v>1164.8826296194936</v>
      </c>
      <c r="V20" s="152">
        <f t="shared" si="26"/>
        <v>1183.4101079191025</v>
      </c>
      <c r="W20" s="152">
        <f t="shared" si="26"/>
        <v>1254.1543899429528</v>
      </c>
      <c r="X20" s="152">
        <f t="shared" si="26"/>
        <v>1350.6354224117827</v>
      </c>
      <c r="Y20" s="152">
        <f t="shared" si="26"/>
        <v>1346.15886707708</v>
      </c>
      <c r="Z20" s="152">
        <f t="shared" si="26"/>
        <v>1415.5077898327913</v>
      </c>
      <c r="AA20" s="152">
        <f t="shared" si="26"/>
        <v>1487.9364624618597</v>
      </c>
      <c r="AC20" s="162">
        <f t="shared" ref="AC20" si="57">G20*$F20</f>
        <v>719999.69672233239</v>
      </c>
      <c r="AD20" s="162">
        <f t="shared" si="48"/>
        <v>719999.69672233239</v>
      </c>
      <c r="AE20" s="162">
        <f t="shared" si="49"/>
        <v>719999.69672233239</v>
      </c>
      <c r="AF20" s="162">
        <f t="shared" si="50"/>
        <v>719999.69672233239</v>
      </c>
      <c r="AG20" s="162">
        <f t="shared" si="51"/>
        <v>738131.50653591356</v>
      </c>
      <c r="AH20" s="162">
        <f t="shared" si="52"/>
        <v>770196.31116021681</v>
      </c>
      <c r="AI20" s="162">
        <f t="shared" si="53"/>
        <v>818550.58413354703</v>
      </c>
      <c r="AJ20" s="162">
        <f t="shared" si="54"/>
        <v>804817.2212478295</v>
      </c>
      <c r="AK20" s="162">
        <f t="shared" si="55"/>
        <v>839261.93356650695</v>
      </c>
      <c r="AL20" s="162">
        <f t="shared" si="56"/>
        <v>870010.06567020225</v>
      </c>
      <c r="AM20" s="162"/>
      <c r="AN20" s="162">
        <f t="shared" si="16"/>
        <v>1052727.0619521269</v>
      </c>
      <c r="AO20" s="162">
        <f t="shared" si="17"/>
        <v>1052727.0619521269</v>
      </c>
      <c r="AP20" s="162">
        <f t="shared" si="18"/>
        <v>1052727.0619521269</v>
      </c>
      <c r="AQ20" s="162">
        <f t="shared" si="19"/>
        <v>1052727.0619521269</v>
      </c>
      <c r="AR20" s="162">
        <f t="shared" si="20"/>
        <v>1069470.7040151048</v>
      </c>
      <c r="AS20" s="162">
        <f t="shared" si="21"/>
        <v>1133403.6859921881</v>
      </c>
      <c r="AT20" s="162">
        <f t="shared" si="22"/>
        <v>1220595.4693207764</v>
      </c>
      <c r="AU20" s="162">
        <f t="shared" si="23"/>
        <v>1216549.9193011087</v>
      </c>
      <c r="AV20" s="162">
        <f t="shared" si="24"/>
        <v>1279221.8880006608</v>
      </c>
      <c r="AW20" s="162">
        <f t="shared" si="25"/>
        <v>1344677.0864894544</v>
      </c>
      <c r="AX20" s="162"/>
      <c r="AY20" s="162">
        <f t="shared" si="8"/>
        <v>332727.36522979452</v>
      </c>
      <c r="AZ20" s="162">
        <f t="shared" ref="AZ20" si="58">AO20-AD20</f>
        <v>332727.36522979452</v>
      </c>
      <c r="BA20" s="162">
        <f t="shared" ref="BA20" si="59">AP20-AE20</f>
        <v>332727.36522979452</v>
      </c>
      <c r="BB20" s="162">
        <f t="shared" ref="BB20" si="60">AQ20-AF20</f>
        <v>332727.36522979452</v>
      </c>
      <c r="BC20" s="162">
        <f t="shared" ref="BC20" si="61">AR20-AG20</f>
        <v>331339.19747919124</v>
      </c>
      <c r="BD20" s="162">
        <f t="shared" ref="BD20" si="62">AS20-AH20</f>
        <v>363207.37483197125</v>
      </c>
      <c r="BE20" s="162">
        <f t="shared" ref="BE20" si="63">AT20-AI20</f>
        <v>402044.88518722937</v>
      </c>
      <c r="BF20" s="162">
        <f t="shared" ref="BF20" si="64">AU20-AJ20</f>
        <v>411732.69805327919</v>
      </c>
      <c r="BG20" s="162">
        <f t="shared" ref="BG20" si="65">AV20-AK20</f>
        <v>439959.95443415386</v>
      </c>
      <c r="BH20" s="162">
        <f t="shared" ref="BH20" si="66">AW20-AL20</f>
        <v>474667.02081925212</v>
      </c>
      <c r="BU20" s="152"/>
      <c r="BV20" s="151"/>
    </row>
    <row r="21" spans="1:74" hidden="1" outlineLevel="2">
      <c r="A21" s="115"/>
      <c r="B21" s="170" t="s">
        <v>609</v>
      </c>
      <c r="C21" s="113"/>
      <c r="D21" s="114">
        <v>46971.5</v>
      </c>
      <c r="E21" s="171">
        <v>2138898.3199999998</v>
      </c>
      <c r="F21" s="160">
        <f t="shared" si="12"/>
        <v>45.536087201813864</v>
      </c>
      <c r="G21" s="152">
        <f t="shared" ref="G21:P26" si="67">$D21/$D$51*G$3</f>
        <v>15373.260084755655</v>
      </c>
      <c r="H21" s="152">
        <f t="shared" si="67"/>
        <v>15373.260084755655</v>
      </c>
      <c r="I21" s="152">
        <f t="shared" si="67"/>
        <v>15373.260084755655</v>
      </c>
      <c r="J21" s="152">
        <f t="shared" si="67"/>
        <v>15373.260084755655</v>
      </c>
      <c r="K21" s="152">
        <f t="shared" si="67"/>
        <v>15760.406120150456</v>
      </c>
      <c r="L21" s="152">
        <f t="shared" si="67"/>
        <v>16445.046104445326</v>
      </c>
      <c r="M21" s="152">
        <f t="shared" si="67"/>
        <v>17477.494892982741</v>
      </c>
      <c r="N21" s="152">
        <f t="shared" si="67"/>
        <v>17184.263436856323</v>
      </c>
      <c r="O21" s="152">
        <f t="shared" si="67"/>
        <v>17919.718636949037</v>
      </c>
      <c r="P21" s="152">
        <f t="shared" si="67"/>
        <v>18576.245346755179</v>
      </c>
      <c r="Q21" s="152"/>
      <c r="R21" s="152">
        <f t="shared" si="13"/>
        <v>22477.574636940466</v>
      </c>
      <c r="S21" s="152">
        <f t="shared" si="26"/>
        <v>22477.574636940466</v>
      </c>
      <c r="T21" s="152">
        <f t="shared" si="26"/>
        <v>22477.574636940466</v>
      </c>
      <c r="U21" s="152">
        <f t="shared" si="26"/>
        <v>22477.574636940466</v>
      </c>
      <c r="V21" s="152">
        <f t="shared" si="26"/>
        <v>22835.080848918056</v>
      </c>
      <c r="W21" s="152">
        <f t="shared" si="26"/>
        <v>24200.162479371487</v>
      </c>
      <c r="X21" s="152">
        <f t="shared" si="26"/>
        <v>26061.860433504073</v>
      </c>
      <c r="Y21" s="152">
        <f t="shared" si="26"/>
        <v>25975.480824010679</v>
      </c>
      <c r="Z21" s="152">
        <f t="shared" si="26"/>
        <v>27313.637602725885</v>
      </c>
      <c r="AA21" s="152">
        <f t="shared" si="26"/>
        <v>28711.22123345287</v>
      </c>
      <c r="AC21" s="162">
        <f t="shared" si="27"/>
        <v>700038.11179559794</v>
      </c>
      <c r="AD21" s="162">
        <f t="shared" si="48"/>
        <v>700038.11179559794</v>
      </c>
      <c r="AE21" s="162">
        <f t="shared" si="49"/>
        <v>700038.11179559794</v>
      </c>
      <c r="AF21" s="162">
        <f t="shared" si="50"/>
        <v>700038.11179559794</v>
      </c>
      <c r="AG21" s="162">
        <f t="shared" si="51"/>
        <v>717667.22742317209</v>
      </c>
      <c r="AH21" s="162">
        <f t="shared" si="52"/>
        <v>748843.05344987172</v>
      </c>
      <c r="AI21" s="162">
        <f t="shared" si="53"/>
        <v>795856.73151611851</v>
      </c>
      <c r="AJ21" s="162">
        <f t="shared" si="54"/>
        <v>782504.11835963116</v>
      </c>
      <c r="AK21" s="162">
        <f t="shared" si="55"/>
        <v>815993.8704840804</v>
      </c>
      <c r="AL21" s="162">
        <f t="shared" si="56"/>
        <v>845889.52799213282</v>
      </c>
      <c r="AM21" s="162"/>
      <c r="AN21" s="162">
        <f t="shared" si="16"/>
        <v>1023540.7987530007</v>
      </c>
      <c r="AO21" s="162">
        <f t="shared" si="17"/>
        <v>1023540.7987530007</v>
      </c>
      <c r="AP21" s="162">
        <f t="shared" si="18"/>
        <v>1023540.7987530007</v>
      </c>
      <c r="AQ21" s="162">
        <f t="shared" si="19"/>
        <v>1023540.7987530007</v>
      </c>
      <c r="AR21" s="162">
        <f t="shared" si="20"/>
        <v>1039820.2327968023</v>
      </c>
      <c r="AS21" s="162">
        <f t="shared" si="21"/>
        <v>1101980.708958724</v>
      </c>
      <c r="AT21" s="162">
        <f t="shared" si="22"/>
        <v>1186755.1493415439</v>
      </c>
      <c r="AU21" s="162">
        <f t="shared" si="23"/>
        <v>1182821.7599111942</v>
      </c>
      <c r="AV21" s="162">
        <f t="shared" si="24"/>
        <v>1243756.183676468</v>
      </c>
      <c r="AW21" s="162">
        <f t="shared" si="25"/>
        <v>1307396.6737570798</v>
      </c>
      <c r="AX21" s="162"/>
      <c r="AY21" s="162">
        <f t="shared" si="8"/>
        <v>323502.68695740274</v>
      </c>
      <c r="AZ21" s="162">
        <f t="shared" si="8"/>
        <v>323502.68695740274</v>
      </c>
      <c r="BA21" s="162">
        <f t="shared" si="8"/>
        <v>323502.68695740274</v>
      </c>
      <c r="BB21" s="162">
        <f t="shared" si="8"/>
        <v>323502.68695740274</v>
      </c>
      <c r="BC21" s="162">
        <f t="shared" si="8"/>
        <v>322153.00537363021</v>
      </c>
      <c r="BD21" s="162">
        <f t="shared" si="8"/>
        <v>353137.65550885233</v>
      </c>
      <c r="BE21" s="162">
        <f t="shared" si="8"/>
        <v>390898.41782542539</v>
      </c>
      <c r="BF21" s="162">
        <f t="shared" si="8"/>
        <v>400317.64155156305</v>
      </c>
      <c r="BG21" s="162">
        <f t="shared" si="8"/>
        <v>427762.31319238758</v>
      </c>
      <c r="BH21" s="162">
        <f t="shared" si="8"/>
        <v>461507.14576494694</v>
      </c>
    </row>
    <row r="22" spans="1:74" hidden="1" outlineLevel="2">
      <c r="A22" s="115"/>
      <c r="B22" s="170" t="s">
        <v>663</v>
      </c>
      <c r="C22" s="113"/>
      <c r="D22" s="114">
        <v>34408.97</v>
      </c>
      <c r="E22" s="171">
        <v>22309945.300000001</v>
      </c>
      <c r="F22" s="160">
        <f t="shared" si="12"/>
        <v>648.37585373813863</v>
      </c>
      <c r="G22" s="152">
        <f t="shared" si="67"/>
        <v>11261.68091414059</v>
      </c>
      <c r="H22" s="152">
        <f t="shared" si="67"/>
        <v>11261.68091414059</v>
      </c>
      <c r="I22" s="152">
        <f t="shared" si="67"/>
        <v>11261.68091414059</v>
      </c>
      <c r="J22" s="152">
        <f t="shared" si="67"/>
        <v>11261.68091414059</v>
      </c>
      <c r="K22" s="152">
        <f t="shared" si="67"/>
        <v>11545.284723206059</v>
      </c>
      <c r="L22" s="152">
        <f t="shared" si="67"/>
        <v>12046.817709812887</v>
      </c>
      <c r="M22" s="152">
        <f t="shared" si="67"/>
        <v>12803.138018751717</v>
      </c>
      <c r="N22" s="152">
        <f t="shared" si="67"/>
        <v>12588.331330080711</v>
      </c>
      <c r="O22" s="152">
        <f t="shared" si="67"/>
        <v>13127.089000504993</v>
      </c>
      <c r="P22" s="152">
        <f t="shared" si="67"/>
        <v>13608.027609276656</v>
      </c>
      <c r="Q22" s="152"/>
      <c r="R22" s="152">
        <f t="shared" si="13"/>
        <v>16465.946187693502</v>
      </c>
      <c r="S22" s="152">
        <f t="shared" si="26"/>
        <v>16465.946187693502</v>
      </c>
      <c r="T22" s="152">
        <f t="shared" si="26"/>
        <v>16465.946187693502</v>
      </c>
      <c r="U22" s="152">
        <f t="shared" si="26"/>
        <v>16465.946187693502</v>
      </c>
      <c r="V22" s="152">
        <f t="shared" si="26"/>
        <v>16727.837345581807</v>
      </c>
      <c r="W22" s="152">
        <f t="shared" si="26"/>
        <v>17727.827826401524</v>
      </c>
      <c r="X22" s="152">
        <f t="shared" si="26"/>
        <v>19091.614570550835</v>
      </c>
      <c r="Y22" s="152">
        <f t="shared" si="26"/>
        <v>19028.337191892075</v>
      </c>
      <c r="Z22" s="152">
        <f t="shared" si="26"/>
        <v>20008.603873903681</v>
      </c>
      <c r="AA22" s="152">
        <f t="shared" si="26"/>
        <v>21032.403693415003</v>
      </c>
      <c r="AC22" s="162">
        <f t="shared" si="27"/>
        <v>7301801.9772324068</v>
      </c>
      <c r="AD22" s="162">
        <f t="shared" si="48"/>
        <v>7301801.9772324068</v>
      </c>
      <c r="AE22" s="162">
        <f t="shared" si="49"/>
        <v>7301801.9772324068</v>
      </c>
      <c r="AF22" s="162">
        <f t="shared" si="50"/>
        <v>7301801.9772324068</v>
      </c>
      <c r="AG22" s="162">
        <f t="shared" si="51"/>
        <v>7485683.8390586181</v>
      </c>
      <c r="AH22" s="162">
        <f t="shared" si="52"/>
        <v>7810865.7174276588</v>
      </c>
      <c r="AI22" s="162">
        <f t="shared" si="53"/>
        <v>8301245.543435365</v>
      </c>
      <c r="AJ22" s="162">
        <f t="shared" si="54"/>
        <v>8161970.0732796397</v>
      </c>
      <c r="AK22" s="162">
        <f t="shared" si="55"/>
        <v>8511287.5377989542</v>
      </c>
      <c r="AL22" s="162">
        <f t="shared" si="56"/>
        <v>8823116.5188569129</v>
      </c>
      <c r="AM22" s="162"/>
      <c r="AN22" s="162">
        <f t="shared" si="16"/>
        <v>10676121.917052023</v>
      </c>
      <c r="AO22" s="162">
        <f t="shared" si="17"/>
        <v>10676121.917052023</v>
      </c>
      <c r="AP22" s="162">
        <f t="shared" si="18"/>
        <v>10676121.917052023</v>
      </c>
      <c r="AQ22" s="162">
        <f t="shared" si="19"/>
        <v>10676121.917052023</v>
      </c>
      <c r="AR22" s="162">
        <f t="shared" si="20"/>
        <v>10845925.820134323</v>
      </c>
      <c r="AS22" s="162">
        <f t="shared" si="21"/>
        <v>11494295.501865819</v>
      </c>
      <c r="AT22" s="162">
        <f t="shared" si="22"/>
        <v>12378541.896420384</v>
      </c>
      <c r="AU22" s="162">
        <f t="shared" si="23"/>
        <v>12337514.372010199</v>
      </c>
      <c r="AV22" s="162">
        <f t="shared" si="24"/>
        <v>12973095.618850527</v>
      </c>
      <c r="AW22" s="162">
        <f t="shared" si="25"/>
        <v>13636902.700883133</v>
      </c>
      <c r="AX22" s="162"/>
      <c r="AY22" s="162">
        <f t="shared" ref="AY22:AY50" si="68">AN22-AC22</f>
        <v>3374319.9398196163</v>
      </c>
      <c r="AZ22" s="162">
        <f t="shared" si="8"/>
        <v>3374319.9398196163</v>
      </c>
      <c r="BA22" s="162">
        <f t="shared" si="8"/>
        <v>3374319.9398196163</v>
      </c>
      <c r="BB22" s="162">
        <f t="shared" si="8"/>
        <v>3374319.9398196163</v>
      </c>
      <c r="BC22" s="162">
        <f t="shared" si="8"/>
        <v>3360241.981075705</v>
      </c>
      <c r="BD22" s="162">
        <f t="shared" si="8"/>
        <v>3683429.7844381602</v>
      </c>
      <c r="BE22" s="162">
        <f t="shared" si="8"/>
        <v>4077296.3529850189</v>
      </c>
      <c r="BF22" s="162">
        <f t="shared" si="8"/>
        <v>4175544.2987305596</v>
      </c>
      <c r="BG22" s="162">
        <f t="shared" si="8"/>
        <v>4461808.0810515732</v>
      </c>
      <c r="BH22" s="162">
        <f t="shared" si="8"/>
        <v>4813786.1820262205</v>
      </c>
    </row>
    <row r="23" spans="1:74" hidden="1" outlineLevel="1" collapsed="1">
      <c r="A23" s="172" t="s">
        <v>208</v>
      </c>
      <c r="B23" s="158"/>
      <c r="C23" s="158"/>
      <c r="D23" s="158">
        <v>510.27600000000001</v>
      </c>
      <c r="E23" s="171">
        <v>787680.4</v>
      </c>
      <c r="F23" s="160">
        <f t="shared" si="12"/>
        <v>1543.6359930704168</v>
      </c>
      <c r="G23" s="152">
        <f t="shared" si="67"/>
        <v>167.0077741398247</v>
      </c>
      <c r="H23" s="152">
        <f t="shared" si="67"/>
        <v>167.0077741398247</v>
      </c>
      <c r="I23" s="152">
        <f t="shared" si="67"/>
        <v>167.0077741398247</v>
      </c>
      <c r="J23" s="152">
        <f t="shared" si="67"/>
        <v>167.0077741398247</v>
      </c>
      <c r="K23" s="152">
        <f t="shared" si="67"/>
        <v>171.21354424205941</v>
      </c>
      <c r="L23" s="152">
        <f t="shared" si="67"/>
        <v>178.65114688677056</v>
      </c>
      <c r="M23" s="152">
        <f t="shared" si="67"/>
        <v>189.86717869371131</v>
      </c>
      <c r="N23" s="152">
        <f t="shared" si="67"/>
        <v>186.68165184218722</v>
      </c>
      <c r="O23" s="152">
        <f t="shared" si="67"/>
        <v>194.67128678427997</v>
      </c>
      <c r="P23" s="152">
        <f t="shared" si="67"/>
        <v>201.80348020737776</v>
      </c>
      <c r="Q23" s="152"/>
      <c r="R23" s="152">
        <f t="shared" si="13"/>
        <v>244.18566312422286</v>
      </c>
      <c r="S23" s="152">
        <f t="shared" si="26"/>
        <v>244.18566312422286</v>
      </c>
      <c r="T23" s="152">
        <f t="shared" si="26"/>
        <v>244.18566312422286</v>
      </c>
      <c r="U23" s="152">
        <f t="shared" si="26"/>
        <v>244.18566312422286</v>
      </c>
      <c r="V23" s="152">
        <f t="shared" si="26"/>
        <v>248.06944030449336</v>
      </c>
      <c r="W23" s="152">
        <f t="shared" si="26"/>
        <v>262.8990368483818</v>
      </c>
      <c r="X23" s="152">
        <f t="shared" si="26"/>
        <v>283.12363655763016</v>
      </c>
      <c r="Y23" s="152">
        <f t="shared" si="26"/>
        <v>282.18524962909152</v>
      </c>
      <c r="Z23" s="152">
        <f t="shared" si="26"/>
        <v>296.72234740999443</v>
      </c>
      <c r="AA23" s="152">
        <f t="shared" si="26"/>
        <v>311.90503020174782</v>
      </c>
      <c r="AC23" s="162">
        <f t="shared" si="27"/>
        <v>257799.21128480817</v>
      </c>
      <c r="AD23" s="162">
        <f t="shared" si="48"/>
        <v>257799.21128480817</v>
      </c>
      <c r="AE23" s="162">
        <f t="shared" si="49"/>
        <v>257799.21128480817</v>
      </c>
      <c r="AF23" s="162">
        <f t="shared" si="50"/>
        <v>257799.21128480817</v>
      </c>
      <c r="AG23" s="162">
        <f t="shared" si="51"/>
        <v>264291.38939319714</v>
      </c>
      <c r="AH23" s="162">
        <f t="shared" si="52"/>
        <v>275772.34053772897</v>
      </c>
      <c r="AI23" s="162">
        <f t="shared" si="53"/>
        <v>293085.81093434535</v>
      </c>
      <c r="AJ23" s="162">
        <f t="shared" si="54"/>
        <v>288168.5170294405</v>
      </c>
      <c r="AK23" s="162">
        <f t="shared" si="55"/>
        <v>300501.60509754793</v>
      </c>
      <c r="AL23" s="162">
        <f t="shared" si="56"/>
        <v>311511.11557498178</v>
      </c>
      <c r="AM23" s="162"/>
      <c r="AN23" s="162">
        <f t="shared" si="16"/>
        <v>376933.77859031799</v>
      </c>
      <c r="AO23" s="162">
        <f t="shared" si="17"/>
        <v>376933.77859031799</v>
      </c>
      <c r="AP23" s="162">
        <f t="shared" si="18"/>
        <v>376933.77859031799</v>
      </c>
      <c r="AQ23" s="162">
        <f t="shared" si="19"/>
        <v>376933.77859031799</v>
      </c>
      <c r="AR23" s="162">
        <f t="shared" si="20"/>
        <v>382928.91683484911</v>
      </c>
      <c r="AS23" s="162">
        <f t="shared" si="21"/>
        <v>405820.41582270793</v>
      </c>
      <c r="AT23" s="162">
        <f t="shared" si="22"/>
        <v>437039.83587934519</v>
      </c>
      <c r="AU23" s="162">
        <f t="shared" si="23"/>
        <v>435591.30804102618</v>
      </c>
      <c r="AV23" s="162">
        <f t="shared" si="24"/>
        <v>458031.29541041196</v>
      </c>
      <c r="AW23" s="162">
        <f t="shared" si="25"/>
        <v>481467.83103913337</v>
      </c>
      <c r="AX23" s="162"/>
      <c r="AY23" s="162">
        <f t="shared" si="68"/>
        <v>119134.56730550982</v>
      </c>
      <c r="AZ23" s="162">
        <f t="shared" si="8"/>
        <v>119134.56730550982</v>
      </c>
      <c r="BA23" s="162">
        <f t="shared" si="8"/>
        <v>119134.56730550982</v>
      </c>
      <c r="BB23" s="162">
        <f t="shared" si="8"/>
        <v>119134.56730550982</v>
      </c>
      <c r="BC23" s="162">
        <f t="shared" si="8"/>
        <v>118637.52744165197</v>
      </c>
      <c r="BD23" s="162">
        <f t="shared" si="8"/>
        <v>130048.07528497896</v>
      </c>
      <c r="BE23" s="162">
        <f t="shared" si="8"/>
        <v>143954.02494499984</v>
      </c>
      <c r="BF23" s="162">
        <f t="shared" si="8"/>
        <v>147422.79101158568</v>
      </c>
      <c r="BG23" s="162">
        <f t="shared" si="8"/>
        <v>157529.69031286403</v>
      </c>
      <c r="BH23" s="162">
        <f t="shared" si="8"/>
        <v>169956.71546415158</v>
      </c>
    </row>
    <row r="24" spans="1:74" hidden="1" outlineLevel="1">
      <c r="A24" s="172" t="s">
        <v>610</v>
      </c>
      <c r="B24" s="158"/>
      <c r="C24" s="158"/>
      <c r="D24" s="173">
        <v>0.01</v>
      </c>
      <c r="E24" s="171">
        <v>177394.3</v>
      </c>
      <c r="F24" s="160">
        <f>E24/D24</f>
        <v>17739430</v>
      </c>
      <c r="G24" s="152">
        <f t="shared" si="67"/>
        <v>3.2728910264214804E-3</v>
      </c>
      <c r="H24" s="152">
        <f t="shared" si="67"/>
        <v>3.2728910264214804E-3</v>
      </c>
      <c r="I24" s="152">
        <f t="shared" si="67"/>
        <v>3.2728910264214804E-3</v>
      </c>
      <c r="J24" s="152">
        <f t="shared" si="67"/>
        <v>3.2728910264214804E-3</v>
      </c>
      <c r="K24" s="152">
        <f t="shared" si="67"/>
        <v>3.3553125022940415E-3</v>
      </c>
      <c r="L24" s="152">
        <f t="shared" si="67"/>
        <v>3.5010689682989319E-3</v>
      </c>
      <c r="M24" s="152">
        <f t="shared" si="67"/>
        <v>3.7208722082502669E-3</v>
      </c>
      <c r="N24" s="152">
        <f t="shared" si="67"/>
        <v>3.6584446817445313E-3</v>
      </c>
      <c r="O24" s="152">
        <f t="shared" si="67"/>
        <v>3.815019455829394E-3</v>
      </c>
      <c r="P24" s="152">
        <f t="shared" si="67"/>
        <v>3.9547907447612229E-3</v>
      </c>
      <c r="Q24" s="152"/>
      <c r="R24" s="152">
        <f t="shared" si="13"/>
        <v>4.7853644522615774E-3</v>
      </c>
      <c r="S24" s="152">
        <f t="shared" si="26"/>
        <v>4.7853644522615774E-3</v>
      </c>
      <c r="T24" s="152">
        <f t="shared" si="26"/>
        <v>4.7853644522615774E-3</v>
      </c>
      <c r="U24" s="152">
        <f t="shared" si="26"/>
        <v>4.7853644522615774E-3</v>
      </c>
      <c r="V24" s="152">
        <f t="shared" si="26"/>
        <v>4.8614757563454564E-3</v>
      </c>
      <c r="W24" s="152">
        <f t="shared" si="26"/>
        <v>5.152094882933585E-3</v>
      </c>
      <c r="X24" s="152">
        <f t="shared" si="26"/>
        <v>5.5484411682624728E-3</v>
      </c>
      <c r="Y24" s="152">
        <f t="shared" si="26"/>
        <v>5.5300513766881366E-3</v>
      </c>
      <c r="Z24" s="152">
        <f t="shared" si="26"/>
        <v>5.8149383355281152E-3</v>
      </c>
      <c r="AA24" s="152">
        <f t="shared" si="26"/>
        <v>6.1124769771995517E-3</v>
      </c>
      <c r="AC24" s="162">
        <f t="shared" si="27"/>
        <v>58059.221260832004</v>
      </c>
      <c r="AD24" s="162">
        <f t="shared" si="48"/>
        <v>58059.221260832004</v>
      </c>
      <c r="AE24" s="162">
        <f t="shared" si="49"/>
        <v>58059.221260832004</v>
      </c>
      <c r="AF24" s="162">
        <f t="shared" si="50"/>
        <v>58059.221260832004</v>
      </c>
      <c r="AG24" s="162">
        <f t="shared" si="51"/>
        <v>59521.331262569991</v>
      </c>
      <c r="AH24" s="162">
        <f t="shared" si="52"/>
        <v>62106.967888311119</v>
      </c>
      <c r="AI24" s="162">
        <f t="shared" si="53"/>
        <v>66006.152077201026</v>
      </c>
      <c r="AJ24" s="162">
        <f t="shared" si="54"/>
        <v>64898.723340679389</v>
      </c>
      <c r="AK24" s="162">
        <f t="shared" si="55"/>
        <v>67676.270585323626</v>
      </c>
      <c r="AL24" s="162">
        <f t="shared" si="56"/>
        <v>70155.733581339577</v>
      </c>
      <c r="AM24" s="162"/>
      <c r="AN24" s="162">
        <f t="shared" si="16"/>
        <v>84889.637725382592</v>
      </c>
      <c r="AO24" s="162">
        <f t="shared" si="17"/>
        <v>84889.637725382592</v>
      </c>
      <c r="AP24" s="162">
        <f t="shared" si="18"/>
        <v>84889.637725382592</v>
      </c>
      <c r="AQ24" s="162">
        <f t="shared" si="19"/>
        <v>84889.637725382592</v>
      </c>
      <c r="AR24" s="162">
        <f t="shared" si="20"/>
        <v>86239.80887638728</v>
      </c>
      <c r="AS24" s="162">
        <f t="shared" si="21"/>
        <v>91395.226529158521</v>
      </c>
      <c r="AT24" s="162">
        <f t="shared" si="22"/>
        <v>98426.183713510356</v>
      </c>
      <c r="AU24" s="162">
        <f t="shared" si="23"/>
        <v>98099.959293162829</v>
      </c>
      <c r="AV24" s="162">
        <f t="shared" si="24"/>
        <v>103153.69155741751</v>
      </c>
      <c r="AW24" s="162">
        <f t="shared" si="25"/>
        <v>108431.85746364304</v>
      </c>
      <c r="AX24" s="162"/>
      <c r="AY24" s="174">
        <f>AN24-AC24</f>
        <v>26830.416464550588</v>
      </c>
      <c r="AZ24" s="162">
        <f t="shared" si="8"/>
        <v>26830.416464550588</v>
      </c>
      <c r="BA24" s="162">
        <f t="shared" si="8"/>
        <v>26830.416464550588</v>
      </c>
      <c r="BB24" s="162">
        <f t="shared" si="8"/>
        <v>26830.416464550588</v>
      </c>
      <c r="BC24" s="162">
        <f t="shared" si="8"/>
        <v>26718.477613817289</v>
      </c>
      <c r="BD24" s="162">
        <f t="shared" si="8"/>
        <v>29288.258640847402</v>
      </c>
      <c r="BE24" s="162">
        <f t="shared" si="8"/>
        <v>32420.03163630933</v>
      </c>
      <c r="BF24" s="162">
        <f t="shared" si="8"/>
        <v>33201.235952483439</v>
      </c>
      <c r="BG24" s="162">
        <f t="shared" si="8"/>
        <v>35477.420972093882</v>
      </c>
      <c r="BH24" s="162">
        <f t="shared" si="8"/>
        <v>38276.123882303466</v>
      </c>
    </row>
    <row r="25" spans="1:74" hidden="1" outlineLevel="1">
      <c r="A25" s="175" t="s">
        <v>209</v>
      </c>
      <c r="B25" s="176"/>
      <c r="C25" s="176"/>
      <c r="D25" s="114">
        <v>18139.954400000006</v>
      </c>
      <c r="E25" s="171">
        <v>15407119.809999999</v>
      </c>
      <c r="F25" s="160">
        <f t="shared" si="12"/>
        <v>849.34721831494755</v>
      </c>
      <c r="G25" s="152">
        <f t="shared" si="67"/>
        <v>5937.0093975454865</v>
      </c>
      <c r="H25" s="152">
        <f t="shared" si="67"/>
        <v>5937.0093975454865</v>
      </c>
      <c r="I25" s="152">
        <f t="shared" si="67"/>
        <v>5937.0093975454865</v>
      </c>
      <c r="J25" s="152">
        <f t="shared" si="67"/>
        <v>5937.0093975454865</v>
      </c>
      <c r="K25" s="152">
        <f t="shared" si="67"/>
        <v>6086.5215789363829</v>
      </c>
      <c r="L25" s="152">
        <f t="shared" si="67"/>
        <v>6350.9231436197688</v>
      </c>
      <c r="M25" s="152">
        <f t="shared" si="67"/>
        <v>6749.6452185887174</v>
      </c>
      <c r="N25" s="152">
        <f t="shared" si="67"/>
        <v>6636.4019701768329</v>
      </c>
      <c r="O25" s="152">
        <f t="shared" si="67"/>
        <v>6920.4278963858042</v>
      </c>
      <c r="P25" s="152">
        <f t="shared" si="67"/>
        <v>7173.9723771510653</v>
      </c>
      <c r="Q25" s="152"/>
      <c r="R25" s="152">
        <f t="shared" si="13"/>
        <v>8680.6292951406012</v>
      </c>
      <c r="S25" s="152">
        <f t="shared" si="26"/>
        <v>8680.6292951406012</v>
      </c>
      <c r="T25" s="152">
        <f t="shared" si="26"/>
        <v>8680.6292951406012</v>
      </c>
      <c r="U25" s="152">
        <f t="shared" si="26"/>
        <v>8680.6292951406012</v>
      </c>
      <c r="V25" s="152">
        <f t="shared" si="26"/>
        <v>8818.6948536812106</v>
      </c>
      <c r="W25" s="152">
        <f t="shared" si="26"/>
        <v>9345.8766240888599</v>
      </c>
      <c r="X25" s="152">
        <f t="shared" si="26"/>
        <v>10064.846978336402</v>
      </c>
      <c r="Y25" s="152">
        <f t="shared" si="26"/>
        <v>10031.487980278005</v>
      </c>
      <c r="Z25" s="152">
        <f t="shared" si="26"/>
        <v>10548.271624529194</v>
      </c>
      <c r="AA25" s="152">
        <f t="shared" si="26"/>
        <v>11088.005363744975</v>
      </c>
      <c r="AC25" s="162">
        <f t="shared" si="27"/>
        <v>5042582.4169149613</v>
      </c>
      <c r="AD25" s="162">
        <f t="shared" ref="AD25:AD26" si="69">H25*$F25</f>
        <v>5042582.4169149613</v>
      </c>
      <c r="AE25" s="162">
        <f t="shared" ref="AE25:AE26" si="70">I25*$F25</f>
        <v>5042582.4169149613</v>
      </c>
      <c r="AF25" s="162">
        <f t="shared" ref="AF25:AF26" si="71">J25*$F25</f>
        <v>5042582.4169149613</v>
      </c>
      <c r="AG25" s="162">
        <f t="shared" ref="AG25:AG26" si="72">K25*$F25</f>
        <v>5169570.1722835191</v>
      </c>
      <c r="AH25" s="162">
        <f t="shared" ref="AH25:AH26" si="73">L25*$F25</f>
        <v>5394138.9057654729</v>
      </c>
      <c r="AI25" s="162">
        <f t="shared" ref="AI25:AI26" si="74">M25*$F25</f>
        <v>5732792.3910211129</v>
      </c>
      <c r="AJ25" s="162">
        <f t="shared" ref="AJ25:AJ26" si="75">N25*$F25</f>
        <v>5636609.5529895304</v>
      </c>
      <c r="AK25" s="162">
        <f t="shared" ref="AK25:AK26" si="76">O25*$F25</f>
        <v>5877846.1833444471</v>
      </c>
      <c r="AL25" s="162">
        <f t="shared" ref="AL25:AL26" si="77">P25*$F25</f>
        <v>6093193.4828015296</v>
      </c>
      <c r="AM25" s="162"/>
      <c r="AN25" s="162">
        <f t="shared" si="16"/>
        <v>7372868.3450509133</v>
      </c>
      <c r="AO25" s="162">
        <f t="shared" si="17"/>
        <v>7372868.3450509133</v>
      </c>
      <c r="AP25" s="162">
        <f t="shared" si="18"/>
        <v>7372868.3450509133</v>
      </c>
      <c r="AQ25" s="162">
        <f t="shared" si="19"/>
        <v>7372868.3450509133</v>
      </c>
      <c r="AR25" s="162">
        <f t="shared" si="20"/>
        <v>7490133.9431424793</v>
      </c>
      <c r="AS25" s="162">
        <f t="shared" si="21"/>
        <v>7937894.3133845655</v>
      </c>
      <c r="AT25" s="162">
        <f t="shared" si="22"/>
        <v>8548549.7838156279</v>
      </c>
      <c r="AU25" s="162">
        <f t="shared" si="23"/>
        <v>8520216.4116089549</v>
      </c>
      <c r="AV25" s="162">
        <f t="shared" si="24"/>
        <v>8959145.1623243634</v>
      </c>
      <c r="AW25" s="162">
        <f t="shared" si="25"/>
        <v>9417566.5123580117</v>
      </c>
      <c r="AX25" s="162"/>
      <c r="AY25" s="162">
        <f t="shared" si="68"/>
        <v>2330285.928135952</v>
      </c>
      <c r="AZ25" s="162">
        <f t="shared" si="8"/>
        <v>2330285.928135952</v>
      </c>
      <c r="BA25" s="162">
        <f t="shared" si="8"/>
        <v>2330285.928135952</v>
      </c>
      <c r="BB25" s="162">
        <f t="shared" si="8"/>
        <v>2330285.928135952</v>
      </c>
      <c r="BC25" s="162">
        <f t="shared" si="8"/>
        <v>2320563.7708589602</v>
      </c>
      <c r="BD25" s="162">
        <f t="shared" si="8"/>
        <v>2543755.4076190926</v>
      </c>
      <c r="BE25" s="162">
        <f t="shared" si="8"/>
        <v>2815757.392794515</v>
      </c>
      <c r="BF25" s="162">
        <f t="shared" si="8"/>
        <v>2883606.8586194245</v>
      </c>
      <c r="BG25" s="162">
        <f t="shared" si="8"/>
        <v>3081298.9789799163</v>
      </c>
      <c r="BH25" s="162">
        <f t="shared" si="8"/>
        <v>3324373.0295564821</v>
      </c>
      <c r="BV25" s="161"/>
    </row>
    <row r="26" spans="1:74" hidden="1" outlineLevel="1">
      <c r="A26" s="163" t="s">
        <v>210</v>
      </c>
      <c r="B26" s="177"/>
      <c r="C26" s="177"/>
      <c r="D26" s="165">
        <v>9000</v>
      </c>
      <c r="E26" s="178">
        <v>4134910.85</v>
      </c>
      <c r="F26" s="160">
        <f t="shared" si="12"/>
        <v>459.43453888888888</v>
      </c>
      <c r="G26" s="152">
        <f t="shared" si="67"/>
        <v>2945.6019237793321</v>
      </c>
      <c r="H26" s="152">
        <f t="shared" si="67"/>
        <v>2945.6019237793321</v>
      </c>
      <c r="I26" s="152">
        <f t="shared" si="67"/>
        <v>2945.6019237793321</v>
      </c>
      <c r="J26" s="152">
        <f t="shared" si="67"/>
        <v>2945.6019237793321</v>
      </c>
      <c r="K26" s="152">
        <f t="shared" si="67"/>
        <v>3019.7812520646371</v>
      </c>
      <c r="L26" s="152">
        <f t="shared" si="67"/>
        <v>3150.9620714690386</v>
      </c>
      <c r="M26" s="152">
        <f t="shared" si="67"/>
        <v>3348.7849874252402</v>
      </c>
      <c r="N26" s="152">
        <f t="shared" si="67"/>
        <v>3292.6002135700778</v>
      </c>
      <c r="O26" s="152">
        <f t="shared" si="67"/>
        <v>3433.5175102464545</v>
      </c>
      <c r="P26" s="152">
        <f t="shared" si="67"/>
        <v>3559.3116702851007</v>
      </c>
      <c r="Q26" s="152"/>
      <c r="R26" s="152">
        <f t="shared" si="13"/>
        <v>4306.8280070354194</v>
      </c>
      <c r="S26" s="152">
        <f t="shared" si="26"/>
        <v>4306.8280070354194</v>
      </c>
      <c r="T26" s="152">
        <f t="shared" si="26"/>
        <v>4306.8280070354194</v>
      </c>
      <c r="U26" s="152">
        <f t="shared" si="26"/>
        <v>4306.8280070354194</v>
      </c>
      <c r="V26" s="152">
        <f t="shared" si="26"/>
        <v>4375.3281807109106</v>
      </c>
      <c r="W26" s="152">
        <f t="shared" si="26"/>
        <v>4636.8853946402269</v>
      </c>
      <c r="X26" s="152">
        <f t="shared" si="26"/>
        <v>4993.5970514362252</v>
      </c>
      <c r="Y26" s="152">
        <f t="shared" si="26"/>
        <v>4977.0462390193225</v>
      </c>
      <c r="Z26" s="152">
        <f t="shared" si="26"/>
        <v>5233.444501975303</v>
      </c>
      <c r="AA26" s="152">
        <f t="shared" si="26"/>
        <v>5501.2292794795967</v>
      </c>
      <c r="AC26" s="162">
        <f t="shared" si="27"/>
        <v>1353311.2616017815</v>
      </c>
      <c r="AD26" s="162">
        <f t="shared" si="69"/>
        <v>1353311.2616017815</v>
      </c>
      <c r="AE26" s="162">
        <f t="shared" si="70"/>
        <v>1353311.2616017815</v>
      </c>
      <c r="AF26" s="162">
        <f t="shared" si="71"/>
        <v>1353311.2616017815</v>
      </c>
      <c r="AG26" s="162">
        <f t="shared" si="72"/>
        <v>1387391.8070876282</v>
      </c>
      <c r="AH26" s="162">
        <f t="shared" si="73"/>
        <v>1447660.8063617558</v>
      </c>
      <c r="AI26" s="162">
        <f t="shared" si="74"/>
        <v>1538547.4865357487</v>
      </c>
      <c r="AJ26" s="162">
        <f t="shared" si="75"/>
        <v>1512734.2608670257</v>
      </c>
      <c r="AK26" s="162">
        <f t="shared" si="76"/>
        <v>1577476.5340870055</v>
      </c>
      <c r="AL26" s="162">
        <f t="shared" si="77"/>
        <v>1635270.7159992761</v>
      </c>
      <c r="AM26" s="162"/>
      <c r="AN26" s="162">
        <f t="shared" si="16"/>
        <v>1978705.5394860702</v>
      </c>
      <c r="AO26" s="162">
        <f t="shared" si="17"/>
        <v>1978705.5394860702</v>
      </c>
      <c r="AP26" s="162">
        <f t="shared" si="18"/>
        <v>1978705.5394860702</v>
      </c>
      <c r="AQ26" s="162">
        <f t="shared" si="19"/>
        <v>1978705.5394860702</v>
      </c>
      <c r="AR26" s="162">
        <f t="shared" si="20"/>
        <v>2010176.8851924783</v>
      </c>
      <c r="AS26" s="162">
        <f t="shared" si="21"/>
        <v>2130345.3031671564</v>
      </c>
      <c r="AT26" s="162">
        <f t="shared" si="22"/>
        <v>2294230.9587235171</v>
      </c>
      <c r="AU26" s="162">
        <f t="shared" si="23"/>
        <v>2286626.943852521</v>
      </c>
      <c r="AV26" s="162">
        <f t="shared" si="24"/>
        <v>2404425.1615656139</v>
      </c>
      <c r="AW26" s="162">
        <f t="shared" si="25"/>
        <v>2527454.737339763</v>
      </c>
      <c r="AX26" s="162"/>
      <c r="AY26" s="162">
        <f t="shared" si="68"/>
        <v>625394.27788428869</v>
      </c>
      <c r="AZ26" s="162">
        <f t="shared" si="8"/>
        <v>625394.27788428869</v>
      </c>
      <c r="BA26" s="162">
        <f t="shared" si="8"/>
        <v>625394.27788428869</v>
      </c>
      <c r="BB26" s="162">
        <f t="shared" si="8"/>
        <v>625394.27788428869</v>
      </c>
      <c r="BC26" s="162">
        <f t="shared" si="8"/>
        <v>622785.07810485014</v>
      </c>
      <c r="BD26" s="162">
        <f t="shared" si="8"/>
        <v>682684.49680540059</v>
      </c>
      <c r="BE26" s="162">
        <f t="shared" si="8"/>
        <v>755683.47218776844</v>
      </c>
      <c r="BF26" s="162">
        <f t="shared" si="8"/>
        <v>773892.68298549531</v>
      </c>
      <c r="BG26" s="162">
        <f t="shared" si="8"/>
        <v>826948.6274786084</v>
      </c>
      <c r="BH26" s="162">
        <f t="shared" si="8"/>
        <v>892184.02134048683</v>
      </c>
    </row>
    <row r="27" spans="1:74" collapsed="1">
      <c r="A27" s="116" t="s">
        <v>611</v>
      </c>
      <c r="B27" s="116"/>
      <c r="C27" s="116"/>
      <c r="D27" s="117">
        <v>140653.82254999998</v>
      </c>
      <c r="E27" s="118">
        <v>75779781.660999998</v>
      </c>
      <c r="F27" s="160">
        <f t="shared" si="12"/>
        <v>538.76802128190729</v>
      </c>
      <c r="G27" s="179">
        <f>G11+G12+SUM(G23:G26)</f>
        <v>46034.463365577416</v>
      </c>
      <c r="H27" s="179">
        <f t="shared" ref="H27:P27" si="78">H11+H12+SUM(H23:H26)</f>
        <v>46034.463365577416</v>
      </c>
      <c r="I27" s="179">
        <f t="shared" si="78"/>
        <v>46034.463365577416</v>
      </c>
      <c r="J27" s="179">
        <f t="shared" si="78"/>
        <v>46034.463365577416</v>
      </c>
      <c r="K27" s="179">
        <f t="shared" si="78"/>
        <v>47193.752929746261</v>
      </c>
      <c r="L27" s="179">
        <f t="shared" si="78"/>
        <v>49243.87334024295</v>
      </c>
      <c r="M27" s="179">
        <f t="shared" si="78"/>
        <v>52335.489931045966</v>
      </c>
      <c r="N27" s="179">
        <f t="shared" si="78"/>
        <v>51457.422907508648</v>
      </c>
      <c r="O27" s="179">
        <f t="shared" si="78"/>
        <v>53659.706956502516</v>
      </c>
      <c r="P27" s="179">
        <f t="shared" si="78"/>
        <v>55625.643563602745</v>
      </c>
      <c r="Q27" s="152"/>
      <c r="R27" s="179">
        <f>R11+R12+SUM(R23:R26)</f>
        <v>67307.980250547771</v>
      </c>
      <c r="S27" s="179">
        <f t="shared" ref="S27:AA27" si="79">S11+S12+SUM(S23:S26)</f>
        <v>67307.980250547771</v>
      </c>
      <c r="T27" s="179">
        <f t="shared" si="79"/>
        <v>67307.980250547771</v>
      </c>
      <c r="U27" s="179">
        <f t="shared" si="79"/>
        <v>67307.980250547771</v>
      </c>
      <c r="V27" s="179">
        <f t="shared" si="79"/>
        <v>68378.514836414077</v>
      </c>
      <c r="W27" s="179">
        <f t="shared" si="79"/>
        <v>72466.183942490345</v>
      </c>
      <c r="X27" s="179">
        <f t="shared" si="79"/>
        <v>78040.945950990455</v>
      </c>
      <c r="Y27" s="179">
        <f t="shared" si="79"/>
        <v>77782.286502907635</v>
      </c>
      <c r="Z27" s="179">
        <f t="shared" si="79"/>
        <v>81789.330478456381</v>
      </c>
      <c r="AA27" s="179">
        <f t="shared" si="79"/>
        <v>85974.325209198621</v>
      </c>
      <c r="AC27" s="180">
        <f>AC11+AC12+SUM(AC23:AC26)</f>
        <v>24801896.73824659</v>
      </c>
      <c r="AD27" s="180">
        <f t="shared" ref="AD27:AL27" si="80">AD11+AD12+SUM(AD23:AD26)</f>
        <v>24801896.73824659</v>
      </c>
      <c r="AE27" s="180">
        <f t="shared" si="80"/>
        <v>24801896.73824659</v>
      </c>
      <c r="AF27" s="180">
        <f t="shared" si="80"/>
        <v>24801896.73824659</v>
      </c>
      <c r="AG27" s="180">
        <f t="shared" si="80"/>
        <v>25426484.8828266</v>
      </c>
      <c r="AH27" s="180">
        <f t="shared" si="80"/>
        <v>26531024.199779555</v>
      </c>
      <c r="AI27" s="180">
        <f t="shared" si="80"/>
        <v>28196688.352968812</v>
      </c>
      <c r="AJ27" s="180">
        <f t="shared" si="80"/>
        <v>27723613.920144714</v>
      </c>
      <c r="AK27" s="180">
        <f t="shared" si="80"/>
        <v>28910134.139521848</v>
      </c>
      <c r="AL27" s="180">
        <f t="shared" si="80"/>
        <v>29969317.915294901</v>
      </c>
      <c r="AM27" s="169"/>
      <c r="AN27" s="180">
        <f>AN11+AN12+SUM(AN23:AN26)</f>
        <v>36263387.336069316</v>
      </c>
      <c r="AO27" s="180">
        <f t="shared" ref="AO27:AW27" si="81">AO11+AO12+SUM(AO23:AO26)</f>
        <v>36263387.336069316</v>
      </c>
      <c r="AP27" s="180">
        <f t="shared" si="81"/>
        <v>36263387.336069316</v>
      </c>
      <c r="AQ27" s="180">
        <f t="shared" si="81"/>
        <v>36263387.336069316</v>
      </c>
      <c r="AR27" s="180">
        <f t="shared" si="81"/>
        <v>36840157.136610344</v>
      </c>
      <c r="AS27" s="180">
        <f t="shared" si="81"/>
        <v>39042462.532546237</v>
      </c>
      <c r="AT27" s="180">
        <f t="shared" si="81"/>
        <v>42045966.028983384</v>
      </c>
      <c r="AU27" s="180">
        <f t="shared" si="81"/>
        <v>41906608.589953937</v>
      </c>
      <c r="AV27" s="180">
        <f t="shared" si="81"/>
        <v>44065475.743849918</v>
      </c>
      <c r="AW27" s="180">
        <f t="shared" si="81"/>
        <v>46320217.074007124</v>
      </c>
      <c r="AX27" s="169"/>
      <c r="AY27" s="180">
        <f t="shared" si="68"/>
        <v>11461490.597822726</v>
      </c>
      <c r="AZ27" s="180">
        <f t="shared" si="8"/>
        <v>11461490.597822726</v>
      </c>
      <c r="BA27" s="180">
        <f t="shared" si="8"/>
        <v>11461490.597822726</v>
      </c>
      <c r="BB27" s="180">
        <f t="shared" si="8"/>
        <v>11461490.597822726</v>
      </c>
      <c r="BC27" s="180">
        <f t="shared" si="8"/>
        <v>11413672.253783744</v>
      </c>
      <c r="BD27" s="180">
        <f t="shared" si="8"/>
        <v>12511438.332766682</v>
      </c>
      <c r="BE27" s="180">
        <f t="shared" si="8"/>
        <v>13849277.676014572</v>
      </c>
      <c r="BF27" s="180">
        <f t="shared" si="8"/>
        <v>14182994.669809222</v>
      </c>
      <c r="BG27" s="180">
        <f t="shared" si="8"/>
        <v>15155341.60432807</v>
      </c>
      <c r="BH27" s="180">
        <f t="shared" si="8"/>
        <v>16350899.158712223</v>
      </c>
    </row>
    <row r="28" spans="1:74">
      <c r="A28" s="119"/>
      <c r="B28" s="181"/>
      <c r="C28" s="181"/>
      <c r="D28" s="120"/>
      <c r="E28" s="121"/>
      <c r="F28" s="160"/>
      <c r="G28" s="152"/>
      <c r="H28" s="152"/>
      <c r="I28" s="152"/>
      <c r="J28" s="152"/>
      <c r="K28" s="152"/>
      <c r="L28" s="152"/>
      <c r="M28" s="152"/>
      <c r="N28" s="152"/>
      <c r="O28" s="152"/>
      <c r="P28" s="152"/>
      <c r="Q28" s="152"/>
      <c r="R28" s="152"/>
      <c r="S28" s="152"/>
      <c r="T28" s="152"/>
      <c r="U28" s="152"/>
      <c r="V28" s="152"/>
      <c r="W28" s="152"/>
      <c r="X28" s="152"/>
      <c r="Y28" s="152"/>
      <c r="Z28" s="152"/>
      <c r="AA28" s="152"/>
      <c r="AC28" s="162"/>
      <c r="AD28" s="162"/>
      <c r="AE28" s="162"/>
      <c r="AF28" s="162"/>
      <c r="AG28" s="162"/>
      <c r="AH28" s="162"/>
      <c r="AI28" s="162"/>
      <c r="AJ28" s="162"/>
      <c r="AK28" s="162"/>
      <c r="AL28" s="162"/>
      <c r="AM28" s="162"/>
      <c r="AN28" s="162">
        <f t="shared" si="16"/>
        <v>0</v>
      </c>
      <c r="AO28" s="162">
        <f t="shared" ref="AO28:AO37" si="82">S28*$F28</f>
        <v>0</v>
      </c>
      <c r="AP28" s="162">
        <f t="shared" ref="AP28:AP37" si="83">T28*$F28</f>
        <v>0</v>
      </c>
      <c r="AQ28" s="162">
        <f t="shared" ref="AQ28:AQ37" si="84">U28*$F28</f>
        <v>0</v>
      </c>
      <c r="AR28" s="162">
        <f t="shared" ref="AR28:AR37" si="85">V28*$F28</f>
        <v>0</v>
      </c>
      <c r="AS28" s="162">
        <f t="shared" ref="AS28:AS37" si="86">W28*$F28</f>
        <v>0</v>
      </c>
      <c r="AT28" s="162">
        <f t="shared" ref="AT28:AT37" si="87">X28*$F28</f>
        <v>0</v>
      </c>
      <c r="AU28" s="162">
        <f t="shared" ref="AU28:AU37" si="88">Y28*$F28</f>
        <v>0</v>
      </c>
      <c r="AV28" s="162">
        <f t="shared" ref="AV28:AV37" si="89">Z28*$F28</f>
        <v>0</v>
      </c>
      <c r="AW28" s="162">
        <f t="shared" ref="AW28:AW37" si="90">AA28*$F28</f>
        <v>0</v>
      </c>
      <c r="AX28" s="162"/>
      <c r="AY28" s="162">
        <f t="shared" si="68"/>
        <v>0</v>
      </c>
      <c r="AZ28" s="162">
        <f t="shared" si="8"/>
        <v>0</v>
      </c>
      <c r="BA28" s="162">
        <f t="shared" si="8"/>
        <v>0</v>
      </c>
      <c r="BB28" s="162">
        <f t="shared" si="8"/>
        <v>0</v>
      </c>
      <c r="BC28" s="162">
        <f t="shared" si="8"/>
        <v>0</v>
      </c>
      <c r="BD28" s="162">
        <f t="shared" si="8"/>
        <v>0</v>
      </c>
      <c r="BE28" s="162">
        <f t="shared" si="8"/>
        <v>0</v>
      </c>
      <c r="BF28" s="162">
        <f t="shared" si="8"/>
        <v>0</v>
      </c>
      <c r="BG28" s="162">
        <f t="shared" si="8"/>
        <v>0</v>
      </c>
      <c r="BH28" s="162">
        <f t="shared" si="8"/>
        <v>0</v>
      </c>
    </row>
    <row r="29" spans="1:74">
      <c r="A29" s="182" t="s">
        <v>612</v>
      </c>
      <c r="B29" s="182"/>
      <c r="C29" s="183"/>
      <c r="D29" s="184"/>
      <c r="E29" s="184"/>
      <c r="F29" s="160"/>
      <c r="G29" s="152"/>
      <c r="H29" s="152"/>
      <c r="I29" s="152"/>
      <c r="J29" s="152"/>
      <c r="K29" s="152"/>
      <c r="L29" s="152"/>
      <c r="M29" s="152"/>
      <c r="N29" s="152"/>
      <c r="O29" s="152"/>
      <c r="P29" s="152"/>
      <c r="Q29" s="152"/>
      <c r="R29" s="152"/>
      <c r="S29" s="152"/>
      <c r="T29" s="152"/>
      <c r="U29" s="152"/>
      <c r="V29" s="152"/>
      <c r="W29" s="152"/>
      <c r="X29" s="152"/>
      <c r="Y29" s="152"/>
      <c r="Z29" s="152"/>
      <c r="AA29" s="152"/>
      <c r="AC29" s="162"/>
      <c r="AD29" s="162"/>
      <c r="AE29" s="162"/>
      <c r="AF29" s="162"/>
      <c r="AG29" s="162"/>
      <c r="AH29" s="162"/>
      <c r="AI29" s="162"/>
      <c r="AJ29" s="162"/>
      <c r="AK29" s="162"/>
      <c r="AL29" s="162"/>
      <c r="AM29" s="162"/>
      <c r="AN29" s="162">
        <f t="shared" si="16"/>
        <v>0</v>
      </c>
      <c r="AO29" s="162">
        <f t="shared" si="82"/>
        <v>0</v>
      </c>
      <c r="AP29" s="162">
        <f t="shared" si="83"/>
        <v>0</v>
      </c>
      <c r="AQ29" s="162">
        <f t="shared" si="84"/>
        <v>0</v>
      </c>
      <c r="AR29" s="162">
        <f t="shared" si="85"/>
        <v>0</v>
      </c>
      <c r="AS29" s="162">
        <f t="shared" si="86"/>
        <v>0</v>
      </c>
      <c r="AT29" s="162">
        <f t="shared" si="87"/>
        <v>0</v>
      </c>
      <c r="AU29" s="162">
        <f t="shared" si="88"/>
        <v>0</v>
      </c>
      <c r="AV29" s="162">
        <f t="shared" si="89"/>
        <v>0</v>
      </c>
      <c r="AW29" s="162">
        <f t="shared" si="90"/>
        <v>0</v>
      </c>
      <c r="AX29" s="162"/>
      <c r="AY29" s="162">
        <f t="shared" si="68"/>
        <v>0</v>
      </c>
      <c r="AZ29" s="162">
        <f t="shared" si="8"/>
        <v>0</v>
      </c>
      <c r="BA29" s="162">
        <f t="shared" si="8"/>
        <v>0</v>
      </c>
      <c r="BB29" s="162">
        <f t="shared" si="8"/>
        <v>0</v>
      </c>
      <c r="BC29" s="162">
        <f t="shared" si="8"/>
        <v>0</v>
      </c>
      <c r="BD29" s="162">
        <f t="shared" si="8"/>
        <v>0</v>
      </c>
      <c r="BE29" s="162">
        <f t="shared" si="8"/>
        <v>0</v>
      </c>
      <c r="BF29" s="162">
        <f t="shared" si="8"/>
        <v>0</v>
      </c>
      <c r="BG29" s="162">
        <f t="shared" si="8"/>
        <v>0</v>
      </c>
      <c r="BH29" s="162">
        <f t="shared" si="8"/>
        <v>0</v>
      </c>
    </row>
    <row r="30" spans="1:74" hidden="1" outlineLevel="1">
      <c r="A30" s="158" t="s">
        <v>211</v>
      </c>
      <c r="B30" s="158"/>
      <c r="C30" s="177"/>
      <c r="D30" s="114">
        <v>151111.20699999999</v>
      </c>
      <c r="E30" s="171">
        <v>51665885.989000008</v>
      </c>
      <c r="F30" s="160">
        <f t="shared" si="12"/>
        <v>341.90638149690653</v>
      </c>
      <c r="G30" s="152">
        <f t="shared" ref="G30:P37" si="91">$D30/$D$51*G$3</f>
        <v>49457.051338201876</v>
      </c>
      <c r="H30" s="152">
        <f t="shared" si="91"/>
        <v>49457.051338201876</v>
      </c>
      <c r="I30" s="152">
        <f t="shared" si="91"/>
        <v>49457.051338201876</v>
      </c>
      <c r="J30" s="152">
        <f t="shared" si="91"/>
        <v>49457.051338201876</v>
      </c>
      <c r="K30" s="152">
        <f t="shared" si="91"/>
        <v>50702.532208384284</v>
      </c>
      <c r="L30" s="152">
        <f t="shared" si="91"/>
        <v>52905.075758989624</v>
      </c>
      <c r="M30" s="152">
        <f t="shared" si="91"/>
        <v>56226.549048145316</v>
      </c>
      <c r="N30" s="152">
        <f t="shared" si="91"/>
        <v>55283.199160114695</v>
      </c>
      <c r="O30" s="152">
        <f t="shared" si="91"/>
        <v>57649.219469886288</v>
      </c>
      <c r="P30" s="152">
        <f t="shared" si="91"/>
        <v>59761.320287329727</v>
      </c>
      <c r="Q30" s="152"/>
      <c r="R30" s="152">
        <f t="shared" ref="R30:AA32" si="92">$D30/$D$51*R$3</f>
        <v>72312.219831614071</v>
      </c>
      <c r="S30" s="152">
        <f t="shared" si="92"/>
        <v>72312.219831614071</v>
      </c>
      <c r="T30" s="152">
        <f t="shared" si="92"/>
        <v>72312.219831614071</v>
      </c>
      <c r="U30" s="152">
        <f t="shared" si="92"/>
        <v>72312.219831614071</v>
      </c>
      <c r="V30" s="152">
        <f t="shared" si="92"/>
        <v>73462.346934259971</v>
      </c>
      <c r="W30" s="152">
        <f t="shared" si="92"/>
        <v>77853.927633861764</v>
      </c>
      <c r="X30" s="152">
        <f t="shared" si="92"/>
        <v>83843.164190463227</v>
      </c>
      <c r="Y30" s="152">
        <f t="shared" si="92"/>
        <v>83565.273830335587</v>
      </c>
      <c r="Z30" s="152">
        <f t="shared" si="92"/>
        <v>87870.235051222437</v>
      </c>
      <c r="AA30" s="152">
        <f t="shared" si="92"/>
        <v>92366.377378433564</v>
      </c>
      <c r="AC30" s="162">
        <f t="shared" ref="AC30:AC37" si="93">G30*$F30</f>
        <v>16909681.462551344</v>
      </c>
      <c r="AD30" s="162">
        <f t="shared" ref="AD30:AD37" si="94">H30*$F30</f>
        <v>16909681.462551344</v>
      </c>
      <c r="AE30" s="162">
        <f t="shared" ref="AE30:AE37" si="95">I30*$F30</f>
        <v>16909681.462551344</v>
      </c>
      <c r="AF30" s="162">
        <f t="shared" ref="AF30:AF37" si="96">J30*$F30</f>
        <v>16909681.462551344</v>
      </c>
      <c r="AG30" s="162">
        <f t="shared" ref="AG30:AG37" si="97">K30*$F30</f>
        <v>17335519.32009903</v>
      </c>
      <c r="AH30" s="162">
        <f t="shared" ref="AH30:AH37" si="98">L30*$F30</f>
        <v>18088583.015575849</v>
      </c>
      <c r="AI30" s="162">
        <f t="shared" ref="AI30:AI37" si="99">M30*$F30</f>
        <v>19224215.9291097</v>
      </c>
      <c r="AJ30" s="162">
        <f t="shared" ref="AJ30:AJ37" si="100">N30*$F30</f>
        <v>18901678.582407638</v>
      </c>
      <c r="AK30" s="162">
        <f t="shared" ref="AK30:AK37" si="101">O30*$F30</f>
        <v>19710636.025069833</v>
      </c>
      <c r="AL30" s="162">
        <f t="shared" ref="AL30:AL37" si="102">P30*$F30</f>
        <v>20432776.772918578</v>
      </c>
      <c r="AM30" s="162"/>
      <c r="AN30" s="162">
        <f t="shared" si="16"/>
        <v>24724009.420636009</v>
      </c>
      <c r="AO30" s="162">
        <f t="shared" si="82"/>
        <v>24724009.420636009</v>
      </c>
      <c r="AP30" s="162">
        <f t="shared" si="83"/>
        <v>24724009.420636009</v>
      </c>
      <c r="AQ30" s="162">
        <f t="shared" si="84"/>
        <v>24724009.420636009</v>
      </c>
      <c r="AR30" s="162">
        <f t="shared" si="85"/>
        <v>25117245.216563191</v>
      </c>
      <c r="AS30" s="162">
        <f t="shared" si="86"/>
        <v>26618754.682615694</v>
      </c>
      <c r="AT30" s="162">
        <f t="shared" si="87"/>
        <v>28666512.881612293</v>
      </c>
      <c r="AU30" s="162">
        <f t="shared" si="88"/>
        <v>28571500.394128181</v>
      </c>
      <c r="AV30" s="162">
        <f t="shared" si="89"/>
        <v>30043394.107646108</v>
      </c>
      <c r="AW30" s="162">
        <f t="shared" si="90"/>
        <v>31580653.861437943</v>
      </c>
      <c r="AX30" s="162"/>
      <c r="AY30" s="162">
        <f t="shared" si="68"/>
        <v>7814327.9580846652</v>
      </c>
      <c r="AZ30" s="162">
        <f t="shared" si="8"/>
        <v>7814327.9580846652</v>
      </c>
      <c r="BA30" s="162">
        <f t="shared" si="8"/>
        <v>7814327.9580846652</v>
      </c>
      <c r="BB30" s="162">
        <f t="shared" si="8"/>
        <v>7814327.9580846652</v>
      </c>
      <c r="BC30" s="162">
        <f t="shared" si="8"/>
        <v>7781725.8964641616</v>
      </c>
      <c r="BD30" s="162">
        <f t="shared" si="8"/>
        <v>8530171.6670398451</v>
      </c>
      <c r="BE30" s="162">
        <f t="shared" si="8"/>
        <v>9442296.9525025934</v>
      </c>
      <c r="BF30" s="162">
        <f t="shared" si="8"/>
        <v>9669821.8117205426</v>
      </c>
      <c r="BG30" s="162">
        <f t="shared" si="8"/>
        <v>10332758.082576275</v>
      </c>
      <c r="BH30" s="162">
        <f t="shared" si="8"/>
        <v>11147877.088519365</v>
      </c>
    </row>
    <row r="31" spans="1:74" hidden="1" outlineLevel="1">
      <c r="A31" s="176" t="s">
        <v>212</v>
      </c>
      <c r="B31" s="176"/>
      <c r="C31" s="177"/>
      <c r="D31" s="114">
        <v>35000</v>
      </c>
      <c r="E31" s="171">
        <v>14034532</v>
      </c>
      <c r="F31" s="160">
        <f t="shared" si="12"/>
        <v>400.98662857142858</v>
      </c>
      <c r="G31" s="152">
        <f t="shared" si="91"/>
        <v>11455.118592475179</v>
      </c>
      <c r="H31" s="152">
        <f t="shared" si="91"/>
        <v>11455.118592475179</v>
      </c>
      <c r="I31" s="152">
        <f t="shared" si="91"/>
        <v>11455.118592475179</v>
      </c>
      <c r="J31" s="152">
        <f t="shared" si="91"/>
        <v>11455.118592475179</v>
      </c>
      <c r="K31" s="152">
        <f t="shared" si="91"/>
        <v>11743.593758029143</v>
      </c>
      <c r="L31" s="152">
        <f t="shared" si="91"/>
        <v>12253.741389046259</v>
      </c>
      <c r="M31" s="152">
        <f t="shared" si="91"/>
        <v>13023.052728875933</v>
      </c>
      <c r="N31" s="152">
        <f t="shared" si="91"/>
        <v>12804.556386105858</v>
      </c>
      <c r="O31" s="152">
        <f t="shared" si="91"/>
        <v>13352.568095402878</v>
      </c>
      <c r="P31" s="152">
        <f t="shared" si="91"/>
        <v>13841.76760666428</v>
      </c>
      <c r="Q31" s="152"/>
      <c r="R31" s="152">
        <f t="shared" si="92"/>
        <v>16748.775582915518</v>
      </c>
      <c r="S31" s="152">
        <f t="shared" si="92"/>
        <v>16748.775582915518</v>
      </c>
      <c r="T31" s="152">
        <f t="shared" si="92"/>
        <v>16748.775582915518</v>
      </c>
      <c r="U31" s="152">
        <f t="shared" si="92"/>
        <v>16748.775582915518</v>
      </c>
      <c r="V31" s="152">
        <f t="shared" si="92"/>
        <v>17015.165147209093</v>
      </c>
      <c r="W31" s="152">
        <f t="shared" si="92"/>
        <v>18032.332090267544</v>
      </c>
      <c r="X31" s="152">
        <f t="shared" si="92"/>
        <v>19419.544088918654</v>
      </c>
      <c r="Y31" s="152">
        <f t="shared" si="92"/>
        <v>19355.179818408473</v>
      </c>
      <c r="Z31" s="152">
        <f t="shared" si="92"/>
        <v>20352.284174348399</v>
      </c>
      <c r="AA31" s="152">
        <f t="shared" si="92"/>
        <v>21393.669420198428</v>
      </c>
      <c r="AC31" s="162">
        <f t="shared" si="93"/>
        <v>4593349.3842825107</v>
      </c>
      <c r="AD31" s="162">
        <f t="shared" si="94"/>
        <v>4593349.3842825107</v>
      </c>
      <c r="AE31" s="162">
        <f t="shared" si="95"/>
        <v>4593349.3842825107</v>
      </c>
      <c r="AF31" s="162">
        <f t="shared" si="96"/>
        <v>4593349.3842825107</v>
      </c>
      <c r="AG31" s="162">
        <f t="shared" si="97"/>
        <v>4709024.0683445791</v>
      </c>
      <c r="AH31" s="162">
        <f t="shared" si="98"/>
        <v>4913586.4469798338</v>
      </c>
      <c r="AI31" s="162">
        <f t="shared" si="99"/>
        <v>5222070.0074599031</v>
      </c>
      <c r="AJ31" s="162">
        <f t="shared" si="100"/>
        <v>5134455.8956173435</v>
      </c>
      <c r="AK31" s="162">
        <f t="shared" si="101"/>
        <v>5354201.2633460211</v>
      </c>
      <c r="AL31" s="162">
        <f t="shared" si="102"/>
        <v>5550363.7260655211</v>
      </c>
      <c r="AM31" s="162"/>
      <c r="AN31" s="162">
        <f t="shared" si="16"/>
        <v>6716035.0536927572</v>
      </c>
      <c r="AO31" s="162">
        <f t="shared" si="82"/>
        <v>6716035.0536927572</v>
      </c>
      <c r="AP31" s="162">
        <f t="shared" si="83"/>
        <v>6716035.0536927572</v>
      </c>
      <c r="AQ31" s="162">
        <f t="shared" si="84"/>
        <v>6716035.0536927572</v>
      </c>
      <c r="AR31" s="162">
        <f t="shared" si="85"/>
        <v>6822853.7069654493</v>
      </c>
      <c r="AS31" s="162">
        <f t="shared" si="86"/>
        <v>7230724.0501567638</v>
      </c>
      <c r="AT31" s="162">
        <f t="shared" si="87"/>
        <v>7786977.5126097053</v>
      </c>
      <c r="AU31" s="162">
        <f t="shared" si="88"/>
        <v>7761168.3007773692</v>
      </c>
      <c r="AV31" s="162">
        <f t="shared" si="89"/>
        <v>8160993.8147996049</v>
      </c>
      <c r="AW31" s="162">
        <f t="shared" si="90"/>
        <v>8578575.3735770378</v>
      </c>
      <c r="AX31" s="162"/>
      <c r="AY31" s="162">
        <f t="shared" si="68"/>
        <v>2122685.6694102464</v>
      </c>
      <c r="AZ31" s="162">
        <f t="shared" si="8"/>
        <v>2122685.6694102464</v>
      </c>
      <c r="BA31" s="162">
        <f t="shared" si="8"/>
        <v>2122685.6694102464</v>
      </c>
      <c r="BB31" s="162">
        <f t="shared" si="8"/>
        <v>2122685.6694102464</v>
      </c>
      <c r="BC31" s="162">
        <f t="shared" si="8"/>
        <v>2113829.6386208702</v>
      </c>
      <c r="BD31" s="162">
        <f t="shared" si="8"/>
        <v>2317137.60317693</v>
      </c>
      <c r="BE31" s="162">
        <f t="shared" si="8"/>
        <v>2564907.5051498022</v>
      </c>
      <c r="BF31" s="162">
        <f t="shared" si="8"/>
        <v>2626712.4051600257</v>
      </c>
      <c r="BG31" s="162">
        <f t="shared" si="8"/>
        <v>2806792.5514535839</v>
      </c>
      <c r="BH31" s="162">
        <f t="shared" si="8"/>
        <v>3028211.6475115167</v>
      </c>
    </row>
    <row r="32" spans="1:74" hidden="1" outlineLevel="1">
      <c r="A32" s="176" t="s">
        <v>213</v>
      </c>
      <c r="B32" s="176"/>
      <c r="C32" s="177"/>
      <c r="D32" s="114">
        <v>32000</v>
      </c>
      <c r="E32" s="171">
        <v>4907478.5</v>
      </c>
      <c r="F32" s="160">
        <f t="shared" si="12"/>
        <v>153.35870312500001</v>
      </c>
      <c r="G32" s="152">
        <f t="shared" si="91"/>
        <v>10473.251284548736</v>
      </c>
      <c r="H32" s="152">
        <f t="shared" si="91"/>
        <v>10473.251284548736</v>
      </c>
      <c r="I32" s="152">
        <f t="shared" si="91"/>
        <v>10473.251284548736</v>
      </c>
      <c r="J32" s="152">
        <f t="shared" si="91"/>
        <v>10473.251284548736</v>
      </c>
      <c r="K32" s="152">
        <f t="shared" si="91"/>
        <v>10737.000007340932</v>
      </c>
      <c r="L32" s="152">
        <f t="shared" si="91"/>
        <v>11203.42069855658</v>
      </c>
      <c r="M32" s="152">
        <f t="shared" si="91"/>
        <v>11906.791066400852</v>
      </c>
      <c r="N32" s="152">
        <f t="shared" si="91"/>
        <v>11707.022981582499</v>
      </c>
      <c r="O32" s="152">
        <f t="shared" si="91"/>
        <v>12208.062258654059</v>
      </c>
      <c r="P32" s="152">
        <f t="shared" si="91"/>
        <v>12655.330383235912</v>
      </c>
      <c r="Q32" s="152"/>
      <c r="R32" s="152">
        <f t="shared" si="92"/>
        <v>15313.166247237046</v>
      </c>
      <c r="S32" s="152">
        <f t="shared" si="92"/>
        <v>15313.166247237046</v>
      </c>
      <c r="T32" s="152">
        <f t="shared" si="92"/>
        <v>15313.166247237046</v>
      </c>
      <c r="U32" s="152">
        <f t="shared" si="92"/>
        <v>15313.166247237046</v>
      </c>
      <c r="V32" s="152">
        <f t="shared" si="92"/>
        <v>15556.722420305457</v>
      </c>
      <c r="W32" s="152">
        <f t="shared" si="92"/>
        <v>16486.703625387472</v>
      </c>
      <c r="X32" s="152">
        <f t="shared" si="92"/>
        <v>17755.011738439913</v>
      </c>
      <c r="Y32" s="152">
        <f t="shared" si="92"/>
        <v>17696.164405402033</v>
      </c>
      <c r="Z32" s="152">
        <f t="shared" si="92"/>
        <v>18607.802673689966</v>
      </c>
      <c r="AA32" s="152">
        <f t="shared" si="92"/>
        <v>19559.926327038564</v>
      </c>
      <c r="AC32" s="162">
        <f t="shared" si="93"/>
        <v>1606164.2345006347</v>
      </c>
      <c r="AD32" s="162">
        <f t="shared" si="94"/>
        <v>1606164.2345006347</v>
      </c>
      <c r="AE32" s="162">
        <f t="shared" si="95"/>
        <v>1606164.2345006347</v>
      </c>
      <c r="AF32" s="162">
        <f t="shared" si="96"/>
        <v>1606164.2345006347</v>
      </c>
      <c r="AG32" s="162">
        <f t="shared" si="97"/>
        <v>1646612.3965789208</v>
      </c>
      <c r="AH32" s="162">
        <f t="shared" si="98"/>
        <v>1718142.0688944187</v>
      </c>
      <c r="AI32" s="162">
        <f t="shared" si="99"/>
        <v>1826010.0363235706</v>
      </c>
      <c r="AJ32" s="162">
        <f t="shared" si="100"/>
        <v>1795373.8619100628</v>
      </c>
      <c r="AK32" s="162">
        <f t="shared" si="101"/>
        <v>1872212.595656445</v>
      </c>
      <c r="AL32" s="162">
        <f t="shared" si="102"/>
        <v>1940805.0551914689</v>
      </c>
      <c r="AM32" s="162"/>
      <c r="AN32" s="162">
        <f t="shared" si="16"/>
        <v>2348407.3164137965</v>
      </c>
      <c r="AO32" s="162">
        <f t="shared" si="82"/>
        <v>2348407.3164137965</v>
      </c>
      <c r="AP32" s="162">
        <f t="shared" si="83"/>
        <v>2348407.3164137965</v>
      </c>
      <c r="AQ32" s="162">
        <f t="shared" si="84"/>
        <v>2348407.3164137965</v>
      </c>
      <c r="AR32" s="162">
        <f t="shared" si="85"/>
        <v>2385758.7752536563</v>
      </c>
      <c r="AS32" s="162">
        <f t="shared" si="86"/>
        <v>2528379.4867956587</v>
      </c>
      <c r="AT32" s="162">
        <f t="shared" si="87"/>
        <v>2722885.5741762966</v>
      </c>
      <c r="AU32" s="162">
        <f t="shared" si="88"/>
        <v>2713860.8234992428</v>
      </c>
      <c r="AV32" s="162">
        <f t="shared" si="89"/>
        <v>2853668.4860430011</v>
      </c>
      <c r="AW32" s="162">
        <f t="shared" si="90"/>
        <v>2999684.9347351789</v>
      </c>
      <c r="AX32" s="162"/>
      <c r="AY32" s="162">
        <f t="shared" si="68"/>
        <v>742243.08191316179</v>
      </c>
      <c r="AZ32" s="162">
        <f t="shared" si="8"/>
        <v>742243.08191316179</v>
      </c>
      <c r="BA32" s="162">
        <f t="shared" si="8"/>
        <v>742243.08191316179</v>
      </c>
      <c r="BB32" s="162">
        <f t="shared" si="8"/>
        <v>742243.08191316179</v>
      </c>
      <c r="BC32" s="162">
        <f t="shared" si="8"/>
        <v>739146.37867473555</v>
      </c>
      <c r="BD32" s="162">
        <f t="shared" si="8"/>
        <v>810237.41790124006</v>
      </c>
      <c r="BE32" s="162">
        <f t="shared" si="8"/>
        <v>896875.53785272595</v>
      </c>
      <c r="BF32" s="162">
        <f t="shared" si="8"/>
        <v>918486.96158917993</v>
      </c>
      <c r="BG32" s="162">
        <f t="shared" si="8"/>
        <v>981455.89038655604</v>
      </c>
      <c r="BH32" s="162">
        <f t="shared" si="8"/>
        <v>1058879.87954371</v>
      </c>
    </row>
    <row r="33" spans="1:60" hidden="1" outlineLevel="1">
      <c r="A33" s="164" t="s">
        <v>214</v>
      </c>
      <c r="B33" s="164"/>
      <c r="C33" s="185"/>
      <c r="D33" s="122">
        <v>20042.48</v>
      </c>
      <c r="E33" s="166">
        <v>9931576.9666693192</v>
      </c>
      <c r="F33" s="160">
        <f t="shared" si="12"/>
        <v>495.52635036529011</v>
      </c>
      <c r="G33" s="167">
        <f t="shared" si="91"/>
        <v>6559.6852939231985</v>
      </c>
      <c r="H33" s="167">
        <f t="shared" si="91"/>
        <v>6559.6852939231985</v>
      </c>
      <c r="I33" s="167">
        <f t="shared" si="91"/>
        <v>6559.6852939231985</v>
      </c>
      <c r="J33" s="167">
        <f t="shared" si="91"/>
        <v>6559.6852939231985</v>
      </c>
      <c r="K33" s="167">
        <f t="shared" si="91"/>
        <v>6724.8783720978281</v>
      </c>
      <c r="L33" s="167">
        <f t="shared" si="91"/>
        <v>7017.010477575197</v>
      </c>
      <c r="M33" s="167">
        <f t="shared" si="91"/>
        <v>7457.5506816411807</v>
      </c>
      <c r="N33" s="167">
        <f t="shared" si="91"/>
        <v>7332.4304364971131</v>
      </c>
      <c r="O33" s="167">
        <f t="shared" si="91"/>
        <v>7646.2451143071512</v>
      </c>
      <c r="P33" s="167">
        <f t="shared" si="91"/>
        <v>7926.381440606192</v>
      </c>
      <c r="Q33" s="152"/>
      <c r="R33" s="167">
        <f>R34+R35</f>
        <v>9591.0571327163598</v>
      </c>
      <c r="S33" s="167">
        <f t="shared" ref="S33:AA33" si="103">S34+S35</f>
        <v>9591.0571327163598</v>
      </c>
      <c r="T33" s="167">
        <f t="shared" si="103"/>
        <v>9591.0571327163598</v>
      </c>
      <c r="U33" s="167">
        <f t="shared" si="103"/>
        <v>9591.0571327163598</v>
      </c>
      <c r="V33" s="167">
        <f t="shared" si="103"/>
        <v>9743.6030617038668</v>
      </c>
      <c r="W33" s="167">
        <f t="shared" si="103"/>
        <v>10326.075864929871</v>
      </c>
      <c r="X33" s="167">
        <f t="shared" si="103"/>
        <v>11120.452114607724</v>
      </c>
      <c r="Y33" s="167">
        <f t="shared" si="103"/>
        <v>11083.594411624443</v>
      </c>
      <c r="Z33" s="167">
        <f t="shared" si="103"/>
        <v>11654.578529105553</v>
      </c>
      <c r="AA33" s="167">
        <f t="shared" si="103"/>
        <v>12250.919756598247</v>
      </c>
      <c r="AC33" s="168">
        <f t="shared" si="93"/>
        <v>3250496.9132426279</v>
      </c>
      <c r="AD33" s="168">
        <f t="shared" si="94"/>
        <v>3250496.9132426279</v>
      </c>
      <c r="AE33" s="168">
        <f t="shared" si="95"/>
        <v>3250496.9132426279</v>
      </c>
      <c r="AF33" s="168">
        <f t="shared" si="96"/>
        <v>3250496.9132426279</v>
      </c>
      <c r="AG33" s="168">
        <f t="shared" si="97"/>
        <v>3332354.4363761102</v>
      </c>
      <c r="AH33" s="168">
        <f t="shared" si="98"/>
        <v>3477113.5924278386</v>
      </c>
      <c r="AI33" s="168">
        <f t="shared" si="99"/>
        <v>3695412.8719378361</v>
      </c>
      <c r="AJ33" s="168">
        <f t="shared" si="100"/>
        <v>3633412.4935047855</v>
      </c>
      <c r="AK33" s="168">
        <f t="shared" si="101"/>
        <v>3788915.9354910534</v>
      </c>
      <c r="AL33" s="168">
        <f t="shared" si="102"/>
        <v>3927730.8668667567</v>
      </c>
      <c r="AM33" s="169"/>
      <c r="AN33" s="168">
        <f t="shared" si="16"/>
        <v>4752621.5371199213</v>
      </c>
      <c r="AO33" s="168">
        <f t="shared" si="82"/>
        <v>4752621.5371199213</v>
      </c>
      <c r="AP33" s="168">
        <f t="shared" si="83"/>
        <v>4752621.5371199213</v>
      </c>
      <c r="AQ33" s="168">
        <f t="shared" si="84"/>
        <v>4752621.5371199213</v>
      </c>
      <c r="AR33" s="168">
        <f t="shared" si="85"/>
        <v>4828212.0645741839</v>
      </c>
      <c r="AS33" s="168">
        <f t="shared" si="86"/>
        <v>5116842.6869438058</v>
      </c>
      <c r="AT33" s="168">
        <f t="shared" si="87"/>
        <v>5510477.0507635381</v>
      </c>
      <c r="AU33" s="168">
        <f t="shared" si="88"/>
        <v>5492213.0877213851</v>
      </c>
      <c r="AV33" s="168">
        <f t="shared" si="89"/>
        <v>5775150.7635733457</v>
      </c>
      <c r="AW33" s="168">
        <f t="shared" si="90"/>
        <v>6070653.5556051573</v>
      </c>
      <c r="AX33" s="169"/>
      <c r="AY33" s="162">
        <f t="shared" si="68"/>
        <v>1502124.6238772934</v>
      </c>
      <c r="AZ33" s="168">
        <f t="shared" si="8"/>
        <v>1502124.6238772934</v>
      </c>
      <c r="BA33" s="168">
        <f t="shared" si="8"/>
        <v>1502124.6238772934</v>
      </c>
      <c r="BB33" s="168">
        <f t="shared" si="8"/>
        <v>1502124.6238772934</v>
      </c>
      <c r="BC33" s="168">
        <f t="shared" si="8"/>
        <v>1495857.6281980737</v>
      </c>
      <c r="BD33" s="168">
        <f t="shared" si="8"/>
        <v>1639729.0945159672</v>
      </c>
      <c r="BE33" s="168">
        <f t="shared" si="8"/>
        <v>1815064.1788257021</v>
      </c>
      <c r="BF33" s="168">
        <f t="shared" si="8"/>
        <v>1858800.5942165996</v>
      </c>
      <c r="BG33" s="168">
        <f t="shared" si="8"/>
        <v>1986234.8280822923</v>
      </c>
      <c r="BH33" s="168">
        <f t="shared" si="8"/>
        <v>2142922.6887384006</v>
      </c>
    </row>
    <row r="34" spans="1:60" hidden="1" outlineLevel="2">
      <c r="A34" s="177"/>
      <c r="B34" s="170" t="s">
        <v>613</v>
      </c>
      <c r="C34" s="181"/>
      <c r="D34" s="114">
        <v>9549.9349999999995</v>
      </c>
      <c r="E34" s="171">
        <v>5241600.3966740929</v>
      </c>
      <c r="F34" s="160">
        <f t="shared" si="12"/>
        <v>548.86241599278878</v>
      </c>
      <c r="G34" s="152">
        <f t="shared" si="91"/>
        <v>3125.5896564408417</v>
      </c>
      <c r="H34" s="152">
        <f t="shared" si="91"/>
        <v>3125.5896564408417</v>
      </c>
      <c r="I34" s="152">
        <f t="shared" si="91"/>
        <v>3125.5896564408417</v>
      </c>
      <c r="J34" s="152">
        <f t="shared" si="91"/>
        <v>3125.5896564408417</v>
      </c>
      <c r="K34" s="152">
        <f t="shared" si="91"/>
        <v>3204.3016301595444</v>
      </c>
      <c r="L34" s="152">
        <f t="shared" si="91"/>
        <v>3343.4981077771854</v>
      </c>
      <c r="M34" s="152">
        <f t="shared" si="91"/>
        <v>3553.4087732096509</v>
      </c>
      <c r="N34" s="152">
        <f t="shared" si="91"/>
        <v>3493.7908911755958</v>
      </c>
      <c r="O34" s="152">
        <f t="shared" si="91"/>
        <v>3643.3187826906083</v>
      </c>
      <c r="P34" s="152">
        <f t="shared" si="91"/>
        <v>3776.799455107127</v>
      </c>
      <c r="Q34" s="152"/>
      <c r="R34" s="152">
        <f t="shared" ref="R34:AA35" si="104">$D34/$D$51*R$3</f>
        <v>4569.9919470408659</v>
      </c>
      <c r="S34" s="152">
        <f t="shared" si="104"/>
        <v>4569.9919470408659</v>
      </c>
      <c r="T34" s="152">
        <f t="shared" si="104"/>
        <v>4569.9919470408659</v>
      </c>
      <c r="U34" s="152">
        <f t="shared" si="104"/>
        <v>4569.9919470408659</v>
      </c>
      <c r="V34" s="152">
        <f t="shared" si="104"/>
        <v>4642.6777477174937</v>
      </c>
      <c r="W34" s="152">
        <f t="shared" si="104"/>
        <v>4920.217124584834</v>
      </c>
      <c r="X34" s="152">
        <f t="shared" si="104"/>
        <v>5298.7252508230677</v>
      </c>
      <c r="Y34" s="152">
        <f t="shared" si="104"/>
        <v>5281.1631194032216</v>
      </c>
      <c r="Z34" s="152">
        <f t="shared" si="104"/>
        <v>5553.228313330168</v>
      </c>
      <c r="AA34" s="152">
        <f t="shared" si="104"/>
        <v>5837.3757821252193</v>
      </c>
      <c r="AC34" s="162">
        <f t="shared" si="93"/>
        <v>1715518.690236191</v>
      </c>
      <c r="AD34" s="162">
        <f t="shared" si="94"/>
        <v>1715518.690236191</v>
      </c>
      <c r="AE34" s="162">
        <f t="shared" si="95"/>
        <v>1715518.690236191</v>
      </c>
      <c r="AF34" s="162">
        <f t="shared" si="96"/>
        <v>1715518.690236191</v>
      </c>
      <c r="AG34" s="162">
        <f t="shared" si="97"/>
        <v>1758720.7342989992</v>
      </c>
      <c r="AH34" s="162">
        <f t="shared" si="98"/>
        <v>1835120.4493019036</v>
      </c>
      <c r="AI34" s="162">
        <f t="shared" si="99"/>
        <v>1950332.5242738207</v>
      </c>
      <c r="AJ34" s="162">
        <f t="shared" si="100"/>
        <v>1917610.509504236</v>
      </c>
      <c r="AK34" s="162">
        <f t="shared" si="101"/>
        <v>1999680.7492994734</v>
      </c>
      <c r="AL34" s="162">
        <f t="shared" si="102"/>
        <v>2072943.2736503459</v>
      </c>
      <c r="AM34" s="162"/>
      <c r="AN34" s="162">
        <f t="shared" si="16"/>
        <v>2508296.8211204386</v>
      </c>
      <c r="AO34" s="162">
        <f t="shared" si="82"/>
        <v>2508296.8211204386</v>
      </c>
      <c r="AP34" s="162">
        <f t="shared" si="83"/>
        <v>2508296.8211204386</v>
      </c>
      <c r="AQ34" s="162">
        <f t="shared" si="84"/>
        <v>2508296.8211204386</v>
      </c>
      <c r="AR34" s="162">
        <f t="shared" si="85"/>
        <v>2548191.3252881826</v>
      </c>
      <c r="AS34" s="162">
        <f t="shared" si="86"/>
        <v>2700522.2582087242</v>
      </c>
      <c r="AT34" s="162">
        <f t="shared" si="87"/>
        <v>2908271.1428487445</v>
      </c>
      <c r="AU34" s="162">
        <f t="shared" si="88"/>
        <v>2898631.948967665</v>
      </c>
      <c r="AV34" s="162">
        <f t="shared" si="89"/>
        <v>3047958.3086139555</v>
      </c>
      <c r="AW34" s="162">
        <f t="shared" si="90"/>
        <v>3203916.174835043</v>
      </c>
      <c r="AX34" s="162"/>
      <c r="AY34" s="162">
        <f t="shared" si="68"/>
        <v>792778.1308842476</v>
      </c>
      <c r="AZ34" s="162">
        <f t="shared" si="8"/>
        <v>792778.1308842476</v>
      </c>
      <c r="BA34" s="162">
        <f t="shared" si="8"/>
        <v>792778.1308842476</v>
      </c>
      <c r="BB34" s="162">
        <f t="shared" si="8"/>
        <v>792778.1308842476</v>
      </c>
      <c r="BC34" s="162">
        <f t="shared" si="8"/>
        <v>789470.5909891834</v>
      </c>
      <c r="BD34" s="162">
        <f t="shared" si="8"/>
        <v>865401.8089068206</v>
      </c>
      <c r="BE34" s="162">
        <f t="shared" si="8"/>
        <v>957938.61857492384</v>
      </c>
      <c r="BF34" s="162">
        <f t="shared" si="8"/>
        <v>981021.43946342892</v>
      </c>
      <c r="BG34" s="162">
        <f t="shared" si="8"/>
        <v>1048277.5593144821</v>
      </c>
      <c r="BH34" s="162">
        <f t="shared" si="8"/>
        <v>1130972.9011846972</v>
      </c>
    </row>
    <row r="35" spans="1:60" hidden="1" outlineLevel="2">
      <c r="A35" s="177"/>
      <c r="B35" s="170" t="s">
        <v>614</v>
      </c>
      <c r="C35" s="177"/>
      <c r="D35" s="114">
        <v>10492.545</v>
      </c>
      <c r="E35" s="171">
        <v>4689976.5699952263</v>
      </c>
      <c r="F35" s="160">
        <f t="shared" si="12"/>
        <v>446.98179231018082</v>
      </c>
      <c r="G35" s="152">
        <f t="shared" si="91"/>
        <v>3434.0956374823572</v>
      </c>
      <c r="H35" s="152">
        <f t="shared" si="91"/>
        <v>3434.0956374823572</v>
      </c>
      <c r="I35" s="152">
        <f t="shared" si="91"/>
        <v>3434.0956374823572</v>
      </c>
      <c r="J35" s="152">
        <f t="shared" si="91"/>
        <v>3434.0956374823572</v>
      </c>
      <c r="K35" s="152">
        <f t="shared" si="91"/>
        <v>3520.5767419382832</v>
      </c>
      <c r="L35" s="152">
        <f t="shared" si="91"/>
        <v>3673.5123697980116</v>
      </c>
      <c r="M35" s="152">
        <f t="shared" si="91"/>
        <v>3904.1419084315298</v>
      </c>
      <c r="N35" s="152">
        <f t="shared" si="91"/>
        <v>3838.6395453215173</v>
      </c>
      <c r="O35" s="152">
        <f t="shared" si="91"/>
        <v>4002.9263316165429</v>
      </c>
      <c r="P35" s="152">
        <f t="shared" si="91"/>
        <v>4149.581985499065</v>
      </c>
      <c r="Q35" s="152"/>
      <c r="R35" s="152">
        <f t="shared" si="104"/>
        <v>5021.0651856754948</v>
      </c>
      <c r="S35" s="152">
        <f t="shared" si="104"/>
        <v>5021.0651856754948</v>
      </c>
      <c r="T35" s="152">
        <f t="shared" si="104"/>
        <v>5021.0651856754948</v>
      </c>
      <c r="U35" s="152">
        <f t="shared" si="104"/>
        <v>5021.0651856754948</v>
      </c>
      <c r="V35" s="152">
        <f t="shared" si="104"/>
        <v>5100.9253139863731</v>
      </c>
      <c r="W35" s="152">
        <f t="shared" si="104"/>
        <v>5405.8587403450374</v>
      </c>
      <c r="X35" s="152">
        <f t="shared" si="104"/>
        <v>5821.7268637846573</v>
      </c>
      <c r="Y35" s="152">
        <f t="shared" si="104"/>
        <v>5802.4312922212221</v>
      </c>
      <c r="Z35" s="152">
        <f t="shared" si="104"/>
        <v>6101.3502157753846</v>
      </c>
      <c r="AA35" s="152">
        <f t="shared" si="104"/>
        <v>6413.5439744730265</v>
      </c>
      <c r="AC35" s="162">
        <f t="shared" si="93"/>
        <v>1534978.2230064371</v>
      </c>
      <c r="AD35" s="162">
        <f t="shared" si="94"/>
        <v>1534978.2230064371</v>
      </c>
      <c r="AE35" s="162">
        <f t="shared" si="95"/>
        <v>1534978.2230064371</v>
      </c>
      <c r="AF35" s="162">
        <f t="shared" si="96"/>
        <v>1534978.2230064371</v>
      </c>
      <c r="AG35" s="162">
        <f t="shared" si="97"/>
        <v>1573633.7020771108</v>
      </c>
      <c r="AH35" s="162">
        <f t="shared" si="98"/>
        <v>1641993.143125935</v>
      </c>
      <c r="AI35" s="162">
        <f t="shared" si="99"/>
        <v>1745080.3476640151</v>
      </c>
      <c r="AJ35" s="162">
        <f t="shared" si="100"/>
        <v>1715801.9840005494</v>
      </c>
      <c r="AK35" s="162">
        <f t="shared" si="101"/>
        <v>1789235.1861915796</v>
      </c>
      <c r="AL35" s="162">
        <f t="shared" si="102"/>
        <v>1854787.5932164108</v>
      </c>
      <c r="AM35" s="162"/>
      <c r="AN35" s="162">
        <f t="shared" si="16"/>
        <v>2244324.7159994836</v>
      </c>
      <c r="AO35" s="162">
        <f t="shared" si="82"/>
        <v>2244324.7159994836</v>
      </c>
      <c r="AP35" s="162">
        <f t="shared" si="83"/>
        <v>2244324.7159994836</v>
      </c>
      <c r="AQ35" s="162">
        <f t="shared" si="84"/>
        <v>2244324.7159994836</v>
      </c>
      <c r="AR35" s="162">
        <f t="shared" si="85"/>
        <v>2280020.7392860008</v>
      </c>
      <c r="AS35" s="162">
        <f t="shared" si="86"/>
        <v>2416320.4287350811</v>
      </c>
      <c r="AT35" s="162">
        <f t="shared" si="87"/>
        <v>2602205.9079147941</v>
      </c>
      <c r="AU35" s="162">
        <f t="shared" si="88"/>
        <v>2593581.1387537206</v>
      </c>
      <c r="AV35" s="162">
        <f t="shared" si="89"/>
        <v>2727192.4549593898</v>
      </c>
      <c r="AW35" s="162">
        <f t="shared" si="90"/>
        <v>2866737.3807701138</v>
      </c>
      <c r="AX35" s="162"/>
      <c r="AY35" s="162">
        <f t="shared" si="68"/>
        <v>709346.49299304653</v>
      </c>
      <c r="AZ35" s="162">
        <f t="shared" si="8"/>
        <v>709346.49299304653</v>
      </c>
      <c r="BA35" s="162">
        <f t="shared" si="8"/>
        <v>709346.49299304653</v>
      </c>
      <c r="BB35" s="162">
        <f t="shared" si="8"/>
        <v>709346.49299304653</v>
      </c>
      <c r="BC35" s="162">
        <f t="shared" si="8"/>
        <v>706387.03720889008</v>
      </c>
      <c r="BD35" s="162">
        <f t="shared" si="8"/>
        <v>774327.28560914611</v>
      </c>
      <c r="BE35" s="162">
        <f t="shared" si="8"/>
        <v>857125.56025077892</v>
      </c>
      <c r="BF35" s="162">
        <f t="shared" si="8"/>
        <v>877779.15475317114</v>
      </c>
      <c r="BG35" s="162">
        <f t="shared" si="8"/>
        <v>937957.26876781019</v>
      </c>
      <c r="BH35" s="162">
        <f t="shared" si="8"/>
        <v>1011949.7875537029</v>
      </c>
    </row>
    <row r="36" spans="1:60" hidden="1" outlineLevel="1" collapsed="1">
      <c r="A36" s="186" t="s">
        <v>615</v>
      </c>
      <c r="B36" s="123"/>
      <c r="C36" s="177"/>
      <c r="D36" s="124">
        <v>0</v>
      </c>
      <c r="E36" s="125">
        <v>0</v>
      </c>
      <c r="F36" s="160"/>
      <c r="G36" s="152">
        <f t="shared" si="91"/>
        <v>0</v>
      </c>
      <c r="H36" s="152">
        <f t="shared" si="91"/>
        <v>0</v>
      </c>
      <c r="I36" s="152">
        <f t="shared" si="91"/>
        <v>0</v>
      </c>
      <c r="J36" s="152">
        <f t="shared" si="91"/>
        <v>0</v>
      </c>
      <c r="K36" s="152">
        <f t="shared" si="91"/>
        <v>0</v>
      </c>
      <c r="L36" s="152">
        <f t="shared" si="91"/>
        <v>0</v>
      </c>
      <c r="M36" s="152">
        <f t="shared" si="91"/>
        <v>0</v>
      </c>
      <c r="N36" s="152">
        <f t="shared" si="91"/>
        <v>0</v>
      </c>
      <c r="O36" s="152">
        <f t="shared" si="91"/>
        <v>0</v>
      </c>
      <c r="P36" s="152">
        <f t="shared" si="91"/>
        <v>0</v>
      </c>
      <c r="Q36" s="152"/>
      <c r="R36" s="152"/>
      <c r="S36" s="152"/>
      <c r="T36" s="152"/>
      <c r="U36" s="152"/>
      <c r="V36" s="152"/>
      <c r="W36" s="152"/>
      <c r="X36" s="152"/>
      <c r="Y36" s="152"/>
      <c r="Z36" s="152"/>
      <c r="AA36" s="152"/>
      <c r="AC36" s="162">
        <f t="shared" si="93"/>
        <v>0</v>
      </c>
      <c r="AD36" s="162">
        <f t="shared" si="94"/>
        <v>0</v>
      </c>
      <c r="AE36" s="162">
        <f t="shared" si="95"/>
        <v>0</v>
      </c>
      <c r="AF36" s="162">
        <f t="shared" si="96"/>
        <v>0</v>
      </c>
      <c r="AG36" s="162">
        <f t="shared" si="97"/>
        <v>0</v>
      </c>
      <c r="AH36" s="162">
        <f t="shared" si="98"/>
        <v>0</v>
      </c>
      <c r="AI36" s="162">
        <f t="shared" si="99"/>
        <v>0</v>
      </c>
      <c r="AJ36" s="162">
        <f t="shared" si="100"/>
        <v>0</v>
      </c>
      <c r="AK36" s="162">
        <f t="shared" si="101"/>
        <v>0</v>
      </c>
      <c r="AL36" s="162">
        <f t="shared" si="102"/>
        <v>0</v>
      </c>
      <c r="AM36" s="162"/>
      <c r="AN36" s="162">
        <f t="shared" si="16"/>
        <v>0</v>
      </c>
      <c r="AO36" s="162">
        <f t="shared" si="82"/>
        <v>0</v>
      </c>
      <c r="AP36" s="162">
        <f t="shared" si="83"/>
        <v>0</v>
      </c>
      <c r="AQ36" s="162">
        <f t="shared" si="84"/>
        <v>0</v>
      </c>
      <c r="AR36" s="162">
        <f t="shared" si="85"/>
        <v>0</v>
      </c>
      <c r="AS36" s="162">
        <f t="shared" si="86"/>
        <v>0</v>
      </c>
      <c r="AT36" s="162">
        <f t="shared" si="87"/>
        <v>0</v>
      </c>
      <c r="AU36" s="162">
        <f t="shared" si="88"/>
        <v>0</v>
      </c>
      <c r="AV36" s="162">
        <f t="shared" si="89"/>
        <v>0</v>
      </c>
      <c r="AW36" s="162">
        <f t="shared" si="90"/>
        <v>0</v>
      </c>
      <c r="AX36" s="162"/>
      <c r="AY36" s="162">
        <f t="shared" si="68"/>
        <v>0</v>
      </c>
      <c r="AZ36" s="162">
        <f t="shared" si="8"/>
        <v>0</v>
      </c>
      <c r="BA36" s="162">
        <f t="shared" si="8"/>
        <v>0</v>
      </c>
      <c r="BB36" s="162">
        <f t="shared" si="8"/>
        <v>0</v>
      </c>
      <c r="BC36" s="162">
        <f t="shared" si="8"/>
        <v>0</v>
      </c>
      <c r="BD36" s="162">
        <f t="shared" si="8"/>
        <v>0</v>
      </c>
      <c r="BE36" s="162">
        <f t="shared" si="8"/>
        <v>0</v>
      </c>
      <c r="BF36" s="162">
        <f t="shared" si="8"/>
        <v>0</v>
      </c>
      <c r="BG36" s="162">
        <f t="shared" si="8"/>
        <v>0</v>
      </c>
      <c r="BH36" s="162">
        <f t="shared" si="8"/>
        <v>0</v>
      </c>
    </row>
    <row r="37" spans="1:60" hidden="1" outlineLevel="1">
      <c r="A37" s="187" t="s">
        <v>215</v>
      </c>
      <c r="B37" s="177"/>
      <c r="C37" s="185"/>
      <c r="D37" s="126">
        <v>92290.718900000007</v>
      </c>
      <c r="E37" s="125">
        <v>32734059.25</v>
      </c>
      <c r="F37" s="160">
        <f t="shared" si="12"/>
        <v>354.68419403546329</v>
      </c>
      <c r="G37" s="167">
        <f t="shared" si="91"/>
        <v>30205.746570979729</v>
      </c>
      <c r="H37" s="167">
        <f t="shared" si="91"/>
        <v>30205.746570979729</v>
      </c>
      <c r="I37" s="167">
        <f t="shared" si="91"/>
        <v>30205.746570979729</v>
      </c>
      <c r="J37" s="167">
        <f t="shared" si="91"/>
        <v>30205.746570979729</v>
      </c>
      <c r="K37" s="167">
        <f t="shared" si="91"/>
        <v>30966.420297087498</v>
      </c>
      <c r="L37" s="167">
        <f t="shared" si="91"/>
        <v>32311.617200278972</v>
      </c>
      <c r="M37" s="167">
        <f t="shared" si="91"/>
        <v>34340.197103444763</v>
      </c>
      <c r="N37" s="167">
        <f t="shared" si="91"/>
        <v>33764.048973408448</v>
      </c>
      <c r="O37" s="167">
        <f t="shared" si="91"/>
        <v>35209.088819598153</v>
      </c>
      <c r="P37" s="167">
        <f t="shared" si="91"/>
        <v>36499.048093307967</v>
      </c>
      <c r="Q37" s="152"/>
      <c r="R37" s="167">
        <f t="shared" ref="R37:AA37" si="105">$D37/$D$51*R$3</f>
        <v>44164.472549772574</v>
      </c>
      <c r="S37" s="167">
        <f t="shared" si="105"/>
        <v>44164.472549772574</v>
      </c>
      <c r="T37" s="167">
        <f t="shared" si="105"/>
        <v>44164.472549772574</v>
      </c>
      <c r="U37" s="167">
        <f t="shared" si="105"/>
        <v>44164.472549772574</v>
      </c>
      <c r="V37" s="167">
        <f t="shared" si="105"/>
        <v>44866.909246804338</v>
      </c>
      <c r="W37" s="167">
        <f t="shared" si="105"/>
        <v>47549.05405869519</v>
      </c>
      <c r="X37" s="167">
        <f t="shared" si="105"/>
        <v>51206.962419329953</v>
      </c>
      <c r="Y37" s="167">
        <f t="shared" si="105"/>
        <v>51037.241710848277</v>
      </c>
      <c r="Z37" s="167">
        <f t="shared" si="105"/>
        <v>53666.483934505915</v>
      </c>
      <c r="AA37" s="167">
        <f t="shared" si="105"/>
        <v>56412.489448544555</v>
      </c>
      <c r="AC37" s="162">
        <f t="shared" si="93"/>
        <v>10713500.877767405</v>
      </c>
      <c r="AD37" s="162">
        <f t="shared" si="94"/>
        <v>10713500.877767405</v>
      </c>
      <c r="AE37" s="162">
        <f t="shared" si="95"/>
        <v>10713500.877767405</v>
      </c>
      <c r="AF37" s="162">
        <f t="shared" si="96"/>
        <v>10713500.877767405</v>
      </c>
      <c r="AG37" s="162">
        <f t="shared" si="97"/>
        <v>10983299.82523589</v>
      </c>
      <c r="AH37" s="162">
        <f t="shared" si="98"/>
        <v>11460419.90466336</v>
      </c>
      <c r="AI37" s="162">
        <f t="shared" si="99"/>
        <v>12179925.132654257</v>
      </c>
      <c r="AJ37" s="162">
        <f t="shared" si="100"/>
        <v>11975574.497507287</v>
      </c>
      <c r="AK37" s="162">
        <f t="shared" si="101"/>
        <v>12488107.290702213</v>
      </c>
      <c r="AL37" s="162">
        <f t="shared" si="102"/>
        <v>12945635.456036549</v>
      </c>
      <c r="AM37" s="162"/>
      <c r="AN37" s="162">
        <f t="shared" si="16"/>
        <v>15664440.351317428</v>
      </c>
      <c r="AO37" s="162">
        <f t="shared" si="82"/>
        <v>15664440.351317428</v>
      </c>
      <c r="AP37" s="162">
        <f t="shared" si="83"/>
        <v>15664440.351317428</v>
      </c>
      <c r="AQ37" s="162">
        <f t="shared" si="84"/>
        <v>15664440.351317428</v>
      </c>
      <c r="AR37" s="162">
        <f t="shared" si="85"/>
        <v>15913583.545065071</v>
      </c>
      <c r="AS37" s="162">
        <f t="shared" si="86"/>
        <v>16864897.915956978</v>
      </c>
      <c r="AT37" s="162">
        <f t="shared" si="87"/>
        <v>18162300.194704302</v>
      </c>
      <c r="AU37" s="162">
        <f t="shared" si="88"/>
        <v>18102102.942005351</v>
      </c>
      <c r="AV37" s="162">
        <f t="shared" si="89"/>
        <v>19034653.601027369</v>
      </c>
      <c r="AW37" s="162">
        <f t="shared" si="90"/>
        <v>20008618.353591103</v>
      </c>
      <c r="AX37" s="162"/>
      <c r="AY37" s="162">
        <f t="shared" si="68"/>
        <v>4950939.4735500235</v>
      </c>
      <c r="AZ37" s="162">
        <f t="shared" si="8"/>
        <v>4950939.4735500235</v>
      </c>
      <c r="BA37" s="162">
        <f t="shared" si="8"/>
        <v>4950939.4735500235</v>
      </c>
      <c r="BB37" s="162">
        <f t="shared" si="8"/>
        <v>4950939.4735500235</v>
      </c>
      <c r="BC37" s="162">
        <f t="shared" si="8"/>
        <v>4930283.7198291812</v>
      </c>
      <c r="BD37" s="162">
        <f t="shared" si="8"/>
        <v>5404478.011293618</v>
      </c>
      <c r="BE37" s="162">
        <f t="shared" ref="BE37:BH51" si="106">AT37-AI37</f>
        <v>5982375.0620500445</v>
      </c>
      <c r="BF37" s="162">
        <f t="shared" si="106"/>
        <v>6126528.444498064</v>
      </c>
      <c r="BG37" s="162">
        <f t="shared" si="106"/>
        <v>6546546.3103251569</v>
      </c>
      <c r="BH37" s="162">
        <f t="shared" si="106"/>
        <v>7062982.897554554</v>
      </c>
    </row>
    <row r="38" spans="1:60" collapsed="1">
      <c r="A38" s="116" t="s">
        <v>616</v>
      </c>
      <c r="B38" s="116"/>
      <c r="C38" s="127"/>
      <c r="D38" s="117">
        <v>330444.40590000001</v>
      </c>
      <c r="E38" s="118">
        <v>113273532.70566933</v>
      </c>
      <c r="F38" s="160">
        <f t="shared" si="12"/>
        <v>342.79149739925839</v>
      </c>
      <c r="G38" s="167">
        <f>SUM(G30:G33)+G37</f>
        <v>108150.85308012873</v>
      </c>
      <c r="H38" s="167">
        <f t="shared" ref="H38:P38" si="107">SUM(H30:H33)+H37</f>
        <v>108150.85308012873</v>
      </c>
      <c r="I38" s="167">
        <f t="shared" si="107"/>
        <v>108150.85308012873</v>
      </c>
      <c r="J38" s="167">
        <f t="shared" si="107"/>
        <v>108150.85308012873</v>
      </c>
      <c r="K38" s="167">
        <f t="shared" si="107"/>
        <v>110874.42464293967</v>
      </c>
      <c r="L38" s="167">
        <f t="shared" si="107"/>
        <v>115690.86552444664</v>
      </c>
      <c r="M38" s="167">
        <f t="shared" si="107"/>
        <v>122954.14062850804</v>
      </c>
      <c r="N38" s="167">
        <f t="shared" si="107"/>
        <v>120891.25793770861</v>
      </c>
      <c r="O38" s="167">
        <f t="shared" si="107"/>
        <v>126065.18375784853</v>
      </c>
      <c r="P38" s="167">
        <f t="shared" si="107"/>
        <v>130683.84781114406</v>
      </c>
      <c r="Q38" s="152"/>
      <c r="R38" s="167">
        <f>SUM(R30:R33)+R37</f>
        <v>158129.69134425558</v>
      </c>
      <c r="S38" s="167">
        <f t="shared" ref="S38:AA38" si="108">SUM(S30:S33)+S37</f>
        <v>158129.69134425558</v>
      </c>
      <c r="T38" s="167">
        <f t="shared" si="108"/>
        <v>158129.69134425558</v>
      </c>
      <c r="U38" s="167">
        <f t="shared" si="108"/>
        <v>158129.69134425558</v>
      </c>
      <c r="V38" s="167">
        <f t="shared" si="108"/>
        <v>160644.7468102827</v>
      </c>
      <c r="W38" s="167">
        <f t="shared" si="108"/>
        <v>170248.09327314183</v>
      </c>
      <c r="X38" s="167">
        <f t="shared" si="108"/>
        <v>183345.13455175946</v>
      </c>
      <c r="Y38" s="167">
        <f t="shared" si="108"/>
        <v>182737.45417661883</v>
      </c>
      <c r="Z38" s="167">
        <f t="shared" si="108"/>
        <v>192151.38436287228</v>
      </c>
      <c r="AA38" s="167">
        <f t="shared" si="108"/>
        <v>201983.38233081333</v>
      </c>
      <c r="AC38" s="180">
        <f>SUM(AC30:AC33)+AC37</f>
        <v>37073192.872344524</v>
      </c>
      <c r="AD38" s="180">
        <f t="shared" ref="AD38:AL38" si="109">SUM(AD30:AD33)+AD37</f>
        <v>37073192.872344524</v>
      </c>
      <c r="AE38" s="180">
        <f t="shared" si="109"/>
        <v>37073192.872344524</v>
      </c>
      <c r="AF38" s="180">
        <f t="shared" si="109"/>
        <v>37073192.872344524</v>
      </c>
      <c r="AG38" s="180">
        <f t="shared" si="109"/>
        <v>38006810.046634525</v>
      </c>
      <c r="AH38" s="180">
        <f t="shared" si="109"/>
        <v>39657845.028541304</v>
      </c>
      <c r="AI38" s="180">
        <f t="shared" si="109"/>
        <v>42147633.977485269</v>
      </c>
      <c r="AJ38" s="180">
        <f t="shared" si="109"/>
        <v>41440495.330947116</v>
      </c>
      <c r="AK38" s="180">
        <f t="shared" si="109"/>
        <v>43214073.110265568</v>
      </c>
      <c r="AL38" s="180">
        <f t="shared" si="109"/>
        <v>44797311.877078876</v>
      </c>
      <c r="AM38" s="169"/>
      <c r="AN38" s="180">
        <f>SUM(AN30:AN33)+AN37</f>
        <v>54205513.679179914</v>
      </c>
      <c r="AO38" s="180">
        <f t="shared" ref="AO38:AW38" si="110">SUM(AO30:AO33)+AO37</f>
        <v>54205513.679179914</v>
      </c>
      <c r="AP38" s="180">
        <f t="shared" si="110"/>
        <v>54205513.679179914</v>
      </c>
      <c r="AQ38" s="180">
        <f t="shared" si="110"/>
        <v>54205513.679179914</v>
      </c>
      <c r="AR38" s="180">
        <f t="shared" si="110"/>
        <v>55067653.308421552</v>
      </c>
      <c r="AS38" s="180">
        <f t="shared" si="110"/>
        <v>58359598.822468892</v>
      </c>
      <c r="AT38" s="180">
        <f t="shared" si="110"/>
        <v>62849153.213866137</v>
      </c>
      <c r="AU38" s="180">
        <f t="shared" si="110"/>
        <v>62640845.548131526</v>
      </c>
      <c r="AV38" s="180">
        <f t="shared" si="110"/>
        <v>65867860.773089431</v>
      </c>
      <c r="AW38" s="180">
        <f t="shared" si="110"/>
        <v>69238186.078946427</v>
      </c>
      <c r="AX38" s="169"/>
      <c r="AY38" s="180">
        <f t="shared" si="68"/>
        <v>17132320.806835391</v>
      </c>
      <c r="AZ38" s="180">
        <f t="shared" ref="AZ38:BD51" si="111">AO38-AD38</f>
        <v>17132320.806835391</v>
      </c>
      <c r="BA38" s="180">
        <f t="shared" si="111"/>
        <v>17132320.806835391</v>
      </c>
      <c r="BB38" s="180">
        <f t="shared" si="111"/>
        <v>17132320.806835391</v>
      </c>
      <c r="BC38" s="180">
        <f t="shared" si="111"/>
        <v>17060843.261787027</v>
      </c>
      <c r="BD38" s="180">
        <f t="shared" si="111"/>
        <v>18701753.793927588</v>
      </c>
      <c r="BE38" s="180">
        <f t="shared" si="106"/>
        <v>20701519.236380868</v>
      </c>
      <c r="BF38" s="180">
        <f t="shared" si="106"/>
        <v>21200350.217184409</v>
      </c>
      <c r="BG38" s="180">
        <f t="shared" si="106"/>
        <v>22653787.662823863</v>
      </c>
      <c r="BH38" s="180">
        <f t="shared" si="106"/>
        <v>24440874.201867551</v>
      </c>
    </row>
    <row r="39" spans="1:60">
      <c r="A39" s="119"/>
      <c r="B39" s="181"/>
      <c r="C39" s="181"/>
      <c r="D39" s="120"/>
      <c r="E39" s="121"/>
      <c r="F39" s="160"/>
      <c r="G39" s="152"/>
      <c r="H39" s="152"/>
      <c r="I39" s="152"/>
      <c r="J39" s="152"/>
      <c r="K39" s="152"/>
      <c r="L39" s="152"/>
      <c r="M39" s="152"/>
      <c r="N39" s="152"/>
      <c r="O39" s="152"/>
      <c r="P39" s="152"/>
      <c r="Q39" s="152"/>
      <c r="R39" s="152"/>
      <c r="S39" s="152"/>
      <c r="T39" s="152"/>
      <c r="U39" s="152"/>
      <c r="V39" s="152"/>
      <c r="W39" s="152"/>
      <c r="X39" s="152"/>
      <c r="Y39" s="152"/>
      <c r="Z39" s="152"/>
      <c r="AA39" s="152"/>
      <c r="AC39" s="162"/>
      <c r="AD39" s="162"/>
      <c r="AE39" s="162"/>
      <c r="AF39" s="162"/>
      <c r="AG39" s="162"/>
      <c r="AH39" s="162"/>
      <c r="AI39" s="162"/>
      <c r="AJ39" s="162"/>
      <c r="AK39" s="162"/>
      <c r="AL39" s="162"/>
      <c r="AM39" s="162"/>
      <c r="AN39" s="162">
        <f t="shared" si="16"/>
        <v>0</v>
      </c>
      <c r="AO39" s="162">
        <f t="shared" ref="AO39:AO49" si="112">S39*$F39</f>
        <v>0</v>
      </c>
      <c r="AP39" s="162">
        <f t="shared" ref="AP39:AP49" si="113">T39*$F39</f>
        <v>0</v>
      </c>
      <c r="AQ39" s="162">
        <f t="shared" ref="AQ39:AQ49" si="114">U39*$F39</f>
        <v>0</v>
      </c>
      <c r="AR39" s="162">
        <f t="shared" ref="AR39:AR49" si="115">V39*$F39</f>
        <v>0</v>
      </c>
      <c r="AS39" s="162">
        <f t="shared" ref="AS39:AS49" si="116">W39*$F39</f>
        <v>0</v>
      </c>
      <c r="AT39" s="162">
        <f t="shared" ref="AT39:AT49" si="117">X39*$F39</f>
        <v>0</v>
      </c>
      <c r="AU39" s="162">
        <f t="shared" ref="AU39:AU49" si="118">Y39*$F39</f>
        <v>0</v>
      </c>
      <c r="AV39" s="162">
        <f t="shared" ref="AV39:AV49" si="119">Z39*$F39</f>
        <v>0</v>
      </c>
      <c r="AW39" s="162">
        <f t="shared" ref="AW39:AW49" si="120">AA39*$F39</f>
        <v>0</v>
      </c>
      <c r="AX39" s="162"/>
      <c r="AY39" s="162">
        <f t="shared" si="68"/>
        <v>0</v>
      </c>
      <c r="AZ39" s="162">
        <f t="shared" si="111"/>
        <v>0</v>
      </c>
      <c r="BA39" s="162">
        <f t="shared" si="111"/>
        <v>0</v>
      </c>
      <c r="BB39" s="162">
        <f t="shared" si="111"/>
        <v>0</v>
      </c>
      <c r="BC39" s="162">
        <f t="shared" si="111"/>
        <v>0</v>
      </c>
      <c r="BD39" s="162">
        <f t="shared" si="111"/>
        <v>0</v>
      </c>
      <c r="BE39" s="162">
        <f t="shared" si="106"/>
        <v>0</v>
      </c>
      <c r="BF39" s="162">
        <f t="shared" si="106"/>
        <v>0</v>
      </c>
      <c r="BG39" s="162">
        <f t="shared" si="106"/>
        <v>0</v>
      </c>
      <c r="BH39" s="162">
        <f t="shared" si="106"/>
        <v>0</v>
      </c>
    </row>
    <row r="40" spans="1:60">
      <c r="A40" s="188" t="s">
        <v>617</v>
      </c>
      <c r="B40" s="188"/>
      <c r="C40" s="188"/>
      <c r="D40" s="189"/>
      <c r="E40" s="189"/>
      <c r="F40" s="160"/>
      <c r="G40" s="152"/>
      <c r="H40" s="152"/>
      <c r="I40" s="152"/>
      <c r="J40" s="152"/>
      <c r="K40" s="152"/>
      <c r="L40" s="152"/>
      <c r="M40" s="152"/>
      <c r="N40" s="152"/>
      <c r="O40" s="152"/>
      <c r="P40" s="152"/>
      <c r="Q40" s="152"/>
      <c r="R40" s="152"/>
      <c r="S40" s="152"/>
      <c r="T40" s="152"/>
      <c r="U40" s="152"/>
      <c r="V40" s="152"/>
      <c r="W40" s="152"/>
      <c r="X40" s="152"/>
      <c r="Y40" s="152"/>
      <c r="Z40" s="152"/>
      <c r="AA40" s="152"/>
      <c r="AC40" s="162"/>
      <c r="AD40" s="162"/>
      <c r="AE40" s="162"/>
      <c r="AF40" s="162"/>
      <c r="AG40" s="162"/>
      <c r="AH40" s="162"/>
      <c r="AI40" s="162"/>
      <c r="AJ40" s="162"/>
      <c r="AK40" s="162"/>
      <c r="AL40" s="162"/>
      <c r="AM40" s="162"/>
      <c r="AN40" s="162">
        <f t="shared" si="16"/>
        <v>0</v>
      </c>
      <c r="AO40" s="162">
        <f t="shared" si="112"/>
        <v>0</v>
      </c>
      <c r="AP40" s="162">
        <f t="shared" si="113"/>
        <v>0</v>
      </c>
      <c r="AQ40" s="162">
        <f t="shared" si="114"/>
        <v>0</v>
      </c>
      <c r="AR40" s="162">
        <f t="shared" si="115"/>
        <v>0</v>
      </c>
      <c r="AS40" s="162">
        <f t="shared" si="116"/>
        <v>0</v>
      </c>
      <c r="AT40" s="162">
        <f t="shared" si="117"/>
        <v>0</v>
      </c>
      <c r="AU40" s="162">
        <f t="shared" si="118"/>
        <v>0</v>
      </c>
      <c r="AV40" s="162">
        <f t="shared" si="119"/>
        <v>0</v>
      </c>
      <c r="AW40" s="162">
        <f t="shared" si="120"/>
        <v>0</v>
      </c>
      <c r="AX40" s="162"/>
      <c r="AY40" s="162">
        <f t="shared" si="68"/>
        <v>0</v>
      </c>
      <c r="AZ40" s="162">
        <f t="shared" si="111"/>
        <v>0</v>
      </c>
      <c r="BA40" s="162">
        <f t="shared" si="111"/>
        <v>0</v>
      </c>
      <c r="BB40" s="162">
        <f t="shared" si="111"/>
        <v>0</v>
      </c>
      <c r="BC40" s="162">
        <f t="shared" si="111"/>
        <v>0</v>
      </c>
      <c r="BD40" s="162">
        <f t="shared" si="111"/>
        <v>0</v>
      </c>
      <c r="BE40" s="162">
        <f t="shared" si="106"/>
        <v>0</v>
      </c>
      <c r="BF40" s="162">
        <f t="shared" si="106"/>
        <v>0</v>
      </c>
      <c r="BG40" s="162">
        <f t="shared" si="106"/>
        <v>0</v>
      </c>
      <c r="BH40" s="162">
        <f t="shared" si="106"/>
        <v>0</v>
      </c>
    </row>
    <row r="41" spans="1:60" hidden="1" outlineLevel="1">
      <c r="A41" s="190" t="s">
        <v>618</v>
      </c>
      <c r="B41" s="181"/>
      <c r="C41" s="181"/>
      <c r="D41" s="128">
        <v>1725</v>
      </c>
      <c r="E41" s="129">
        <v>1044333.87665</v>
      </c>
      <c r="F41" s="160">
        <f t="shared" si="12"/>
        <v>605.41094298550729</v>
      </c>
      <c r="G41" s="152">
        <f t="shared" ref="G41:P42" si="121">$D41/$D$51*G$3</f>
        <v>564.5737020577053</v>
      </c>
      <c r="H41" s="152">
        <f t="shared" si="121"/>
        <v>564.5737020577053</v>
      </c>
      <c r="I41" s="152">
        <f t="shared" si="121"/>
        <v>564.5737020577053</v>
      </c>
      <c r="J41" s="152">
        <f t="shared" si="121"/>
        <v>564.5737020577053</v>
      </c>
      <c r="K41" s="152">
        <f t="shared" si="121"/>
        <v>578.79140664572208</v>
      </c>
      <c r="L41" s="152">
        <f t="shared" si="121"/>
        <v>603.9343970315656</v>
      </c>
      <c r="M41" s="152">
        <f t="shared" si="121"/>
        <v>641.85045592317101</v>
      </c>
      <c r="N41" s="152">
        <f t="shared" si="121"/>
        <v>631.08170760093151</v>
      </c>
      <c r="O41" s="152">
        <f t="shared" si="121"/>
        <v>658.09085613057039</v>
      </c>
      <c r="P41" s="152">
        <f t="shared" si="121"/>
        <v>682.20140347131087</v>
      </c>
      <c r="Q41" s="152"/>
      <c r="R41" s="152">
        <f t="shared" ref="R41:AA42" si="122">$D41/$D$51*R$3</f>
        <v>825.47536801512206</v>
      </c>
      <c r="S41" s="152">
        <f t="shared" si="122"/>
        <v>825.47536801512206</v>
      </c>
      <c r="T41" s="152">
        <f t="shared" si="122"/>
        <v>825.47536801512206</v>
      </c>
      <c r="U41" s="152">
        <f t="shared" si="122"/>
        <v>825.47536801512206</v>
      </c>
      <c r="V41" s="152">
        <f t="shared" si="122"/>
        <v>838.60456796959102</v>
      </c>
      <c r="W41" s="152">
        <f t="shared" si="122"/>
        <v>888.73636730604335</v>
      </c>
      <c r="X41" s="152">
        <f t="shared" si="122"/>
        <v>957.10610152527647</v>
      </c>
      <c r="Y41" s="152">
        <f t="shared" si="122"/>
        <v>953.93386247870342</v>
      </c>
      <c r="Z41" s="152">
        <f t="shared" si="122"/>
        <v>1003.0768628785997</v>
      </c>
      <c r="AA41" s="152">
        <f t="shared" si="122"/>
        <v>1054.4022785669226</v>
      </c>
      <c r="AC41" s="162">
        <f t="shared" ref="AC41:AC49" si="123">G41*$F41</f>
        <v>341799.09734757419</v>
      </c>
      <c r="AD41" s="162">
        <f t="shared" ref="AD41:AD49" si="124">H41*$F41</f>
        <v>341799.09734757419</v>
      </c>
      <c r="AE41" s="162">
        <f t="shared" ref="AE41:AE49" si="125">I41*$F41</f>
        <v>341799.09734757419</v>
      </c>
      <c r="AF41" s="162">
        <f t="shared" ref="AF41:AF49" si="126">J41*$F41</f>
        <v>341799.09734757419</v>
      </c>
      <c r="AG41" s="162">
        <f t="shared" ref="AG41:AG49" si="127">K41*$F41</f>
        <v>350406.65128929482</v>
      </c>
      <c r="AH41" s="162">
        <f t="shared" ref="AH41:AH49" si="128">L41*$F41</f>
        <v>365628.49280826387</v>
      </c>
      <c r="AI41" s="162">
        <f t="shared" ref="AI41:AI49" si="129">M41*$F41</f>
        <v>388583.28977612476</v>
      </c>
      <c r="AJ41" s="162">
        <f t="shared" ref="AJ41:AJ49" si="130">N41*$F41</f>
        <v>382063.77169958415</v>
      </c>
      <c r="AK41" s="162">
        <f t="shared" ref="AK41:AK49" si="131">O41*$F41</f>
        <v>398415.4057801484</v>
      </c>
      <c r="AL41" s="162">
        <f t="shared" ref="AL41:AL49" si="132">P41*$F41</f>
        <v>413012.19498160284</v>
      </c>
      <c r="AM41" s="162"/>
      <c r="AN41" s="162">
        <f t="shared" si="16"/>
        <v>499751.82096134371</v>
      </c>
      <c r="AO41" s="162">
        <f t="shared" si="112"/>
        <v>499751.82096134371</v>
      </c>
      <c r="AP41" s="162">
        <f t="shared" si="113"/>
        <v>499751.82096134371</v>
      </c>
      <c r="AQ41" s="162">
        <f t="shared" si="114"/>
        <v>499751.82096134371</v>
      </c>
      <c r="AR41" s="162">
        <f t="shared" si="115"/>
        <v>507700.38228642405</v>
      </c>
      <c r="AS41" s="162">
        <f t="shared" si="116"/>
        <v>538050.72219626582</v>
      </c>
      <c r="AT41" s="162">
        <f t="shared" si="117"/>
        <v>579442.50746160035</v>
      </c>
      <c r="AU41" s="162">
        <f t="shared" si="118"/>
        <v>577521.99922903907</v>
      </c>
      <c r="AV41" s="162">
        <f t="shared" si="119"/>
        <v>607273.70944227744</v>
      </c>
      <c r="AW41" s="162">
        <f t="shared" si="120"/>
        <v>638346.67775326816</v>
      </c>
      <c r="AX41" s="162"/>
      <c r="AY41" s="162">
        <f t="shared" si="68"/>
        <v>157952.72361376951</v>
      </c>
      <c r="AZ41" s="162">
        <f t="shared" si="111"/>
        <v>157952.72361376951</v>
      </c>
      <c r="BA41" s="162">
        <f t="shared" si="111"/>
        <v>157952.72361376951</v>
      </c>
      <c r="BB41" s="162">
        <f t="shared" si="111"/>
        <v>157952.72361376951</v>
      </c>
      <c r="BC41" s="162">
        <f t="shared" si="111"/>
        <v>157293.73099712923</v>
      </c>
      <c r="BD41" s="162">
        <f t="shared" si="111"/>
        <v>172422.22938800196</v>
      </c>
      <c r="BE41" s="162">
        <f t="shared" si="106"/>
        <v>190859.2176854756</v>
      </c>
      <c r="BF41" s="162">
        <f t="shared" si="106"/>
        <v>195458.22752945492</v>
      </c>
      <c r="BG41" s="162">
        <f t="shared" si="106"/>
        <v>208858.30366212904</v>
      </c>
      <c r="BH41" s="162">
        <f t="shared" si="106"/>
        <v>225334.48277166532</v>
      </c>
    </row>
    <row r="42" spans="1:60" hidden="1" outlineLevel="1">
      <c r="A42" s="191" t="s">
        <v>619</v>
      </c>
      <c r="B42" s="192"/>
      <c r="C42" s="192"/>
      <c r="D42" s="130">
        <v>3000</v>
      </c>
      <c r="E42" s="131">
        <v>648700.5</v>
      </c>
      <c r="F42" s="160">
        <f t="shared" si="12"/>
        <v>216.23349999999999</v>
      </c>
      <c r="G42" s="152">
        <f t="shared" si="121"/>
        <v>981.86730792644391</v>
      </c>
      <c r="H42" s="152">
        <f t="shared" si="121"/>
        <v>981.86730792644391</v>
      </c>
      <c r="I42" s="152">
        <f t="shared" si="121"/>
        <v>981.86730792644391</v>
      </c>
      <c r="J42" s="152">
        <f t="shared" si="121"/>
        <v>981.86730792644391</v>
      </c>
      <c r="K42" s="152">
        <f t="shared" si="121"/>
        <v>1006.5937506882124</v>
      </c>
      <c r="L42" s="152">
        <f t="shared" si="121"/>
        <v>1050.3206904896795</v>
      </c>
      <c r="M42" s="152">
        <f t="shared" si="121"/>
        <v>1116.2616624750799</v>
      </c>
      <c r="N42" s="152">
        <f t="shared" si="121"/>
        <v>1097.5334045233592</v>
      </c>
      <c r="O42" s="152">
        <f t="shared" si="121"/>
        <v>1144.505836748818</v>
      </c>
      <c r="P42" s="152">
        <f t="shared" si="121"/>
        <v>1186.4372234283669</v>
      </c>
      <c r="Q42" s="152"/>
      <c r="R42" s="152">
        <f t="shared" si="122"/>
        <v>1435.6093356784731</v>
      </c>
      <c r="S42" s="152">
        <f t="shared" si="122"/>
        <v>1435.6093356784731</v>
      </c>
      <c r="T42" s="152">
        <f t="shared" si="122"/>
        <v>1435.6093356784731</v>
      </c>
      <c r="U42" s="152">
        <f t="shared" si="122"/>
        <v>1435.6093356784731</v>
      </c>
      <c r="V42" s="152">
        <f t="shared" si="122"/>
        <v>1458.4427269036366</v>
      </c>
      <c r="W42" s="152">
        <f t="shared" si="122"/>
        <v>1545.6284648800754</v>
      </c>
      <c r="X42" s="152">
        <f t="shared" si="122"/>
        <v>1664.5323504787418</v>
      </c>
      <c r="Y42" s="152">
        <f t="shared" si="122"/>
        <v>1659.0154130064407</v>
      </c>
      <c r="Z42" s="152">
        <f t="shared" si="122"/>
        <v>1744.4815006584342</v>
      </c>
      <c r="AA42" s="152">
        <f t="shared" si="122"/>
        <v>1833.7430931598653</v>
      </c>
      <c r="AC42" s="162">
        <f t="shared" si="123"/>
        <v>212312.60452851269</v>
      </c>
      <c r="AD42" s="162">
        <f t="shared" si="124"/>
        <v>212312.60452851269</v>
      </c>
      <c r="AE42" s="162">
        <f t="shared" si="125"/>
        <v>212312.60452851269</v>
      </c>
      <c r="AF42" s="162">
        <f t="shared" si="126"/>
        <v>212312.60452851269</v>
      </c>
      <c r="AG42" s="162">
        <f t="shared" si="127"/>
        <v>217659.28978943956</v>
      </c>
      <c r="AH42" s="162">
        <f t="shared" si="128"/>
        <v>227114.51902700009</v>
      </c>
      <c r="AI42" s="162">
        <f t="shared" si="129"/>
        <v>241373.16619280519</v>
      </c>
      <c r="AJ42" s="162">
        <f t="shared" si="130"/>
        <v>237323.48942700177</v>
      </c>
      <c r="AK42" s="162">
        <f t="shared" si="131"/>
        <v>247480.50285062552</v>
      </c>
      <c r="AL42" s="162">
        <f t="shared" si="132"/>
        <v>256547.47335219776</v>
      </c>
      <c r="AM42" s="162"/>
      <c r="AN42" s="162">
        <f t="shared" si="16"/>
        <v>310426.83128643112</v>
      </c>
      <c r="AO42" s="162">
        <f t="shared" si="112"/>
        <v>310426.83128643112</v>
      </c>
      <c r="AP42" s="162">
        <f t="shared" si="113"/>
        <v>310426.83128643112</v>
      </c>
      <c r="AQ42" s="162">
        <f t="shared" si="114"/>
        <v>310426.83128643112</v>
      </c>
      <c r="AR42" s="162">
        <f t="shared" si="115"/>
        <v>315364.17538791749</v>
      </c>
      <c r="AS42" s="162">
        <f t="shared" si="116"/>
        <v>334216.65266064578</v>
      </c>
      <c r="AT42" s="162">
        <f t="shared" si="117"/>
        <v>359927.65600724501</v>
      </c>
      <c r="AU42" s="162">
        <f t="shared" si="118"/>
        <v>358734.70930832817</v>
      </c>
      <c r="AV42" s="162">
        <f t="shared" si="119"/>
        <v>377215.34057262552</v>
      </c>
      <c r="AW42" s="162">
        <f t="shared" si="120"/>
        <v>396516.68713478372</v>
      </c>
      <c r="AX42" s="162"/>
      <c r="AY42" s="162">
        <f t="shared" si="68"/>
        <v>98114.226757918426</v>
      </c>
      <c r="AZ42" s="162">
        <f t="shared" si="111"/>
        <v>98114.226757918426</v>
      </c>
      <c r="BA42" s="162">
        <f t="shared" si="111"/>
        <v>98114.226757918426</v>
      </c>
      <c r="BB42" s="162">
        <f t="shared" si="111"/>
        <v>98114.226757918426</v>
      </c>
      <c r="BC42" s="162">
        <f t="shared" si="111"/>
        <v>97704.885598477937</v>
      </c>
      <c r="BD42" s="162">
        <f t="shared" si="111"/>
        <v>107102.13363364569</v>
      </c>
      <c r="BE42" s="162">
        <f t="shared" si="106"/>
        <v>118554.48981443982</v>
      </c>
      <c r="BF42" s="162">
        <f t="shared" si="106"/>
        <v>121411.2198813264</v>
      </c>
      <c r="BG42" s="162">
        <f t="shared" si="106"/>
        <v>129734.837722</v>
      </c>
      <c r="BH42" s="162">
        <f t="shared" si="106"/>
        <v>139969.21378258595</v>
      </c>
    </row>
    <row r="43" spans="1:60" collapsed="1">
      <c r="A43" s="116" t="s">
        <v>620</v>
      </c>
      <c r="B43" s="127"/>
      <c r="C43" s="127"/>
      <c r="D43" s="117">
        <v>4725</v>
      </c>
      <c r="E43" s="118">
        <v>1693034.37665</v>
      </c>
      <c r="F43" s="160">
        <f t="shared" si="12"/>
        <v>358.31415378835976</v>
      </c>
      <c r="G43" s="179">
        <f>G41+G42</f>
        <v>1546.4410099841493</v>
      </c>
      <c r="H43" s="179">
        <f t="shared" ref="H43:P43" si="133">H41+H42</f>
        <v>1546.4410099841493</v>
      </c>
      <c r="I43" s="179">
        <f t="shared" si="133"/>
        <v>1546.4410099841493</v>
      </c>
      <c r="J43" s="179">
        <f t="shared" si="133"/>
        <v>1546.4410099841493</v>
      </c>
      <c r="K43" s="179">
        <f t="shared" si="133"/>
        <v>1585.3851573339343</v>
      </c>
      <c r="L43" s="179">
        <f t="shared" si="133"/>
        <v>1654.2550875212451</v>
      </c>
      <c r="M43" s="179">
        <f t="shared" si="133"/>
        <v>1758.1121183982509</v>
      </c>
      <c r="N43" s="179">
        <f t="shared" si="133"/>
        <v>1728.6151121242906</v>
      </c>
      <c r="O43" s="179">
        <f t="shared" si="133"/>
        <v>1802.5966928793882</v>
      </c>
      <c r="P43" s="179">
        <f t="shared" si="133"/>
        <v>1868.6386268996778</v>
      </c>
      <c r="Q43" s="152"/>
      <c r="R43" s="179">
        <f>R41+R42</f>
        <v>2261.0847036935952</v>
      </c>
      <c r="S43" s="179">
        <f t="shared" ref="S43:AA43" si="134">S41+S42</f>
        <v>2261.0847036935952</v>
      </c>
      <c r="T43" s="179">
        <f t="shared" si="134"/>
        <v>2261.0847036935952</v>
      </c>
      <c r="U43" s="179">
        <f t="shared" si="134"/>
        <v>2261.0847036935952</v>
      </c>
      <c r="V43" s="179">
        <f t="shared" si="134"/>
        <v>2297.0472948732277</v>
      </c>
      <c r="W43" s="179">
        <f t="shared" si="134"/>
        <v>2434.3648321861187</v>
      </c>
      <c r="X43" s="179">
        <f t="shared" si="134"/>
        <v>2621.6384520040183</v>
      </c>
      <c r="Y43" s="179">
        <f t="shared" si="134"/>
        <v>2612.949275485144</v>
      </c>
      <c r="Z43" s="179">
        <f t="shared" si="134"/>
        <v>2747.558363537034</v>
      </c>
      <c r="AA43" s="179">
        <f t="shared" si="134"/>
        <v>2888.1453717267877</v>
      </c>
      <c r="AC43" s="180">
        <f t="shared" si="123"/>
        <v>554111.70187608688</v>
      </c>
      <c r="AD43" s="180">
        <f t="shared" si="124"/>
        <v>554111.70187608688</v>
      </c>
      <c r="AE43" s="180">
        <f t="shared" si="125"/>
        <v>554111.70187608688</v>
      </c>
      <c r="AF43" s="180">
        <f t="shared" si="126"/>
        <v>554111.70187608688</v>
      </c>
      <c r="AG43" s="180">
        <f t="shared" si="127"/>
        <v>568065.94107873423</v>
      </c>
      <c r="AH43" s="180">
        <f t="shared" si="128"/>
        <v>592743.01183526393</v>
      </c>
      <c r="AI43" s="180">
        <f t="shared" si="129"/>
        <v>629956.4559689298</v>
      </c>
      <c r="AJ43" s="180">
        <f t="shared" si="130"/>
        <v>619387.26112658577</v>
      </c>
      <c r="AK43" s="180">
        <f t="shared" si="131"/>
        <v>645895.90863077377</v>
      </c>
      <c r="AL43" s="180">
        <f t="shared" si="132"/>
        <v>669559.66833380051</v>
      </c>
      <c r="AM43" s="169"/>
      <c r="AN43" s="180">
        <f t="shared" si="16"/>
        <v>810178.65224777476</v>
      </c>
      <c r="AO43" s="180">
        <f t="shared" si="112"/>
        <v>810178.65224777476</v>
      </c>
      <c r="AP43" s="180">
        <f t="shared" si="113"/>
        <v>810178.65224777476</v>
      </c>
      <c r="AQ43" s="180">
        <f t="shared" si="114"/>
        <v>810178.65224777476</v>
      </c>
      <c r="AR43" s="180">
        <f t="shared" si="115"/>
        <v>823064.55767434149</v>
      </c>
      <c r="AS43" s="180">
        <f t="shared" si="116"/>
        <v>872267.3748569116</v>
      </c>
      <c r="AT43" s="180">
        <f t="shared" si="117"/>
        <v>939370.16346884519</v>
      </c>
      <c r="AU43" s="180">
        <f t="shared" si="118"/>
        <v>936256.70853736706</v>
      </c>
      <c r="AV43" s="180">
        <f t="shared" si="119"/>
        <v>984489.05001490284</v>
      </c>
      <c r="AW43" s="180">
        <f t="shared" si="120"/>
        <v>1034863.3648880516</v>
      </c>
      <c r="AX43" s="169"/>
      <c r="AY43" s="180">
        <f t="shared" si="68"/>
        <v>256066.95037168788</v>
      </c>
      <c r="AZ43" s="180">
        <f t="shared" si="111"/>
        <v>256066.95037168788</v>
      </c>
      <c r="BA43" s="180">
        <f t="shared" si="111"/>
        <v>256066.95037168788</v>
      </c>
      <c r="BB43" s="180">
        <f t="shared" si="111"/>
        <v>256066.95037168788</v>
      </c>
      <c r="BC43" s="180">
        <f t="shared" si="111"/>
        <v>254998.61659560725</v>
      </c>
      <c r="BD43" s="180">
        <f t="shared" si="111"/>
        <v>279524.36302164767</v>
      </c>
      <c r="BE43" s="180">
        <f t="shared" si="106"/>
        <v>309413.70749991538</v>
      </c>
      <c r="BF43" s="180">
        <f t="shared" si="106"/>
        <v>316869.44741078129</v>
      </c>
      <c r="BG43" s="180">
        <f t="shared" si="106"/>
        <v>338593.14138412906</v>
      </c>
      <c r="BH43" s="180">
        <f t="shared" si="106"/>
        <v>365303.69655425113</v>
      </c>
    </row>
    <row r="44" spans="1:60">
      <c r="A44" s="119"/>
      <c r="B44" s="181"/>
      <c r="C44" s="181"/>
      <c r="D44" s="120"/>
      <c r="E44" s="121"/>
      <c r="F44" s="160"/>
      <c r="G44" s="152">
        <f>$D44/$D$51*G$3</f>
        <v>0</v>
      </c>
      <c r="H44" s="152">
        <f t="shared" ref="H44:P44" si="135">$D44/$D$51*H$3</f>
        <v>0</v>
      </c>
      <c r="I44" s="152">
        <f t="shared" si="135"/>
        <v>0</v>
      </c>
      <c r="J44" s="152">
        <f t="shared" si="135"/>
        <v>0</v>
      </c>
      <c r="K44" s="152">
        <f t="shared" si="135"/>
        <v>0</v>
      </c>
      <c r="L44" s="152">
        <f t="shared" si="135"/>
        <v>0</v>
      </c>
      <c r="M44" s="152">
        <f t="shared" si="135"/>
        <v>0</v>
      </c>
      <c r="N44" s="152">
        <f t="shared" si="135"/>
        <v>0</v>
      </c>
      <c r="O44" s="152">
        <f t="shared" si="135"/>
        <v>0</v>
      </c>
      <c r="P44" s="152">
        <f t="shared" si="135"/>
        <v>0</v>
      </c>
      <c r="Q44" s="152"/>
      <c r="R44" s="152">
        <f t="shared" ref="R44:AA49" si="136">$D44/$D$51*R$3</f>
        <v>0</v>
      </c>
      <c r="S44" s="152">
        <f t="shared" si="136"/>
        <v>0</v>
      </c>
      <c r="T44" s="152">
        <f t="shared" si="136"/>
        <v>0</v>
      </c>
      <c r="U44" s="152">
        <f t="shared" si="136"/>
        <v>0</v>
      </c>
      <c r="V44" s="152">
        <f t="shared" si="136"/>
        <v>0</v>
      </c>
      <c r="W44" s="152">
        <f t="shared" si="136"/>
        <v>0</v>
      </c>
      <c r="X44" s="152">
        <f t="shared" si="136"/>
        <v>0</v>
      </c>
      <c r="Y44" s="152">
        <f t="shared" si="136"/>
        <v>0</v>
      </c>
      <c r="Z44" s="152">
        <f t="shared" si="136"/>
        <v>0</v>
      </c>
      <c r="AA44" s="152">
        <f t="shared" si="136"/>
        <v>0</v>
      </c>
      <c r="AC44" s="162">
        <f t="shared" si="123"/>
        <v>0</v>
      </c>
      <c r="AD44" s="162">
        <f t="shared" si="124"/>
        <v>0</v>
      </c>
      <c r="AE44" s="162">
        <f t="shared" si="125"/>
        <v>0</v>
      </c>
      <c r="AF44" s="162">
        <f t="shared" si="126"/>
        <v>0</v>
      </c>
      <c r="AG44" s="162">
        <f t="shared" si="127"/>
        <v>0</v>
      </c>
      <c r="AH44" s="162">
        <f t="shared" si="128"/>
        <v>0</v>
      </c>
      <c r="AI44" s="162">
        <f t="shared" si="129"/>
        <v>0</v>
      </c>
      <c r="AJ44" s="162">
        <f t="shared" si="130"/>
        <v>0</v>
      </c>
      <c r="AK44" s="162">
        <f t="shared" si="131"/>
        <v>0</v>
      </c>
      <c r="AL44" s="162">
        <f t="shared" si="132"/>
        <v>0</v>
      </c>
      <c r="AM44" s="162"/>
      <c r="AN44" s="162">
        <f t="shared" si="16"/>
        <v>0</v>
      </c>
      <c r="AO44" s="162">
        <f t="shared" si="112"/>
        <v>0</v>
      </c>
      <c r="AP44" s="162">
        <f t="shared" si="113"/>
        <v>0</v>
      </c>
      <c r="AQ44" s="162">
        <f t="shared" si="114"/>
        <v>0</v>
      </c>
      <c r="AR44" s="162">
        <f t="shared" si="115"/>
        <v>0</v>
      </c>
      <c r="AS44" s="162">
        <f t="shared" si="116"/>
        <v>0</v>
      </c>
      <c r="AT44" s="162">
        <f t="shared" si="117"/>
        <v>0</v>
      </c>
      <c r="AU44" s="162">
        <f t="shared" si="118"/>
        <v>0</v>
      </c>
      <c r="AV44" s="162">
        <f t="shared" si="119"/>
        <v>0</v>
      </c>
      <c r="AW44" s="162">
        <f t="shared" si="120"/>
        <v>0</v>
      </c>
      <c r="AX44" s="162"/>
      <c r="AY44" s="162">
        <f t="shared" si="68"/>
        <v>0</v>
      </c>
      <c r="AZ44" s="162">
        <f t="shared" si="111"/>
        <v>0</v>
      </c>
      <c r="BA44" s="162">
        <f t="shared" si="111"/>
        <v>0</v>
      </c>
      <c r="BB44" s="162">
        <f t="shared" si="111"/>
        <v>0</v>
      </c>
      <c r="BC44" s="162">
        <f t="shared" si="111"/>
        <v>0</v>
      </c>
      <c r="BD44" s="162">
        <f t="shared" si="111"/>
        <v>0</v>
      </c>
      <c r="BE44" s="162">
        <f t="shared" si="106"/>
        <v>0</v>
      </c>
      <c r="BF44" s="162">
        <f t="shared" si="106"/>
        <v>0</v>
      </c>
      <c r="BG44" s="162">
        <f t="shared" si="106"/>
        <v>0</v>
      </c>
      <c r="BH44" s="162">
        <f t="shared" si="106"/>
        <v>0</v>
      </c>
    </row>
    <row r="45" spans="1:60">
      <c r="A45" s="193" t="s">
        <v>621</v>
      </c>
      <c r="B45" s="193"/>
      <c r="C45" s="193"/>
      <c r="D45" s="194"/>
      <c r="E45" s="194"/>
      <c r="F45" s="160"/>
      <c r="G45" s="152"/>
      <c r="H45" s="152"/>
      <c r="I45" s="152"/>
      <c r="J45" s="152"/>
      <c r="K45" s="152"/>
      <c r="L45" s="152"/>
      <c r="M45" s="152"/>
      <c r="N45" s="152"/>
      <c r="O45" s="152"/>
      <c r="P45" s="152"/>
      <c r="Q45" s="152"/>
      <c r="R45" s="152">
        <f t="shared" si="136"/>
        <v>0</v>
      </c>
      <c r="S45" s="152">
        <f t="shared" si="136"/>
        <v>0</v>
      </c>
      <c r="T45" s="152">
        <f t="shared" si="136"/>
        <v>0</v>
      </c>
      <c r="U45" s="152">
        <f t="shared" si="136"/>
        <v>0</v>
      </c>
      <c r="V45" s="152">
        <f t="shared" si="136"/>
        <v>0</v>
      </c>
      <c r="W45" s="152">
        <f t="shared" si="136"/>
        <v>0</v>
      </c>
      <c r="X45" s="152">
        <f t="shared" si="136"/>
        <v>0</v>
      </c>
      <c r="Y45" s="152">
        <f t="shared" si="136"/>
        <v>0</v>
      </c>
      <c r="Z45" s="152">
        <f t="shared" si="136"/>
        <v>0</v>
      </c>
      <c r="AA45" s="152">
        <f t="shared" si="136"/>
        <v>0</v>
      </c>
      <c r="AC45" s="162">
        <f t="shared" si="123"/>
        <v>0</v>
      </c>
      <c r="AD45" s="162">
        <f t="shared" si="124"/>
        <v>0</v>
      </c>
      <c r="AE45" s="162">
        <f t="shared" si="125"/>
        <v>0</v>
      </c>
      <c r="AF45" s="162">
        <f t="shared" si="126"/>
        <v>0</v>
      </c>
      <c r="AG45" s="162">
        <f t="shared" si="127"/>
        <v>0</v>
      </c>
      <c r="AH45" s="162">
        <f t="shared" si="128"/>
        <v>0</v>
      </c>
      <c r="AI45" s="162">
        <f t="shared" si="129"/>
        <v>0</v>
      </c>
      <c r="AJ45" s="162">
        <f t="shared" si="130"/>
        <v>0</v>
      </c>
      <c r="AK45" s="162">
        <f t="shared" si="131"/>
        <v>0</v>
      </c>
      <c r="AL45" s="162">
        <f t="shared" si="132"/>
        <v>0</v>
      </c>
      <c r="AM45" s="162"/>
      <c r="AN45" s="162">
        <f t="shared" si="16"/>
        <v>0</v>
      </c>
      <c r="AO45" s="162">
        <f t="shared" si="112"/>
        <v>0</v>
      </c>
      <c r="AP45" s="162">
        <f t="shared" si="113"/>
        <v>0</v>
      </c>
      <c r="AQ45" s="162">
        <f t="shared" si="114"/>
        <v>0</v>
      </c>
      <c r="AR45" s="162">
        <f t="shared" si="115"/>
        <v>0</v>
      </c>
      <c r="AS45" s="162">
        <f t="shared" si="116"/>
        <v>0</v>
      </c>
      <c r="AT45" s="162">
        <f t="shared" si="117"/>
        <v>0</v>
      </c>
      <c r="AU45" s="162">
        <f t="shared" si="118"/>
        <v>0</v>
      </c>
      <c r="AV45" s="162">
        <f t="shared" si="119"/>
        <v>0</v>
      </c>
      <c r="AW45" s="162">
        <f t="shared" si="120"/>
        <v>0</v>
      </c>
      <c r="AX45" s="162"/>
      <c r="AY45" s="162">
        <f t="shared" si="68"/>
        <v>0</v>
      </c>
      <c r="AZ45" s="162">
        <f t="shared" si="111"/>
        <v>0</v>
      </c>
      <c r="BA45" s="162">
        <f t="shared" si="111"/>
        <v>0</v>
      </c>
      <c r="BB45" s="162">
        <f t="shared" si="111"/>
        <v>0</v>
      </c>
      <c r="BC45" s="162">
        <f t="shared" si="111"/>
        <v>0</v>
      </c>
      <c r="BD45" s="162">
        <f t="shared" si="111"/>
        <v>0</v>
      </c>
      <c r="BE45" s="162">
        <f t="shared" si="106"/>
        <v>0</v>
      </c>
      <c r="BF45" s="162">
        <f t="shared" si="106"/>
        <v>0</v>
      </c>
      <c r="BG45" s="162">
        <f t="shared" si="106"/>
        <v>0</v>
      </c>
      <c r="BH45" s="162">
        <f t="shared" si="106"/>
        <v>0</v>
      </c>
    </row>
    <row r="46" spans="1:60" hidden="1" outlineLevel="1">
      <c r="A46" s="195" t="s">
        <v>622</v>
      </c>
      <c r="B46" s="177"/>
      <c r="C46" s="177"/>
      <c r="D46" s="138">
        <v>28382.400000000001</v>
      </c>
      <c r="E46" s="132">
        <v>9683388</v>
      </c>
      <c r="F46" s="160">
        <f t="shared" si="12"/>
        <v>341.17579908675799</v>
      </c>
      <c r="G46" s="161">
        <f>$D46/$D$51*G$3</f>
        <v>9289.2502268305034</v>
      </c>
      <c r="H46" s="161">
        <f t="shared" ref="H46:P46" si="137">$D46/$D$51*H$3</f>
        <v>9289.2502268305034</v>
      </c>
      <c r="I46" s="161">
        <f t="shared" si="137"/>
        <v>9289.2502268305034</v>
      </c>
      <c r="J46" s="161">
        <f t="shared" si="137"/>
        <v>9289.2502268305034</v>
      </c>
      <c r="K46" s="161">
        <f t="shared" si="137"/>
        <v>9523.1821565110404</v>
      </c>
      <c r="L46" s="161">
        <f t="shared" si="137"/>
        <v>9936.8739885847608</v>
      </c>
      <c r="M46" s="161">
        <f t="shared" si="137"/>
        <v>10560.728336344238</v>
      </c>
      <c r="N46" s="161">
        <f t="shared" si="137"/>
        <v>10383.5440335146</v>
      </c>
      <c r="O46" s="161">
        <f t="shared" si="137"/>
        <v>10827.940820313219</v>
      </c>
      <c r="P46" s="161">
        <f t="shared" si="137"/>
        <v>11224.645283411095</v>
      </c>
      <c r="Q46" s="152"/>
      <c r="R46" s="152">
        <f t="shared" si="136"/>
        <v>13582.012802986899</v>
      </c>
      <c r="S46" s="152">
        <f t="shared" si="136"/>
        <v>13582.012802986899</v>
      </c>
      <c r="T46" s="152">
        <f t="shared" si="136"/>
        <v>13582.012802986899</v>
      </c>
      <c r="U46" s="152">
        <f t="shared" si="136"/>
        <v>13582.012802986899</v>
      </c>
      <c r="V46" s="161">
        <f t="shared" si="136"/>
        <v>13798.034950689927</v>
      </c>
      <c r="W46" s="152">
        <f t="shared" si="136"/>
        <v>14622.88178053742</v>
      </c>
      <c r="X46" s="152">
        <f t="shared" si="136"/>
        <v>15747.807661409282</v>
      </c>
      <c r="Y46" s="152">
        <f t="shared" si="136"/>
        <v>15695.613019371336</v>
      </c>
      <c r="Z46" s="152">
        <f t="shared" si="136"/>
        <v>16504.190581429317</v>
      </c>
      <c r="AA46" s="152">
        <f t="shared" si="136"/>
        <v>17348.676655766856</v>
      </c>
      <c r="AC46" s="162">
        <f t="shared" si="123"/>
        <v>3169267.3690557447</v>
      </c>
      <c r="AD46" s="162">
        <f t="shared" si="124"/>
        <v>3169267.3690557447</v>
      </c>
      <c r="AE46" s="162">
        <f t="shared" si="125"/>
        <v>3169267.3690557447</v>
      </c>
      <c r="AF46" s="162">
        <f t="shared" si="126"/>
        <v>3169267.3690557447</v>
      </c>
      <c r="AG46" s="162">
        <f t="shared" si="127"/>
        <v>3249079.2820964092</v>
      </c>
      <c r="AH46" s="162">
        <f t="shared" si="128"/>
        <v>3390220.9234798257</v>
      </c>
      <c r="AI46" s="162">
        <f t="shared" si="129"/>
        <v>3603064.9290904137</v>
      </c>
      <c r="AJ46" s="162">
        <f t="shared" si="130"/>
        <v>3542613.9329868816</v>
      </c>
      <c r="AK46" s="162">
        <f t="shared" si="131"/>
        <v>3694231.3618344883</v>
      </c>
      <c r="AL46" s="162">
        <f t="shared" si="132"/>
        <v>3829577.3240331896</v>
      </c>
      <c r="AM46" s="162"/>
      <c r="AN46" s="162">
        <f t="shared" si="16"/>
        <v>4633854.0712656332</v>
      </c>
      <c r="AO46" s="162">
        <f t="shared" si="112"/>
        <v>4633854.0712656332</v>
      </c>
      <c r="AP46" s="162">
        <f t="shared" si="113"/>
        <v>4633854.0712656332</v>
      </c>
      <c r="AQ46" s="162">
        <f t="shared" si="114"/>
        <v>4633854.0712656332</v>
      </c>
      <c r="AR46" s="162">
        <f>V46*$F46</f>
        <v>4707555.6001286516</v>
      </c>
      <c r="AS46" s="162">
        <f t="shared" si="116"/>
        <v>4988973.3764260486</v>
      </c>
      <c r="AT46" s="162">
        <f t="shared" si="117"/>
        <v>5372770.862745882</v>
      </c>
      <c r="AU46" s="162">
        <f t="shared" si="118"/>
        <v>5354963.3140405379</v>
      </c>
      <c r="AV46" s="162">
        <f t="shared" si="119"/>
        <v>5630830.4098992925</v>
      </c>
      <c r="AW46" s="162">
        <f t="shared" si="120"/>
        <v>5918948.6211290415</v>
      </c>
      <c r="AX46" s="162"/>
      <c r="AY46" s="162">
        <f t="shared" si="68"/>
        <v>1464586.7022098885</v>
      </c>
      <c r="AZ46" s="162">
        <f t="shared" si="111"/>
        <v>1464586.7022098885</v>
      </c>
      <c r="BA46" s="162">
        <f t="shared" si="111"/>
        <v>1464586.7022098885</v>
      </c>
      <c r="BB46" s="162">
        <f t="shared" si="111"/>
        <v>1464586.7022098885</v>
      </c>
      <c r="BC46" s="162">
        <f>AR46-AG46</f>
        <v>1458476.3180322424</v>
      </c>
      <c r="BD46" s="162">
        <f t="shared" si="111"/>
        <v>1598752.4529462229</v>
      </c>
      <c r="BE46" s="162">
        <f t="shared" si="106"/>
        <v>1769705.9336554683</v>
      </c>
      <c r="BF46" s="162">
        <f t="shared" si="106"/>
        <v>1812349.3810536563</v>
      </c>
      <c r="BG46" s="162">
        <f t="shared" si="106"/>
        <v>1936599.0480648042</v>
      </c>
      <c r="BH46" s="162">
        <f t="shared" si="106"/>
        <v>2089371.297095852</v>
      </c>
    </row>
    <row r="47" spans="1:60" hidden="1" outlineLevel="1">
      <c r="A47" s="196" t="s">
        <v>623</v>
      </c>
      <c r="B47" s="177"/>
      <c r="C47" s="177"/>
      <c r="D47" s="133"/>
      <c r="E47" s="134"/>
      <c r="F47" s="160"/>
      <c r="G47" s="152">
        <f>$D47/$D$51*G$3</f>
        <v>0</v>
      </c>
      <c r="H47" s="152">
        <f t="shared" ref="H47:P49" si="138">$D47/$D$51*H$3</f>
        <v>0</v>
      </c>
      <c r="I47" s="152">
        <f t="shared" si="138"/>
        <v>0</v>
      </c>
      <c r="J47" s="152">
        <f t="shared" si="138"/>
        <v>0</v>
      </c>
      <c r="K47" s="152">
        <f t="shared" si="138"/>
        <v>0</v>
      </c>
      <c r="L47" s="152">
        <f t="shared" si="138"/>
        <v>0</v>
      </c>
      <c r="M47" s="152">
        <f t="shared" si="138"/>
        <v>0</v>
      </c>
      <c r="N47" s="152">
        <f t="shared" si="138"/>
        <v>0</v>
      </c>
      <c r="O47" s="152">
        <f t="shared" si="138"/>
        <v>0</v>
      </c>
      <c r="P47" s="152">
        <f t="shared" si="138"/>
        <v>0</v>
      </c>
      <c r="Q47" s="152"/>
      <c r="R47" s="152">
        <f t="shared" si="136"/>
        <v>0</v>
      </c>
      <c r="S47" s="152">
        <f t="shared" si="136"/>
        <v>0</v>
      </c>
      <c r="T47" s="152">
        <f t="shared" si="136"/>
        <v>0</v>
      </c>
      <c r="U47" s="152">
        <f t="shared" si="136"/>
        <v>0</v>
      </c>
      <c r="V47" s="152">
        <f t="shared" si="136"/>
        <v>0</v>
      </c>
      <c r="W47" s="152">
        <f t="shared" si="136"/>
        <v>0</v>
      </c>
      <c r="X47" s="152">
        <f t="shared" si="136"/>
        <v>0</v>
      </c>
      <c r="Y47" s="152">
        <f t="shared" si="136"/>
        <v>0</v>
      </c>
      <c r="Z47" s="152">
        <f t="shared" si="136"/>
        <v>0</v>
      </c>
      <c r="AA47" s="152">
        <f t="shared" si="136"/>
        <v>0</v>
      </c>
      <c r="AC47" s="162">
        <f t="shared" si="123"/>
        <v>0</v>
      </c>
      <c r="AD47" s="162">
        <f t="shared" si="124"/>
        <v>0</v>
      </c>
      <c r="AE47" s="162">
        <f t="shared" si="125"/>
        <v>0</v>
      </c>
      <c r="AF47" s="162">
        <f t="shared" si="126"/>
        <v>0</v>
      </c>
      <c r="AG47" s="162">
        <f t="shared" si="127"/>
        <v>0</v>
      </c>
      <c r="AH47" s="162">
        <f t="shared" si="128"/>
        <v>0</v>
      </c>
      <c r="AI47" s="162">
        <f t="shared" si="129"/>
        <v>0</v>
      </c>
      <c r="AJ47" s="162">
        <f t="shared" si="130"/>
        <v>0</v>
      </c>
      <c r="AK47" s="162">
        <f t="shared" si="131"/>
        <v>0</v>
      </c>
      <c r="AL47" s="162">
        <f t="shared" si="132"/>
        <v>0</v>
      </c>
      <c r="AM47" s="162"/>
      <c r="AN47" s="162">
        <f t="shared" si="16"/>
        <v>0</v>
      </c>
      <c r="AO47" s="162">
        <f t="shared" si="112"/>
        <v>0</v>
      </c>
      <c r="AP47" s="162">
        <f t="shared" si="113"/>
        <v>0</v>
      </c>
      <c r="AQ47" s="162">
        <f t="shared" si="114"/>
        <v>0</v>
      </c>
      <c r="AR47" s="162">
        <f t="shared" si="115"/>
        <v>0</v>
      </c>
      <c r="AS47" s="162">
        <f t="shared" si="116"/>
        <v>0</v>
      </c>
      <c r="AT47" s="162">
        <f t="shared" si="117"/>
        <v>0</v>
      </c>
      <c r="AU47" s="162">
        <f t="shared" si="118"/>
        <v>0</v>
      </c>
      <c r="AV47" s="162">
        <f t="shared" si="119"/>
        <v>0</v>
      </c>
      <c r="AW47" s="162">
        <f t="shared" si="120"/>
        <v>0</v>
      </c>
      <c r="AX47" s="162"/>
      <c r="AY47" s="162">
        <f t="shared" si="68"/>
        <v>0</v>
      </c>
      <c r="AZ47" s="162">
        <f t="shared" si="111"/>
        <v>0</v>
      </c>
      <c r="BA47" s="162">
        <f t="shared" si="111"/>
        <v>0</v>
      </c>
      <c r="BB47" s="162">
        <f t="shared" si="111"/>
        <v>0</v>
      </c>
      <c r="BC47" s="162">
        <f t="shared" si="111"/>
        <v>0</v>
      </c>
      <c r="BD47" s="162">
        <f t="shared" si="111"/>
        <v>0</v>
      </c>
      <c r="BE47" s="162">
        <f t="shared" si="106"/>
        <v>0</v>
      </c>
      <c r="BF47" s="162">
        <f t="shared" si="106"/>
        <v>0</v>
      </c>
      <c r="BG47" s="162">
        <f t="shared" si="106"/>
        <v>0</v>
      </c>
      <c r="BH47" s="162">
        <f t="shared" si="106"/>
        <v>0</v>
      </c>
    </row>
    <row r="48" spans="1:60" hidden="1" outlineLevel="1">
      <c r="A48" s="196" t="s">
        <v>624</v>
      </c>
      <c r="B48" s="177"/>
      <c r="C48" s="177"/>
      <c r="D48" s="133">
        <v>0.01</v>
      </c>
      <c r="E48" s="134">
        <v>1232307.25</v>
      </c>
      <c r="F48" s="160"/>
      <c r="G48" s="152">
        <f>$D48/$D$51*G$3</f>
        <v>3.2728910264214804E-3</v>
      </c>
      <c r="H48" s="152">
        <f t="shared" si="138"/>
        <v>3.2728910264214804E-3</v>
      </c>
      <c r="I48" s="152">
        <f t="shared" si="138"/>
        <v>3.2728910264214804E-3</v>
      </c>
      <c r="J48" s="152">
        <f t="shared" si="138"/>
        <v>3.2728910264214804E-3</v>
      </c>
      <c r="K48" s="152">
        <f t="shared" si="138"/>
        <v>3.3553125022940415E-3</v>
      </c>
      <c r="L48" s="152">
        <f t="shared" si="138"/>
        <v>3.5010689682989319E-3</v>
      </c>
      <c r="M48" s="152">
        <f t="shared" si="138"/>
        <v>3.7208722082502669E-3</v>
      </c>
      <c r="N48" s="152">
        <f t="shared" si="138"/>
        <v>3.6584446817445313E-3</v>
      </c>
      <c r="O48" s="152">
        <f t="shared" si="138"/>
        <v>3.815019455829394E-3</v>
      </c>
      <c r="P48" s="152">
        <f t="shared" si="138"/>
        <v>3.9547907447612229E-3</v>
      </c>
      <c r="Q48" s="152"/>
      <c r="R48" s="152">
        <f t="shared" si="136"/>
        <v>4.7853644522615774E-3</v>
      </c>
      <c r="S48" s="152">
        <f t="shared" si="136"/>
        <v>4.7853644522615774E-3</v>
      </c>
      <c r="T48" s="152">
        <f t="shared" si="136"/>
        <v>4.7853644522615774E-3</v>
      </c>
      <c r="U48" s="152">
        <f t="shared" si="136"/>
        <v>4.7853644522615774E-3</v>
      </c>
      <c r="V48" s="152">
        <f t="shared" si="136"/>
        <v>4.8614757563454564E-3</v>
      </c>
      <c r="W48" s="152">
        <f t="shared" si="136"/>
        <v>5.152094882933585E-3</v>
      </c>
      <c r="X48" s="152">
        <f t="shared" si="136"/>
        <v>5.5484411682624728E-3</v>
      </c>
      <c r="Y48" s="152">
        <f t="shared" si="136"/>
        <v>5.5300513766881366E-3</v>
      </c>
      <c r="Z48" s="152">
        <f t="shared" si="136"/>
        <v>5.8149383355281152E-3</v>
      </c>
      <c r="AA48" s="152">
        <f t="shared" si="136"/>
        <v>6.1124769771995517E-3</v>
      </c>
      <c r="AC48" s="162">
        <f t="shared" si="123"/>
        <v>0</v>
      </c>
      <c r="AD48" s="162">
        <f t="shared" si="124"/>
        <v>0</v>
      </c>
      <c r="AE48" s="162">
        <f t="shared" si="125"/>
        <v>0</v>
      </c>
      <c r="AF48" s="162">
        <f t="shared" si="126"/>
        <v>0</v>
      </c>
      <c r="AG48" s="162">
        <f t="shared" si="127"/>
        <v>0</v>
      </c>
      <c r="AH48" s="162">
        <f t="shared" si="128"/>
        <v>0</v>
      </c>
      <c r="AI48" s="162">
        <f t="shared" si="129"/>
        <v>0</v>
      </c>
      <c r="AJ48" s="162">
        <f t="shared" si="130"/>
        <v>0</v>
      </c>
      <c r="AK48" s="162">
        <f t="shared" si="131"/>
        <v>0</v>
      </c>
      <c r="AL48" s="162">
        <f t="shared" si="132"/>
        <v>0</v>
      </c>
      <c r="AM48" s="162"/>
      <c r="AN48" s="162">
        <f t="shared" si="16"/>
        <v>0</v>
      </c>
      <c r="AO48" s="162">
        <f t="shared" si="112"/>
        <v>0</v>
      </c>
      <c r="AP48" s="162">
        <f t="shared" si="113"/>
        <v>0</v>
      </c>
      <c r="AQ48" s="162">
        <f t="shared" si="114"/>
        <v>0</v>
      </c>
      <c r="AR48" s="162">
        <f t="shared" si="115"/>
        <v>0</v>
      </c>
      <c r="AS48" s="162">
        <f t="shared" si="116"/>
        <v>0</v>
      </c>
      <c r="AT48" s="162">
        <f t="shared" si="117"/>
        <v>0</v>
      </c>
      <c r="AU48" s="162">
        <f t="shared" si="118"/>
        <v>0</v>
      </c>
      <c r="AV48" s="162">
        <f t="shared" si="119"/>
        <v>0</v>
      </c>
      <c r="AW48" s="162">
        <f t="shared" si="120"/>
        <v>0</v>
      </c>
      <c r="AX48" s="162"/>
      <c r="AY48" s="162">
        <f t="shared" si="68"/>
        <v>0</v>
      </c>
      <c r="AZ48" s="162">
        <f t="shared" si="111"/>
        <v>0</v>
      </c>
      <c r="BA48" s="162">
        <f t="shared" si="111"/>
        <v>0</v>
      </c>
      <c r="BB48" s="162">
        <f t="shared" si="111"/>
        <v>0</v>
      </c>
      <c r="BC48" s="162">
        <f t="shared" si="111"/>
        <v>0</v>
      </c>
      <c r="BD48" s="162">
        <f t="shared" si="111"/>
        <v>0</v>
      </c>
      <c r="BE48" s="162">
        <f t="shared" si="106"/>
        <v>0</v>
      </c>
      <c r="BF48" s="162">
        <f t="shared" si="106"/>
        <v>0</v>
      </c>
      <c r="BG48" s="162">
        <f t="shared" si="106"/>
        <v>0</v>
      </c>
      <c r="BH48" s="162">
        <f t="shared" si="106"/>
        <v>0</v>
      </c>
    </row>
    <row r="49" spans="1:60" hidden="1" outlineLevel="1">
      <c r="A49" s="197" t="s">
        <v>625</v>
      </c>
      <c r="B49" s="185"/>
      <c r="C49" s="185"/>
      <c r="D49" s="135">
        <v>1500</v>
      </c>
      <c r="E49" s="136">
        <v>0</v>
      </c>
      <c r="F49" s="160">
        <f t="shared" si="12"/>
        <v>0</v>
      </c>
      <c r="G49" s="152">
        <f>$D49/$D$51*G$3</f>
        <v>490.93365396322196</v>
      </c>
      <c r="H49" s="152">
        <f t="shared" si="138"/>
        <v>490.93365396322196</v>
      </c>
      <c r="I49" s="152">
        <f t="shared" si="138"/>
        <v>490.93365396322196</v>
      </c>
      <c r="J49" s="152">
        <f t="shared" si="138"/>
        <v>490.93365396322196</v>
      </c>
      <c r="K49" s="152">
        <f t="shared" si="138"/>
        <v>503.29687534410618</v>
      </c>
      <c r="L49" s="152">
        <f t="shared" si="138"/>
        <v>525.16034524483973</v>
      </c>
      <c r="M49" s="152">
        <f t="shared" si="138"/>
        <v>558.13083123753995</v>
      </c>
      <c r="N49" s="152">
        <f t="shared" si="138"/>
        <v>548.7667022616796</v>
      </c>
      <c r="O49" s="152">
        <f t="shared" si="138"/>
        <v>572.25291837440898</v>
      </c>
      <c r="P49" s="152">
        <f t="shared" si="138"/>
        <v>593.21861171418345</v>
      </c>
      <c r="Q49" s="152"/>
      <c r="R49" s="152">
        <f t="shared" si="136"/>
        <v>717.80466783923657</v>
      </c>
      <c r="S49" s="152">
        <f t="shared" si="136"/>
        <v>717.80466783923657</v>
      </c>
      <c r="T49" s="152">
        <f t="shared" si="136"/>
        <v>717.80466783923657</v>
      </c>
      <c r="U49" s="152">
        <f t="shared" si="136"/>
        <v>717.80466783923657</v>
      </c>
      <c r="V49" s="152">
        <f t="shared" si="136"/>
        <v>729.22136345181832</v>
      </c>
      <c r="W49" s="152">
        <f t="shared" si="136"/>
        <v>772.8142324400377</v>
      </c>
      <c r="X49" s="152">
        <f t="shared" si="136"/>
        <v>832.26617523937091</v>
      </c>
      <c r="Y49" s="152">
        <f t="shared" si="136"/>
        <v>829.50770650322033</v>
      </c>
      <c r="Z49" s="152">
        <f t="shared" si="136"/>
        <v>872.24075032921712</v>
      </c>
      <c r="AA49" s="152">
        <f t="shared" si="136"/>
        <v>916.87154657993267</v>
      </c>
      <c r="AC49" s="162">
        <f t="shared" si="123"/>
        <v>0</v>
      </c>
      <c r="AD49" s="162">
        <f t="shared" si="124"/>
        <v>0</v>
      </c>
      <c r="AE49" s="162">
        <f t="shared" si="125"/>
        <v>0</v>
      </c>
      <c r="AF49" s="162">
        <f t="shared" si="126"/>
        <v>0</v>
      </c>
      <c r="AG49" s="162">
        <f t="shared" si="127"/>
        <v>0</v>
      </c>
      <c r="AH49" s="162">
        <f t="shared" si="128"/>
        <v>0</v>
      </c>
      <c r="AI49" s="162">
        <f t="shared" si="129"/>
        <v>0</v>
      </c>
      <c r="AJ49" s="162">
        <f t="shared" si="130"/>
        <v>0</v>
      </c>
      <c r="AK49" s="162">
        <f t="shared" si="131"/>
        <v>0</v>
      </c>
      <c r="AL49" s="162">
        <f t="shared" si="132"/>
        <v>0</v>
      </c>
      <c r="AM49" s="162"/>
      <c r="AN49" s="162">
        <f t="shared" si="16"/>
        <v>0</v>
      </c>
      <c r="AO49" s="162">
        <f t="shared" si="112"/>
        <v>0</v>
      </c>
      <c r="AP49" s="162">
        <f t="shared" si="113"/>
        <v>0</v>
      </c>
      <c r="AQ49" s="162">
        <f t="shared" si="114"/>
        <v>0</v>
      </c>
      <c r="AR49" s="162">
        <f t="shared" si="115"/>
        <v>0</v>
      </c>
      <c r="AS49" s="162">
        <f t="shared" si="116"/>
        <v>0</v>
      </c>
      <c r="AT49" s="162">
        <f t="shared" si="117"/>
        <v>0</v>
      </c>
      <c r="AU49" s="162">
        <f t="shared" si="118"/>
        <v>0</v>
      </c>
      <c r="AV49" s="162">
        <f t="shared" si="119"/>
        <v>0</v>
      </c>
      <c r="AW49" s="162">
        <f t="shared" si="120"/>
        <v>0</v>
      </c>
      <c r="AX49" s="162"/>
      <c r="AY49" s="168">
        <f t="shared" si="68"/>
        <v>0</v>
      </c>
      <c r="AZ49" s="162">
        <f t="shared" si="111"/>
        <v>0</v>
      </c>
      <c r="BA49" s="162">
        <f t="shared" si="111"/>
        <v>0</v>
      </c>
      <c r="BB49" s="162">
        <f t="shared" si="111"/>
        <v>0</v>
      </c>
      <c r="BC49" s="162">
        <f t="shared" si="111"/>
        <v>0</v>
      </c>
      <c r="BD49" s="162">
        <f t="shared" si="111"/>
        <v>0</v>
      </c>
      <c r="BE49" s="162">
        <f t="shared" si="106"/>
        <v>0</v>
      </c>
      <c r="BF49" s="162">
        <f t="shared" si="106"/>
        <v>0</v>
      </c>
      <c r="BG49" s="162">
        <f t="shared" si="106"/>
        <v>0</v>
      </c>
      <c r="BH49" s="162">
        <f t="shared" si="106"/>
        <v>0</v>
      </c>
    </row>
    <row r="50" spans="1:60" collapsed="1">
      <c r="A50" s="116" t="s">
        <v>626</v>
      </c>
      <c r="B50" s="127"/>
      <c r="C50" s="127"/>
      <c r="D50" s="137">
        <v>29882.41</v>
      </c>
      <c r="E50" s="137">
        <v>10915695.25</v>
      </c>
      <c r="F50" s="198">
        <f>E50/D50</f>
        <v>365.28831677230852</v>
      </c>
      <c r="G50" s="179">
        <f>SUM(G46:G49)</f>
        <v>9780.187153684752</v>
      </c>
      <c r="H50" s="179">
        <f t="shared" ref="H50:P50" si="139">SUM(H46:H49)</f>
        <v>9780.187153684752</v>
      </c>
      <c r="I50" s="179">
        <f t="shared" si="139"/>
        <v>9780.187153684752</v>
      </c>
      <c r="J50" s="179">
        <f t="shared" si="139"/>
        <v>9780.187153684752</v>
      </c>
      <c r="K50" s="179">
        <f t="shared" si="139"/>
        <v>10026.482387167649</v>
      </c>
      <c r="L50" s="179">
        <f t="shared" si="139"/>
        <v>10462.037834898569</v>
      </c>
      <c r="M50" s="179">
        <f t="shared" si="139"/>
        <v>11118.862888453987</v>
      </c>
      <c r="N50" s="179">
        <f t="shared" si="139"/>
        <v>10932.314394220961</v>
      </c>
      <c r="O50" s="179">
        <f t="shared" si="139"/>
        <v>11400.197553707083</v>
      </c>
      <c r="P50" s="179">
        <f t="shared" si="139"/>
        <v>11817.867849916023</v>
      </c>
      <c r="Q50" s="152"/>
      <c r="R50" s="179">
        <f>SUM(R46:R49)</f>
        <v>14299.822256190588</v>
      </c>
      <c r="S50" s="179">
        <f t="shared" ref="S50:AA50" si="140">SUM(S46:S49)</f>
        <v>14299.822256190588</v>
      </c>
      <c r="T50" s="179">
        <f t="shared" si="140"/>
        <v>14299.822256190588</v>
      </c>
      <c r="U50" s="179">
        <f t="shared" si="140"/>
        <v>14299.822256190588</v>
      </c>
      <c r="V50" s="179">
        <f t="shared" si="140"/>
        <v>14527.261175617501</v>
      </c>
      <c r="W50" s="179">
        <f t="shared" si="140"/>
        <v>15395.701165072342</v>
      </c>
      <c r="X50" s="179">
        <f t="shared" si="140"/>
        <v>16580.079385089823</v>
      </c>
      <c r="Y50" s="179">
        <f t="shared" si="140"/>
        <v>16525.126255925934</v>
      </c>
      <c r="Z50" s="179">
        <f t="shared" si="140"/>
        <v>17376.43714669687</v>
      </c>
      <c r="AA50" s="179">
        <f t="shared" si="140"/>
        <v>18265.554314823767</v>
      </c>
      <c r="AC50" s="180">
        <f>SUM(AC46:AC49)</f>
        <v>3169267.3690557447</v>
      </c>
      <c r="AD50" s="180">
        <f t="shared" ref="AD50:AL50" si="141">SUM(AD46:AD49)</f>
        <v>3169267.3690557447</v>
      </c>
      <c r="AE50" s="180">
        <f t="shared" si="141"/>
        <v>3169267.3690557447</v>
      </c>
      <c r="AF50" s="180">
        <f t="shared" si="141"/>
        <v>3169267.3690557447</v>
      </c>
      <c r="AG50" s="180">
        <f t="shared" si="141"/>
        <v>3249079.2820964092</v>
      </c>
      <c r="AH50" s="180">
        <f t="shared" si="141"/>
        <v>3390220.9234798257</v>
      </c>
      <c r="AI50" s="180">
        <f t="shared" si="141"/>
        <v>3603064.9290904137</v>
      </c>
      <c r="AJ50" s="180">
        <f t="shared" si="141"/>
        <v>3542613.9329868816</v>
      </c>
      <c r="AK50" s="180">
        <f t="shared" si="141"/>
        <v>3694231.3618344883</v>
      </c>
      <c r="AL50" s="180">
        <f t="shared" si="141"/>
        <v>3829577.3240331896</v>
      </c>
      <c r="AM50" s="169"/>
      <c r="AN50" s="180">
        <f>SUM(AN46:AN49)</f>
        <v>4633854.0712656332</v>
      </c>
      <c r="AO50" s="180">
        <f t="shared" ref="AO50:AW50" si="142">SUM(AO46:AO49)</f>
        <v>4633854.0712656332</v>
      </c>
      <c r="AP50" s="180">
        <f t="shared" si="142"/>
        <v>4633854.0712656332</v>
      </c>
      <c r="AQ50" s="180">
        <f t="shared" si="142"/>
        <v>4633854.0712656332</v>
      </c>
      <c r="AR50" s="180">
        <f t="shared" si="142"/>
        <v>4707555.6001286516</v>
      </c>
      <c r="AS50" s="180">
        <f t="shared" si="142"/>
        <v>4988973.3764260486</v>
      </c>
      <c r="AT50" s="180">
        <f t="shared" si="142"/>
        <v>5372770.862745882</v>
      </c>
      <c r="AU50" s="180">
        <f t="shared" si="142"/>
        <v>5354963.3140405379</v>
      </c>
      <c r="AV50" s="180">
        <f t="shared" si="142"/>
        <v>5630830.4098992925</v>
      </c>
      <c r="AW50" s="180">
        <f t="shared" si="142"/>
        <v>5918948.6211290415</v>
      </c>
      <c r="AX50" s="169"/>
      <c r="AY50" s="162">
        <f t="shared" si="68"/>
        <v>1464586.7022098885</v>
      </c>
      <c r="AZ50" s="180">
        <f t="shared" si="111"/>
        <v>1464586.7022098885</v>
      </c>
      <c r="BA50" s="180">
        <f t="shared" si="111"/>
        <v>1464586.7022098885</v>
      </c>
      <c r="BB50" s="180">
        <f t="shared" si="111"/>
        <v>1464586.7022098885</v>
      </c>
      <c r="BC50" s="180">
        <f t="shared" si="111"/>
        <v>1458476.3180322424</v>
      </c>
      <c r="BD50" s="180">
        <f t="shared" si="111"/>
        <v>1598752.4529462229</v>
      </c>
      <c r="BE50" s="180">
        <f t="shared" si="106"/>
        <v>1769705.9336554683</v>
      </c>
      <c r="BF50" s="180">
        <f t="shared" si="106"/>
        <v>1812349.3810536563</v>
      </c>
      <c r="BG50" s="180">
        <f t="shared" si="106"/>
        <v>1936599.0480648042</v>
      </c>
      <c r="BH50" s="180">
        <f t="shared" si="106"/>
        <v>2089371.297095852</v>
      </c>
    </row>
    <row r="51" spans="1:60" ht="13.5" thickBot="1">
      <c r="A51" s="140" t="s">
        <v>660</v>
      </c>
      <c r="D51" s="199">
        <v>505705.63844999997</v>
      </c>
      <c r="E51" s="199">
        <v>201662043.99331933</v>
      </c>
      <c r="F51" s="200"/>
      <c r="G51" s="199">
        <f>G27+G38+G43+G50</f>
        <v>165511.94460937506</v>
      </c>
      <c r="H51" s="199">
        <f t="shared" ref="H51:P51" si="143">H27+H38+H43+H50</f>
        <v>165511.94460937506</v>
      </c>
      <c r="I51" s="199">
        <f t="shared" si="143"/>
        <v>165511.94460937506</v>
      </c>
      <c r="J51" s="199">
        <f t="shared" si="143"/>
        <v>165511.94460937506</v>
      </c>
      <c r="K51" s="199">
        <f t="shared" si="143"/>
        <v>169680.04511718749</v>
      </c>
      <c r="L51" s="199">
        <f t="shared" si="143"/>
        <v>177051.03178710942</v>
      </c>
      <c r="M51" s="199">
        <f t="shared" si="143"/>
        <v>188166.60556640624</v>
      </c>
      <c r="N51" s="199">
        <f t="shared" si="143"/>
        <v>185009.61035156253</v>
      </c>
      <c r="O51" s="199">
        <f t="shared" si="143"/>
        <v>192927.68496093751</v>
      </c>
      <c r="P51" s="199">
        <f t="shared" si="143"/>
        <v>199995.99785156251</v>
      </c>
      <c r="Q51" s="152"/>
      <c r="R51" s="199">
        <f>R27+R38+R43+R50</f>
        <v>241998.57855468753</v>
      </c>
      <c r="S51" s="199">
        <f t="shared" ref="S51:AA51" si="144">S27+S38+S43+S50</f>
        <v>241998.57855468753</v>
      </c>
      <c r="T51" s="199">
        <f t="shared" si="144"/>
        <v>241998.57855468753</v>
      </c>
      <c r="U51" s="199">
        <f t="shared" si="144"/>
        <v>241998.57855468753</v>
      </c>
      <c r="V51" s="199">
        <f t="shared" si="144"/>
        <v>245847.57011718748</v>
      </c>
      <c r="W51" s="199">
        <f t="shared" si="144"/>
        <v>260544.34321289061</v>
      </c>
      <c r="X51" s="199">
        <f t="shared" si="144"/>
        <v>280587.79833984375</v>
      </c>
      <c r="Y51" s="199">
        <f t="shared" si="144"/>
        <v>279657.81621093751</v>
      </c>
      <c r="Z51" s="199">
        <f t="shared" si="144"/>
        <v>294064.71035156253</v>
      </c>
      <c r="AA51" s="199">
        <f t="shared" si="144"/>
        <v>309111.4072265625</v>
      </c>
      <c r="AC51" s="201">
        <f>AC27+AC38+AC43+AC50</f>
        <v>65598468.681522951</v>
      </c>
      <c r="AD51" s="201">
        <f t="shared" ref="AD51:AL51" si="145">AD27+AD38+AD43+AD50</f>
        <v>65598468.681522951</v>
      </c>
      <c r="AE51" s="201">
        <f t="shared" si="145"/>
        <v>65598468.681522951</v>
      </c>
      <c r="AF51" s="201">
        <f t="shared" si="145"/>
        <v>65598468.681522951</v>
      </c>
      <c r="AG51" s="201">
        <f t="shared" si="145"/>
        <v>67250440.152636275</v>
      </c>
      <c r="AH51" s="201">
        <f t="shared" si="145"/>
        <v>70171833.163635954</v>
      </c>
      <c r="AI51" s="201">
        <f t="shared" si="145"/>
        <v>74577343.715513423</v>
      </c>
      <c r="AJ51" s="201">
        <f t="shared" si="145"/>
        <v>73326110.445205316</v>
      </c>
      <c r="AK51" s="201">
        <f t="shared" si="145"/>
        <v>76464334.520252675</v>
      </c>
      <c r="AL51" s="201">
        <f t="shared" si="145"/>
        <v>79265766.784740761</v>
      </c>
      <c r="AM51" s="169"/>
      <c r="AN51" s="201">
        <f>AN27+AN38+AN43+AN50</f>
        <v>95912933.738762632</v>
      </c>
      <c r="AO51" s="201">
        <f t="shared" ref="AO51:AW51" si="146">AO27+AO38+AO43+AO50</f>
        <v>95912933.738762632</v>
      </c>
      <c r="AP51" s="201">
        <f t="shared" si="146"/>
        <v>95912933.738762632</v>
      </c>
      <c r="AQ51" s="201">
        <f t="shared" si="146"/>
        <v>95912933.738762632</v>
      </c>
      <c r="AR51" s="201">
        <f t="shared" si="146"/>
        <v>97438430.602834895</v>
      </c>
      <c r="AS51" s="201">
        <f t="shared" si="146"/>
        <v>103263302.10629809</v>
      </c>
      <c r="AT51" s="201">
        <f t="shared" si="146"/>
        <v>111207260.26906425</v>
      </c>
      <c r="AU51" s="201">
        <f t="shared" si="146"/>
        <v>110838674.16066337</v>
      </c>
      <c r="AV51" s="201">
        <f t="shared" si="146"/>
        <v>116548655.97685353</v>
      </c>
      <c r="AW51" s="201">
        <f t="shared" si="146"/>
        <v>122512215.13897064</v>
      </c>
      <c r="AX51" s="169"/>
      <c r="AY51" s="201">
        <f>AY27+AY38+AY43+AY50</f>
        <v>30314465.057239693</v>
      </c>
      <c r="AZ51" s="201">
        <f t="shared" si="111"/>
        <v>30314465.057239681</v>
      </c>
      <c r="BA51" s="201">
        <f t="shared" si="111"/>
        <v>30314465.057239681</v>
      </c>
      <c r="BB51" s="201">
        <f t="shared" si="111"/>
        <v>30314465.057239681</v>
      </c>
      <c r="BC51" s="201">
        <f t="shared" si="111"/>
        <v>30187990.450198621</v>
      </c>
      <c r="BD51" s="201">
        <f t="shared" si="111"/>
        <v>33091468.942662135</v>
      </c>
      <c r="BE51" s="201">
        <f t="shared" si="106"/>
        <v>36629916.553550825</v>
      </c>
      <c r="BF51" s="201">
        <f t="shared" si="106"/>
        <v>37512563.71545805</v>
      </c>
      <c r="BG51" s="201">
        <f t="shared" si="106"/>
        <v>40084321.45660086</v>
      </c>
      <c r="BH51" s="201">
        <f t="shared" si="106"/>
        <v>43246448.354229882</v>
      </c>
    </row>
    <row r="52" spans="1:60" ht="13.5" thickTop="1">
      <c r="AB52" s="202"/>
      <c r="AC52" s="203"/>
      <c r="AD52" s="203"/>
      <c r="AE52" s="203"/>
      <c r="AF52" s="203"/>
      <c r="AG52" s="203"/>
      <c r="AH52" s="203"/>
      <c r="AI52" s="203"/>
      <c r="AJ52" s="203"/>
      <c r="AN52" s="203"/>
      <c r="AO52" s="203"/>
      <c r="AP52" s="203"/>
      <c r="AQ52" s="203"/>
      <c r="AR52" s="203"/>
      <c r="AS52" s="203"/>
      <c r="AT52" s="203"/>
      <c r="AU52" s="203"/>
    </row>
    <row r="53" spans="1:60">
      <c r="D53" s="151"/>
      <c r="E53" s="151"/>
      <c r="G53" s="152">
        <f>G51-G3</f>
        <v>0</v>
      </c>
      <c r="H53" s="152">
        <f t="shared" ref="H53:AA53" si="147">H51-H3</f>
        <v>0</v>
      </c>
      <c r="I53" s="152">
        <f t="shared" si="147"/>
        <v>0</v>
      </c>
      <c r="J53" s="152">
        <f t="shared" si="147"/>
        <v>0</v>
      </c>
      <c r="K53" s="152">
        <f t="shared" si="147"/>
        <v>0</v>
      </c>
      <c r="L53" s="152">
        <f t="shared" si="147"/>
        <v>0</v>
      </c>
      <c r="M53" s="152">
        <f t="shared" si="147"/>
        <v>0</v>
      </c>
      <c r="N53" s="152">
        <f t="shared" si="147"/>
        <v>0</v>
      </c>
      <c r="O53" s="152">
        <f t="shared" si="147"/>
        <v>0</v>
      </c>
      <c r="P53" s="152">
        <f t="shared" si="147"/>
        <v>0</v>
      </c>
      <c r="Q53" s="152"/>
      <c r="R53" s="152">
        <f t="shared" si="147"/>
        <v>0</v>
      </c>
      <c r="S53" s="152">
        <f t="shared" si="147"/>
        <v>0</v>
      </c>
      <c r="T53" s="152">
        <f t="shared" si="147"/>
        <v>0</v>
      </c>
      <c r="U53" s="152">
        <f t="shared" si="147"/>
        <v>0</v>
      </c>
      <c r="V53" s="152">
        <f t="shared" si="147"/>
        <v>0</v>
      </c>
      <c r="W53" s="152">
        <f t="shared" si="147"/>
        <v>0</v>
      </c>
      <c r="X53" s="152">
        <f t="shared" si="147"/>
        <v>0</v>
      </c>
      <c r="Y53" s="152">
        <f t="shared" si="147"/>
        <v>0</v>
      </c>
      <c r="Z53" s="152">
        <f t="shared" si="147"/>
        <v>0</v>
      </c>
      <c r="AA53" s="152">
        <f t="shared" si="147"/>
        <v>0</v>
      </c>
      <c r="AB53" s="202"/>
      <c r="AC53" s="204"/>
      <c r="AD53" s="204"/>
      <c r="AE53" s="204"/>
      <c r="AF53" s="204"/>
      <c r="AG53" s="204"/>
      <c r="AH53" s="204"/>
      <c r="AI53" s="204"/>
      <c r="AJ53" s="204"/>
      <c r="AN53" s="204"/>
      <c r="AO53" s="204"/>
      <c r="AP53" s="204"/>
      <c r="AQ53" s="204"/>
      <c r="AR53" s="204"/>
      <c r="AS53" s="204"/>
      <c r="AT53" s="204"/>
      <c r="AU53" s="204"/>
    </row>
    <row r="54" spans="1:60">
      <c r="E54" s="152"/>
      <c r="AC54" s="161"/>
      <c r="AD54" s="161"/>
      <c r="AE54" s="161"/>
      <c r="AF54" s="161"/>
      <c r="AG54" s="161"/>
      <c r="AH54" s="161"/>
      <c r="AI54" s="161"/>
      <c r="AJ54" s="161"/>
      <c r="AN54" s="161"/>
      <c r="AO54" s="161"/>
      <c r="AP54" s="161"/>
      <c r="AQ54" s="161"/>
      <c r="AR54" s="161"/>
      <c r="AS54" s="161"/>
      <c r="AT54" s="161"/>
      <c r="AU54" s="161"/>
    </row>
    <row r="55" spans="1:60">
      <c r="D55" s="151"/>
      <c r="E55" s="151"/>
    </row>
  </sheetData>
  <mergeCells count="6">
    <mergeCell ref="BJ1:BV1"/>
    <mergeCell ref="G1:P1"/>
    <mergeCell ref="R1:AA1"/>
    <mergeCell ref="AC1:AL1"/>
    <mergeCell ref="AN1:AW1"/>
    <mergeCell ref="AY1:BH1"/>
  </mergeCells>
  <pageMargins left="0.7" right="0.7" top="0.75" bottom="0.75" header="0.3" footer="0.3"/>
  <pageSetup paperSize="119" orientation="landscape" horizontalDpi="1200" verticalDpi="1200" r:id="rId1"/>
  <headerFooter>
    <oddHeader>&amp;LAppendix E: Incremental Cost Calculation&amp;RDraft Clean Energy Implementation Plan</oddHeader>
    <oddFooter>&amp;LOCTOBER 15, 2021&amp;C&amp;P of &amp;N&amp;RPuget Sound Energy</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4"/>
  <sheetViews>
    <sheetView topLeftCell="H1" workbookViewId="0">
      <pane ySplit="2" topLeftCell="A3" activePane="bottomLeft" state="frozen"/>
      <selection activeCell="B28" sqref="B28"/>
      <selection pane="bottomLeft" activeCell="B28" sqref="B28"/>
    </sheetView>
  </sheetViews>
  <sheetFormatPr defaultRowHeight="12.75"/>
  <cols>
    <col min="1" max="1" width="72.7109375" style="140" customWidth="1"/>
    <col min="2" max="2" width="17.140625" style="140" customWidth="1"/>
    <col min="3" max="3" width="20" style="140" customWidth="1"/>
    <col min="4" max="7" width="20.7109375" style="140" bestFit="1" customWidth="1"/>
    <col min="8" max="8" width="5.7109375" style="140" customWidth="1"/>
    <col min="9" max="9" width="18" style="140" customWidth="1"/>
    <col min="10" max="10" width="7" style="140" customWidth="1"/>
    <col min="11" max="11" width="5.7109375" style="140" customWidth="1"/>
    <col min="12" max="12" width="71.5703125" style="140" customWidth="1"/>
    <col min="13" max="13" width="19.42578125" style="140" customWidth="1"/>
    <col min="14" max="14" width="22.85546875" style="140" customWidth="1"/>
    <col min="15" max="18" width="17.140625" style="140" bestFit="1" customWidth="1"/>
    <col min="19" max="19" width="5.7109375" style="140" customWidth="1"/>
    <col min="20" max="20" width="16.140625" style="140" customWidth="1"/>
    <col min="21" max="16384" width="9.140625" style="140"/>
  </cols>
  <sheetData>
    <row r="1" spans="1:21" ht="38.25">
      <c r="A1" s="718"/>
      <c r="B1" s="719"/>
      <c r="C1" s="720"/>
      <c r="D1" s="720">
        <v>2022</v>
      </c>
      <c r="E1" s="720">
        <v>2023</v>
      </c>
      <c r="F1" s="720">
        <v>2024</v>
      </c>
      <c r="G1" s="720">
        <v>2025</v>
      </c>
      <c r="H1" s="719"/>
      <c r="I1" s="721" t="s">
        <v>730</v>
      </c>
      <c r="J1" s="722" t="s">
        <v>557</v>
      </c>
      <c r="L1" s="718"/>
      <c r="M1" s="719"/>
      <c r="N1" s="720"/>
      <c r="O1" s="720">
        <f t="shared" ref="O1:T1" si="0">D1</f>
        <v>2022</v>
      </c>
      <c r="P1" s="720">
        <f t="shared" si="0"/>
        <v>2023</v>
      </c>
      <c r="Q1" s="720">
        <f t="shared" si="0"/>
        <v>2024</v>
      </c>
      <c r="R1" s="720">
        <f t="shared" si="0"/>
        <v>2025</v>
      </c>
      <c r="S1" s="719"/>
      <c r="T1" s="721" t="str">
        <f t="shared" si="0"/>
        <v>2022-2025 Incremental Cost</v>
      </c>
      <c r="U1" s="722" t="s">
        <v>557</v>
      </c>
    </row>
    <row r="2" spans="1:21" hidden="1">
      <c r="A2" s="723"/>
      <c r="B2" s="181"/>
      <c r="C2" s="181"/>
      <c r="D2" s="181"/>
      <c r="E2" s="181"/>
      <c r="F2" s="181"/>
      <c r="G2" s="181"/>
      <c r="H2" s="181"/>
      <c r="I2" s="181"/>
      <c r="J2" s="724"/>
      <c r="L2" s="723"/>
      <c r="M2" s="181"/>
      <c r="N2" s="181"/>
      <c r="O2" s="181"/>
      <c r="P2" s="181"/>
      <c r="Q2" s="181"/>
      <c r="R2" s="181"/>
      <c r="S2" s="181"/>
      <c r="T2" s="181"/>
      <c r="U2" s="724"/>
    </row>
    <row r="3" spans="1:21">
      <c r="A3" s="725" t="s">
        <v>682</v>
      </c>
      <c r="B3" s="181"/>
      <c r="C3" s="181"/>
      <c r="D3" s="181"/>
      <c r="E3" s="181"/>
      <c r="F3" s="181"/>
      <c r="G3" s="181"/>
      <c r="H3" s="181"/>
      <c r="I3" s="181"/>
      <c r="J3" s="724"/>
      <c r="L3" s="725" t="s">
        <v>732</v>
      </c>
      <c r="M3" s="181"/>
      <c r="N3" s="181"/>
      <c r="O3" s="181"/>
      <c r="P3" s="181"/>
      <c r="Q3" s="181"/>
      <c r="R3" s="181"/>
      <c r="S3" s="181"/>
      <c r="T3" s="181"/>
      <c r="U3" s="724"/>
    </row>
    <row r="4" spans="1:21">
      <c r="A4" s="726" t="s">
        <v>666</v>
      </c>
      <c r="B4" s="727"/>
      <c r="C4" s="727"/>
      <c r="D4" s="181"/>
      <c r="E4" s="181"/>
      <c r="F4" s="181"/>
      <c r="G4" s="181"/>
      <c r="H4" s="181"/>
      <c r="I4" s="181"/>
      <c r="J4" s="724"/>
      <c r="L4" s="726" t="str">
        <f t="shared" ref="L4:L25" si="1">A4</f>
        <v>Energy Efficiency</v>
      </c>
      <c r="M4" s="727"/>
      <c r="N4" s="727"/>
      <c r="O4" s="181"/>
      <c r="P4" s="181"/>
      <c r="Q4" s="181"/>
      <c r="R4" s="181"/>
      <c r="S4" s="181"/>
      <c r="T4" s="181"/>
      <c r="U4" s="724"/>
    </row>
    <row r="5" spans="1:21">
      <c r="A5" s="728" t="s">
        <v>667</v>
      </c>
      <c r="B5" s="729">
        <f>SUM('1. Energy Efficiency'!G3:J3)</f>
        <v>662047.77843750012</v>
      </c>
      <c r="C5" s="730" t="s">
        <v>728</v>
      </c>
      <c r="D5" s="220">
        <f>'3. Incremental Resource Cost'!B5</f>
        <v>65598468.681522951</v>
      </c>
      <c r="E5" s="220">
        <f>'3. Incremental Resource Cost'!C5</f>
        <v>65598468.681522951</v>
      </c>
      <c r="F5" s="220">
        <f>'3. Incremental Resource Cost'!D5</f>
        <v>65598468.681522951</v>
      </c>
      <c r="G5" s="220">
        <f>'3. Incremental Resource Cost'!E5</f>
        <v>65598468.681522951</v>
      </c>
      <c r="H5" s="181"/>
      <c r="I5" s="181"/>
      <c r="J5" s="724"/>
      <c r="L5" s="728" t="str">
        <f t="shared" si="1"/>
        <v>Without 2030 and 2045 Requirements</v>
      </c>
      <c r="M5" s="729">
        <f>B5</f>
        <v>662047.77843750012</v>
      </c>
      <c r="N5" s="730" t="str">
        <f>C5</f>
        <v>MWh through 2025</v>
      </c>
      <c r="O5" s="220">
        <f>D5/1000</f>
        <v>65598.468681522951</v>
      </c>
      <c r="P5" s="220">
        <f t="shared" ref="P5:R5" si="2">E5/1000</f>
        <v>65598.468681522951</v>
      </c>
      <c r="Q5" s="220">
        <f t="shared" si="2"/>
        <v>65598.468681522951</v>
      </c>
      <c r="R5" s="220">
        <f t="shared" si="2"/>
        <v>65598.468681522951</v>
      </c>
      <c r="S5" s="181"/>
      <c r="T5" s="181"/>
      <c r="U5" s="724"/>
    </row>
    <row r="6" spans="1:21">
      <c r="A6" s="728" t="s">
        <v>668</v>
      </c>
      <c r="B6" s="729">
        <f>SUM('1. Energy Efficiency'!R3:U3)</f>
        <v>967994.31421875011</v>
      </c>
      <c r="C6" s="730" t="s">
        <v>728</v>
      </c>
      <c r="D6" s="220">
        <f>'3. Incremental Resource Cost'!M5</f>
        <v>95912933.738762632</v>
      </c>
      <c r="E6" s="220">
        <f>'3. Incremental Resource Cost'!N5</f>
        <v>95912933.738762632</v>
      </c>
      <c r="F6" s="220">
        <f>'3. Incremental Resource Cost'!O5</f>
        <v>95912933.738762632</v>
      </c>
      <c r="G6" s="220">
        <f>'3. Incremental Resource Cost'!P5</f>
        <v>95912933.738762632</v>
      </c>
      <c r="H6" s="181"/>
      <c r="I6" s="181"/>
      <c r="J6" s="724"/>
      <c r="L6" s="728" t="str">
        <f t="shared" si="1"/>
        <v>With 2030 and 2045 Requirements</v>
      </c>
      <c r="M6" s="729">
        <f>B6</f>
        <v>967994.31421875011</v>
      </c>
      <c r="N6" s="730" t="str">
        <f>C6</f>
        <v>MWh through 2025</v>
      </c>
      <c r="O6" s="220">
        <f>D6/1000</f>
        <v>95912.933738762629</v>
      </c>
      <c r="P6" s="220">
        <f t="shared" ref="P6:P7" si="3">E6/1000</f>
        <v>95912.933738762629</v>
      </c>
      <c r="Q6" s="220">
        <f t="shared" ref="Q6:Q7" si="4">F6/1000</f>
        <v>95912.933738762629</v>
      </c>
      <c r="R6" s="220">
        <f t="shared" ref="R6:R7" si="5">G6/1000</f>
        <v>95912.933738762629</v>
      </c>
      <c r="S6" s="181"/>
      <c r="T6" s="181"/>
      <c r="U6" s="724"/>
    </row>
    <row r="7" spans="1:21">
      <c r="A7" s="728" t="s">
        <v>643</v>
      </c>
      <c r="B7" s="730"/>
      <c r="C7" s="730"/>
      <c r="D7" s="220">
        <f>D6-D5</f>
        <v>30314465.057239681</v>
      </c>
      <c r="E7" s="220">
        <f>E6-E5</f>
        <v>30314465.057239681</v>
      </c>
      <c r="F7" s="220">
        <f>F6-F5</f>
        <v>30314465.057239681</v>
      </c>
      <c r="G7" s="220">
        <f>G6-G5</f>
        <v>30314465.057239681</v>
      </c>
      <c r="H7" s="181"/>
      <c r="I7" s="249">
        <f>SUM(D7:G7)</f>
        <v>121257860.22895873</v>
      </c>
      <c r="J7" s="731">
        <f>I7/I25</f>
        <v>0.27218703249781445</v>
      </c>
      <c r="L7" s="728" t="str">
        <f t="shared" si="1"/>
        <v>Incremental Cost</v>
      </c>
      <c r="M7" s="730"/>
      <c r="N7" s="730"/>
      <c r="O7" s="220">
        <f>D7/1000</f>
        <v>30314.465057239682</v>
      </c>
      <c r="P7" s="220">
        <f t="shared" si="3"/>
        <v>30314.465057239682</v>
      </c>
      <c r="Q7" s="220">
        <f t="shared" si="4"/>
        <v>30314.465057239682</v>
      </c>
      <c r="R7" s="220">
        <f t="shared" si="5"/>
        <v>30314.465057239682</v>
      </c>
      <c r="S7" s="181"/>
      <c r="T7" s="249">
        <f>I7/1000</f>
        <v>121257.86022895873</v>
      </c>
      <c r="U7" s="731">
        <f>J7</f>
        <v>0.27218703249781445</v>
      </c>
    </row>
    <row r="8" spans="1:21">
      <c r="A8" s="726" t="s">
        <v>9</v>
      </c>
      <c r="B8" s="727"/>
      <c r="C8" s="727"/>
      <c r="D8" s="220"/>
      <c r="E8" s="220"/>
      <c r="F8" s="220"/>
      <c r="G8" s="220"/>
      <c r="H8" s="181"/>
      <c r="I8" s="181"/>
      <c r="J8" s="724"/>
      <c r="L8" s="726" t="str">
        <f t="shared" si="1"/>
        <v>Demand Response</v>
      </c>
      <c r="M8" s="727"/>
      <c r="N8" s="727"/>
      <c r="O8" s="220"/>
      <c r="P8" s="220"/>
      <c r="Q8" s="220"/>
      <c r="R8" s="220"/>
      <c r="S8" s="181"/>
      <c r="T8" s="181"/>
      <c r="U8" s="724"/>
    </row>
    <row r="9" spans="1:21">
      <c r="A9" s="728" t="s">
        <v>667</v>
      </c>
      <c r="B9" s="732">
        <f>'2. Demand Response'!I287</f>
        <v>6.8899999409914017</v>
      </c>
      <c r="C9" s="730" t="s">
        <v>729</v>
      </c>
      <c r="D9" s="220">
        <f>'3. Incremental Resource Cost'!B6</f>
        <v>99592.231318873164</v>
      </c>
      <c r="E9" s="220">
        <f>'3. Incremental Resource Cost'!C6</f>
        <v>296444.91184007638</v>
      </c>
      <c r="F9" s="220">
        <f>'3. Incremental Resource Cost'!D6</f>
        <v>364854.48688873468</v>
      </c>
      <c r="G9" s="220">
        <f>'3. Incremental Resource Cost'!E6</f>
        <v>994729.71149439202</v>
      </c>
      <c r="H9" s="181"/>
      <c r="I9" s="181"/>
      <c r="J9" s="724"/>
      <c r="L9" s="728" t="str">
        <f t="shared" si="1"/>
        <v>Without 2030 and 2045 Requirements</v>
      </c>
      <c r="M9" s="732">
        <f>B9</f>
        <v>6.8899999409914017</v>
      </c>
      <c r="N9" s="730" t="str">
        <f>C9</f>
        <v>MW by 2025</v>
      </c>
      <c r="O9" s="220">
        <f>D9/1000</f>
        <v>99.592231318873161</v>
      </c>
      <c r="P9" s="220">
        <f t="shared" ref="P9:P11" si="6">E9/1000</f>
        <v>296.44491184007637</v>
      </c>
      <c r="Q9" s="220">
        <f t="shared" ref="Q9:Q11" si="7">F9/1000</f>
        <v>364.8544868887347</v>
      </c>
      <c r="R9" s="220">
        <f t="shared" ref="R9:R11" si="8">G9/1000</f>
        <v>994.72971149439206</v>
      </c>
      <c r="S9" s="181"/>
      <c r="T9" s="181"/>
      <c r="U9" s="724"/>
    </row>
    <row r="10" spans="1:21">
      <c r="A10" s="728" t="s">
        <v>668</v>
      </c>
      <c r="B10" s="732">
        <f>'2. Demand Response'!I288</f>
        <v>23.659999802708626</v>
      </c>
      <c r="C10" s="730" t="s">
        <v>729</v>
      </c>
      <c r="D10" s="220">
        <f>'3. Incremental Resource Cost'!M6</f>
        <v>341995.96422881761</v>
      </c>
      <c r="E10" s="220">
        <f>'3. Incremental Resource Cost'!N6</f>
        <v>1017980.6408882139</v>
      </c>
      <c r="F10" s="220">
        <f>'3. Incremental Resource Cost'!O6</f>
        <v>1252896.5401649475</v>
      </c>
      <c r="G10" s="220">
        <f>'3. Incremental Resource Cost'!P6</f>
        <v>3415864.293072727</v>
      </c>
      <c r="H10" s="181"/>
      <c r="I10" s="181"/>
      <c r="J10" s="724"/>
      <c r="L10" s="728" t="str">
        <f t="shared" si="1"/>
        <v>With 2030 and 2045 Requirements</v>
      </c>
      <c r="M10" s="732">
        <f>B10</f>
        <v>23.659999802708626</v>
      </c>
      <c r="N10" s="730" t="str">
        <f>C10</f>
        <v>MW by 2025</v>
      </c>
      <c r="O10" s="220">
        <f>D10/1000</f>
        <v>341.99596422881763</v>
      </c>
      <c r="P10" s="220">
        <f t="shared" si="6"/>
        <v>1017.9806408882139</v>
      </c>
      <c r="Q10" s="220">
        <f t="shared" si="7"/>
        <v>1252.8965401649475</v>
      </c>
      <c r="R10" s="220">
        <f t="shared" si="8"/>
        <v>3415.8642930727269</v>
      </c>
      <c r="S10" s="181"/>
      <c r="T10" s="181"/>
      <c r="U10" s="724"/>
    </row>
    <row r="11" spans="1:21">
      <c r="A11" s="728" t="s">
        <v>643</v>
      </c>
      <c r="B11" s="730"/>
      <c r="C11" s="730"/>
      <c r="D11" s="220">
        <f>D10-D9</f>
        <v>242403.73290994443</v>
      </c>
      <c r="E11" s="220">
        <f>E10-E9</f>
        <v>721535.72904813755</v>
      </c>
      <c r="F11" s="220">
        <f>F10-F9</f>
        <v>888042.05327621289</v>
      </c>
      <c r="G11" s="220">
        <f>G10-G9</f>
        <v>2421134.5815783348</v>
      </c>
      <c r="H11" s="181"/>
      <c r="I11" s="249">
        <f>SUM(D11:G11)</f>
        <v>4273116.0968126301</v>
      </c>
      <c r="J11" s="731">
        <f>I11/I25</f>
        <v>9.5918465632985461E-3</v>
      </c>
      <c r="L11" s="728" t="str">
        <f t="shared" si="1"/>
        <v>Incremental Cost</v>
      </c>
      <c r="M11" s="730"/>
      <c r="N11" s="730"/>
      <c r="O11" s="220">
        <f>D11/1000</f>
        <v>242.40373290994444</v>
      </c>
      <c r="P11" s="220">
        <f t="shared" si="6"/>
        <v>721.53572904813757</v>
      </c>
      <c r="Q11" s="220">
        <f t="shared" si="7"/>
        <v>888.04205327621287</v>
      </c>
      <c r="R11" s="220">
        <f t="shared" si="8"/>
        <v>2421.1345815783347</v>
      </c>
      <c r="S11" s="181"/>
      <c r="T11" s="249">
        <f>I11/1000</f>
        <v>4273.1160968126296</v>
      </c>
      <c r="U11" s="731">
        <f>J11</f>
        <v>9.5918465632985461E-3</v>
      </c>
    </row>
    <row r="12" spans="1:21">
      <c r="A12" s="726" t="s">
        <v>669</v>
      </c>
      <c r="B12" s="727"/>
      <c r="C12" s="727"/>
      <c r="D12" s="220"/>
      <c r="E12" s="220"/>
      <c r="F12" s="220"/>
      <c r="G12" s="220"/>
      <c r="H12" s="181"/>
      <c r="I12" s="181"/>
      <c r="J12" s="724"/>
      <c r="L12" s="726" t="str">
        <f t="shared" si="1"/>
        <v>Energy Supply Portfolio</v>
      </c>
      <c r="M12" s="727"/>
      <c r="N12" s="727"/>
      <c r="O12" s="220"/>
      <c r="P12" s="220"/>
      <c r="Q12" s="220"/>
      <c r="R12" s="220"/>
      <c r="S12" s="181"/>
      <c r="T12" s="181"/>
      <c r="U12" s="724"/>
    </row>
    <row r="13" spans="1:21">
      <c r="A13" s="728" t="s">
        <v>667</v>
      </c>
      <c r="B13" s="732">
        <v>1081</v>
      </c>
      <c r="C13" s="730" t="s">
        <v>731</v>
      </c>
      <c r="D13" s="220">
        <f>'3. Incremental Resource Cost'!B4</f>
        <v>561771911.56005859</v>
      </c>
      <c r="E13" s="220">
        <f>'3. Incremental Resource Cost'!C4</f>
        <v>589409562.37792969</v>
      </c>
      <c r="F13" s="220">
        <f>'3. Incremental Resource Cost'!D4</f>
        <v>587660583.984375</v>
      </c>
      <c r="G13" s="220">
        <f>'3. Incremental Resource Cost'!E4</f>
        <v>609004369.26269531</v>
      </c>
      <c r="H13" s="181"/>
      <c r="I13" s="181"/>
      <c r="J13" s="724"/>
      <c r="L13" s="728" t="str">
        <f t="shared" si="1"/>
        <v>Without 2030 and 2045 Requirements</v>
      </c>
      <c r="M13" s="732">
        <f>B13</f>
        <v>1081</v>
      </c>
      <c r="N13" s="730" t="str">
        <f>C13</f>
        <v>aMW in 2025</v>
      </c>
      <c r="O13" s="220">
        <f>D13/1000</f>
        <v>561771.91156005859</v>
      </c>
      <c r="P13" s="220">
        <f t="shared" ref="P13:P15" si="9">E13/1000</f>
        <v>589409.56237792969</v>
      </c>
      <c r="Q13" s="220">
        <f t="shared" ref="Q13:Q15" si="10">F13/1000</f>
        <v>587660.583984375</v>
      </c>
      <c r="R13" s="220">
        <f t="shared" ref="R13:R15" si="11">G13/1000</f>
        <v>609004.36926269531</v>
      </c>
      <c r="S13" s="181"/>
      <c r="T13" s="181"/>
      <c r="U13" s="724"/>
    </row>
    <row r="14" spans="1:21">
      <c r="A14" s="728" t="s">
        <v>668</v>
      </c>
      <c r="B14" s="730">
        <v>1316</v>
      </c>
      <c r="C14" s="730" t="s">
        <v>731</v>
      </c>
      <c r="D14" s="220">
        <f>'3. Incremental Resource Cost'!M4</f>
        <v>562276588.52386475</v>
      </c>
      <c r="E14" s="220">
        <f>'3. Incremental Resource Cost'!N4</f>
        <v>606707218.83869171</v>
      </c>
      <c r="F14" s="220">
        <f>'3. Incremental Resource Cost'!O4</f>
        <v>702467922.58310318</v>
      </c>
      <c r="G14" s="220">
        <f>'3. Incremental Resource Cost'!P4</f>
        <v>705443127.60400772</v>
      </c>
      <c r="H14" s="181"/>
      <c r="I14" s="181"/>
      <c r="J14" s="724"/>
      <c r="L14" s="728" t="str">
        <f t="shared" si="1"/>
        <v>With 2030 and 2045 Requirements</v>
      </c>
      <c r="M14" s="730">
        <f>B14</f>
        <v>1316</v>
      </c>
      <c r="N14" s="730" t="str">
        <f>C14</f>
        <v>aMW in 2025</v>
      </c>
      <c r="O14" s="220">
        <f>D14/1000</f>
        <v>562276.58852386475</v>
      </c>
      <c r="P14" s="220">
        <f t="shared" si="9"/>
        <v>606707.21883869171</v>
      </c>
      <c r="Q14" s="220">
        <f t="shared" si="10"/>
        <v>702467.92258310318</v>
      </c>
      <c r="R14" s="220">
        <f t="shared" si="11"/>
        <v>705443.12760400772</v>
      </c>
      <c r="S14" s="181"/>
      <c r="T14" s="181"/>
      <c r="U14" s="724"/>
    </row>
    <row r="15" spans="1:21">
      <c r="A15" s="728" t="s">
        <v>643</v>
      </c>
      <c r="B15" s="730"/>
      <c r="C15" s="730"/>
      <c r="D15" s="220">
        <f>D14-D13</f>
        <v>504676.96380615234</v>
      </c>
      <c r="E15" s="220">
        <f>E14-E13</f>
        <v>17297656.460762024</v>
      </c>
      <c r="F15" s="220">
        <f>F14-F13</f>
        <v>114807338.59872818</v>
      </c>
      <c r="G15" s="220">
        <f>G14-G13</f>
        <v>96438758.341312408</v>
      </c>
      <c r="H15" s="181"/>
      <c r="I15" s="249">
        <f>SUM(D15:G15)</f>
        <v>229048430.36460876</v>
      </c>
      <c r="J15" s="731">
        <f>I15/I25</f>
        <v>0.51414409293968555</v>
      </c>
      <c r="L15" s="728" t="str">
        <f t="shared" si="1"/>
        <v>Incremental Cost</v>
      </c>
      <c r="M15" s="730"/>
      <c r="N15" s="730"/>
      <c r="O15" s="220">
        <f>D15/1000</f>
        <v>504.67696380615234</v>
      </c>
      <c r="P15" s="220">
        <f t="shared" si="9"/>
        <v>17297.656460762024</v>
      </c>
      <c r="Q15" s="220">
        <f t="shared" si="10"/>
        <v>114807.33859872818</v>
      </c>
      <c r="R15" s="220">
        <f t="shared" si="11"/>
        <v>96438.758341312408</v>
      </c>
      <c r="S15" s="181"/>
      <c r="T15" s="249">
        <f>I15/1000</f>
        <v>229048.43036460876</v>
      </c>
      <c r="U15" s="731">
        <f>J15</f>
        <v>0.51414409293968555</v>
      </c>
    </row>
    <row r="16" spans="1:21">
      <c r="A16" s="728"/>
      <c r="B16" s="730"/>
      <c r="C16" s="730"/>
      <c r="D16" s="220"/>
      <c r="E16" s="220"/>
      <c r="F16" s="220"/>
      <c r="G16" s="220"/>
      <c r="H16" s="181"/>
      <c r="I16" s="181"/>
      <c r="J16" s="724"/>
      <c r="L16" s="728"/>
      <c r="M16" s="730"/>
      <c r="N16" s="730"/>
      <c r="O16" s="220"/>
      <c r="P16" s="220"/>
      <c r="Q16" s="220"/>
      <c r="R16" s="220"/>
      <c r="S16" s="181"/>
      <c r="T16" s="181"/>
      <c r="U16" s="724"/>
    </row>
    <row r="17" spans="1:21">
      <c r="A17" s="726" t="s">
        <v>673</v>
      </c>
      <c r="B17" s="727"/>
      <c r="C17" s="727"/>
      <c r="D17" s="220"/>
      <c r="E17" s="220"/>
      <c r="F17" s="220"/>
      <c r="G17" s="220"/>
      <c r="H17" s="181"/>
      <c r="I17" s="181"/>
      <c r="J17" s="724"/>
      <c r="L17" s="726" t="str">
        <f t="shared" si="1"/>
        <v>Technology and Enabling Costs for Distributed Energy Resources</v>
      </c>
      <c r="M17" s="727"/>
      <c r="N17" s="727"/>
      <c r="O17" s="220"/>
      <c r="P17" s="220"/>
      <c r="Q17" s="220"/>
      <c r="R17" s="220"/>
      <c r="S17" s="181"/>
      <c r="T17" s="181"/>
      <c r="U17" s="724"/>
    </row>
    <row r="18" spans="1:21">
      <c r="A18" s="728" t="s">
        <v>668</v>
      </c>
      <c r="B18" s="730"/>
      <c r="C18" s="730"/>
      <c r="D18" s="220">
        <f>SUM('7. Incremental Cost'!E17:E18)</f>
        <v>4243559.1543827141</v>
      </c>
      <c r="E18" s="220">
        <f>SUM('7. Incremental Cost'!F17:F18)</f>
        <v>10916812.055164516</v>
      </c>
      <c r="F18" s="220">
        <f>SUM('7. Incremental Cost'!G17:G18)</f>
        <v>12835722.892710514</v>
      </c>
      <c r="G18" s="220">
        <f>SUM('7. Incremental Cost'!H17:H18)</f>
        <v>22961779.652241148</v>
      </c>
      <c r="H18" s="181"/>
      <c r="I18" s="249">
        <f>SUM(D18:G18)</f>
        <v>50957873.754498892</v>
      </c>
      <c r="J18" s="731">
        <f>I18/I25</f>
        <v>0.114384934827696</v>
      </c>
      <c r="L18" s="728" t="str">
        <f t="shared" si="1"/>
        <v>With 2030 and 2045 Requirements</v>
      </c>
      <c r="M18" s="730"/>
      <c r="N18" s="730"/>
      <c r="O18" s="220">
        <f>D18/1000</f>
        <v>4243.559154382714</v>
      </c>
      <c r="P18" s="220">
        <f t="shared" ref="P18" si="12">E18/1000</f>
        <v>10916.812055164515</v>
      </c>
      <c r="Q18" s="220">
        <f t="shared" ref="Q18" si="13">F18/1000</f>
        <v>12835.722892710515</v>
      </c>
      <c r="R18" s="220">
        <f t="shared" ref="R18" si="14">G18/1000</f>
        <v>22961.779652241148</v>
      </c>
      <c r="S18" s="181"/>
      <c r="T18" s="249">
        <f>I18/1000</f>
        <v>50957.873754498891</v>
      </c>
      <c r="U18" s="731">
        <f>J18</f>
        <v>0.114384934827696</v>
      </c>
    </row>
    <row r="19" spans="1:21">
      <c r="A19" s="726" t="s">
        <v>670</v>
      </c>
      <c r="B19" s="727"/>
      <c r="C19" s="727"/>
      <c r="D19" s="220"/>
      <c r="E19" s="220"/>
      <c r="F19" s="220"/>
      <c r="G19" s="220"/>
      <c r="H19" s="181"/>
      <c r="I19" s="181"/>
      <c r="J19" s="724"/>
      <c r="L19" s="726" t="str">
        <f t="shared" si="1"/>
        <v>Customer Education and Outreach</v>
      </c>
      <c r="M19" s="727"/>
      <c r="N19" s="727"/>
      <c r="O19" s="220"/>
      <c r="P19" s="220"/>
      <c r="Q19" s="220"/>
      <c r="R19" s="220"/>
      <c r="S19" s="181"/>
      <c r="T19" s="181"/>
      <c r="U19" s="724"/>
    </row>
    <row r="20" spans="1:21">
      <c r="A20" s="728" t="s">
        <v>668</v>
      </c>
      <c r="B20" s="730"/>
      <c r="C20" s="730"/>
      <c r="D20" s="220">
        <f>'7. Incremental Cost'!E19</f>
        <v>959640</v>
      </c>
      <c r="E20" s="220">
        <f>'7. Incremental Cost'!F19</f>
        <v>9829637.5</v>
      </c>
      <c r="F20" s="220">
        <f>'7. Incremental Cost'!G19</f>
        <v>10215072.5</v>
      </c>
      <c r="G20" s="220">
        <f>'7. Incremental Cost'!H19</f>
        <v>10406142.5</v>
      </c>
      <c r="H20" s="181"/>
      <c r="I20" s="249">
        <f>SUM(D20:G20)</f>
        <v>31410492.5</v>
      </c>
      <c r="J20" s="731">
        <f>I20/I25</f>
        <v>7.0507006529116234E-2</v>
      </c>
      <c r="L20" s="728" t="str">
        <f t="shared" si="1"/>
        <v>With 2030 and 2045 Requirements</v>
      </c>
      <c r="M20" s="730"/>
      <c r="N20" s="730"/>
      <c r="O20" s="220">
        <f>D20/1000</f>
        <v>959.64</v>
      </c>
      <c r="P20" s="220">
        <f t="shared" ref="P20" si="15">E20/1000</f>
        <v>9829.6375000000007</v>
      </c>
      <c r="Q20" s="220">
        <f t="shared" ref="Q20" si="16">F20/1000</f>
        <v>10215.0725</v>
      </c>
      <c r="R20" s="220">
        <f t="shared" ref="R20" si="17">G20/1000</f>
        <v>10406.1425</v>
      </c>
      <c r="S20" s="181"/>
      <c r="T20" s="249">
        <f>I20/1000</f>
        <v>31410.4925</v>
      </c>
      <c r="U20" s="731">
        <f>J20</f>
        <v>7.0507006529116234E-2</v>
      </c>
    </row>
    <row r="21" spans="1:21">
      <c r="A21" s="726" t="s">
        <v>671</v>
      </c>
      <c r="B21" s="727"/>
      <c r="C21" s="727"/>
      <c r="D21" s="220"/>
      <c r="E21" s="220"/>
      <c r="F21" s="220"/>
      <c r="G21" s="220"/>
      <c r="H21" s="181"/>
      <c r="I21" s="181"/>
      <c r="J21" s="724"/>
      <c r="L21" s="726" t="str">
        <f t="shared" si="1"/>
        <v>Administration and Reporting</v>
      </c>
      <c r="M21" s="727"/>
      <c r="N21" s="727"/>
      <c r="O21" s="220"/>
      <c r="P21" s="220"/>
      <c r="Q21" s="220"/>
      <c r="R21" s="220"/>
      <c r="S21" s="181"/>
      <c r="T21" s="181"/>
      <c r="U21" s="724"/>
    </row>
    <row r="22" spans="1:21">
      <c r="A22" s="728" t="s">
        <v>668</v>
      </c>
      <c r="B22" s="730"/>
      <c r="C22" s="730"/>
      <c r="D22" s="220">
        <f>'7. Incremental Cost'!E20</f>
        <v>2058235</v>
      </c>
      <c r="E22" s="220">
        <f>'7. Incremental Cost'!F20</f>
        <v>2109690.875</v>
      </c>
      <c r="F22" s="220">
        <f>'7. Incremental Cost'!G20</f>
        <v>2162433.1468749996</v>
      </c>
      <c r="G22" s="220">
        <f>'7. Incremental Cost'!H20</f>
        <v>2216493.9755468746</v>
      </c>
      <c r="H22" s="181"/>
      <c r="I22" s="249">
        <f>SUM(D22:G22)</f>
        <v>8546852.9974218737</v>
      </c>
      <c r="J22" s="731">
        <f>I22/I25</f>
        <v>1.9185086642389344E-2</v>
      </c>
      <c r="L22" s="728" t="str">
        <f t="shared" si="1"/>
        <v>With 2030 and 2045 Requirements</v>
      </c>
      <c r="M22" s="730"/>
      <c r="N22" s="730"/>
      <c r="O22" s="220">
        <f>D22/1000</f>
        <v>2058.2350000000001</v>
      </c>
      <c r="P22" s="220">
        <f t="shared" ref="P22" si="18">E22/1000</f>
        <v>2109.6908749999998</v>
      </c>
      <c r="Q22" s="220">
        <f t="shared" ref="Q22" si="19">F22/1000</f>
        <v>2162.4331468749997</v>
      </c>
      <c r="R22" s="220">
        <f t="shared" ref="R22" si="20">G22/1000</f>
        <v>2216.4939755468745</v>
      </c>
      <c r="S22" s="181"/>
      <c r="T22" s="249">
        <f>I22/1000</f>
        <v>8546.8529974218745</v>
      </c>
      <c r="U22" s="731">
        <f>J22</f>
        <v>1.9185086642389344E-2</v>
      </c>
    </row>
    <row r="23" spans="1:21">
      <c r="A23" s="723"/>
      <c r="B23" s="181"/>
      <c r="C23" s="181"/>
      <c r="D23" s="220"/>
      <c r="E23" s="220"/>
      <c r="F23" s="220"/>
      <c r="G23" s="220"/>
      <c r="H23" s="181"/>
      <c r="I23" s="181"/>
      <c r="J23" s="724"/>
      <c r="L23" s="723"/>
      <c r="M23" s="181"/>
      <c r="N23" s="181"/>
      <c r="O23" s="220"/>
      <c r="P23" s="220"/>
      <c r="Q23" s="220"/>
      <c r="R23" s="220"/>
      <c r="S23" s="181"/>
      <c r="T23" s="181"/>
      <c r="U23" s="724"/>
    </row>
    <row r="24" spans="1:21">
      <c r="A24" s="733" t="s">
        <v>672</v>
      </c>
      <c r="B24" s="734"/>
      <c r="C24" s="734"/>
      <c r="D24" s="735">
        <f>SUM(D6,D10,D14,D18,D20,D22)</f>
        <v>665792952.38123894</v>
      </c>
      <c r="E24" s="735">
        <f>SUM(E6,E10,E14,E18,E20,E22)</f>
        <v>726494273.64850712</v>
      </c>
      <c r="F24" s="735">
        <f>SUM(F6,F10,F14,F18,F20,F22)</f>
        <v>824846981.40161633</v>
      </c>
      <c r="G24" s="735">
        <f>SUM(G6,G10,G14,G18,G20,G22)</f>
        <v>840356341.76363099</v>
      </c>
      <c r="H24" s="181"/>
      <c r="I24" s="181"/>
      <c r="J24" s="724"/>
      <c r="L24" s="733" t="str">
        <f t="shared" si="1"/>
        <v>Total Cost</v>
      </c>
      <c r="M24" s="734"/>
      <c r="N24" s="734"/>
      <c r="O24" s="735">
        <f>D24/1000</f>
        <v>665792.95238123892</v>
      </c>
      <c r="P24" s="735">
        <f t="shared" ref="P24:P25" si="21">E24/1000</f>
        <v>726494.27364850708</v>
      </c>
      <c r="Q24" s="735">
        <f t="shared" ref="Q24:Q25" si="22">F24/1000</f>
        <v>824846.98140161636</v>
      </c>
      <c r="R24" s="735">
        <f t="shared" ref="R24:R25" si="23">G24/1000</f>
        <v>840356.34176363098</v>
      </c>
      <c r="S24" s="181"/>
      <c r="T24" s="181"/>
      <c r="U24" s="724"/>
    </row>
    <row r="25" spans="1:21">
      <c r="A25" s="736" t="s">
        <v>735</v>
      </c>
      <c r="B25" s="737"/>
      <c r="C25" s="737"/>
      <c r="D25" s="738">
        <f>SUM(D7,D11,D15,D18,D20,D22)</f>
        <v>38322979.908338495</v>
      </c>
      <c r="E25" s="738">
        <f>SUM(E7,E11,E15,E18,E20,E22)</f>
        <v>71189797.677214354</v>
      </c>
      <c r="F25" s="738">
        <f>SUM(F7,F11,F15,F18,F20,F22)</f>
        <v>171223074.24882957</v>
      </c>
      <c r="G25" s="738">
        <f>SUM(G7,G11,G15,G18,G20,G22)</f>
        <v>164758774.10791844</v>
      </c>
      <c r="H25" s="192"/>
      <c r="I25" s="224">
        <f>SUM(D25:G25)</f>
        <v>445494625.94230086</v>
      </c>
      <c r="J25" s="739">
        <f>I25/I25</f>
        <v>1</v>
      </c>
      <c r="L25" s="736" t="str">
        <f t="shared" si="1"/>
        <v>Total Incremental Cost Forecast</v>
      </c>
      <c r="M25" s="737"/>
      <c r="N25" s="737"/>
      <c r="O25" s="738">
        <f>D25/1000</f>
        <v>38322.979908338493</v>
      </c>
      <c r="P25" s="738">
        <f t="shared" si="21"/>
        <v>71189.797677214359</v>
      </c>
      <c r="Q25" s="738">
        <f t="shared" si="22"/>
        <v>171223.07424882957</v>
      </c>
      <c r="R25" s="738">
        <f t="shared" si="23"/>
        <v>164758.77410791843</v>
      </c>
      <c r="S25" s="192"/>
      <c r="T25" s="224">
        <f>I25/1000</f>
        <v>445494.62594230083</v>
      </c>
      <c r="U25" s="739">
        <f>J25</f>
        <v>1</v>
      </c>
    </row>
    <row r="26" spans="1:21">
      <c r="D26" s="244"/>
      <c r="E26" s="244"/>
      <c r="F26" s="244"/>
      <c r="G26" s="244"/>
    </row>
    <row r="27" spans="1:21">
      <c r="D27" s="244"/>
      <c r="E27" s="244"/>
      <c r="F27" s="244"/>
      <c r="G27" s="244"/>
    </row>
    <row r="28" spans="1:21">
      <c r="D28" s="244"/>
      <c r="E28" s="244"/>
      <c r="F28" s="244"/>
      <c r="G28" s="244"/>
    </row>
    <row r="29" spans="1:21">
      <c r="D29" s="244"/>
      <c r="E29" s="244"/>
      <c r="F29" s="244"/>
      <c r="G29" s="244"/>
    </row>
    <row r="30" spans="1:21">
      <c r="A30" s="740" t="s">
        <v>680</v>
      </c>
      <c r="B30" s="719"/>
      <c r="C30" s="720">
        <v>2021</v>
      </c>
      <c r="D30" s="720">
        <v>2022</v>
      </c>
      <c r="E30" s="720">
        <v>2023</v>
      </c>
      <c r="F30" s="720">
        <v>2024</v>
      </c>
      <c r="G30" s="741">
        <v>2025</v>
      </c>
      <c r="L30" s="740" t="s">
        <v>680</v>
      </c>
      <c r="M30" s="719"/>
      <c r="N30" s="720">
        <v>2021</v>
      </c>
      <c r="O30" s="720">
        <v>2022</v>
      </c>
      <c r="P30" s="720">
        <v>2023</v>
      </c>
      <c r="Q30" s="720">
        <v>2024</v>
      </c>
      <c r="R30" s="741">
        <v>2025</v>
      </c>
    </row>
    <row r="31" spans="1:21">
      <c r="A31" s="723" t="s">
        <v>674</v>
      </c>
      <c r="B31" s="742">
        <f>'8. 2020 CBR'!EH15</f>
        <v>1988341486.675221</v>
      </c>
      <c r="C31" s="742"/>
      <c r="D31" s="220"/>
      <c r="E31" s="220"/>
      <c r="F31" s="220"/>
      <c r="G31" s="743"/>
      <c r="L31" s="723" t="str">
        <f>A31</f>
        <v>PSE 2020 Retail Sales to Customers</v>
      </c>
      <c r="M31" s="742">
        <f>B31/1000</f>
        <v>1988341.486675221</v>
      </c>
      <c r="N31" s="742"/>
      <c r="O31" s="220"/>
      <c r="P31" s="220"/>
      <c r="Q31" s="220"/>
      <c r="R31" s="743"/>
    </row>
    <row r="32" spans="1:21">
      <c r="A32" s="744" t="s">
        <v>675</v>
      </c>
      <c r="B32" s="745">
        <v>2.5000000000000001E-2</v>
      </c>
      <c r="C32" s="746">
        <f>B31*(1+$B32)</f>
        <v>2038050023.8421013</v>
      </c>
      <c r="D32" s="220">
        <f>C32*(1+$B32)</f>
        <v>2089001274.4381537</v>
      </c>
      <c r="E32" s="220">
        <f>D32*(1+$B32)</f>
        <v>2141226306.2991073</v>
      </c>
      <c r="F32" s="220">
        <f>E32*(1+$B32)</f>
        <v>2194756963.9565849</v>
      </c>
      <c r="G32" s="743">
        <f>F32*(1+$B32)</f>
        <v>2249625888.0554996</v>
      </c>
      <c r="L32" s="744" t="str">
        <f>A32</f>
        <v>Escalated at 2.5% per year</v>
      </c>
      <c r="M32" s="745">
        <f>B32</f>
        <v>2.5000000000000001E-2</v>
      </c>
      <c r="N32" s="746">
        <f>C32/1000</f>
        <v>2038050.0238421015</v>
      </c>
      <c r="O32" s="220">
        <f t="shared" ref="O32:R32" si="24">D32/1000</f>
        <v>2089001.2744381537</v>
      </c>
      <c r="P32" s="220">
        <f t="shared" si="24"/>
        <v>2141226.3062991071</v>
      </c>
      <c r="Q32" s="220">
        <f t="shared" si="24"/>
        <v>2194756.9639565852</v>
      </c>
      <c r="R32" s="743">
        <f t="shared" si="24"/>
        <v>2249625.8880554996</v>
      </c>
    </row>
    <row r="33" spans="1:18">
      <c r="A33" s="723"/>
      <c r="B33" s="181"/>
      <c r="C33" s="181"/>
      <c r="D33" s="220"/>
      <c r="E33" s="220"/>
      <c r="F33" s="220"/>
      <c r="G33" s="743"/>
      <c r="L33" s="723"/>
      <c r="M33" s="181"/>
      <c r="N33" s="181"/>
      <c r="O33" s="220"/>
      <c r="P33" s="220"/>
      <c r="Q33" s="220"/>
      <c r="R33" s="743"/>
    </row>
    <row r="34" spans="1:18">
      <c r="A34" s="723" t="s">
        <v>677</v>
      </c>
      <c r="B34" s="747">
        <v>0.02</v>
      </c>
      <c r="C34" s="181"/>
      <c r="D34" s="220">
        <f>C32*$B34</f>
        <v>40761000.476842031</v>
      </c>
      <c r="E34" s="220">
        <f>D32*$B34</f>
        <v>41780025.488763079</v>
      </c>
      <c r="F34" s="220">
        <f>E32*$B34</f>
        <v>42824526.12598215</v>
      </c>
      <c r="G34" s="743">
        <f>F32*$B34</f>
        <v>43895139.279131703</v>
      </c>
      <c r="L34" s="723" t="str">
        <f>A34</f>
        <v>2% of Previous Year's Forecasted Weather Adjusted Retail Sales</v>
      </c>
      <c r="M34" s="747"/>
      <c r="N34" s="181"/>
      <c r="O34" s="220">
        <f>D34/1000</f>
        <v>40761.000476842033</v>
      </c>
      <c r="P34" s="220">
        <f t="shared" ref="P34:R35" si="25">E34/1000</f>
        <v>41780.02548876308</v>
      </c>
      <c r="Q34" s="220">
        <f t="shared" si="25"/>
        <v>42824.526125982149</v>
      </c>
      <c r="R34" s="743">
        <f t="shared" si="25"/>
        <v>43895.139279131705</v>
      </c>
    </row>
    <row r="35" spans="1:18">
      <c r="A35" s="723" t="s">
        <v>676</v>
      </c>
      <c r="B35" s="747">
        <v>0.02</v>
      </c>
      <c r="C35" s="181"/>
      <c r="D35" s="220"/>
      <c r="E35" s="220">
        <f>SUM($D$25:D25)*$B35</f>
        <v>766459.59816676995</v>
      </c>
      <c r="F35" s="220">
        <f>SUM($D$25:E25)*$B35</f>
        <v>2190255.5517110568</v>
      </c>
      <c r="G35" s="743">
        <f>SUM($D$25:F25)*$B35</f>
        <v>5614717.0366876489</v>
      </c>
      <c r="L35" s="723" t="str">
        <f>A35</f>
        <v>Compounding Effect for CETA Incremental Cost</v>
      </c>
      <c r="M35" s="747"/>
      <c r="N35" s="181"/>
      <c r="O35" s="220">
        <f t="shared" ref="O35" si="26">D35/1000</f>
        <v>0</v>
      </c>
      <c r="P35" s="220">
        <f t="shared" si="25"/>
        <v>766.45959816676998</v>
      </c>
      <c r="Q35" s="220">
        <f t="shared" si="25"/>
        <v>2190.2555517110568</v>
      </c>
      <c r="R35" s="743">
        <f t="shared" si="25"/>
        <v>5614.7170366876489</v>
      </c>
    </row>
    <row r="36" spans="1:18">
      <c r="A36" s="723" t="s">
        <v>733</v>
      </c>
      <c r="B36" s="747"/>
      <c r="C36" s="181"/>
      <c r="D36" s="220">
        <f>SUM(D34:D35)</f>
        <v>40761000.476842031</v>
      </c>
      <c r="E36" s="220">
        <f>SUM(E34:E35)</f>
        <v>42546485.08692985</v>
      </c>
      <c r="F36" s="220">
        <f>SUM(F34:F35)</f>
        <v>45014781.677693211</v>
      </c>
      <c r="G36" s="743">
        <f>SUM(G34:G35)</f>
        <v>49509856.315819353</v>
      </c>
      <c r="L36" s="723" t="str">
        <f>A36</f>
        <v>Total 2% Increase Estimate, Including Compounding</v>
      </c>
      <c r="M36" s="747"/>
      <c r="N36" s="181"/>
      <c r="O36" s="220">
        <f>D36/1000</f>
        <v>40761.000476842033</v>
      </c>
      <c r="P36" s="220">
        <f>E36/1000</f>
        <v>42546.485086929853</v>
      </c>
      <c r="Q36" s="220">
        <f>F36/1000</f>
        <v>45014.781677693209</v>
      </c>
      <c r="R36" s="743">
        <f>G36/1000</f>
        <v>49509.85631581935</v>
      </c>
    </row>
    <row r="37" spans="1:18">
      <c r="A37" s="723"/>
      <c r="B37" s="181"/>
      <c r="C37" s="181"/>
      <c r="D37" s="220"/>
      <c r="E37" s="220"/>
      <c r="F37" s="220"/>
      <c r="G37" s="743"/>
      <c r="L37" s="723"/>
      <c r="M37" s="181"/>
      <c r="N37" s="181"/>
      <c r="O37" s="220"/>
      <c r="P37" s="220"/>
      <c r="Q37" s="220"/>
      <c r="R37" s="743"/>
    </row>
    <row r="38" spans="1:18">
      <c r="A38" s="748" t="s">
        <v>678</v>
      </c>
      <c r="B38" s="181"/>
      <c r="C38" s="181"/>
      <c r="D38" s="220">
        <f>SUM(D34:D35)</f>
        <v>40761000.476842031</v>
      </c>
      <c r="E38" s="220">
        <f>SUM(E34:E35)</f>
        <v>42546485.08692985</v>
      </c>
      <c r="F38" s="220">
        <f>SUM(F34:F35)</f>
        <v>45014781.677693211</v>
      </c>
      <c r="G38" s="743">
        <f>SUM(G34:G35)</f>
        <v>49509856.315819353</v>
      </c>
      <c r="L38" s="748" t="str">
        <f>A38</f>
        <v>Estimated 2% Annual Increase in Weather-Adjusted Sales Revenue</v>
      </c>
      <c r="M38" s="181"/>
      <c r="N38" s="181"/>
      <c r="O38" s="220">
        <f t="shared" ref="O38:R39" si="27">D38/1000</f>
        <v>40761.000476842033</v>
      </c>
      <c r="P38" s="220">
        <f t="shared" si="27"/>
        <v>42546.485086929853</v>
      </c>
      <c r="Q38" s="220">
        <f t="shared" si="27"/>
        <v>45014.781677693209</v>
      </c>
      <c r="R38" s="743">
        <f t="shared" si="27"/>
        <v>49509.85631581935</v>
      </c>
    </row>
    <row r="39" spans="1:18">
      <c r="A39" s="748" t="s">
        <v>679</v>
      </c>
      <c r="B39" s="181"/>
      <c r="C39" s="181"/>
      <c r="D39" s="220">
        <f>SUM($D$38:D38)</f>
        <v>40761000.476842031</v>
      </c>
      <c r="E39" s="220">
        <f>SUM($D$38:E38)</f>
        <v>83307485.563771874</v>
      </c>
      <c r="F39" s="220">
        <f>SUM($D$38:F38)</f>
        <v>128322267.24146509</v>
      </c>
      <c r="G39" s="743">
        <f>SUM($D$38:G38)</f>
        <v>177832123.55728444</v>
      </c>
      <c r="L39" s="748" t="str">
        <f>A39</f>
        <v>Cumulative Estimated 2% Annual Increase in Weather-Adjusted Sales Revenue</v>
      </c>
      <c r="M39" s="181"/>
      <c r="N39" s="181"/>
      <c r="O39" s="220">
        <f t="shared" si="27"/>
        <v>40761.000476842033</v>
      </c>
      <c r="P39" s="220">
        <f t="shared" si="27"/>
        <v>83307.485563771872</v>
      </c>
      <c r="Q39" s="220">
        <f t="shared" si="27"/>
        <v>128322.26724146509</v>
      </c>
      <c r="R39" s="743">
        <f t="shared" si="27"/>
        <v>177832.12355728445</v>
      </c>
    </row>
    <row r="40" spans="1:18">
      <c r="A40" s="723"/>
      <c r="B40" s="181"/>
      <c r="C40" s="181"/>
      <c r="D40" s="220"/>
      <c r="E40" s="220"/>
      <c r="F40" s="220"/>
      <c r="G40" s="743"/>
      <c r="L40" s="723"/>
      <c r="M40" s="181"/>
      <c r="N40" s="181"/>
      <c r="O40" s="220"/>
      <c r="P40" s="220"/>
      <c r="Q40" s="220"/>
      <c r="R40" s="743"/>
    </row>
    <row r="41" spans="1:18">
      <c r="A41" s="725" t="s">
        <v>681</v>
      </c>
      <c r="B41" s="181"/>
      <c r="C41" s="181"/>
      <c r="D41" s="220"/>
      <c r="E41" s="220"/>
      <c r="F41" s="220"/>
      <c r="G41" s="743"/>
      <c r="L41" s="725" t="s">
        <v>681</v>
      </c>
      <c r="M41" s="181"/>
      <c r="N41" s="181"/>
      <c r="O41" s="220"/>
      <c r="P41" s="220"/>
      <c r="Q41" s="220"/>
      <c r="R41" s="743"/>
    </row>
    <row r="42" spans="1:18">
      <c r="A42" s="749" t="s">
        <v>734</v>
      </c>
      <c r="B42" s="181"/>
      <c r="C42" s="181"/>
      <c r="D42" s="735">
        <f>D25</f>
        <v>38322979.908338495</v>
      </c>
      <c r="E42" s="735">
        <f>E25</f>
        <v>71189797.677214354</v>
      </c>
      <c r="F42" s="735">
        <f>F25</f>
        <v>171223074.24882957</v>
      </c>
      <c r="G42" s="750">
        <f>G25</f>
        <v>164758774.10791844</v>
      </c>
      <c r="L42" s="749" t="str">
        <f>A42</f>
        <v>Estimated Incremental Cost</v>
      </c>
      <c r="M42" s="181"/>
      <c r="N42" s="181"/>
      <c r="O42" s="735">
        <f>D42/1000</f>
        <v>38322.979908338493</v>
      </c>
      <c r="P42" s="735">
        <f t="shared" ref="P42:P44" si="28">E42/1000</f>
        <v>71189.797677214359</v>
      </c>
      <c r="Q42" s="735">
        <f t="shared" ref="Q42:Q44" si="29">F42/1000</f>
        <v>171223.07424882957</v>
      </c>
      <c r="R42" s="750">
        <f t="shared" ref="R42:R44" si="30">G42/1000</f>
        <v>164758.77410791843</v>
      </c>
    </row>
    <row r="43" spans="1:18">
      <c r="A43" s="749" t="s">
        <v>683</v>
      </c>
      <c r="B43" s="181"/>
      <c r="C43" s="181"/>
      <c r="D43" s="735">
        <f>D25-D39</f>
        <v>-2438020.5685035363</v>
      </c>
      <c r="E43" s="735">
        <f>E25-E39</f>
        <v>-12117687.886557519</v>
      </c>
      <c r="F43" s="735">
        <f>F25-F39</f>
        <v>42900807.007364482</v>
      </c>
      <c r="G43" s="750">
        <f>G25-G39</f>
        <v>-13073349.449366003</v>
      </c>
      <c r="L43" s="749" t="str">
        <f>A43</f>
        <v>Annual Comparison</v>
      </c>
      <c r="M43" s="181"/>
      <c r="N43" s="181"/>
      <c r="O43" s="735">
        <f t="shared" ref="O43:O44" si="31">D43/1000</f>
        <v>-2438.0205685035362</v>
      </c>
      <c r="P43" s="735">
        <f t="shared" si="28"/>
        <v>-12117.68788655752</v>
      </c>
      <c r="Q43" s="735">
        <f t="shared" si="29"/>
        <v>42900.807007364485</v>
      </c>
      <c r="R43" s="750">
        <f t="shared" si="30"/>
        <v>-13073.349449366004</v>
      </c>
    </row>
    <row r="44" spans="1:18">
      <c r="A44" s="751" t="s">
        <v>684</v>
      </c>
      <c r="B44" s="192"/>
      <c r="C44" s="192"/>
      <c r="D44" s="738">
        <f>SUM(D43:$D$43)</f>
        <v>-2438020.5685035363</v>
      </c>
      <c r="E44" s="738">
        <f>SUM($D43:E$43)</f>
        <v>-14555708.455061056</v>
      </c>
      <c r="F44" s="738">
        <f>SUM($D43:F$43)</f>
        <v>28345098.552303426</v>
      </c>
      <c r="G44" s="752">
        <f>SUM($D43:G$43)</f>
        <v>15271749.102937423</v>
      </c>
      <c r="L44" s="751" t="str">
        <f>A44</f>
        <v>Cumulative</v>
      </c>
      <c r="M44" s="192"/>
      <c r="N44" s="192"/>
      <c r="O44" s="738">
        <f t="shared" si="31"/>
        <v>-2438.0205685035362</v>
      </c>
      <c r="P44" s="738">
        <f t="shared" si="28"/>
        <v>-14555.708455061056</v>
      </c>
      <c r="Q44" s="738">
        <f t="shared" si="29"/>
        <v>28345.098552303425</v>
      </c>
      <c r="R44" s="752">
        <f t="shared" si="30"/>
        <v>15271.749102937423</v>
      </c>
    </row>
  </sheetData>
  <pageMargins left="0.7" right="0.7" top="0.75" bottom="0.75" header="0.3" footer="0.3"/>
  <pageSetup paperSize="119" orientation="landscape" r:id="rId1"/>
  <headerFooter>
    <oddHeader>&amp;LAppendix E: Incremental Cost Calculation&amp;RDraft Clean Energy Implementation Plan</oddHeader>
    <oddFooter>&amp;LOCTOBER 15, 2021&amp;C&amp;P of &amp;N&amp;RPuget Sound Energy</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2"/>
  <sheetViews>
    <sheetView zoomScaleNormal="100" workbookViewId="0">
      <selection activeCell="B28" sqref="B28"/>
    </sheetView>
  </sheetViews>
  <sheetFormatPr defaultRowHeight="15"/>
  <cols>
    <col min="1" max="1" width="43.85546875" customWidth="1"/>
    <col min="2" max="2" width="22.5703125" customWidth="1"/>
    <col min="3" max="3" width="16.85546875" customWidth="1"/>
    <col min="4" max="6" width="11.7109375" bestFit="1" customWidth="1"/>
    <col min="7" max="9" width="12.140625" bestFit="1" customWidth="1"/>
    <col min="10" max="10" width="11.7109375" bestFit="1" customWidth="1"/>
    <col min="12" max="12" width="10" bestFit="1" customWidth="1"/>
    <col min="13" max="13" width="8" style="54" customWidth="1"/>
    <col min="14" max="14" width="12.42578125" customWidth="1"/>
    <col min="15" max="15" width="6.28515625" customWidth="1"/>
  </cols>
  <sheetData>
    <row r="1" spans="1:15" s="54" customFormat="1">
      <c r="A1" s="140"/>
      <c r="B1" s="710">
        <v>2022</v>
      </c>
      <c r="C1" s="710">
        <v>2023</v>
      </c>
      <c r="D1" s="710">
        <v>2024</v>
      </c>
      <c r="E1" s="710">
        <v>2025</v>
      </c>
      <c r="F1" s="710">
        <v>2026</v>
      </c>
      <c r="G1" s="710">
        <v>2027</v>
      </c>
      <c r="H1" s="710">
        <v>2028</v>
      </c>
      <c r="I1" s="710">
        <v>2029</v>
      </c>
      <c r="J1" s="710">
        <v>2030</v>
      </c>
      <c r="K1" s="268"/>
      <c r="L1" s="711" t="s">
        <v>555</v>
      </c>
      <c r="M1" s="711" t="s">
        <v>557</v>
      </c>
      <c r="N1" s="711" t="s">
        <v>556</v>
      </c>
      <c r="O1" s="711" t="s">
        <v>557</v>
      </c>
    </row>
    <row r="2" spans="1:15">
      <c r="A2" s="140" t="s">
        <v>665</v>
      </c>
      <c r="B2" s="700">
        <f>'7. Incremental Cost'!E24</f>
        <v>-2438.0205685035398</v>
      </c>
      <c r="C2" s="700">
        <f>'7. Incremental Cost'!F24</f>
        <v>-12166.448297927593</v>
      </c>
      <c r="D2" s="700">
        <f>'7. Incremental Cost'!G24</f>
        <v>43375.177228202636</v>
      </c>
      <c r="E2" s="700">
        <f>'7. Incremental Cost'!H24</f>
        <v>-9541.2201322527253</v>
      </c>
      <c r="F2" s="700">
        <f>'7. Incremental Cost'!I24</f>
        <v>-19113.663446605147</v>
      </c>
      <c r="G2" s="700">
        <f>'7. Incremental Cost'!J24</f>
        <v>118673.28401283559</v>
      </c>
      <c r="H2" s="700">
        <f>'7. Incremental Cost'!K24</f>
        <v>138193.29930032976</v>
      </c>
      <c r="I2" s="700">
        <f>'7. Incremental Cost'!L24</f>
        <v>147002.19867791777</v>
      </c>
      <c r="J2" s="700">
        <f>'7. Incremental Cost'!M24</f>
        <v>101088.54238262633</v>
      </c>
      <c r="K2" s="140"/>
      <c r="L2" s="700">
        <f>SUM(B2:E2)</f>
        <v>19229.488229518778</v>
      </c>
      <c r="M2" s="282">
        <f>L2/SUM('7. Incremental Cost'!E8:H8)</f>
        <v>4.511156678845181E-2</v>
      </c>
      <c r="N2" s="700">
        <f>SUM(B2:J2)</f>
        <v>505073.14915662305</v>
      </c>
      <c r="O2" s="282">
        <f>N2/SUM('7. Incremental Cost'!E8:M8)</f>
        <v>0.24424526152675641</v>
      </c>
    </row>
    <row r="3" spans="1:15" s="54" customFormat="1">
      <c r="A3" s="140"/>
      <c r="B3" s="700"/>
      <c r="C3" s="700"/>
      <c r="D3" s="700"/>
      <c r="E3" s="700"/>
      <c r="F3" s="700"/>
      <c r="G3" s="700"/>
      <c r="H3" s="700"/>
      <c r="I3" s="700"/>
      <c r="J3" s="700"/>
      <c r="K3" s="140"/>
      <c r="L3" s="700"/>
      <c r="M3" s="282"/>
      <c r="N3" s="700"/>
      <c r="O3" s="282"/>
    </row>
    <row r="4" spans="1:15" s="54" customFormat="1">
      <c r="A4" s="140"/>
      <c r="B4" s="700"/>
      <c r="C4" s="700"/>
      <c r="D4" s="700"/>
      <c r="E4" s="700"/>
      <c r="F4" s="700"/>
      <c r="G4" s="700"/>
      <c r="H4" s="700"/>
      <c r="I4" s="700"/>
      <c r="J4" s="700"/>
      <c r="K4" s="140"/>
      <c r="L4" s="700"/>
      <c r="M4" s="282"/>
      <c r="N4" s="700"/>
      <c r="O4" s="282"/>
    </row>
    <row r="5" spans="1:15" s="54" customFormat="1">
      <c r="A5" s="140"/>
      <c r="B5" s="700"/>
      <c r="C5" s="700"/>
      <c r="D5" s="700"/>
      <c r="E5" s="700"/>
      <c r="F5" s="700"/>
      <c r="G5" s="700"/>
      <c r="H5" s="700"/>
      <c r="I5" s="700"/>
      <c r="J5" s="700"/>
      <c r="K5" s="140"/>
      <c r="L5" s="700"/>
      <c r="M5" s="282"/>
      <c r="N5" s="700"/>
      <c r="O5" s="282"/>
    </row>
    <row r="6" spans="1:15" s="54" customFormat="1">
      <c r="A6" s="140"/>
      <c r="B6" s="700"/>
      <c r="C6" s="700"/>
      <c r="D6" s="700"/>
      <c r="E6" s="700"/>
      <c r="F6" s="700"/>
      <c r="G6" s="700"/>
      <c r="H6" s="700"/>
      <c r="I6" s="700"/>
      <c r="J6" s="700"/>
      <c r="K6" s="140"/>
      <c r="L6" s="700"/>
      <c r="M6" s="282"/>
      <c r="N6" s="700"/>
      <c r="O6" s="282"/>
    </row>
    <row r="7" spans="1:15" s="54" customFormat="1">
      <c r="A7" s="140" t="s">
        <v>717</v>
      </c>
      <c r="B7" s="700">
        <f>SUM($B$2:B2)</f>
        <v>-2438.0205685035398</v>
      </c>
      <c r="C7" s="700">
        <f>SUM($B$2:C2)</f>
        <v>-14604.468866431132</v>
      </c>
      <c r="D7" s="700">
        <f>SUM($B$2:D2)</f>
        <v>28770.708361771503</v>
      </c>
      <c r="E7" s="700">
        <f>SUM($B$2:E2)</f>
        <v>19229.488229518778</v>
      </c>
      <c r="F7" s="700">
        <f>SUM($B$2:F2)</f>
        <v>115.82478291363077</v>
      </c>
      <c r="G7" s="700">
        <f>SUM($B$2:G2)</f>
        <v>118789.10879574923</v>
      </c>
      <c r="H7" s="700">
        <f>SUM($B$2:H2)</f>
        <v>256982.40809607899</v>
      </c>
      <c r="I7" s="700">
        <f>SUM($B$2:I2)</f>
        <v>403984.60677399673</v>
      </c>
      <c r="J7" s="700">
        <f>SUM($B$2:J2)</f>
        <v>505073.14915662305</v>
      </c>
      <c r="K7" s="140"/>
      <c r="L7" s="700"/>
      <c r="M7" s="282"/>
      <c r="N7" s="700"/>
      <c r="O7" s="282"/>
    </row>
    <row r="8" spans="1:15" s="54" customFormat="1">
      <c r="A8" s="140" t="s">
        <v>718</v>
      </c>
      <c r="B8" s="700">
        <f>'7. Incremental Cost'!E8</f>
        <v>40761.000476842033</v>
      </c>
      <c r="C8" s="700">
        <f>'7. Incremental Cost'!F8</f>
        <v>83356.245975141952</v>
      </c>
      <c r="D8" s="700">
        <f>'7. Incremental Cost'!G8</f>
        <v>127847.89702062693</v>
      </c>
      <c r="E8" s="700">
        <f>'7. Incremental Cost'!H8</f>
        <v>174299.99424017116</v>
      </c>
      <c r="F8" s="700">
        <f>'7. Incremental Cost'!I8</f>
        <v>222778.51188608457</v>
      </c>
      <c r="G8" s="700">
        <f>'7. Incremental Cost'!J8</f>
        <v>273351.41282894398</v>
      </c>
      <c r="H8" s="700">
        <f>'7. Incremental Cost'!K8</f>
        <v>326088.70505828905</v>
      </c>
      <c r="I8" s="700">
        <f>'7. Incremental Cost'!L8</f>
        <v>381062.49973154016</v>
      </c>
      <c r="J8" s="700">
        <f>'7. Incremental Cost'!M8</f>
        <v>438347.07081255841</v>
      </c>
      <c r="K8" s="140"/>
      <c r="L8" s="700"/>
      <c r="M8" s="282"/>
      <c r="N8" s="700"/>
      <c r="O8" s="282"/>
    </row>
    <row r="9" spans="1:15" s="54" customFormat="1">
      <c r="A9" s="140"/>
      <c r="B9" s="700"/>
      <c r="C9" s="700"/>
      <c r="D9" s="700"/>
      <c r="E9" s="700"/>
      <c r="F9" s="700"/>
      <c r="G9" s="700"/>
      <c r="H9" s="700"/>
      <c r="I9" s="700"/>
      <c r="J9" s="700"/>
      <c r="K9" s="140"/>
      <c r="L9" s="700"/>
      <c r="M9" s="282"/>
      <c r="N9" s="700"/>
      <c r="O9" s="282"/>
    </row>
    <row r="10" spans="1:15" s="54" customFormat="1">
      <c r="A10" s="140"/>
      <c r="B10" s="700"/>
      <c r="C10" s="700"/>
      <c r="D10" s="700"/>
      <c r="E10" s="700"/>
      <c r="F10" s="700"/>
      <c r="G10" s="700"/>
      <c r="H10" s="700"/>
      <c r="I10" s="700"/>
      <c r="J10" s="700"/>
      <c r="K10" s="140"/>
      <c r="L10" s="700"/>
      <c r="M10" s="282"/>
      <c r="N10" s="700"/>
      <c r="O10" s="282"/>
    </row>
    <row r="11" spans="1:15" s="54" customFormat="1">
      <c r="A11" s="140" t="s">
        <v>719</v>
      </c>
      <c r="B11" s="700">
        <f>SUM(B8:$B$8)</f>
        <v>40761.000476842033</v>
      </c>
      <c r="C11" s="700">
        <f>SUM($B8:C$8)</f>
        <v>124117.24645198399</v>
      </c>
      <c r="D11" s="700">
        <f>SUM($B8:D$8)</f>
        <v>251965.14347261091</v>
      </c>
      <c r="E11" s="700">
        <f>SUM($B8:E$8)</f>
        <v>426265.13771278207</v>
      </c>
      <c r="F11" s="700">
        <f>SUM($B8:F$8)</f>
        <v>649043.6495988667</v>
      </c>
      <c r="G11" s="700">
        <f>SUM($B8:G$8)</f>
        <v>922395.06242781063</v>
      </c>
      <c r="H11" s="700">
        <f>SUM($B8:H$8)</f>
        <v>1248483.7674860996</v>
      </c>
      <c r="I11" s="700">
        <f>SUM($B8:I$8)</f>
        <v>1629546.2672176398</v>
      </c>
      <c r="J11" s="700">
        <f>SUM($B8:J$8)</f>
        <v>2067893.3380301981</v>
      </c>
      <c r="K11" s="140"/>
      <c r="L11" s="700"/>
      <c r="M11" s="282"/>
      <c r="N11" s="700"/>
      <c r="O11" s="282"/>
    </row>
    <row r="12" spans="1:15" s="54" customFormat="1">
      <c r="A12" s="140"/>
      <c r="B12" s="700"/>
      <c r="C12" s="700"/>
      <c r="D12" s="700"/>
      <c r="E12" s="700"/>
      <c r="F12" s="700"/>
      <c r="G12" s="700"/>
      <c r="H12" s="700"/>
      <c r="I12" s="700"/>
      <c r="J12" s="700"/>
      <c r="K12" s="140"/>
      <c r="L12" s="700"/>
      <c r="M12" s="282"/>
      <c r="N12" s="700"/>
      <c r="O12" s="282"/>
    </row>
    <row r="13" spans="1:15" s="54" customFormat="1">
      <c r="A13" s="701" t="s">
        <v>560</v>
      </c>
      <c r="B13" s="700">
        <f>'7. Incremental Cost'!E9/1000</f>
        <v>40761.000476842033</v>
      </c>
      <c r="C13" s="700">
        <f>'7. Incremental Cost'!F9/1000</f>
        <v>83356.245975141952</v>
      </c>
      <c r="D13" s="700">
        <f>'7. Incremental Cost'!G9/1000</f>
        <v>127847.89702062693</v>
      </c>
      <c r="E13" s="700">
        <f>'7. Incremental Cost'!H9/1000</f>
        <v>174299.99424017116</v>
      </c>
      <c r="F13" s="700">
        <f>'7. Incremental Cost'!I9/1000</f>
        <v>222778.51188608457</v>
      </c>
      <c r="G13" s="700">
        <f>'7. Incremental Cost'!J9/1000</f>
        <v>273351.41282894398</v>
      </c>
      <c r="H13" s="700">
        <f>'7. Incremental Cost'!K9/1000</f>
        <v>326088.70505828905</v>
      </c>
      <c r="I13" s="700">
        <f>'7. Incremental Cost'!L9/1000</f>
        <v>381062.49973154016</v>
      </c>
      <c r="J13" s="700">
        <f>'7. Incremental Cost'!M9/1000</f>
        <v>438347.07081255841</v>
      </c>
      <c r="K13" s="140"/>
      <c r="L13" s="700"/>
      <c r="M13" s="282"/>
      <c r="N13" s="700"/>
      <c r="O13" s="282"/>
    </row>
    <row r="14" spans="1:15" s="54" customFormat="1">
      <c r="A14" s="140" t="s">
        <v>561</v>
      </c>
      <c r="B14" s="700">
        <f>SUM(B13:$B$13)</f>
        <v>40761.000476842033</v>
      </c>
      <c r="C14" s="700">
        <f>SUM($B13:C$13)</f>
        <v>124117.24645198399</v>
      </c>
      <c r="D14" s="700">
        <f>SUM($B13:D$13)</f>
        <v>251965.14347261091</v>
      </c>
      <c r="E14" s="700">
        <f>SUM($B13:E$13)</f>
        <v>426265.13771278207</v>
      </c>
      <c r="F14" s="700">
        <f>SUM($B13:F$13)</f>
        <v>649043.6495988667</v>
      </c>
      <c r="G14" s="700">
        <f>SUM($B13:G$13)</f>
        <v>922395.06242781063</v>
      </c>
      <c r="H14" s="700">
        <f>SUM($B13:H$13)</f>
        <v>1248483.7674860996</v>
      </c>
      <c r="I14" s="700">
        <f>SUM($B13:I$13)</f>
        <v>1629546.2672176398</v>
      </c>
      <c r="J14" s="700">
        <f>SUM($B13:J$13)</f>
        <v>2067893.3380301981</v>
      </c>
      <c r="K14" s="140"/>
      <c r="L14" s="700"/>
      <c r="M14" s="282"/>
      <c r="N14" s="700"/>
      <c r="O14" s="282"/>
    </row>
    <row r="15" spans="1:15" s="54" customFormat="1">
      <c r="A15" s="140" t="s">
        <v>562</v>
      </c>
      <c r="B15" s="700">
        <f>'7. Incremental Cost'!E22/1000</f>
        <v>38322.979908338493</v>
      </c>
      <c r="C15" s="700">
        <f>'7. Incremental Cost'!F22/1000</f>
        <v>71189.797677214359</v>
      </c>
      <c r="D15" s="700">
        <f>'7. Incremental Cost'!G22/1000</f>
        <v>171223.07424882957</v>
      </c>
      <c r="E15" s="700">
        <f>'7. Incremental Cost'!H22/1000</f>
        <v>164758.77410791843</v>
      </c>
      <c r="F15" s="700">
        <f>'7. Incremental Cost'!I22/1000</f>
        <v>203664.84843947942</v>
      </c>
      <c r="G15" s="700">
        <f>'7. Incremental Cost'!J22/1000</f>
        <v>392024.69684177957</v>
      </c>
      <c r="H15" s="700">
        <f>'7. Incremental Cost'!K22/1000</f>
        <v>464282.00435861881</v>
      </c>
      <c r="I15" s="700">
        <f>'7. Incremental Cost'!L22/1000</f>
        <v>528064.69840945792</v>
      </c>
      <c r="J15" s="700">
        <f>'7. Incremental Cost'!M22/1000</f>
        <v>539435.61319518473</v>
      </c>
      <c r="K15" s="140"/>
      <c r="L15" s="700"/>
      <c r="M15" s="282"/>
      <c r="N15" s="700"/>
      <c r="O15" s="282"/>
    </row>
    <row r="16" spans="1:15" s="54" customFormat="1">
      <c r="A16" s="140" t="s">
        <v>563</v>
      </c>
      <c r="B16" s="700">
        <f>SUM($B$15:B15)</f>
        <v>38322.979908338493</v>
      </c>
      <c r="C16" s="700">
        <f>SUM($B$15:C15)</f>
        <v>109512.77758555286</v>
      </c>
      <c r="D16" s="700">
        <f>SUM($B$15:D15)</f>
        <v>280735.8518343824</v>
      </c>
      <c r="E16" s="700">
        <f>SUM($B$15:E15)</f>
        <v>445494.62594230083</v>
      </c>
      <c r="F16" s="700">
        <f>SUM($B$15:F15)</f>
        <v>649159.47438178025</v>
      </c>
      <c r="G16" s="700">
        <f>SUM($B$15:G15)</f>
        <v>1041184.1712235599</v>
      </c>
      <c r="H16" s="700">
        <f>SUM($B$15:H15)</f>
        <v>1505466.1755821786</v>
      </c>
      <c r="I16" s="700">
        <f>SUM($B$15:I15)</f>
        <v>2033530.8739916366</v>
      </c>
      <c r="J16" s="700">
        <f>SUM($B$15:J15)</f>
        <v>2572966.4871868212</v>
      </c>
      <c r="K16" s="140"/>
      <c r="L16" s="700"/>
      <c r="M16" s="282"/>
      <c r="N16" s="700"/>
      <c r="O16" s="282"/>
    </row>
    <row r="17" spans="2:15" s="54" customFormat="1">
      <c r="B17" s="105"/>
      <c r="C17" s="105"/>
      <c r="D17" s="105"/>
      <c r="E17" s="105"/>
      <c r="F17" s="105"/>
      <c r="G17" s="105"/>
      <c r="H17" s="105"/>
      <c r="I17" s="105"/>
      <c r="J17" s="105"/>
      <c r="L17" s="105"/>
      <c r="M17" s="94"/>
      <c r="N17" s="105"/>
      <c r="O17" s="94"/>
    </row>
    <row r="86" spans="1:3">
      <c r="A86" s="702" t="s">
        <v>568</v>
      </c>
      <c r="B86" s="140"/>
      <c r="C86" s="140"/>
    </row>
    <row r="87" spans="1:3">
      <c r="A87" s="140"/>
      <c r="B87" s="703" t="s">
        <v>565</v>
      </c>
      <c r="C87" s="703" t="s">
        <v>566</v>
      </c>
    </row>
    <row r="88" spans="1:3" s="54" customFormat="1" ht="6" customHeight="1" thickBot="1">
      <c r="A88" s="140"/>
      <c r="B88" s="704"/>
      <c r="C88" s="704"/>
    </row>
    <row r="89" spans="1:3" ht="15.75" thickBot="1">
      <c r="A89" s="705" t="s">
        <v>564</v>
      </c>
      <c r="B89" s="706">
        <f>SUM(E14)</f>
        <v>426265.13771278207</v>
      </c>
      <c r="C89" s="706">
        <f>SUM(J14)</f>
        <v>2067893.3380301981</v>
      </c>
    </row>
    <row r="90" spans="1:3" ht="15.75" thickBot="1">
      <c r="A90" s="707" t="s">
        <v>567</v>
      </c>
      <c r="B90" s="706">
        <f>E16</f>
        <v>445494.62594230083</v>
      </c>
      <c r="C90" s="706">
        <f>J16</f>
        <v>2572966.4871868212</v>
      </c>
    </row>
    <row r="91" spans="1:3" s="54" customFormat="1" ht="2.25" customHeight="1">
      <c r="A91" s="268"/>
      <c r="B91" s="708"/>
      <c r="C91" s="708"/>
    </row>
    <row r="92" spans="1:3">
      <c r="A92" s="140"/>
      <c r="B92" s="709">
        <f>(B90-B89)/B89</f>
        <v>4.5111566788451761E-2</v>
      </c>
      <c r="C92" s="709">
        <f>(C90-C89)/C89</f>
        <v>0.24424526152675641</v>
      </c>
    </row>
  </sheetData>
  <pageMargins left="0.7" right="0.7" top="0.75" bottom="0.75" header="0.3" footer="0.3"/>
  <pageSetup paperSize="119" orientation="landscape" horizontalDpi="300" verticalDpi="300" r:id="rId1"/>
  <headerFooter>
    <oddHeader>&amp;LAppendix E: Incremental Cost Calculation&amp;RDraft Clean Energy Implementation Plan</oddHeader>
    <oddFooter>&amp;LOCTOBER 15, 2021&amp;C&amp;P of &amp;N&amp;RPuget Sound Energy</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23"/>
  <sheetViews>
    <sheetView view="pageLayout" zoomScale="40" zoomScaleNormal="100" zoomScalePageLayoutView="40" workbookViewId="0">
      <selection activeCell="B28" sqref="B28"/>
    </sheetView>
  </sheetViews>
  <sheetFormatPr defaultColWidth="8.85546875" defaultRowHeight="12.75"/>
  <cols>
    <col min="1" max="1" width="21.7109375" style="140" bestFit="1" customWidth="1"/>
    <col min="2" max="2" width="12.7109375" style="140" bestFit="1" customWidth="1"/>
    <col min="3" max="3" width="26.85546875" style="140" customWidth="1"/>
    <col min="4" max="4" width="5.85546875" style="215" customWidth="1"/>
    <col min="5" max="5" width="46.28515625" style="140" customWidth="1"/>
    <col min="6" max="6" width="13.85546875" style="140" customWidth="1"/>
    <col min="7" max="7" width="15.85546875" style="140" customWidth="1"/>
    <col min="8" max="10" width="13.7109375" style="140" bestFit="1" customWidth="1"/>
    <col min="11" max="11" width="14" style="140" bestFit="1" customWidth="1"/>
    <col min="12" max="12" width="15" style="140" bestFit="1" customWidth="1"/>
    <col min="13" max="15" width="14" style="140" bestFit="1" customWidth="1"/>
    <col min="16" max="16" width="13.5703125" style="285" bestFit="1" customWidth="1"/>
    <col min="17" max="28" width="13.5703125" style="140" bestFit="1" customWidth="1"/>
    <col min="29" max="29" width="14" style="140" bestFit="1" customWidth="1"/>
    <col min="30" max="31" width="12.5703125" style="177" bestFit="1" customWidth="1"/>
    <col min="32" max="16384" width="8.85546875" style="177"/>
  </cols>
  <sheetData>
    <row r="1" spans="1:29" ht="13.5" thickBot="1">
      <c r="A1" s="181" t="s">
        <v>627</v>
      </c>
      <c r="B1" s="181">
        <v>2022</v>
      </c>
      <c r="C1" s="210" t="s">
        <v>628</v>
      </c>
      <c r="D1" s="211"/>
      <c r="F1" s="213">
        <v>2022</v>
      </c>
      <c r="G1" s="213">
        <v>2023</v>
      </c>
      <c r="H1" s="213">
        <v>2024</v>
      </c>
      <c r="I1" s="213">
        <v>2025</v>
      </c>
      <c r="J1" s="213">
        <v>2026</v>
      </c>
      <c r="K1" s="213">
        <v>2027</v>
      </c>
      <c r="L1" s="213">
        <v>2028</v>
      </c>
      <c r="M1" s="213">
        <v>2029</v>
      </c>
      <c r="N1" s="213">
        <v>2030</v>
      </c>
      <c r="O1" s="213">
        <v>2031</v>
      </c>
      <c r="P1" s="213">
        <v>2032</v>
      </c>
      <c r="Q1" s="213">
        <v>2033</v>
      </c>
      <c r="R1" s="213">
        <v>2034</v>
      </c>
      <c r="S1" s="213">
        <v>2035</v>
      </c>
      <c r="T1" s="213">
        <v>2036</v>
      </c>
      <c r="U1" s="213">
        <v>2037</v>
      </c>
      <c r="V1" s="213">
        <v>2038</v>
      </c>
      <c r="W1" s="213">
        <v>2039</v>
      </c>
      <c r="X1" s="213">
        <v>2040</v>
      </c>
      <c r="Y1" s="213">
        <v>2041</v>
      </c>
      <c r="Z1" s="213">
        <v>2042</v>
      </c>
      <c r="AA1" s="213">
        <v>2043</v>
      </c>
      <c r="AB1" s="213">
        <v>2044</v>
      </c>
      <c r="AC1" s="213">
        <v>2045</v>
      </c>
    </row>
    <row r="2" spans="1:29">
      <c r="A2" s="192" t="s">
        <v>629</v>
      </c>
      <c r="B2" s="192">
        <v>2045</v>
      </c>
      <c r="C2" s="214" t="s">
        <v>144</v>
      </c>
      <c r="F2" s="144">
        <v>0</v>
      </c>
      <c r="G2" s="144">
        <f>F2+1</f>
        <v>1</v>
      </c>
      <c r="H2" s="144">
        <f t="shared" ref="H2:AC2" si="0">G2+1</f>
        <v>2</v>
      </c>
      <c r="I2" s="144">
        <f t="shared" si="0"/>
        <v>3</v>
      </c>
      <c r="J2" s="144">
        <f t="shared" si="0"/>
        <v>4</v>
      </c>
      <c r="K2" s="144">
        <f t="shared" si="0"/>
        <v>5</v>
      </c>
      <c r="L2" s="144">
        <f t="shared" si="0"/>
        <v>6</v>
      </c>
      <c r="M2" s="144">
        <f t="shared" si="0"/>
        <v>7</v>
      </c>
      <c r="N2" s="144">
        <f t="shared" si="0"/>
        <v>8</v>
      </c>
      <c r="O2" s="144">
        <f t="shared" si="0"/>
        <v>9</v>
      </c>
      <c r="P2" s="144">
        <f t="shared" si="0"/>
        <v>10</v>
      </c>
      <c r="Q2" s="144">
        <f t="shared" si="0"/>
        <v>11</v>
      </c>
      <c r="R2" s="144">
        <f t="shared" si="0"/>
        <v>12</v>
      </c>
      <c r="S2" s="144">
        <f t="shared" si="0"/>
        <v>13</v>
      </c>
      <c r="T2" s="144">
        <f t="shared" si="0"/>
        <v>14</v>
      </c>
      <c r="U2" s="144">
        <f t="shared" si="0"/>
        <v>15</v>
      </c>
      <c r="V2" s="144">
        <f t="shared" si="0"/>
        <v>16</v>
      </c>
      <c r="W2" s="144">
        <f t="shared" si="0"/>
        <v>17</v>
      </c>
      <c r="X2" s="144">
        <f t="shared" si="0"/>
        <v>18</v>
      </c>
      <c r="Y2" s="144">
        <f t="shared" si="0"/>
        <v>19</v>
      </c>
      <c r="Z2" s="144">
        <f t="shared" si="0"/>
        <v>20</v>
      </c>
      <c r="AA2" s="144">
        <f t="shared" si="0"/>
        <v>21</v>
      </c>
      <c r="AB2" s="144">
        <f t="shared" si="0"/>
        <v>22</v>
      </c>
      <c r="AC2" s="144">
        <f t="shared" si="0"/>
        <v>23</v>
      </c>
    </row>
    <row r="3" spans="1:29" ht="13.7" customHeight="1">
      <c r="A3" s="181" t="s">
        <v>630</v>
      </c>
      <c r="B3" s="216">
        <v>145796.8542945385</v>
      </c>
      <c r="C3" s="140" t="s">
        <v>577</v>
      </c>
      <c r="E3" s="217" t="s">
        <v>631</v>
      </c>
      <c r="F3" s="218">
        <v>0</v>
      </c>
      <c r="G3" s="218">
        <v>0</v>
      </c>
      <c r="H3" s="218">
        <v>0</v>
      </c>
      <c r="I3" s="219">
        <v>4.8656833933042849</v>
      </c>
      <c r="J3" s="219">
        <v>4.86879671826342</v>
      </c>
      <c r="K3" s="219">
        <v>20.011698201241785</v>
      </c>
      <c r="L3" s="219">
        <v>30.418734899597872</v>
      </c>
      <c r="M3" s="219">
        <v>41.107396343944814</v>
      </c>
      <c r="N3" s="219">
        <v>52.0955099983004</v>
      </c>
      <c r="O3" s="219">
        <v>52.960588331292968</v>
      </c>
      <c r="P3" s="219">
        <v>53.726796716223404</v>
      </c>
      <c r="Q3" s="219">
        <v>54.409472327818101</v>
      </c>
      <c r="R3" s="219">
        <v>55.127945079361773</v>
      </c>
      <c r="S3" s="219">
        <v>56.047343149659199</v>
      </c>
      <c r="T3" s="219">
        <v>56.912447027769829</v>
      </c>
      <c r="U3" s="219">
        <v>57.821996086432421</v>
      </c>
      <c r="V3" s="219">
        <v>58.669139700761818</v>
      </c>
      <c r="W3" s="219">
        <v>59.539815524533026</v>
      </c>
      <c r="X3" s="219">
        <v>60.367077163318946</v>
      </c>
      <c r="Y3" s="219">
        <v>61.277521026078134</v>
      </c>
      <c r="Z3" s="219">
        <v>62.123858852339247</v>
      </c>
      <c r="AA3" s="219">
        <v>62.948419257557546</v>
      </c>
      <c r="AB3" s="219">
        <v>63.66938744310626</v>
      </c>
      <c r="AC3" s="219">
        <v>64.467003134736871</v>
      </c>
    </row>
    <row r="4" spans="1:29" ht="13.35" customHeight="1">
      <c r="A4" s="181" t="s">
        <v>632</v>
      </c>
      <c r="B4" s="220">
        <v>72898.427147269249</v>
      </c>
      <c r="C4" s="181" t="s">
        <v>633</v>
      </c>
      <c r="D4" s="177"/>
      <c r="E4" s="217" t="s">
        <v>634</v>
      </c>
      <c r="F4" s="218">
        <v>0</v>
      </c>
      <c r="G4" s="218">
        <v>0</v>
      </c>
      <c r="H4" s="218">
        <v>0</v>
      </c>
      <c r="I4" s="221">
        <v>16223.814129237244</v>
      </c>
      <c r="J4" s="221">
        <v>16604.32078211326</v>
      </c>
      <c r="K4" s="221">
        <v>33584.087377353215</v>
      </c>
      <c r="L4" s="221">
        <v>34333.764303510994</v>
      </c>
      <c r="M4" s="221">
        <v>35083.394415669158</v>
      </c>
      <c r="N4" s="221">
        <v>35839.89633019382</v>
      </c>
      <c r="O4" s="221">
        <v>1890.0166792162345</v>
      </c>
      <c r="P4" s="221">
        <v>1885.8773360912164</v>
      </c>
      <c r="Q4" s="221">
        <v>1876.8225230051321</v>
      </c>
      <c r="R4" s="221">
        <v>1873.6564182933944</v>
      </c>
      <c r="S4" s="221">
        <v>1863.3450189016003</v>
      </c>
      <c r="T4" s="221">
        <v>1841.5395506534551</v>
      </c>
      <c r="U4" s="221">
        <v>1817.5042576862033</v>
      </c>
      <c r="V4" s="221">
        <v>1796.2778046967869</v>
      </c>
      <c r="W4" s="221">
        <v>1778.981263781403</v>
      </c>
      <c r="X4" s="221">
        <v>1766.7357070363651</v>
      </c>
      <c r="Y4" s="221">
        <v>1753.9234545064392</v>
      </c>
      <c r="Z4" s="221">
        <v>1743.6982914296968</v>
      </c>
      <c r="AA4" s="221">
        <v>1732.918752041558</v>
      </c>
      <c r="AB4" s="221">
        <v>1720.1188189851819</v>
      </c>
      <c r="AC4" s="221">
        <v>1712.3575506256602</v>
      </c>
    </row>
    <row r="5" spans="1:29">
      <c r="A5" s="181" t="s">
        <v>635</v>
      </c>
      <c r="B5" s="220">
        <v>25</v>
      </c>
      <c r="C5" s="181" t="s">
        <v>636</v>
      </c>
      <c r="D5" s="177"/>
      <c r="E5" s="140" t="s">
        <v>630</v>
      </c>
      <c r="F5" s="222">
        <f>B3</f>
        <v>145796.8542945385</v>
      </c>
      <c r="G5" s="222"/>
      <c r="H5" s="222"/>
      <c r="I5" s="222"/>
      <c r="J5" s="222"/>
      <c r="K5" s="222"/>
      <c r="L5" s="222"/>
      <c r="M5" s="222"/>
      <c r="N5" s="222"/>
      <c r="O5" s="222"/>
      <c r="P5" s="222"/>
      <c r="Q5" s="222"/>
      <c r="R5" s="222"/>
      <c r="S5" s="222"/>
      <c r="T5" s="222"/>
      <c r="U5" s="222"/>
      <c r="V5" s="222"/>
      <c r="W5" s="222"/>
      <c r="X5" s="222"/>
      <c r="Y5" s="222"/>
      <c r="Z5" s="222"/>
      <c r="AA5" s="222"/>
      <c r="AB5" s="222"/>
      <c r="AC5" s="222"/>
    </row>
    <row r="6" spans="1:29">
      <c r="A6" s="181" t="s">
        <v>637</v>
      </c>
      <c r="B6" s="223">
        <v>2.5000000000000001E-2</v>
      </c>
      <c r="E6" s="140" t="s">
        <v>638</v>
      </c>
      <c r="F6" s="222">
        <f>B4</f>
        <v>72898.427147269249</v>
      </c>
      <c r="G6" s="222">
        <f t="shared" ref="G6:AC6" si="1">$F$6*(1+$B$6)^G$2</f>
        <v>74720.88782595098</v>
      </c>
      <c r="H6" s="222">
        <f t="shared" si="1"/>
        <v>76588.910021599746</v>
      </c>
      <c r="I6" s="222">
        <f>$F$6*(1+$B$6)^I$2</f>
        <v>78503.632772139739</v>
      </c>
      <c r="J6" s="222">
        <f>$F$6*(1+$B$6)^J$2</f>
        <v>80466.223591443224</v>
      </c>
      <c r="K6" s="222">
        <f t="shared" si="1"/>
        <v>82477.879181229291</v>
      </c>
      <c r="L6" s="222">
        <f t="shared" si="1"/>
        <v>84539.826160760029</v>
      </c>
      <c r="M6" s="222">
        <f t="shared" si="1"/>
        <v>86653.321814779032</v>
      </c>
      <c r="N6" s="222">
        <f t="shared" si="1"/>
        <v>88819.654860148497</v>
      </c>
      <c r="O6" s="222">
        <f t="shared" si="1"/>
        <v>91040.146231652194</v>
      </c>
      <c r="P6" s="222">
        <f t="shared" si="1"/>
        <v>93316.149887443506</v>
      </c>
      <c r="Q6" s="222">
        <f t="shared" si="1"/>
        <v>95649.053634629585</v>
      </c>
      <c r="R6" s="222">
        <f t="shared" si="1"/>
        <v>98040.279975495316</v>
      </c>
      <c r="S6" s="222">
        <f t="shared" si="1"/>
        <v>100491.28697488269</v>
      </c>
      <c r="T6" s="222">
        <f t="shared" si="1"/>
        <v>103003.56914925475</v>
      </c>
      <c r="U6" s="222">
        <f t="shared" si="1"/>
        <v>105578.65837798614</v>
      </c>
      <c r="V6" s="222">
        <f t="shared" si="1"/>
        <v>108218.12483743578</v>
      </c>
      <c r="W6" s="222">
        <f t="shared" si="1"/>
        <v>110923.57795837166</v>
      </c>
      <c r="X6" s="222">
        <f t="shared" si="1"/>
        <v>113696.66740733096</v>
      </c>
      <c r="Y6" s="222">
        <f t="shared" si="1"/>
        <v>116539.08409251423</v>
      </c>
      <c r="Z6" s="222">
        <f t="shared" si="1"/>
        <v>119452.56119482707</v>
      </c>
      <c r="AA6" s="222">
        <f t="shared" si="1"/>
        <v>122438.87522469774</v>
      </c>
      <c r="AB6" s="222">
        <f t="shared" si="1"/>
        <v>125499.84710531517</v>
      </c>
      <c r="AC6" s="222">
        <f t="shared" si="1"/>
        <v>128637.34328294806</v>
      </c>
    </row>
    <row r="7" spans="1:29">
      <c r="E7" s="192" t="s">
        <v>639</v>
      </c>
      <c r="F7" s="224">
        <f>F4*$B$5*(1+$B$6)^F2</f>
        <v>0</v>
      </c>
      <c r="G7" s="224">
        <f>G4*$B$5*(1+$B$6)^G$2</f>
        <v>0</v>
      </c>
      <c r="H7" s="224">
        <f t="shared" ref="H7:AC7" si="2">H4*$B$5*(1+$B$6)^H$2</f>
        <v>0</v>
      </c>
      <c r="I7" s="224">
        <f>I4*$B$5*(1+$B$6)^I$2</f>
        <v>436781.83343795309</v>
      </c>
      <c r="J7" s="224">
        <f t="shared" si="2"/>
        <v>458201.58298422984</v>
      </c>
      <c r="K7" s="224">
        <f t="shared" si="2"/>
        <v>949932.80702934461</v>
      </c>
      <c r="L7" s="224">
        <f t="shared" si="2"/>
        <v>995416.01213135943</v>
      </c>
      <c r="M7" s="224">
        <f t="shared" si="2"/>
        <v>1042578.2783057212</v>
      </c>
      <c r="N7" s="224">
        <f t="shared" si="2"/>
        <v>1091685.8383790804</v>
      </c>
      <c r="O7" s="224">
        <f t="shared" si="2"/>
        <v>59009.296081415268</v>
      </c>
      <c r="P7" s="224">
        <f t="shared" si="2"/>
        <v>60352.060754514125</v>
      </c>
      <c r="Q7" s="224">
        <f t="shared" si="2"/>
        <v>61563.844787398586</v>
      </c>
      <c r="R7" s="224">
        <f t="shared" si="2"/>
        <v>62996.489436003307</v>
      </c>
      <c r="S7" s="224">
        <f t="shared" si="2"/>
        <v>64216.042223166558</v>
      </c>
      <c r="T7" s="224">
        <f t="shared" si="2"/>
        <v>65051.179384028117</v>
      </c>
      <c r="U7" s="224">
        <f t="shared" si="2"/>
        <v>65807.20210023594</v>
      </c>
      <c r="V7" s="224">
        <f t="shared" si="2"/>
        <v>66664.612433504939</v>
      </c>
      <c r="W7" s="224">
        <f t="shared" si="2"/>
        <v>67673.259431541432</v>
      </c>
      <c r="X7" s="224">
        <f t="shared" si="2"/>
        <v>68887.618684065776</v>
      </c>
      <c r="Y7" s="224">
        <f t="shared" si="2"/>
        <v>70097.751404028662</v>
      </c>
      <c r="Z7" s="224">
        <f t="shared" si="2"/>
        <v>71431.317181074366</v>
      </c>
      <c r="AA7" s="224">
        <f t="shared" si="2"/>
        <v>72764.472142559564</v>
      </c>
      <c r="AB7" s="224">
        <f t="shared" si="2"/>
        <v>74032.683980103611</v>
      </c>
      <c r="AC7" s="224">
        <f t="shared" si="2"/>
        <v>75541.110653178373</v>
      </c>
    </row>
    <row r="8" spans="1:29">
      <c r="A8" s="225" t="s">
        <v>720</v>
      </c>
      <c r="B8" s="226"/>
      <c r="C8" s="227"/>
      <c r="D8" s="228"/>
      <c r="E8" s="177" t="s">
        <v>216</v>
      </c>
      <c r="F8" s="228">
        <f>F5+F6+F7</f>
        <v>218695.28144180775</v>
      </c>
      <c r="G8" s="228">
        <f t="shared" ref="G8:AC8" si="3">G5+G6+G7</f>
        <v>74720.88782595098</v>
      </c>
      <c r="H8" s="228">
        <f t="shared" si="3"/>
        <v>76588.910021599746</v>
      </c>
      <c r="I8" s="228">
        <f>I5+I6+I7</f>
        <v>515285.46621009283</v>
      </c>
      <c r="J8" s="228">
        <f>J5+J6+J7</f>
        <v>538667.80657567305</v>
      </c>
      <c r="K8" s="228">
        <f t="shared" si="3"/>
        <v>1032410.6862105739</v>
      </c>
      <c r="L8" s="228">
        <f t="shared" si="3"/>
        <v>1079955.8382921196</v>
      </c>
      <c r="M8" s="228">
        <f t="shared" si="3"/>
        <v>1129231.6001205002</v>
      </c>
      <c r="N8" s="228">
        <f t="shared" si="3"/>
        <v>1180505.4932392288</v>
      </c>
      <c r="O8" s="228">
        <f t="shared" si="3"/>
        <v>150049.44231306747</v>
      </c>
      <c r="P8" s="228">
        <f t="shared" si="3"/>
        <v>153668.21064195764</v>
      </c>
      <c r="Q8" s="228">
        <f t="shared" si="3"/>
        <v>157212.89842202817</v>
      </c>
      <c r="R8" s="228">
        <f t="shared" si="3"/>
        <v>161036.76941149862</v>
      </c>
      <c r="S8" s="228">
        <f t="shared" si="3"/>
        <v>164707.32919804926</v>
      </c>
      <c r="T8" s="228">
        <f t="shared" si="3"/>
        <v>168054.74853328287</v>
      </c>
      <c r="U8" s="228">
        <f t="shared" si="3"/>
        <v>171385.86047822208</v>
      </c>
      <c r="V8" s="228">
        <f t="shared" si="3"/>
        <v>174882.73727094074</v>
      </c>
      <c r="W8" s="228">
        <f t="shared" si="3"/>
        <v>178596.8373899131</v>
      </c>
      <c r="X8" s="228">
        <f t="shared" si="3"/>
        <v>182584.28609139673</v>
      </c>
      <c r="Y8" s="228">
        <f t="shared" si="3"/>
        <v>186636.83549654289</v>
      </c>
      <c r="Z8" s="228">
        <f t="shared" si="3"/>
        <v>190883.87837590143</v>
      </c>
      <c r="AA8" s="228">
        <f t="shared" si="3"/>
        <v>195203.34736725729</v>
      </c>
      <c r="AB8" s="228">
        <f t="shared" si="3"/>
        <v>199532.53108541877</v>
      </c>
      <c r="AC8" s="228">
        <f t="shared" si="3"/>
        <v>204178.45393612643</v>
      </c>
    </row>
    <row r="9" spans="1:29">
      <c r="A9" s="229"/>
      <c r="B9" s="177"/>
      <c r="C9" s="228"/>
      <c r="D9" s="228"/>
      <c r="E9" s="177" t="s">
        <v>641</v>
      </c>
      <c r="F9" s="230"/>
      <c r="G9" s="230">
        <f>F10*(1+0.025)</f>
        <v>224162.66347785291</v>
      </c>
      <c r="H9" s="230">
        <f>G10*(1+0.025)</f>
        <v>76588.910021599746</v>
      </c>
      <c r="I9" s="230">
        <f>H10*(1+0.025)</f>
        <v>78503.632772139739</v>
      </c>
      <c r="J9" s="228">
        <v>530087.03613281203</v>
      </c>
      <c r="K9" s="228">
        <v>553717.95654296875</v>
      </c>
      <c r="L9" s="228">
        <v>1063950.805664062</v>
      </c>
      <c r="M9" s="228">
        <v>1110048.706054688</v>
      </c>
      <c r="N9" s="228">
        <v>1160717.651367188</v>
      </c>
      <c r="O9" s="228">
        <v>1213466.918945312</v>
      </c>
      <c r="P9" s="228">
        <v>154635.0402832031</v>
      </c>
      <c r="Q9" s="228">
        <v>157966.20178222659</v>
      </c>
      <c r="R9" s="228">
        <v>161571.2585449219</v>
      </c>
      <c r="S9" s="228">
        <v>165519.36340332031</v>
      </c>
      <c r="T9" s="228">
        <v>169780.71594238281</v>
      </c>
      <c r="U9" s="228">
        <v>172746.6735839844</v>
      </c>
      <c r="V9" s="228">
        <v>176172.66845703119</v>
      </c>
      <c r="W9" s="228">
        <v>179775.52795410159</v>
      </c>
      <c r="X9" s="228">
        <v>184096.3439941406</v>
      </c>
      <c r="Y9" s="228">
        <v>187327.9113769531</v>
      </c>
      <c r="Z9" s="228">
        <v>191286.14807128909</v>
      </c>
      <c r="AA9" s="228">
        <v>195134.58251953119</v>
      </c>
      <c r="AB9" s="228">
        <v>199541.42761230469</v>
      </c>
      <c r="AC9" s="228">
        <v>202554.45861816409</v>
      </c>
    </row>
    <row r="10" spans="1:29" s="231" customFormat="1">
      <c r="A10" s="215" t="s">
        <v>640</v>
      </c>
      <c r="C10" s="228"/>
      <c r="D10" s="228"/>
      <c r="E10" s="185" t="s">
        <v>642</v>
      </c>
      <c r="F10" s="232">
        <f>F8</f>
        <v>218695.28144180775</v>
      </c>
      <c r="G10" s="232">
        <f t="shared" ref="G10:H10" si="4">G8</f>
        <v>74720.88782595098</v>
      </c>
      <c r="H10" s="232">
        <f t="shared" si="4"/>
        <v>76588.910021599746</v>
      </c>
      <c r="I10" s="233">
        <v>517158.0810546875</v>
      </c>
      <c r="J10" s="233">
        <v>540212.646484375</v>
      </c>
      <c r="K10" s="233">
        <v>1035164.794921875</v>
      </c>
      <c r="L10" s="233">
        <v>1085941.40625</v>
      </c>
      <c r="M10" s="233">
        <v>1132407.470703125</v>
      </c>
      <c r="N10" s="233">
        <v>1183870.1171875</v>
      </c>
      <c r="O10" s="233">
        <v>150451.2634277344</v>
      </c>
      <c r="P10" s="233">
        <v>154535.59875488281</v>
      </c>
      <c r="Q10" s="233">
        <v>157630.4931640625</v>
      </c>
      <c r="R10" s="233">
        <v>161482.2998046875</v>
      </c>
      <c r="S10" s="233">
        <v>165187.1643066406</v>
      </c>
      <c r="T10" s="233">
        <v>168995.07141113281</v>
      </c>
      <c r="U10" s="233">
        <v>171875.77819824219</v>
      </c>
      <c r="V10" s="233">
        <v>175390.76232910159</v>
      </c>
      <c r="W10" s="233">
        <v>179115.46325683591</v>
      </c>
      <c r="X10" s="233">
        <v>183259.6435546875</v>
      </c>
      <c r="Y10" s="233">
        <v>186620.62072753909</v>
      </c>
      <c r="Z10" s="233">
        <v>190375.19836425781</v>
      </c>
      <c r="AA10" s="233">
        <v>194142.65441894531</v>
      </c>
      <c r="AB10" s="233">
        <v>198155.517578125</v>
      </c>
      <c r="AC10" s="233">
        <v>201378.72314453119</v>
      </c>
    </row>
    <row r="11" spans="1:29">
      <c r="A11" s="215"/>
      <c r="B11" s="215"/>
      <c r="C11" s="234"/>
      <c r="D11" s="234"/>
      <c r="E11" s="235" t="s">
        <v>643</v>
      </c>
      <c r="F11" s="236">
        <f>F10-F9</f>
        <v>218695.28144180775</v>
      </c>
      <c r="G11" s="236">
        <f>G10-G9</f>
        <v>-149441.77565190193</v>
      </c>
      <c r="H11" s="236">
        <f t="shared" ref="H11:AC11" si="5">H10-H9</f>
        <v>0</v>
      </c>
      <c r="I11" s="236">
        <f t="shared" si="5"/>
        <v>438654.44828254776</v>
      </c>
      <c r="J11" s="236">
        <f t="shared" si="5"/>
        <v>10125.610351562966</v>
      </c>
      <c r="K11" s="236">
        <f t="shared" si="5"/>
        <v>481446.83837890625</v>
      </c>
      <c r="L11" s="236">
        <f t="shared" si="5"/>
        <v>21990.600585937966</v>
      </c>
      <c r="M11" s="236">
        <f t="shared" si="5"/>
        <v>22358.764648437034</v>
      </c>
      <c r="N11" s="236">
        <f t="shared" si="5"/>
        <v>23152.465820312034</v>
      </c>
      <c r="O11" s="236">
        <f t="shared" si="5"/>
        <v>-1063015.6555175777</v>
      </c>
      <c r="P11" s="236">
        <f t="shared" si="5"/>
        <v>-99.441528320283396</v>
      </c>
      <c r="Q11" s="236">
        <f t="shared" si="5"/>
        <v>-335.7086181640916</v>
      </c>
      <c r="R11" s="236">
        <f t="shared" si="5"/>
        <v>-88.958740234404104</v>
      </c>
      <c r="S11" s="236">
        <f t="shared" si="5"/>
        <v>-332.1990966797166</v>
      </c>
      <c r="T11" s="236">
        <f t="shared" si="5"/>
        <v>-785.64453125</v>
      </c>
      <c r="U11" s="236">
        <f t="shared" si="5"/>
        <v>-870.8953857422166</v>
      </c>
      <c r="V11" s="236">
        <f t="shared" si="5"/>
        <v>-781.90612792960019</v>
      </c>
      <c r="W11" s="236">
        <f t="shared" si="5"/>
        <v>-660.06469726568321</v>
      </c>
      <c r="X11" s="236">
        <f t="shared" si="5"/>
        <v>-836.7004394530959</v>
      </c>
      <c r="Y11" s="236">
        <f t="shared" si="5"/>
        <v>-707.29064941400429</v>
      </c>
      <c r="Z11" s="236">
        <f t="shared" si="5"/>
        <v>-910.9497070312791</v>
      </c>
      <c r="AA11" s="236">
        <f t="shared" si="5"/>
        <v>-991.92810058587929</v>
      </c>
      <c r="AB11" s="236">
        <f t="shared" si="5"/>
        <v>-1385.9100341796875</v>
      </c>
      <c r="AC11" s="236">
        <f t="shared" si="5"/>
        <v>-1175.7354736328998</v>
      </c>
    </row>
    <row r="12" spans="1:29">
      <c r="A12" s="215"/>
      <c r="B12" s="215"/>
      <c r="C12" s="234"/>
      <c r="D12" s="234"/>
      <c r="E12" s="177" t="s">
        <v>721</v>
      </c>
      <c r="F12" s="237"/>
      <c r="G12" s="237"/>
      <c r="H12" s="237"/>
      <c r="I12" s="237"/>
      <c r="J12" s="238">
        <v>4.869999885559082</v>
      </c>
      <c r="K12" s="238">
        <v>9.869999885559082</v>
      </c>
      <c r="L12" s="238">
        <v>20.010000228881839</v>
      </c>
      <c r="M12" s="238">
        <v>30.420000076293949</v>
      </c>
      <c r="N12" s="238">
        <v>41.110000610351563</v>
      </c>
      <c r="O12" s="238">
        <v>52.099998474121087</v>
      </c>
      <c r="P12" s="238">
        <v>52.959999084472663</v>
      </c>
      <c r="Q12" s="238">
        <v>53.729999542236328</v>
      </c>
      <c r="R12" s="238">
        <v>54.409999847412109</v>
      </c>
      <c r="S12" s="238">
        <v>55.130001068115227</v>
      </c>
      <c r="T12" s="238">
        <v>56.049999237060547</v>
      </c>
      <c r="U12" s="238">
        <v>56.909999847412109</v>
      </c>
      <c r="V12" s="238">
        <v>57.819999694824219</v>
      </c>
      <c r="W12" s="238">
        <v>58.669998168945313</v>
      </c>
      <c r="X12" s="238">
        <v>59.540000915527337</v>
      </c>
      <c r="Y12" s="238">
        <v>60.369998931884773</v>
      </c>
      <c r="Z12" s="238">
        <v>61.279998779296882</v>
      </c>
      <c r="AA12" s="238">
        <v>62.119998931884773</v>
      </c>
      <c r="AB12" s="238">
        <v>62.950000762939453</v>
      </c>
      <c r="AC12" s="238">
        <v>63.669998168945313</v>
      </c>
    </row>
    <row r="13" spans="1:29">
      <c r="A13" s="215"/>
      <c r="B13" s="215"/>
      <c r="C13" s="234"/>
      <c r="D13" s="234"/>
      <c r="E13" s="177" t="s">
        <v>722</v>
      </c>
      <c r="F13" s="237"/>
      <c r="G13" s="237"/>
      <c r="H13" s="237"/>
      <c r="I13" s="239">
        <v>4.869999885559082</v>
      </c>
      <c r="J13" s="239">
        <v>9.869999885559082</v>
      </c>
      <c r="K13" s="239">
        <v>20.010000228881839</v>
      </c>
      <c r="L13" s="239">
        <v>30.420000076293949</v>
      </c>
      <c r="M13" s="239">
        <v>41.110000610351563</v>
      </c>
      <c r="N13" s="239">
        <v>52.099998474121087</v>
      </c>
      <c r="O13" s="239">
        <v>52.959999084472663</v>
      </c>
      <c r="P13" s="239">
        <v>53.729999542236328</v>
      </c>
      <c r="Q13" s="239">
        <v>54.409999847412109</v>
      </c>
      <c r="R13" s="239">
        <v>55.130001068115227</v>
      </c>
      <c r="S13" s="239">
        <v>56.049999237060547</v>
      </c>
      <c r="T13" s="239">
        <v>56.909999847412109</v>
      </c>
      <c r="U13" s="239">
        <v>57.819999694824219</v>
      </c>
      <c r="V13" s="239">
        <v>58.669998168945313</v>
      </c>
      <c r="W13" s="239">
        <v>59.540000915527337</v>
      </c>
      <c r="X13" s="239">
        <v>60.369998931884773</v>
      </c>
      <c r="Y13" s="239">
        <v>61.279998779296882</v>
      </c>
      <c r="Z13" s="239">
        <v>62.119998931884773</v>
      </c>
      <c r="AA13" s="239">
        <v>62.950000762939453</v>
      </c>
      <c r="AB13" s="239">
        <v>63.669998168945313</v>
      </c>
      <c r="AC13" s="239">
        <v>64.470001220703125</v>
      </c>
    </row>
    <row r="14" spans="1:29" ht="13.5" thickBot="1">
      <c r="A14" s="215"/>
      <c r="B14" s="215"/>
      <c r="C14" s="234"/>
      <c r="D14" s="234"/>
      <c r="E14" s="177"/>
      <c r="F14" s="237"/>
      <c r="G14" s="237"/>
      <c r="H14" s="237"/>
      <c r="I14" s="240"/>
      <c r="J14" s="240"/>
      <c r="K14" s="240"/>
      <c r="L14" s="240"/>
      <c r="M14" s="237"/>
      <c r="N14" s="237"/>
      <c r="O14" s="237"/>
      <c r="P14" s="237"/>
      <c r="Q14" s="237"/>
      <c r="R14" s="237"/>
      <c r="S14" s="237"/>
      <c r="T14" s="237"/>
      <c r="U14" s="237"/>
      <c r="V14" s="237"/>
      <c r="W14" s="237"/>
      <c r="X14" s="237"/>
      <c r="Y14" s="237"/>
      <c r="Z14" s="237"/>
      <c r="AA14" s="237"/>
      <c r="AB14" s="237"/>
      <c r="AC14" s="237"/>
    </row>
    <row r="15" spans="1:29" ht="13.5" thickBot="1">
      <c r="A15" s="241">
        <v>2</v>
      </c>
      <c r="C15" s="212" t="s">
        <v>628</v>
      </c>
      <c r="D15" s="211"/>
      <c r="J15" s="242"/>
      <c r="P15" s="140"/>
    </row>
    <row r="16" spans="1:29">
      <c r="C16" s="214" t="s">
        <v>145</v>
      </c>
      <c r="F16" s="144"/>
      <c r="G16" s="144"/>
      <c r="H16" s="144"/>
      <c r="I16" s="144"/>
      <c r="J16" s="144"/>
      <c r="K16" s="144"/>
      <c r="L16" s="144"/>
      <c r="M16" s="144"/>
      <c r="N16" s="144"/>
      <c r="O16" s="144"/>
      <c r="P16" s="144"/>
      <c r="Q16" s="144"/>
      <c r="R16" s="144"/>
      <c r="S16" s="144"/>
      <c r="T16" s="144"/>
      <c r="U16" s="144"/>
      <c r="V16" s="144"/>
      <c r="W16" s="144"/>
      <c r="X16" s="144"/>
      <c r="Y16" s="144"/>
      <c r="Z16" s="144"/>
      <c r="AA16" s="144"/>
      <c r="AB16" s="144"/>
      <c r="AC16" s="144"/>
    </row>
    <row r="17" spans="1:31">
      <c r="A17" s="140" t="s">
        <v>630</v>
      </c>
      <c r="B17" s="243">
        <v>4203.1457054615075</v>
      </c>
      <c r="C17" s="140" t="s">
        <v>577</v>
      </c>
      <c r="E17" s="217" t="s">
        <v>631</v>
      </c>
      <c r="F17" s="218">
        <v>0</v>
      </c>
      <c r="G17" s="218">
        <v>0</v>
      </c>
      <c r="H17" s="218">
        <v>0</v>
      </c>
      <c r="I17" s="219">
        <v>0.14027172504961496</v>
      </c>
      <c r="J17" s="219">
        <v>0.28450538761723715</v>
      </c>
      <c r="K17" s="219">
        <v>0.57691288169783217</v>
      </c>
      <c r="L17" s="219">
        <v>0.87693507227889667</v>
      </c>
      <c r="M17" s="219">
        <v>1.1850761612229654</v>
      </c>
      <c r="N17" s="219">
        <v>1.5018500926009739</v>
      </c>
      <c r="O17" s="219">
        <v>1.5267892471376006</v>
      </c>
      <c r="P17" s="219">
        <v>1.5488781015109807</v>
      </c>
      <c r="Q17" s="219">
        <v>1.5685588077853478</v>
      </c>
      <c r="R17" s="219">
        <v>1.589271501997811</v>
      </c>
      <c r="S17" s="219">
        <v>1.6157766283908237</v>
      </c>
      <c r="T17" s="219">
        <v>1.6407165193620852</v>
      </c>
      <c r="U17" s="219">
        <v>1.6669377107473333</v>
      </c>
      <c r="V17" s="219">
        <v>1.691359829192252</v>
      </c>
      <c r="W17" s="219">
        <v>1.7164603525693889</v>
      </c>
      <c r="X17" s="219">
        <v>1.7403092978788106</v>
      </c>
      <c r="Y17" s="219">
        <v>1.7665562853761489</v>
      </c>
      <c r="Z17" s="219">
        <v>1.7909551739326375</v>
      </c>
      <c r="AA17" s="219">
        <v>1.8147262459688378</v>
      </c>
      <c r="AB17" s="219">
        <v>1.8355108805038298</v>
      </c>
      <c r="AC17" s="219">
        <v>1.8585051692702608</v>
      </c>
    </row>
    <row r="18" spans="1:31">
      <c r="A18" s="140" t="s">
        <v>632</v>
      </c>
      <c r="B18" s="244">
        <v>2101.572852730751</v>
      </c>
      <c r="C18" s="181" t="s">
        <v>633</v>
      </c>
      <c r="D18" s="177"/>
      <c r="E18" s="217" t="s">
        <v>634</v>
      </c>
      <c r="F18" s="218">
        <v>0</v>
      </c>
      <c r="G18" s="218">
        <v>0</v>
      </c>
      <c r="H18" s="218">
        <v>0</v>
      </c>
      <c r="I18" s="221">
        <v>237.73962076275748</v>
      </c>
      <c r="J18" s="221">
        <v>243.31546788673487</v>
      </c>
      <c r="K18" s="221">
        <v>492.13262264677138</v>
      </c>
      <c r="L18" s="221">
        <v>503.11819648900007</v>
      </c>
      <c r="M18" s="221">
        <v>514.10308433085902</v>
      </c>
      <c r="N18" s="221">
        <v>525.18866980617963</v>
      </c>
      <c r="O18" s="221">
        <v>27.695820783745603</v>
      </c>
      <c r="P18" s="221">
        <v>27.635163908801132</v>
      </c>
      <c r="Q18" s="221">
        <v>27.502476994860899</v>
      </c>
      <c r="R18" s="221">
        <v>27.456081706584882</v>
      </c>
      <c r="S18" s="221">
        <v>27.30498109846485</v>
      </c>
      <c r="T18" s="221">
        <v>26.985449346525456</v>
      </c>
      <c r="U18" s="221">
        <v>26.633242313738265</v>
      </c>
      <c r="V18" s="221">
        <v>26.322195303235276</v>
      </c>
      <c r="W18" s="221">
        <v>26.068736218645881</v>
      </c>
      <c r="X18" s="221">
        <v>25.889292963603566</v>
      </c>
      <c r="Y18" s="221">
        <v>25.701545493535377</v>
      </c>
      <c r="Z18" s="221">
        <v>25.551708570311348</v>
      </c>
      <c r="AA18" s="221">
        <v>25.393747958476979</v>
      </c>
      <c r="AB18" s="221">
        <v>25.206181014823869</v>
      </c>
      <c r="AC18" s="221">
        <v>25.092449374304124</v>
      </c>
    </row>
    <row r="19" spans="1:31">
      <c r="A19" s="140" t="s">
        <v>635</v>
      </c>
      <c r="B19" s="244">
        <v>25</v>
      </c>
      <c r="C19" s="181" t="s">
        <v>636</v>
      </c>
      <c r="D19" s="177"/>
      <c r="E19" s="140" t="s">
        <v>630</v>
      </c>
      <c r="F19" s="222">
        <f>B17</f>
        <v>4203.1457054615075</v>
      </c>
      <c r="G19" s="222"/>
      <c r="H19" s="222"/>
      <c r="I19" s="222"/>
      <c r="J19" s="222"/>
      <c r="K19" s="222"/>
      <c r="L19" s="222"/>
      <c r="M19" s="222"/>
      <c r="N19" s="222"/>
      <c r="O19" s="222"/>
      <c r="P19" s="222"/>
      <c r="Q19" s="222"/>
      <c r="R19" s="222"/>
      <c r="S19" s="222"/>
      <c r="T19" s="222"/>
      <c r="U19" s="222"/>
      <c r="V19" s="222"/>
      <c r="W19" s="222"/>
      <c r="X19" s="222"/>
      <c r="Y19" s="222"/>
      <c r="Z19" s="222"/>
      <c r="AA19" s="222"/>
      <c r="AB19" s="222"/>
      <c r="AC19" s="222"/>
    </row>
    <row r="20" spans="1:31">
      <c r="B20" s="223"/>
      <c r="E20" s="140" t="s">
        <v>638</v>
      </c>
      <c r="F20" s="222">
        <f>B18</f>
        <v>2101.572852730751</v>
      </c>
      <c r="G20" s="222">
        <f t="shared" ref="G20:AC20" si="6">$F$20*(1+$B$6)^G$2</f>
        <v>2154.1121740490198</v>
      </c>
      <c r="H20" s="222">
        <f t="shared" si="6"/>
        <v>2207.9649784002449</v>
      </c>
      <c r="I20" s="222">
        <f t="shared" si="6"/>
        <v>2263.1641028602512</v>
      </c>
      <c r="J20" s="222">
        <f t="shared" si="6"/>
        <v>2319.7432054317574</v>
      </c>
      <c r="K20" s="222">
        <f t="shared" si="6"/>
        <v>2377.7367855675511</v>
      </c>
      <c r="L20" s="222">
        <f t="shared" si="6"/>
        <v>2437.1802052067396</v>
      </c>
      <c r="M20" s="222">
        <f t="shared" si="6"/>
        <v>2498.1097103369079</v>
      </c>
      <c r="N20" s="222">
        <f t="shared" si="6"/>
        <v>2560.5624530953305</v>
      </c>
      <c r="O20" s="222">
        <f t="shared" si="6"/>
        <v>2624.5765144227134</v>
      </c>
      <c r="P20" s="222">
        <f t="shared" si="6"/>
        <v>2690.1909272832813</v>
      </c>
      <c r="Q20" s="222">
        <f t="shared" si="6"/>
        <v>2757.4457004653632</v>
      </c>
      <c r="R20" s="222">
        <f t="shared" si="6"/>
        <v>2826.3818429769972</v>
      </c>
      <c r="S20" s="222">
        <f t="shared" si="6"/>
        <v>2897.0413890514219</v>
      </c>
      <c r="T20" s="222">
        <f t="shared" si="6"/>
        <v>2969.4674237777072</v>
      </c>
      <c r="U20" s="222">
        <f t="shared" si="6"/>
        <v>3043.7041093721505</v>
      </c>
      <c r="V20" s="222">
        <f t="shared" si="6"/>
        <v>3119.7967121064539</v>
      </c>
      <c r="W20" s="222">
        <f t="shared" si="6"/>
        <v>3197.7916299091148</v>
      </c>
      <c r="X20" s="222">
        <f t="shared" si="6"/>
        <v>3277.7364206568427</v>
      </c>
      <c r="Y20" s="222">
        <f t="shared" si="6"/>
        <v>3359.6798311732637</v>
      </c>
      <c r="Z20" s="222">
        <f t="shared" si="6"/>
        <v>3443.671826952595</v>
      </c>
      <c r="AA20" s="222">
        <f t="shared" si="6"/>
        <v>3529.7636226264094</v>
      </c>
      <c r="AB20" s="222">
        <f t="shared" si="6"/>
        <v>3618.0077131920698</v>
      </c>
      <c r="AC20" s="222">
        <f t="shared" si="6"/>
        <v>3708.4579060218716</v>
      </c>
    </row>
    <row r="21" spans="1:31">
      <c r="E21" s="192" t="s">
        <v>639</v>
      </c>
      <c r="F21" s="224">
        <f t="shared" ref="F21:AC21" si="7">F18*$B$19*(1+$B$6)^F$2</f>
        <v>0</v>
      </c>
      <c r="G21" s="224">
        <f t="shared" si="7"/>
        <v>0</v>
      </c>
      <c r="H21" s="224">
        <f t="shared" si="7"/>
        <v>0</v>
      </c>
      <c r="I21" s="224">
        <f t="shared" si="7"/>
        <v>6400.489219761721</v>
      </c>
      <c r="J21" s="224">
        <f t="shared" si="7"/>
        <v>6714.3687485457785</v>
      </c>
      <c r="K21" s="224">
        <f t="shared" si="7"/>
        <v>13920.072277348994</v>
      </c>
      <c r="L21" s="224">
        <f t="shared" si="7"/>
        <v>14586.571526285825</v>
      </c>
      <c r="M21" s="224">
        <f t="shared" si="7"/>
        <v>15277.675306524492</v>
      </c>
      <c r="N21" s="224">
        <f t="shared" si="7"/>
        <v>15997.284925780716</v>
      </c>
      <c r="O21" s="224">
        <f t="shared" si="7"/>
        <v>864.70712497817033</v>
      </c>
      <c r="P21" s="224">
        <f t="shared" si="7"/>
        <v>884.38365489973285</v>
      </c>
      <c r="Q21" s="224">
        <f t="shared" si="7"/>
        <v>902.14082803608107</v>
      </c>
      <c r="R21" s="224">
        <f t="shared" si="7"/>
        <v>923.13443611948048</v>
      </c>
      <c r="S21" s="224">
        <f t="shared" si="7"/>
        <v>941.00545059303283</v>
      </c>
      <c r="T21" s="224">
        <f t="shared" si="7"/>
        <v>953.24333684635235</v>
      </c>
      <c r="U21" s="224">
        <f t="shared" si="7"/>
        <v>964.32190027217553</v>
      </c>
      <c r="V21" s="224">
        <f t="shared" si="7"/>
        <v>976.88617189444608</v>
      </c>
      <c r="W21" s="224">
        <f t="shared" si="7"/>
        <v>991.66662690249586</v>
      </c>
      <c r="X21" s="224">
        <f t="shared" si="7"/>
        <v>1009.4615366485489</v>
      </c>
      <c r="Y21" s="224">
        <f t="shared" si="7"/>
        <v>1027.1945118677709</v>
      </c>
      <c r="Z21" s="224">
        <f t="shared" si="7"/>
        <v>1046.7362435205293</v>
      </c>
      <c r="AA21" s="224">
        <f t="shared" si="7"/>
        <v>1066.2719551871205</v>
      </c>
      <c r="AB21" s="224">
        <f t="shared" si="7"/>
        <v>1084.8560069336806</v>
      </c>
      <c r="AC21" s="224">
        <f t="shared" si="7"/>
        <v>1106.9601054119821</v>
      </c>
    </row>
    <row r="22" spans="1:31">
      <c r="A22" s="225" t="s">
        <v>720</v>
      </c>
      <c r="B22" s="226"/>
      <c r="C22" s="227"/>
      <c r="D22" s="228"/>
      <c r="E22" s="177" t="s">
        <v>216</v>
      </c>
      <c r="F22" s="228">
        <f>F19+F20+F21</f>
        <v>6304.7185581922586</v>
      </c>
      <c r="G22" s="228">
        <f t="shared" ref="G22:H22" si="8">G19+G20+G21</f>
        <v>2154.1121740490198</v>
      </c>
      <c r="H22" s="228">
        <f t="shared" si="8"/>
        <v>2207.9649784002449</v>
      </c>
      <c r="I22" s="228">
        <f>I19+I20+I21</f>
        <v>8663.6533226219726</v>
      </c>
      <c r="J22" s="228">
        <f>J19+J20+J21</f>
        <v>9034.1119539775354</v>
      </c>
      <c r="K22" s="228">
        <f t="shared" ref="K22:AC22" si="9">K19+K20+K21</f>
        <v>16297.809062916545</v>
      </c>
      <c r="L22" s="228">
        <f t="shared" si="9"/>
        <v>17023.751731492564</v>
      </c>
      <c r="M22" s="228">
        <f t="shared" si="9"/>
        <v>17775.785016861399</v>
      </c>
      <c r="N22" s="228">
        <f t="shared" si="9"/>
        <v>18557.847378876046</v>
      </c>
      <c r="O22" s="228">
        <f t="shared" si="9"/>
        <v>3489.2836394008837</v>
      </c>
      <c r="P22" s="228">
        <f t="shared" si="9"/>
        <v>3574.5745821830142</v>
      </c>
      <c r="Q22" s="228">
        <f t="shared" si="9"/>
        <v>3659.5865285014443</v>
      </c>
      <c r="R22" s="228">
        <f t="shared" si="9"/>
        <v>3749.5162790964778</v>
      </c>
      <c r="S22" s="228">
        <f t="shared" si="9"/>
        <v>3838.0468396444548</v>
      </c>
      <c r="T22" s="228">
        <f t="shared" si="9"/>
        <v>3922.7107606240597</v>
      </c>
      <c r="U22" s="228">
        <f t="shared" si="9"/>
        <v>4008.0260096443262</v>
      </c>
      <c r="V22" s="228">
        <f t="shared" si="9"/>
        <v>4096.6828840009002</v>
      </c>
      <c r="W22" s="228">
        <f t="shared" si="9"/>
        <v>4189.4582568116111</v>
      </c>
      <c r="X22" s="228">
        <f t="shared" si="9"/>
        <v>4287.1979573053914</v>
      </c>
      <c r="Y22" s="228">
        <f t="shared" si="9"/>
        <v>4386.8743430410341</v>
      </c>
      <c r="Z22" s="228">
        <f t="shared" si="9"/>
        <v>4490.4080704731241</v>
      </c>
      <c r="AA22" s="228">
        <f t="shared" si="9"/>
        <v>4596.0355778135299</v>
      </c>
      <c r="AB22" s="228">
        <f t="shared" si="9"/>
        <v>4702.8637201257507</v>
      </c>
      <c r="AC22" s="228">
        <f t="shared" si="9"/>
        <v>4815.4180114338542</v>
      </c>
    </row>
    <row r="23" spans="1:31">
      <c r="A23" s="229"/>
      <c r="B23" s="177"/>
      <c r="C23" s="228"/>
      <c r="D23" s="228"/>
      <c r="E23" s="177" t="s">
        <v>641</v>
      </c>
      <c r="F23" s="228"/>
      <c r="G23" s="230">
        <f>F24*(1+0.025)</f>
        <v>6462.3365221470649</v>
      </c>
      <c r="H23" s="230">
        <f>G24*(1+0.025)</f>
        <v>2207.9649784002449</v>
      </c>
      <c r="I23" s="230">
        <f>H24*(1+0.025)</f>
        <v>2263.1641028602508</v>
      </c>
      <c r="J23" s="228">
        <v>8887.359619140625</v>
      </c>
      <c r="K23" s="228">
        <v>9138.300895690918</v>
      </c>
      <c r="L23" s="228">
        <v>16886.962890625</v>
      </c>
      <c r="M23" s="228">
        <v>17558.469772338871</v>
      </c>
      <c r="N23" s="228">
        <v>18345.981597900391</v>
      </c>
      <c r="O23" s="228">
        <v>19050.680160522461</v>
      </c>
      <c r="P23" s="228">
        <v>3603.516578674316</v>
      </c>
      <c r="Q23" s="228">
        <v>3676.0072708129878</v>
      </c>
      <c r="R23" s="228">
        <v>3764.379501342773</v>
      </c>
      <c r="S23" s="228">
        <v>3854.9742698669429</v>
      </c>
      <c r="T23" s="228">
        <v>3966.4580821990971</v>
      </c>
      <c r="U23" s="228">
        <v>4030.0540924072266</v>
      </c>
      <c r="V23" s="228">
        <v>4126.9407272338867</v>
      </c>
      <c r="W23" s="228">
        <v>4206.967830657959</v>
      </c>
      <c r="X23" s="228">
        <v>4327.0983695983887</v>
      </c>
      <c r="Y23" s="228">
        <v>4398.4661102294922</v>
      </c>
      <c r="Z23" s="228">
        <v>4508.7227821350098</v>
      </c>
      <c r="AA23" s="228">
        <v>4595.3984260559082</v>
      </c>
      <c r="AB23" s="228">
        <v>4694.6239471435547</v>
      </c>
      <c r="AC23" s="228">
        <v>4796.0271835327148</v>
      </c>
    </row>
    <row r="24" spans="1:31">
      <c r="A24" s="215" t="s">
        <v>640</v>
      </c>
      <c r="B24" s="231"/>
      <c r="C24" s="228"/>
      <c r="D24" s="228"/>
      <c r="E24" s="185" t="s">
        <v>642</v>
      </c>
      <c r="F24" s="232">
        <f>F22</f>
        <v>6304.7185581922586</v>
      </c>
      <c r="G24" s="232">
        <f t="shared" ref="G24:H24" si="10">G22</f>
        <v>2154.1121740490198</v>
      </c>
      <c r="H24" s="232">
        <f t="shared" si="10"/>
        <v>2207.9649784002449</v>
      </c>
      <c r="I24" s="233">
        <v>8670.5942153930664</v>
      </c>
      <c r="J24" s="233">
        <v>8915.4157638549805</v>
      </c>
      <c r="K24" s="233">
        <v>16430.070877075199</v>
      </c>
      <c r="L24" s="233">
        <v>17177.14691162109</v>
      </c>
      <c r="M24" s="233">
        <v>17898.519515991211</v>
      </c>
      <c r="N24" s="233">
        <v>18586.029052734379</v>
      </c>
      <c r="O24" s="233">
        <v>3506.020307540894</v>
      </c>
      <c r="P24" s="233">
        <v>3596.174001693726</v>
      </c>
      <c r="Q24" s="233">
        <v>3672.5654602050781</v>
      </c>
      <c r="R24" s="233">
        <v>3760.9503269195561</v>
      </c>
      <c r="S24" s="233">
        <v>3859.1423034667969</v>
      </c>
      <c r="T24" s="233">
        <v>3942.531824111938</v>
      </c>
      <c r="U24" s="233">
        <v>4026.2837409973135</v>
      </c>
      <c r="V24" s="233">
        <v>4104.3591499328613</v>
      </c>
      <c r="W24" s="233">
        <v>4210.0248336791992</v>
      </c>
      <c r="X24" s="233">
        <v>4302.9427528381348</v>
      </c>
      <c r="Y24" s="233">
        <v>4398.7541198730469</v>
      </c>
      <c r="Z24" s="233">
        <v>4483.3154678344727</v>
      </c>
      <c r="AA24" s="233">
        <v>4567.6069259643546</v>
      </c>
      <c r="AB24" s="233">
        <v>4691.8702125549316</v>
      </c>
      <c r="AC24" s="233">
        <v>4767.0993804931641</v>
      </c>
    </row>
    <row r="25" spans="1:31">
      <c r="A25" s="215"/>
      <c r="B25" s="215"/>
      <c r="C25" s="234"/>
      <c r="D25" s="234"/>
      <c r="E25" s="235" t="s">
        <v>643</v>
      </c>
      <c r="F25" s="236">
        <f>F24-F23</f>
        <v>6304.7185581922586</v>
      </c>
      <c r="G25" s="236">
        <f>G24-G23</f>
        <v>-4308.2243480980451</v>
      </c>
      <c r="H25" s="236">
        <f t="shared" ref="H25:AC25" si="11">H24-H23</f>
        <v>0</v>
      </c>
      <c r="I25" s="236">
        <f>I24-I23</f>
        <v>6407.4301125328157</v>
      </c>
      <c r="J25" s="236">
        <f t="shared" si="11"/>
        <v>28.056144714355469</v>
      </c>
      <c r="K25" s="236">
        <f t="shared" si="11"/>
        <v>7291.769981384281</v>
      </c>
      <c r="L25" s="236">
        <f t="shared" si="11"/>
        <v>290.18402099609011</v>
      </c>
      <c r="M25" s="236">
        <f t="shared" si="11"/>
        <v>340.04974365234011</v>
      </c>
      <c r="N25" s="236">
        <f t="shared" si="11"/>
        <v>240.04745483398801</v>
      </c>
      <c r="O25" s="236">
        <f t="shared" si="11"/>
        <v>-15544.659852981567</v>
      </c>
      <c r="P25" s="236">
        <f t="shared" si="11"/>
        <v>-7.3425769805899108</v>
      </c>
      <c r="Q25" s="236">
        <f t="shared" si="11"/>
        <v>-3.4418106079097015</v>
      </c>
      <c r="R25" s="236">
        <f t="shared" si="11"/>
        <v>-3.4291744232168639</v>
      </c>
      <c r="S25" s="236">
        <f t="shared" si="11"/>
        <v>4.1680335998539704</v>
      </c>
      <c r="T25" s="236">
        <f t="shared" si="11"/>
        <v>-23.926258087159113</v>
      </c>
      <c r="U25" s="236">
        <f t="shared" si="11"/>
        <v>-3.7703514099130189</v>
      </c>
      <c r="V25" s="236">
        <f t="shared" si="11"/>
        <v>-22.581577301025391</v>
      </c>
      <c r="W25" s="236">
        <f t="shared" si="11"/>
        <v>3.0570030212402344</v>
      </c>
      <c r="X25" s="236">
        <f t="shared" si="11"/>
        <v>-24.155616760253906</v>
      </c>
      <c r="Y25" s="236">
        <f t="shared" si="11"/>
        <v>0.2880096435546875</v>
      </c>
      <c r="Z25" s="236">
        <f t="shared" si="11"/>
        <v>-25.407314300537109</v>
      </c>
      <c r="AA25" s="236">
        <f t="shared" si="11"/>
        <v>-27.791500091553644</v>
      </c>
      <c r="AB25" s="236">
        <f t="shared" si="11"/>
        <v>-2.7537345886230469</v>
      </c>
      <c r="AC25" s="236">
        <f t="shared" si="11"/>
        <v>-28.927803039550781</v>
      </c>
    </row>
    <row r="26" spans="1:31">
      <c r="A26" s="215"/>
      <c r="B26" s="215"/>
      <c r="C26" s="234"/>
      <c r="D26" s="234"/>
      <c r="E26" s="177" t="s">
        <v>721</v>
      </c>
      <c r="F26" s="234"/>
      <c r="G26" s="234"/>
      <c r="H26" s="234"/>
      <c r="I26" s="237"/>
      <c r="J26" s="238">
        <v>0.14000000059604639</v>
      </c>
      <c r="K26" s="238">
        <v>0.2800000011920929</v>
      </c>
      <c r="L26" s="238">
        <v>0.57999998331069946</v>
      </c>
      <c r="M26" s="238">
        <v>0.87999999523162842</v>
      </c>
      <c r="N26" s="238">
        <v>1.190000057220459</v>
      </c>
      <c r="O26" s="238">
        <v>1.5</v>
      </c>
      <c r="P26" s="238">
        <v>1.529999971389771</v>
      </c>
      <c r="Q26" s="238">
        <v>1.549999952316284</v>
      </c>
      <c r="R26" s="238">
        <v>1.570000052452087</v>
      </c>
      <c r="S26" s="238">
        <v>1.5900000333786011</v>
      </c>
      <c r="T26" s="238">
        <v>1.620000004768372</v>
      </c>
      <c r="U26" s="238">
        <v>1.639999985694885</v>
      </c>
      <c r="V26" s="238">
        <v>1.669999957084656</v>
      </c>
      <c r="W26" s="238">
        <v>1.690000057220459</v>
      </c>
      <c r="X26" s="238">
        <v>1.720000028610229</v>
      </c>
      <c r="Y26" s="238">
        <v>1.7400000095367429</v>
      </c>
      <c r="Z26" s="238">
        <v>1.7699999809265139</v>
      </c>
      <c r="AA26" s="238">
        <v>1.7899999618530269</v>
      </c>
      <c r="AB26" s="238">
        <v>1.809999942779541</v>
      </c>
      <c r="AC26" s="238">
        <v>1.8400000333786011</v>
      </c>
    </row>
    <row r="27" spans="1:31">
      <c r="E27" s="177" t="s">
        <v>722</v>
      </c>
      <c r="F27" s="245"/>
      <c r="G27" s="245"/>
      <c r="H27" s="245"/>
      <c r="I27" s="239">
        <v>0.14000000059604639</v>
      </c>
      <c r="J27" s="239">
        <v>0.2800000011920929</v>
      </c>
      <c r="K27" s="239">
        <v>0.57999998331069946</v>
      </c>
      <c r="L27" s="239">
        <v>0.87999999523162842</v>
      </c>
      <c r="M27" s="239">
        <v>1.190000057220459</v>
      </c>
      <c r="N27" s="239">
        <v>1.5</v>
      </c>
      <c r="O27" s="239">
        <v>1.529999971389771</v>
      </c>
      <c r="P27" s="239">
        <v>1.549999952316284</v>
      </c>
      <c r="Q27" s="239">
        <v>1.570000052452087</v>
      </c>
      <c r="R27" s="239">
        <v>1.5900000333786011</v>
      </c>
      <c r="S27" s="239">
        <v>1.620000004768372</v>
      </c>
      <c r="T27" s="239">
        <v>1.639999985694885</v>
      </c>
      <c r="U27" s="239">
        <v>1.669999957084656</v>
      </c>
      <c r="V27" s="239">
        <v>1.690000057220459</v>
      </c>
      <c r="W27" s="239">
        <v>1.720000028610229</v>
      </c>
      <c r="X27" s="239">
        <v>1.7400000095367429</v>
      </c>
      <c r="Y27" s="239">
        <v>1.7699999809265139</v>
      </c>
      <c r="Z27" s="239">
        <v>1.7899999618530269</v>
      </c>
      <c r="AA27" s="239">
        <v>1.809999942779541</v>
      </c>
      <c r="AB27" s="239">
        <v>1.8400000333786011</v>
      </c>
      <c r="AC27" s="239">
        <v>1.860000014305115</v>
      </c>
    </row>
    <row r="28" spans="1:31" ht="13.5" thickBot="1">
      <c r="E28" s="177"/>
      <c r="F28" s="245"/>
      <c r="G28" s="245"/>
      <c r="H28" s="245"/>
      <c r="I28" s="245"/>
      <c r="J28" s="245"/>
      <c r="K28" s="245"/>
      <c r="L28" s="245"/>
      <c r="M28" s="245"/>
      <c r="N28" s="245"/>
      <c r="O28" s="245"/>
      <c r="P28" s="245"/>
      <c r="Q28" s="245"/>
      <c r="R28" s="245"/>
      <c r="S28" s="245"/>
      <c r="T28" s="245"/>
      <c r="U28" s="245"/>
      <c r="V28" s="245"/>
      <c r="W28" s="245"/>
      <c r="X28" s="245"/>
      <c r="Y28" s="245"/>
      <c r="Z28" s="245"/>
      <c r="AA28" s="245"/>
      <c r="AB28" s="245"/>
      <c r="AC28" s="245"/>
    </row>
    <row r="29" spans="1:31" ht="13.5" thickBot="1">
      <c r="A29" s="246">
        <v>3</v>
      </c>
      <c r="C29" s="212" t="s">
        <v>628</v>
      </c>
      <c r="D29" s="211"/>
      <c r="P29" s="140"/>
    </row>
    <row r="30" spans="1:31">
      <c r="C30" s="214" t="s">
        <v>146</v>
      </c>
      <c r="F30" s="247">
        <v>0</v>
      </c>
      <c r="G30" s="247">
        <f>F30-1</f>
        <v>-1</v>
      </c>
      <c r="H30" s="247">
        <f t="shared" ref="H30:AC30" si="12">G30-1</f>
        <v>-2</v>
      </c>
      <c r="I30" s="247">
        <f t="shared" si="12"/>
        <v>-3</v>
      </c>
      <c r="J30" s="247">
        <f t="shared" si="12"/>
        <v>-4</v>
      </c>
      <c r="K30" s="247">
        <f t="shared" si="12"/>
        <v>-5</v>
      </c>
      <c r="L30" s="247">
        <f t="shared" si="12"/>
        <v>-6</v>
      </c>
      <c r="M30" s="247">
        <f t="shared" si="12"/>
        <v>-7</v>
      </c>
      <c r="N30" s="247">
        <f t="shared" si="12"/>
        <v>-8</v>
      </c>
      <c r="O30" s="247">
        <f t="shared" si="12"/>
        <v>-9</v>
      </c>
      <c r="P30" s="247">
        <f t="shared" si="12"/>
        <v>-10</v>
      </c>
      <c r="Q30" s="247">
        <f t="shared" si="12"/>
        <v>-11</v>
      </c>
      <c r="R30" s="247">
        <f t="shared" si="12"/>
        <v>-12</v>
      </c>
      <c r="S30" s="247">
        <f t="shared" si="12"/>
        <v>-13</v>
      </c>
      <c r="T30" s="247">
        <f t="shared" si="12"/>
        <v>-14</v>
      </c>
      <c r="U30" s="247">
        <f t="shared" si="12"/>
        <v>-15</v>
      </c>
      <c r="V30" s="247">
        <f t="shared" si="12"/>
        <v>-16</v>
      </c>
      <c r="W30" s="247">
        <f t="shared" si="12"/>
        <v>-17</v>
      </c>
      <c r="X30" s="247">
        <f t="shared" si="12"/>
        <v>-18</v>
      </c>
      <c r="Y30" s="247">
        <f t="shared" si="12"/>
        <v>-19</v>
      </c>
      <c r="Z30" s="247">
        <f t="shared" si="12"/>
        <v>-20</v>
      </c>
      <c r="AA30" s="247">
        <f t="shared" si="12"/>
        <v>-21</v>
      </c>
      <c r="AB30" s="247">
        <f t="shared" si="12"/>
        <v>-22</v>
      </c>
      <c r="AC30" s="247">
        <f t="shared" si="12"/>
        <v>-23</v>
      </c>
      <c r="AD30" s="215"/>
      <c r="AE30" s="215"/>
    </row>
    <row r="31" spans="1:31">
      <c r="A31" s="140" t="s">
        <v>630</v>
      </c>
      <c r="B31" s="244">
        <v>140929.70701735042</v>
      </c>
      <c r="C31" s="140" t="s">
        <v>577</v>
      </c>
      <c r="E31" s="217" t="s">
        <v>631</v>
      </c>
      <c r="F31" s="248">
        <v>0</v>
      </c>
      <c r="G31" s="248">
        <v>4.0070669942546715</v>
      </c>
      <c r="H31" s="248">
        <v>8.1072779917777869</v>
      </c>
      <c r="I31" s="248">
        <v>16.408309764101379</v>
      </c>
      <c r="J31" s="248">
        <v>24.90108994926927</v>
      </c>
      <c r="K31" s="248">
        <v>33.58372780761885</v>
      </c>
      <c r="L31" s="248">
        <v>42.454858393317842</v>
      </c>
      <c r="M31" s="248">
        <v>42.929381095469978</v>
      </c>
      <c r="N31" s="248">
        <v>43.405370911923754</v>
      </c>
      <c r="O31" s="248">
        <v>43.88324835314782</v>
      </c>
      <c r="P31" s="248">
        <v>44.360079190538855</v>
      </c>
      <c r="Q31" s="248">
        <v>44.834620582045133</v>
      </c>
      <c r="R31" s="248">
        <v>45.308361446214853</v>
      </c>
      <c r="S31" s="248">
        <v>45.779495145479089</v>
      </c>
      <c r="T31" s="248">
        <v>46.245115485265785</v>
      </c>
      <c r="U31" s="248">
        <v>46.704658670057739</v>
      </c>
      <c r="V31" s="248">
        <v>47.158834895313063</v>
      </c>
      <c r="W31" s="248">
        <v>47.608637811694692</v>
      </c>
      <c r="X31" s="248">
        <v>48.055344525070282</v>
      </c>
      <c r="Y31" s="248">
        <v>48.498811750391255</v>
      </c>
      <c r="Z31" s="248">
        <v>48.93969361505328</v>
      </c>
      <c r="AA31" s="248">
        <v>49.377849948900135</v>
      </c>
      <c r="AB31" s="248">
        <v>49.812769909584752</v>
      </c>
      <c r="AC31" s="248">
        <v>50.245727488082437</v>
      </c>
      <c r="AD31" s="215"/>
      <c r="AE31" s="215"/>
    </row>
    <row r="32" spans="1:31">
      <c r="A32" s="140" t="s">
        <v>632</v>
      </c>
      <c r="B32" s="244">
        <v>7.5</v>
      </c>
      <c r="C32" s="181" t="s">
        <v>644</v>
      </c>
      <c r="D32" s="177"/>
      <c r="E32" s="217" t="s">
        <v>645</v>
      </c>
      <c r="F32" s="150">
        <v>0</v>
      </c>
      <c r="G32" s="150">
        <v>3310.8035803593566</v>
      </c>
      <c r="H32" s="150">
        <v>6698.5665676745548</v>
      </c>
      <c r="I32" s="150">
        <v>13557.220478849722</v>
      </c>
      <c r="J32" s="150">
        <v>20574.304816240216</v>
      </c>
      <c r="K32" s="150">
        <v>27748.257372961671</v>
      </c>
      <c r="L32" s="150">
        <v>35077.950374620777</v>
      </c>
      <c r="M32" s="150">
        <v>35470.020550512425</v>
      </c>
      <c r="N32" s="150">
        <v>35863.302916589491</v>
      </c>
      <c r="O32" s="150">
        <v>36258.144915898731</v>
      </c>
      <c r="P32" s="150">
        <v>36652.122168069334</v>
      </c>
      <c r="Q32" s="150">
        <v>37044.207785874176</v>
      </c>
      <c r="R32" s="150">
        <v>37435.631975064047</v>
      </c>
      <c r="S32" s="150">
        <v>37824.902017363936</v>
      </c>
      <c r="T32" s="150">
        <v>38209.616695272794</v>
      </c>
      <c r="U32" s="150">
        <v>38589.310177742744</v>
      </c>
      <c r="V32" s="150">
        <v>38964.569257474985</v>
      </c>
      <c r="W32" s="150">
        <v>39336.214929520793</v>
      </c>
      <c r="X32" s="150">
        <v>39705.302391281475</v>
      </c>
      <c r="Y32" s="150">
        <v>40071.713254755894</v>
      </c>
      <c r="Z32" s="150">
        <v>40435.987986905726</v>
      </c>
      <c r="AA32" s="150">
        <v>40798.010773382033</v>
      </c>
      <c r="AB32" s="150">
        <v>41157.359535224277</v>
      </c>
      <c r="AC32" s="150">
        <v>41515.086896181587</v>
      </c>
    </row>
    <row r="33" spans="1:29">
      <c r="A33" s="140" t="s">
        <v>646</v>
      </c>
      <c r="B33" s="244">
        <v>215</v>
      </c>
      <c r="C33" s="140" t="s">
        <v>636</v>
      </c>
      <c r="E33" s="217" t="s">
        <v>634</v>
      </c>
      <c r="F33" s="150">
        <v>0</v>
      </c>
      <c r="G33" s="150">
        <v>3476.3437593773242</v>
      </c>
      <c r="H33" s="150">
        <v>3722.6913156989258</v>
      </c>
      <c r="I33" s="150">
        <v>7536.5149351176533</v>
      </c>
      <c r="J33" s="150">
        <v>8045.7995782025046</v>
      </c>
      <c r="K33" s="150">
        <v>8561.3654253695386</v>
      </c>
      <c r="L33" s="150">
        <v>9083.5905203901457</v>
      </c>
      <c r="M33" s="150">
        <v>2165.5712034172689</v>
      </c>
      <c r="N33" s="150">
        <v>2186.447511906541</v>
      </c>
      <c r="O33" s="150">
        <v>2207.7492451041762</v>
      </c>
      <c r="P33" s="150">
        <v>2226.5833605740704</v>
      </c>
      <c r="Q33" s="150">
        <v>2244.2960070985505</v>
      </c>
      <c r="R33" s="150">
        <v>2263.2057879430731</v>
      </c>
      <c r="S33" s="150">
        <v>2280.5151431680865</v>
      </c>
      <c r="T33" s="150">
        <v>2295.1955126724979</v>
      </c>
      <c r="U33" s="150">
        <v>2309.1589913570865</v>
      </c>
      <c r="V33" s="150">
        <v>2323.4875426059903</v>
      </c>
      <c r="W33" s="150">
        <v>2338.4564185218478</v>
      </c>
      <c r="X33" s="150">
        <v>2354.3525813247561</v>
      </c>
      <c r="Y33" s="150">
        <v>2369.9965262122137</v>
      </c>
      <c r="Z33" s="150">
        <v>2386.0741314951183</v>
      </c>
      <c r="AA33" s="150">
        <v>2401.9233251454089</v>
      </c>
      <c r="AB33" s="150">
        <v>2417.216738603458</v>
      </c>
      <c r="AC33" s="150">
        <v>2433.481705766389</v>
      </c>
    </row>
    <row r="34" spans="1:29">
      <c r="A34" s="181" t="s">
        <v>635</v>
      </c>
      <c r="B34" s="220">
        <v>25</v>
      </c>
      <c r="C34" s="181" t="s">
        <v>636</v>
      </c>
      <c r="D34" s="177"/>
      <c r="E34" s="140" t="s">
        <v>630</v>
      </c>
      <c r="F34" s="222">
        <f>B31</f>
        <v>140929.70701735042</v>
      </c>
      <c r="P34" s="140"/>
    </row>
    <row r="35" spans="1:29">
      <c r="A35" s="181" t="s">
        <v>647</v>
      </c>
      <c r="B35" s="220">
        <v>40</v>
      </c>
      <c r="C35" s="181" t="s">
        <v>644</v>
      </c>
      <c r="D35" s="177"/>
      <c r="E35" s="181" t="s">
        <v>638</v>
      </c>
      <c r="F35" s="249">
        <f>F33*$B$32*(1+$B$6)^$F$2</f>
        <v>0</v>
      </c>
      <c r="G35" s="228">
        <f t="shared" ref="G35:AC35" si="13">G32*$B$32*(1+$B$6)^G2</f>
        <v>25451.80252401255</v>
      </c>
      <c r="H35" s="228">
        <f t="shared" si="13"/>
        <v>52782.61125122309</v>
      </c>
      <c r="I35" s="228">
        <f t="shared" si="13"/>
        <v>109497.32726048457</v>
      </c>
      <c r="J35" s="228">
        <f t="shared" si="13"/>
        <v>170326.37153860476</v>
      </c>
      <c r="K35" s="228">
        <f t="shared" si="13"/>
        <v>235459.54713878749</v>
      </c>
      <c r="L35" s="228">
        <f t="shared" si="13"/>
        <v>305097.51130384579</v>
      </c>
      <c r="M35" s="228">
        <f t="shared" si="13"/>
        <v>316220.31083034631</v>
      </c>
      <c r="N35" s="228">
        <f t="shared" si="13"/>
        <v>327719.64140886388</v>
      </c>
      <c r="O35" s="228">
        <f t="shared" si="13"/>
        <v>339610.90908346605</v>
      </c>
      <c r="P35" s="228">
        <f t="shared" si="13"/>
        <v>351883.61324506672</v>
      </c>
      <c r="Q35" s="228">
        <f t="shared" si="13"/>
        <v>364539.08088497462</v>
      </c>
      <c r="R35" s="228">
        <f t="shared" si="13"/>
        <v>377600.7230389574</v>
      </c>
      <c r="S35" s="228">
        <f t="shared" si="13"/>
        <v>391065.33901048568</v>
      </c>
      <c r="T35" s="228">
        <f t="shared" si="13"/>
        <v>404918.91074896959</v>
      </c>
      <c r="U35" s="228">
        <f t="shared" si="13"/>
        <v>419166.2038263877</v>
      </c>
      <c r="V35" s="228">
        <f t="shared" si="13"/>
        <v>433823.4155200455</v>
      </c>
      <c r="W35" s="228">
        <f t="shared" si="13"/>
        <v>448910.27221758896</v>
      </c>
      <c r="X35" s="228">
        <f t="shared" si="13"/>
        <v>464450.40760301292</v>
      </c>
      <c r="Y35" s="228">
        <f t="shared" si="13"/>
        <v>480454.88875496754</v>
      </c>
      <c r="Z35" s="228">
        <f t="shared" si="13"/>
        <v>496943.06021046493</v>
      </c>
      <c r="AA35" s="228">
        <f t="shared" si="13"/>
        <v>513926.98848014011</v>
      </c>
      <c r="AB35" s="228">
        <f t="shared" si="13"/>
        <v>531414.99731821928</v>
      </c>
      <c r="AC35" s="228">
        <f t="shared" si="13"/>
        <v>549434.74367048591</v>
      </c>
    </row>
    <row r="36" spans="1:29">
      <c r="A36" s="181" t="s">
        <v>648</v>
      </c>
      <c r="B36" s="220">
        <v>-37023.402005835385</v>
      </c>
      <c r="C36" s="181" t="s">
        <v>649</v>
      </c>
      <c r="D36" s="177"/>
      <c r="E36" s="181" t="s">
        <v>650</v>
      </c>
      <c r="F36" s="249">
        <f t="shared" ref="F36:AC36" si="14">F33*$B$33*(1+$B$6)^F$2</f>
        <v>0</v>
      </c>
      <c r="G36" s="249">
        <f t="shared" si="14"/>
        <v>766099.25597277773</v>
      </c>
      <c r="H36" s="249">
        <f t="shared" si="14"/>
        <v>840897.80116457946</v>
      </c>
      <c r="I36" s="249">
        <f t="shared" si="14"/>
        <v>1744940.4899421469</v>
      </c>
      <c r="J36" s="249">
        <f t="shared" si="14"/>
        <v>1909427.3173080988</v>
      </c>
      <c r="K36" s="249">
        <f t="shared" si="14"/>
        <v>2082575.8185015004</v>
      </c>
      <c r="L36" s="249">
        <f t="shared" si="14"/>
        <v>2264848.7301510526</v>
      </c>
      <c r="M36" s="249">
        <f t="shared" si="14"/>
        <v>553449.4821820904</v>
      </c>
      <c r="N36" s="249">
        <f t="shared" si="14"/>
        <v>572754.40650846018</v>
      </c>
      <c r="O36" s="249">
        <f t="shared" si="14"/>
        <v>592792.90001521143</v>
      </c>
      <c r="P36" s="249">
        <f t="shared" si="14"/>
        <v>612796.21344066516</v>
      </c>
      <c r="Q36" s="249">
        <f t="shared" si="14"/>
        <v>633112.83212019259</v>
      </c>
      <c r="R36" s="249">
        <f t="shared" si="14"/>
        <v>654408.43680244766</v>
      </c>
      <c r="S36" s="249">
        <f t="shared" si="14"/>
        <v>675898.79225425422</v>
      </c>
      <c r="T36" s="249">
        <f t="shared" si="14"/>
        <v>697256.00228588085</v>
      </c>
      <c r="U36" s="249">
        <f t="shared" si="14"/>
        <v>719035.40766704537</v>
      </c>
      <c r="V36" s="249">
        <f t="shared" si="14"/>
        <v>741584.51805467939</v>
      </c>
      <c r="W36" s="249">
        <f t="shared" si="14"/>
        <v>765021.16771876172</v>
      </c>
      <c r="X36" s="249">
        <f t="shared" si="14"/>
        <v>789477.1035238629</v>
      </c>
      <c r="Y36" s="249">
        <f t="shared" si="14"/>
        <v>814591.00812266255</v>
      </c>
      <c r="Z36" s="249">
        <f t="shared" si="14"/>
        <v>840619.96441819856</v>
      </c>
      <c r="AA36" s="249">
        <f t="shared" si="14"/>
        <v>867358.76740139036</v>
      </c>
      <c r="AB36" s="249">
        <f t="shared" si="14"/>
        <v>894703.40777028503</v>
      </c>
      <c r="AC36" s="249">
        <f t="shared" si="14"/>
        <v>923241.77994794806</v>
      </c>
    </row>
    <row r="37" spans="1:29">
      <c r="E37" s="181" t="s">
        <v>639</v>
      </c>
      <c r="F37" s="249">
        <f t="shared" ref="F37:AC37" si="15">F33*$B$34*(1+$B$6)^F$2</f>
        <v>0</v>
      </c>
      <c r="G37" s="228">
        <f t="shared" si="15"/>
        <v>89081.308834043914</v>
      </c>
      <c r="H37" s="228">
        <f t="shared" si="15"/>
        <v>97778.81408890459</v>
      </c>
      <c r="I37" s="228">
        <f t="shared" si="15"/>
        <v>202900.05697001709</v>
      </c>
      <c r="J37" s="228">
        <f t="shared" si="15"/>
        <v>222026.43224512774</v>
      </c>
      <c r="K37" s="228">
        <f t="shared" si="15"/>
        <v>242159.97889552329</v>
      </c>
      <c r="L37" s="228">
        <f t="shared" si="15"/>
        <v>263354.50350593636</v>
      </c>
      <c r="M37" s="228">
        <f t="shared" si="15"/>
        <v>64354.590951405859</v>
      </c>
      <c r="N37" s="228">
        <f t="shared" si="15"/>
        <v>66599.349594006999</v>
      </c>
      <c r="O37" s="228">
        <f t="shared" si="15"/>
        <v>68929.406978512954</v>
      </c>
      <c r="P37" s="228">
        <f t="shared" si="15"/>
        <v>71255.373655891308</v>
      </c>
      <c r="Q37" s="228">
        <f t="shared" si="15"/>
        <v>73617.77117676659</v>
      </c>
      <c r="R37" s="228">
        <f t="shared" si="15"/>
        <v>76094.004279354369</v>
      </c>
      <c r="S37" s="228">
        <f t="shared" si="15"/>
        <v>78592.882820262123</v>
      </c>
      <c r="T37" s="228">
        <f t="shared" si="15"/>
        <v>81076.279335567539</v>
      </c>
      <c r="U37" s="228">
        <f t="shared" si="15"/>
        <v>83608.768333377375</v>
      </c>
      <c r="V37" s="228">
        <f t="shared" si="15"/>
        <v>86230.757913334804</v>
      </c>
      <c r="W37" s="228">
        <f t="shared" si="15"/>
        <v>88955.949734739726</v>
      </c>
      <c r="X37" s="228">
        <f t="shared" si="15"/>
        <v>91799.663200449169</v>
      </c>
      <c r="Y37" s="228">
        <f t="shared" si="15"/>
        <v>94719.884665425881</v>
      </c>
      <c r="Z37" s="228">
        <f t="shared" si="15"/>
        <v>97746.507490488191</v>
      </c>
      <c r="AA37" s="228">
        <f t="shared" si="15"/>
        <v>100855.67062806863</v>
      </c>
      <c r="AB37" s="228">
        <f t="shared" si="15"/>
        <v>104035.27997328895</v>
      </c>
      <c r="AC37" s="228">
        <f t="shared" si="15"/>
        <v>107353.69534278465</v>
      </c>
    </row>
    <row r="38" spans="1:29">
      <c r="A38" s="181"/>
      <c r="B38" s="250"/>
      <c r="C38" s="181"/>
      <c r="D38" s="177"/>
      <c r="E38" s="140" t="s">
        <v>651</v>
      </c>
      <c r="F38" s="249">
        <f>F33*$B$35*(1+$B$6)^F$2</f>
        <v>0</v>
      </c>
      <c r="G38" s="228">
        <f t="shared" ref="G38:AC38" si="16">G32*$B$35*(1+$B$6)^G$2</f>
        <v>135742.94679473361</v>
      </c>
      <c r="H38" s="228">
        <f t="shared" si="16"/>
        <v>281507.26000652311</v>
      </c>
      <c r="I38" s="228">
        <f t="shared" si="16"/>
        <v>583985.74538925092</v>
      </c>
      <c r="J38" s="228">
        <f t="shared" si="16"/>
        <v>908407.31487255869</v>
      </c>
      <c r="K38" s="228">
        <f t="shared" si="16"/>
        <v>1255784.2514068666</v>
      </c>
      <c r="L38" s="228">
        <f t="shared" si="16"/>
        <v>1627186.7269538441</v>
      </c>
      <c r="M38" s="228">
        <f t="shared" si="16"/>
        <v>1686508.3244285139</v>
      </c>
      <c r="N38" s="228">
        <f t="shared" si="16"/>
        <v>1747838.0875139406</v>
      </c>
      <c r="O38" s="228">
        <f t="shared" si="16"/>
        <v>1811258.1817784854</v>
      </c>
      <c r="P38" s="228">
        <f t="shared" si="16"/>
        <v>1876712.603973689</v>
      </c>
      <c r="Q38" s="228">
        <f t="shared" si="16"/>
        <v>1944208.4313865313</v>
      </c>
      <c r="R38" s="228">
        <f t="shared" si="16"/>
        <v>2013870.5228744396</v>
      </c>
      <c r="S38" s="228">
        <f t="shared" si="16"/>
        <v>2085681.8080559236</v>
      </c>
      <c r="T38" s="228">
        <f t="shared" si="16"/>
        <v>2159567.5239945045</v>
      </c>
      <c r="U38" s="228">
        <f t="shared" si="16"/>
        <v>2235553.0870740674</v>
      </c>
      <c r="V38" s="228">
        <f t="shared" si="16"/>
        <v>2313724.8827735758</v>
      </c>
      <c r="W38" s="228">
        <f t="shared" si="16"/>
        <v>2394188.118493808</v>
      </c>
      <c r="X38" s="228">
        <f t="shared" si="16"/>
        <v>2477068.8405494019</v>
      </c>
      <c r="Y38" s="228">
        <f t="shared" si="16"/>
        <v>2562426.073359827</v>
      </c>
      <c r="Z38" s="228">
        <f t="shared" si="16"/>
        <v>2650362.9877891466</v>
      </c>
      <c r="AA38" s="228">
        <f t="shared" si="16"/>
        <v>2740943.9385607471</v>
      </c>
      <c r="AB38" s="228">
        <f t="shared" si="16"/>
        <v>2834213.3190305028</v>
      </c>
      <c r="AC38" s="228">
        <f t="shared" si="16"/>
        <v>2930318.6329092579</v>
      </c>
    </row>
    <row r="39" spans="1:29">
      <c r="A39" s="181"/>
      <c r="B39" s="181"/>
      <c r="C39" s="249"/>
      <c r="D39" s="228"/>
      <c r="E39" s="192" t="s">
        <v>652</v>
      </c>
      <c r="F39" s="224">
        <f t="shared" ref="F39:AC39" si="17">$B$36*F31*(1+$B$6)^F30</f>
        <v>0</v>
      </c>
      <c r="G39" s="224">
        <f t="shared" si="17"/>
        <v>-144736.8314074197</v>
      </c>
      <c r="H39" s="224">
        <f t="shared" si="17"/>
        <v>-285695.66901858489</v>
      </c>
      <c r="I39" s="224">
        <f t="shared" si="17"/>
        <v>-564116.20133901655</v>
      </c>
      <c r="J39" s="224">
        <f t="shared" si="17"/>
        <v>-835216.79390177538</v>
      </c>
      <c r="K39" s="224">
        <f t="shared" si="17"/>
        <v>-1098970.1518069371</v>
      </c>
      <c r="L39" s="224">
        <f t="shared" si="17"/>
        <v>-1355378.2962904375</v>
      </c>
      <c r="M39" s="224">
        <f t="shared" si="17"/>
        <v>-1337100.0108771622</v>
      </c>
      <c r="N39" s="224">
        <f t="shared" si="17"/>
        <v>-1318951.6372366191</v>
      </c>
      <c r="O39" s="224">
        <f t="shared" si="17"/>
        <v>-1300949.0906505059</v>
      </c>
      <c r="P39" s="224">
        <f t="shared" si="17"/>
        <v>-1283009.8233184235</v>
      </c>
      <c r="Q39" s="224">
        <f t="shared" si="17"/>
        <v>-1265107.1266663074</v>
      </c>
      <c r="R39" s="224">
        <f t="shared" si="17"/>
        <v>-1247292.4525854343</v>
      </c>
      <c r="S39" s="224">
        <f t="shared" si="17"/>
        <v>-1229524.1730012195</v>
      </c>
      <c r="T39" s="224">
        <f t="shared" si="17"/>
        <v>-1211736.1808142564</v>
      </c>
      <c r="U39" s="224">
        <f t="shared" si="17"/>
        <v>-1193929.1186619953</v>
      </c>
      <c r="V39" s="224">
        <f t="shared" si="17"/>
        <v>-1176135.9998617461</v>
      </c>
      <c r="W39" s="224">
        <f t="shared" si="17"/>
        <v>-1158394.1791609863</v>
      </c>
      <c r="X39" s="224">
        <f t="shared" si="17"/>
        <v>-1140744.6505328363</v>
      </c>
      <c r="Y39" s="224">
        <f t="shared" si="17"/>
        <v>-1123191.940525081</v>
      </c>
      <c r="Z39" s="224">
        <f t="shared" si="17"/>
        <v>-1105758.4351048165</v>
      </c>
      <c r="AA39" s="224">
        <f t="shared" si="17"/>
        <v>-1088447.0961802301</v>
      </c>
      <c r="AB39" s="224">
        <f t="shared" si="17"/>
        <v>-1071252.8147128054</v>
      </c>
      <c r="AC39" s="224">
        <f t="shared" si="17"/>
        <v>-1054208.6060653031</v>
      </c>
    </row>
    <row r="40" spans="1:29">
      <c r="A40" s="215"/>
      <c r="B40" s="215"/>
      <c r="C40" s="228"/>
      <c r="D40" s="228"/>
      <c r="E40" s="177" t="s">
        <v>216</v>
      </c>
      <c r="F40" s="228">
        <f>SUM(F34:F39)</f>
        <v>140929.70701735042</v>
      </c>
      <c r="G40" s="228">
        <f>SUM(G34:G39)</f>
        <v>871638.48271814804</v>
      </c>
      <c r="H40" s="228">
        <f>SUM(H34:H39)</f>
        <v>987270.81749264558</v>
      </c>
      <c r="I40" s="228">
        <f>SUM(I34:I39)</f>
        <v>2077207.4182228828</v>
      </c>
      <c r="J40" s="228">
        <f t="shared" ref="J40:AC40" si="18">SUM(J34:J39)</f>
        <v>2374970.6420626147</v>
      </c>
      <c r="K40" s="228">
        <f t="shared" si="18"/>
        <v>2717009.4441357404</v>
      </c>
      <c r="L40" s="228">
        <f t="shared" si="18"/>
        <v>3105109.1756242411</v>
      </c>
      <c r="M40" s="228">
        <f t="shared" si="18"/>
        <v>1283432.6975151943</v>
      </c>
      <c r="N40" s="228">
        <f t="shared" si="18"/>
        <v>1395959.8477886526</v>
      </c>
      <c r="O40" s="228">
        <f t="shared" si="18"/>
        <v>1511642.3072051699</v>
      </c>
      <c r="P40" s="228">
        <f t="shared" si="18"/>
        <v>1629637.9809968888</v>
      </c>
      <c r="Q40" s="228">
        <f t="shared" si="18"/>
        <v>1750370.9889021576</v>
      </c>
      <c r="R40" s="228">
        <f t="shared" si="18"/>
        <v>1874681.2344097646</v>
      </c>
      <c r="S40" s="228">
        <f t="shared" si="18"/>
        <v>2001714.649139706</v>
      </c>
      <c r="T40" s="228">
        <f t="shared" si="18"/>
        <v>2131082.535550666</v>
      </c>
      <c r="U40" s="228">
        <f t="shared" si="18"/>
        <v>2263434.3482388826</v>
      </c>
      <c r="V40" s="228">
        <f t="shared" si="18"/>
        <v>2399227.5743998894</v>
      </c>
      <c r="W40" s="228">
        <f t="shared" si="18"/>
        <v>2538681.3290039124</v>
      </c>
      <c r="X40" s="228">
        <f t="shared" si="18"/>
        <v>2682051.3643438909</v>
      </c>
      <c r="Y40" s="228">
        <f t="shared" si="18"/>
        <v>2828999.9143778021</v>
      </c>
      <c r="Z40" s="228">
        <f t="shared" si="18"/>
        <v>2979914.0848034816</v>
      </c>
      <c r="AA40" s="228">
        <f t="shared" si="18"/>
        <v>3134638.2688901164</v>
      </c>
      <c r="AB40" s="228">
        <f t="shared" si="18"/>
        <v>3293114.1893794909</v>
      </c>
      <c r="AC40" s="228">
        <f t="shared" si="18"/>
        <v>3456140.2458051741</v>
      </c>
    </row>
    <row r="41" spans="1:29">
      <c r="C41" s="249"/>
      <c r="D41" s="228"/>
      <c r="E41" s="177" t="s">
        <v>641</v>
      </c>
      <c r="F41" s="249"/>
      <c r="G41" s="249"/>
      <c r="H41" s="249"/>
      <c r="I41" s="249"/>
      <c r="J41" s="249"/>
      <c r="K41" s="249"/>
      <c r="L41" s="249"/>
      <c r="M41" s="249"/>
      <c r="N41" s="249"/>
      <c r="O41" s="249"/>
      <c r="P41" s="249"/>
      <c r="Q41" s="249"/>
      <c r="R41" s="249"/>
      <c r="S41" s="249"/>
      <c r="T41" s="249"/>
      <c r="U41" s="249"/>
      <c r="V41" s="249"/>
      <c r="W41" s="249"/>
      <c r="X41" s="249"/>
      <c r="Y41" s="249"/>
      <c r="Z41" s="249"/>
      <c r="AA41" s="249"/>
      <c r="AB41" s="249"/>
      <c r="AC41" s="249"/>
    </row>
    <row r="42" spans="1:29">
      <c r="C42" s="249"/>
      <c r="D42" s="228"/>
      <c r="E42" s="185" t="s">
        <v>642</v>
      </c>
      <c r="F42" s="251">
        <f>F40</f>
        <v>140929.70701735042</v>
      </c>
      <c r="G42" s="224">
        <v>878349.67041015602</v>
      </c>
      <c r="H42" s="224">
        <v>992970.76416015625</v>
      </c>
      <c r="I42" s="224">
        <v>2068516.845703125</v>
      </c>
      <c r="J42" s="224">
        <v>2338292.236328125</v>
      </c>
      <c r="K42" s="224">
        <v>2639220.947265625</v>
      </c>
      <c r="L42" s="224">
        <v>2978723.876953125</v>
      </c>
      <c r="M42" s="224">
        <v>1112033.813476562</v>
      </c>
      <c r="N42" s="224">
        <v>1186964.477539062</v>
      </c>
      <c r="O42" s="224">
        <v>1269205.200195312</v>
      </c>
      <c r="P42" s="224">
        <v>1355217.041015625</v>
      </c>
      <c r="Q42" s="224">
        <v>1441203.979492188</v>
      </c>
      <c r="R42" s="224">
        <v>1528111.81640625</v>
      </c>
      <c r="S42" s="224">
        <v>1622620.971679688</v>
      </c>
      <c r="T42" s="224">
        <v>1721343.26171875</v>
      </c>
      <c r="U42" s="224">
        <v>1814191.40625</v>
      </c>
      <c r="V42" s="224">
        <v>1917022.094726562</v>
      </c>
      <c r="W42" s="224">
        <v>2024605.102539062</v>
      </c>
      <c r="X42" s="224">
        <v>2142966.796875</v>
      </c>
      <c r="Y42" s="224">
        <v>2249201.66015625</v>
      </c>
      <c r="Z42" s="224">
        <v>2366278.076171875</v>
      </c>
      <c r="AA42" s="224">
        <v>2488483.3984375</v>
      </c>
      <c r="AB42" s="224">
        <v>2617032.2265625</v>
      </c>
      <c r="AC42" s="224">
        <v>2742912.59765625</v>
      </c>
    </row>
    <row r="43" spans="1:29">
      <c r="A43" s="215"/>
      <c r="B43" s="215"/>
      <c r="C43" s="234"/>
      <c r="D43" s="234"/>
      <c r="E43" s="235" t="s">
        <v>643</v>
      </c>
      <c r="F43" s="236">
        <f>F42-F41</f>
        <v>140929.70701735042</v>
      </c>
      <c r="G43" s="236">
        <f t="shared" ref="G43:AC43" si="19">G42-G41</f>
        <v>878349.67041015602</v>
      </c>
      <c r="H43" s="236">
        <f t="shared" si="19"/>
        <v>992970.76416015625</v>
      </c>
      <c r="I43" s="236">
        <f t="shared" si="19"/>
        <v>2068516.845703125</v>
      </c>
      <c r="J43" s="236">
        <f t="shared" si="19"/>
        <v>2338292.236328125</v>
      </c>
      <c r="K43" s="236">
        <f t="shared" si="19"/>
        <v>2639220.947265625</v>
      </c>
      <c r="L43" s="236">
        <f t="shared" si="19"/>
        <v>2978723.876953125</v>
      </c>
      <c r="M43" s="236">
        <f t="shared" si="19"/>
        <v>1112033.813476562</v>
      </c>
      <c r="N43" s="236">
        <f t="shared" si="19"/>
        <v>1186964.477539062</v>
      </c>
      <c r="O43" s="236">
        <f t="shared" si="19"/>
        <v>1269205.200195312</v>
      </c>
      <c r="P43" s="236">
        <f t="shared" si="19"/>
        <v>1355217.041015625</v>
      </c>
      <c r="Q43" s="236">
        <f t="shared" si="19"/>
        <v>1441203.979492188</v>
      </c>
      <c r="R43" s="236">
        <f t="shared" si="19"/>
        <v>1528111.81640625</v>
      </c>
      <c r="S43" s="236">
        <f t="shared" si="19"/>
        <v>1622620.971679688</v>
      </c>
      <c r="T43" s="236">
        <f t="shared" si="19"/>
        <v>1721343.26171875</v>
      </c>
      <c r="U43" s="236">
        <f t="shared" si="19"/>
        <v>1814191.40625</v>
      </c>
      <c r="V43" s="236">
        <f t="shared" si="19"/>
        <v>1917022.094726562</v>
      </c>
      <c r="W43" s="236">
        <f t="shared" si="19"/>
        <v>2024605.102539062</v>
      </c>
      <c r="X43" s="236">
        <f t="shared" si="19"/>
        <v>2142966.796875</v>
      </c>
      <c r="Y43" s="236">
        <f t="shared" si="19"/>
        <v>2249201.66015625</v>
      </c>
      <c r="Z43" s="236">
        <f t="shared" si="19"/>
        <v>2366278.076171875</v>
      </c>
      <c r="AA43" s="236">
        <f t="shared" si="19"/>
        <v>2488483.3984375</v>
      </c>
      <c r="AB43" s="236">
        <f t="shared" si="19"/>
        <v>2617032.2265625</v>
      </c>
      <c r="AC43" s="236">
        <f t="shared" si="19"/>
        <v>2742912.59765625</v>
      </c>
    </row>
    <row r="44" spans="1:29">
      <c r="C44" s="222"/>
      <c r="D44" s="234"/>
      <c r="E44" s="177" t="s">
        <v>721</v>
      </c>
      <c r="F44" s="252"/>
      <c r="G44" s="252"/>
      <c r="H44" s="252"/>
      <c r="I44" s="252"/>
      <c r="J44" s="252"/>
      <c r="K44" s="252"/>
      <c r="L44" s="252"/>
      <c r="M44" s="252"/>
      <c r="N44" s="252"/>
      <c r="O44" s="252"/>
      <c r="P44" s="252"/>
      <c r="Q44" s="252"/>
      <c r="R44" s="252"/>
      <c r="S44" s="252"/>
      <c r="T44" s="252"/>
      <c r="U44" s="252"/>
      <c r="V44" s="252"/>
      <c r="W44" s="252"/>
      <c r="X44" s="252"/>
      <c r="Y44" s="252"/>
      <c r="Z44" s="252"/>
      <c r="AA44" s="252"/>
      <c r="AB44" s="252"/>
      <c r="AC44" s="252"/>
    </row>
    <row r="45" spans="1:29">
      <c r="C45" s="222"/>
      <c r="D45" s="234"/>
      <c r="E45" s="177" t="s">
        <v>722</v>
      </c>
      <c r="F45" s="252"/>
      <c r="G45" s="253">
        <v>4.0100002288818359</v>
      </c>
      <c r="H45" s="253">
        <v>8.1099996566772461</v>
      </c>
      <c r="I45" s="253">
        <v>16.409999847412109</v>
      </c>
      <c r="J45" s="253">
        <v>24.89999961853027</v>
      </c>
      <c r="K45" s="253">
        <v>33.580001831054688</v>
      </c>
      <c r="L45" s="253">
        <v>42.450000762939453</v>
      </c>
      <c r="M45" s="253">
        <v>42.930000305175781</v>
      </c>
      <c r="N45" s="253">
        <v>43.409999847412109</v>
      </c>
      <c r="O45" s="253">
        <v>43.880001068115227</v>
      </c>
      <c r="P45" s="253">
        <v>44.360000610351563</v>
      </c>
      <c r="Q45" s="253">
        <v>44.830001831054688</v>
      </c>
      <c r="R45" s="253">
        <v>45.310001373291023</v>
      </c>
      <c r="S45" s="253">
        <v>45.779998779296882</v>
      </c>
      <c r="T45" s="253">
        <v>46.25</v>
      </c>
      <c r="U45" s="253">
        <v>46.700000762939453</v>
      </c>
      <c r="V45" s="253">
        <v>47.159999847412109</v>
      </c>
      <c r="W45" s="253">
        <v>47.610000610351563</v>
      </c>
      <c r="X45" s="253">
        <v>48.060001373291023</v>
      </c>
      <c r="Y45" s="253">
        <v>48.5</v>
      </c>
      <c r="Z45" s="253">
        <v>48.939998626708977</v>
      </c>
      <c r="AA45" s="253">
        <v>49.380001068115227</v>
      </c>
      <c r="AB45" s="253">
        <v>49.810001373291023</v>
      </c>
      <c r="AC45" s="253">
        <v>50.25</v>
      </c>
    </row>
    <row r="46" spans="1:29" ht="13.5" thickBot="1">
      <c r="P46" s="140"/>
    </row>
    <row r="47" spans="1:29" ht="13.5" thickBot="1">
      <c r="A47" s="254">
        <v>4</v>
      </c>
      <c r="C47" s="212" t="s">
        <v>628</v>
      </c>
      <c r="D47" s="211"/>
      <c r="G47" s="242"/>
      <c r="H47" s="242"/>
      <c r="I47" s="242"/>
      <c r="J47" s="242"/>
      <c r="K47" s="242"/>
      <c r="L47" s="242"/>
      <c r="M47" s="242"/>
      <c r="N47" s="242"/>
      <c r="O47" s="242"/>
      <c r="P47" s="242"/>
      <c r="Q47" s="242"/>
      <c r="R47" s="242"/>
      <c r="S47" s="242"/>
      <c r="T47" s="242"/>
      <c r="U47" s="242"/>
      <c r="V47" s="242"/>
      <c r="W47" s="242"/>
      <c r="X47" s="242"/>
      <c r="Y47" s="242"/>
      <c r="Z47" s="242"/>
      <c r="AA47" s="242"/>
      <c r="AB47" s="242"/>
      <c r="AC47" s="242"/>
    </row>
    <row r="48" spans="1:29">
      <c r="C48" s="214" t="s">
        <v>147</v>
      </c>
      <c r="F48" s="247">
        <v>0</v>
      </c>
      <c r="G48" s="247">
        <f>F48-1</f>
        <v>-1</v>
      </c>
      <c r="H48" s="247">
        <f t="shared" ref="H48:AC48" si="20">G48-1</f>
        <v>-2</v>
      </c>
      <c r="I48" s="247">
        <f t="shared" si="20"/>
        <v>-3</v>
      </c>
      <c r="J48" s="247">
        <f t="shared" si="20"/>
        <v>-4</v>
      </c>
      <c r="K48" s="247">
        <f t="shared" si="20"/>
        <v>-5</v>
      </c>
      <c r="L48" s="247">
        <f t="shared" si="20"/>
        <v>-6</v>
      </c>
      <c r="M48" s="247">
        <f t="shared" si="20"/>
        <v>-7</v>
      </c>
      <c r="N48" s="247">
        <f t="shared" si="20"/>
        <v>-8</v>
      </c>
      <c r="O48" s="247">
        <f t="shared" si="20"/>
        <v>-9</v>
      </c>
      <c r="P48" s="247">
        <f t="shared" si="20"/>
        <v>-10</v>
      </c>
      <c r="Q48" s="247">
        <f t="shared" si="20"/>
        <v>-11</v>
      </c>
      <c r="R48" s="247">
        <f t="shared" si="20"/>
        <v>-12</v>
      </c>
      <c r="S48" s="247">
        <f t="shared" si="20"/>
        <v>-13</v>
      </c>
      <c r="T48" s="247">
        <f t="shared" si="20"/>
        <v>-14</v>
      </c>
      <c r="U48" s="247">
        <f t="shared" si="20"/>
        <v>-15</v>
      </c>
      <c r="V48" s="247">
        <f t="shared" si="20"/>
        <v>-16</v>
      </c>
      <c r="W48" s="247">
        <f t="shared" si="20"/>
        <v>-17</v>
      </c>
      <c r="X48" s="247">
        <f t="shared" si="20"/>
        <v>-18</v>
      </c>
      <c r="Y48" s="247">
        <f t="shared" si="20"/>
        <v>-19</v>
      </c>
      <c r="Z48" s="247">
        <f t="shared" si="20"/>
        <v>-20</v>
      </c>
      <c r="AA48" s="247">
        <f t="shared" si="20"/>
        <v>-21</v>
      </c>
      <c r="AB48" s="247">
        <f t="shared" si="20"/>
        <v>-22</v>
      </c>
      <c r="AC48" s="247">
        <f t="shared" si="20"/>
        <v>-23</v>
      </c>
    </row>
    <row r="49" spans="1:31">
      <c r="A49" s="140" t="s">
        <v>630</v>
      </c>
      <c r="B49" s="244">
        <v>9070.2929826495838</v>
      </c>
      <c r="C49" s="140" t="s">
        <v>577</v>
      </c>
      <c r="D49" s="177"/>
      <c r="E49" s="217" t="s">
        <v>631</v>
      </c>
      <c r="F49" s="248">
        <v>0</v>
      </c>
      <c r="G49" s="248">
        <v>4.7779350371536709E-2</v>
      </c>
      <c r="H49" s="248">
        <v>0.16208403645669267</v>
      </c>
      <c r="I49" s="248">
        <v>0.36145115047234849</v>
      </c>
      <c r="J49" s="248">
        <v>0.66530565769788441</v>
      </c>
      <c r="K49" s="248">
        <v>1.1040305019398651</v>
      </c>
      <c r="L49" s="248">
        <v>1.4083190832803609</v>
      </c>
      <c r="M49" s="248">
        <v>1.7258241983511333</v>
      </c>
      <c r="N49" s="248">
        <v>2.0330216139002069</v>
      </c>
      <c r="O49" s="248">
        <v>2.30649658082549</v>
      </c>
      <c r="P49" s="248">
        <v>2.5289801101474412</v>
      </c>
      <c r="Q49" s="248">
        <v>2.6942735014533561</v>
      </c>
      <c r="R49" s="248">
        <v>2.8079696482463836</v>
      </c>
      <c r="S49" s="248">
        <v>2.8832151009528548</v>
      </c>
      <c r="T49" s="248">
        <v>2.9347695264777007</v>
      </c>
      <c r="U49" s="248">
        <v>2.9743862931027829</v>
      </c>
      <c r="V49" s="248">
        <v>3.0090970809786839</v>
      </c>
      <c r="W49" s="248">
        <v>3.0421164439746855</v>
      </c>
      <c r="X49" s="248">
        <v>3.0745998795427649</v>
      </c>
      <c r="Y49" s="248">
        <v>3.1068120803873902</v>
      </c>
      <c r="Z49" s="248">
        <v>3.1388437116080734</v>
      </c>
      <c r="AA49" s="248">
        <v>3.1706941164680345</v>
      </c>
      <c r="AB49" s="248">
        <v>3.2023316089242377</v>
      </c>
      <c r="AC49" s="248">
        <v>3.2338353572761562</v>
      </c>
      <c r="AD49" s="215"/>
      <c r="AE49" s="215"/>
    </row>
    <row r="50" spans="1:31">
      <c r="A50" s="140" t="s">
        <v>632</v>
      </c>
      <c r="B50" s="244">
        <v>7.5</v>
      </c>
      <c r="C50" s="181" t="s">
        <v>644</v>
      </c>
      <c r="E50" s="217" t="s">
        <v>645</v>
      </c>
      <c r="F50" s="150">
        <v>0</v>
      </c>
      <c r="G50" s="150">
        <v>51.066920351229591</v>
      </c>
      <c r="H50" s="150">
        <v>173.23660777252007</v>
      </c>
      <c r="I50" s="150">
        <v>386.32164247732641</v>
      </c>
      <c r="J50" s="150">
        <v>711.08356992480321</v>
      </c>
      <c r="K50" s="150">
        <v>1179.9959034494884</v>
      </c>
      <c r="L50" s="150">
        <v>1505.2217724968993</v>
      </c>
      <c r="M50" s="150">
        <v>1844.5735697973114</v>
      </c>
      <c r="N50" s="150">
        <v>2172.908422196092</v>
      </c>
      <c r="O50" s="150">
        <v>2465.2004740015554</v>
      </c>
      <c r="P50" s="150">
        <v>2702.9925030474942</v>
      </c>
      <c r="Q50" s="150">
        <v>2879.6592928377613</v>
      </c>
      <c r="R50" s="150">
        <v>3001.1785689972808</v>
      </c>
      <c r="S50" s="150">
        <v>3081.6014611101605</v>
      </c>
      <c r="T50" s="150">
        <v>3136.7032094922201</v>
      </c>
      <c r="U50" s="150">
        <v>3179.045900426368</v>
      </c>
      <c r="V50" s="150">
        <v>3216.1450452662075</v>
      </c>
      <c r="W50" s="150">
        <v>3251.4363827802827</v>
      </c>
      <c r="X50" s="150">
        <v>3286.1549171259826</v>
      </c>
      <c r="Y50" s="150">
        <v>3320.5835538085412</v>
      </c>
      <c r="Z50" s="150">
        <v>3354.819196351747</v>
      </c>
      <c r="AA50" s="150">
        <v>3388.8611428305144</v>
      </c>
      <c r="AB50" s="150">
        <v>3422.6755269694822</v>
      </c>
      <c r="AC50" s="150">
        <v>3456.3469644281845</v>
      </c>
    </row>
    <row r="51" spans="1:31">
      <c r="A51" s="181" t="s">
        <v>635</v>
      </c>
      <c r="B51" s="220">
        <v>25</v>
      </c>
      <c r="C51" s="140" t="s">
        <v>636</v>
      </c>
      <c r="E51" s="217" t="s">
        <v>634</v>
      </c>
      <c r="F51" s="150">
        <v>0</v>
      </c>
      <c r="G51" s="150">
        <v>53.620266368791071</v>
      </c>
      <c r="H51" s="150">
        <v>130.83151780991651</v>
      </c>
      <c r="I51" s="150">
        <v>232.40111682867266</v>
      </c>
      <c r="J51" s="150">
        <v>360.31610594371699</v>
      </c>
      <c r="K51" s="150">
        <v>527.91212869715969</v>
      </c>
      <c r="L51" s="150">
        <v>400.48695767225593</v>
      </c>
      <c r="M51" s="150">
        <v>431.5804757902776</v>
      </c>
      <c r="N51" s="150">
        <v>436.98027350858524</v>
      </c>
      <c r="O51" s="150">
        <v>415.55207550554121</v>
      </c>
      <c r="P51" s="150">
        <v>372.94165419831347</v>
      </c>
      <c r="Q51" s="150">
        <v>320.64975443215519</v>
      </c>
      <c r="R51" s="150">
        <v>271.57820460938353</v>
      </c>
      <c r="S51" s="150">
        <v>234.50296516838773</v>
      </c>
      <c r="T51" s="150">
        <v>211.9369088566707</v>
      </c>
      <c r="U51" s="150">
        <v>201.29498595546627</v>
      </c>
      <c r="V51" s="150">
        <v>197.90639710314986</v>
      </c>
      <c r="W51" s="150">
        <v>197.86315665308931</v>
      </c>
      <c r="X51" s="150">
        <v>199.02628020199907</v>
      </c>
      <c r="Y51" s="150">
        <v>200.45781437298567</v>
      </c>
      <c r="Z51" s="150">
        <v>201.97660236079318</v>
      </c>
      <c r="AA51" s="150">
        <v>203.48500362029313</v>
      </c>
      <c r="AB51" s="150">
        <v>204.94816048744198</v>
      </c>
      <c r="AC51" s="150">
        <v>206.4887856801115</v>
      </c>
    </row>
    <row r="52" spans="1:31">
      <c r="A52" s="181" t="s">
        <v>647</v>
      </c>
      <c r="B52" s="220">
        <v>40</v>
      </c>
      <c r="C52" s="181" t="s">
        <v>644</v>
      </c>
      <c r="D52" s="177"/>
      <c r="E52" s="140" t="s">
        <v>630</v>
      </c>
      <c r="F52" s="222">
        <f>B49</f>
        <v>9070.2929826495838</v>
      </c>
      <c r="P52" s="140"/>
    </row>
    <row r="53" spans="1:31">
      <c r="A53" s="181" t="s">
        <v>648</v>
      </c>
      <c r="B53" s="220">
        <v>-37023.402005835385</v>
      </c>
      <c r="C53" s="181" t="s">
        <v>649</v>
      </c>
      <c r="D53" s="177"/>
      <c r="E53" s="181" t="s">
        <v>638</v>
      </c>
      <c r="F53" s="249">
        <f t="shared" ref="F53:AC53" si="21">F50*$B$50*(1+$B$6)^F$2</f>
        <v>0</v>
      </c>
      <c r="G53" s="249">
        <f t="shared" si="21"/>
        <v>392.57695020007748</v>
      </c>
      <c r="H53" s="249">
        <f t="shared" si="21"/>
        <v>1365.0503328075292</v>
      </c>
      <c r="I53" s="249">
        <f t="shared" si="21"/>
        <v>3120.196162638259</v>
      </c>
      <c r="J53" s="249">
        <f t="shared" si="21"/>
        <v>5886.774080959809</v>
      </c>
      <c r="K53" s="249">
        <f t="shared" si="21"/>
        <v>10012.927922550327</v>
      </c>
      <c r="L53" s="249">
        <f t="shared" si="21"/>
        <v>13091.96836886546</v>
      </c>
      <c r="M53" s="249">
        <f t="shared" si="21"/>
        <v>16444.637430082366</v>
      </c>
      <c r="N53" s="249">
        <f t="shared" si="21"/>
        <v>19856.084382205667</v>
      </c>
      <c r="O53" s="249">
        <f t="shared" si="21"/>
        <v>23090.231891084815</v>
      </c>
      <c r="P53" s="249">
        <f t="shared" si="21"/>
        <v>25950.441946722916</v>
      </c>
      <c r="Q53" s="249">
        <f t="shared" si="21"/>
        <v>28337.719028593914</v>
      </c>
      <c r="R53" s="249">
        <f t="shared" si="21"/>
        <v>30271.886377589537</v>
      </c>
      <c r="S53" s="249">
        <f t="shared" si="21"/>
        <v>31860.16237480364</v>
      </c>
      <c r="T53" s="249">
        <f t="shared" si="21"/>
        <v>33240.596393826738</v>
      </c>
      <c r="U53" s="249">
        <f t="shared" si="21"/>
        <v>34531.547616006326</v>
      </c>
      <c r="V53" s="249">
        <f t="shared" si="21"/>
        <v>35807.890474179796</v>
      </c>
      <c r="W53" s="249">
        <f t="shared" si="21"/>
        <v>37105.837313205142</v>
      </c>
      <c r="X53" s="249">
        <f t="shared" si="21"/>
        <v>38439.601231722248</v>
      </c>
      <c r="Y53" s="249">
        <f t="shared" si="21"/>
        <v>39813.386360696953</v>
      </c>
      <c r="Z53" s="249">
        <f t="shared" si="21"/>
        <v>41229.46417007839</v>
      </c>
      <c r="AA53" s="249">
        <f t="shared" si="21"/>
        <v>42689.02254049472</v>
      </c>
      <c r="AB53" s="249">
        <f t="shared" si="21"/>
        <v>44192.852178210334</v>
      </c>
      <c r="AC53" s="249">
        <f t="shared" si="21"/>
        <v>45743.300819431221</v>
      </c>
    </row>
    <row r="54" spans="1:31">
      <c r="A54" s="181"/>
      <c r="B54" s="250"/>
      <c r="E54" s="181" t="s">
        <v>639</v>
      </c>
      <c r="F54" s="249">
        <f>F51*$B$50*(1+$B$6)^F$2</f>
        <v>0</v>
      </c>
      <c r="G54" s="249">
        <f t="shared" ref="G54:AC54" si="22">G51*$B$51*(1+$B$6)^G$2</f>
        <v>1374.0193257002711</v>
      </c>
      <c r="H54" s="249">
        <f t="shared" si="22"/>
        <v>3436.3715849760883</v>
      </c>
      <c r="I54" s="249">
        <f t="shared" si="22"/>
        <v>6256.7645988081813</v>
      </c>
      <c r="J54" s="249">
        <f t="shared" si="22"/>
        <v>9943.0390610119466</v>
      </c>
      <c r="K54" s="249">
        <f t="shared" si="22"/>
        <v>14932.102952313473</v>
      </c>
      <c r="L54" s="249">
        <f t="shared" si="22"/>
        <v>11611.052222315489</v>
      </c>
      <c r="M54" s="249">
        <f t="shared" si="22"/>
        <v>12825.339078331297</v>
      </c>
      <c r="N54" s="249">
        <f t="shared" si="22"/>
        <v>13310.450784938415</v>
      </c>
      <c r="O54" s="249">
        <f t="shared" si="22"/>
        <v>12974.189979594168</v>
      </c>
      <c r="P54" s="249">
        <f t="shared" si="22"/>
        <v>11934.921185657089</v>
      </c>
      <c r="Q54" s="249">
        <f t="shared" si="22"/>
        <v>10518.00661544208</v>
      </c>
      <c r="R54" s="249">
        <f t="shared" si="22"/>
        <v>9131.0623072008566</v>
      </c>
      <c r="S54" s="249">
        <f t="shared" si="22"/>
        <v>8081.6231883818255</v>
      </c>
      <c r="T54" s="249">
        <f t="shared" si="22"/>
        <v>7486.5325978144701</v>
      </c>
      <c r="U54" s="249">
        <f t="shared" si="22"/>
        <v>7288.3789771141182</v>
      </c>
      <c r="V54" s="249">
        <f t="shared" si="22"/>
        <v>7344.8289716076843</v>
      </c>
      <c r="W54" s="249">
        <f t="shared" si="22"/>
        <v>7526.8048094370342</v>
      </c>
      <c r="X54" s="249">
        <f t="shared" si="22"/>
        <v>7760.3268242436307</v>
      </c>
      <c r="Y54" s="249">
        <f t="shared" si="22"/>
        <v>8011.5480540549925</v>
      </c>
      <c r="Z54" s="249">
        <f t="shared" si="22"/>
        <v>8274.0545295597913</v>
      </c>
      <c r="AA54" s="249">
        <f t="shared" si="22"/>
        <v>8544.2429772970499</v>
      </c>
      <c r="AB54" s="249">
        <f t="shared" si="22"/>
        <v>8820.8222770458851</v>
      </c>
      <c r="AC54" s="249">
        <f t="shared" si="22"/>
        <v>9109.3079257906193</v>
      </c>
    </row>
    <row r="55" spans="1:31">
      <c r="A55" s="181"/>
      <c r="B55" s="181"/>
      <c r="C55" s="181"/>
      <c r="D55" s="177"/>
      <c r="E55" s="140" t="s">
        <v>651</v>
      </c>
      <c r="F55" s="249">
        <f t="shared" ref="F55:AC55" si="23">F50*$B$52*(1+$B$6)^F$2</f>
        <v>0</v>
      </c>
      <c r="G55" s="249">
        <f t="shared" si="23"/>
        <v>2093.7437344004129</v>
      </c>
      <c r="H55" s="249">
        <f t="shared" si="23"/>
        <v>7280.2684416401553</v>
      </c>
      <c r="I55" s="249">
        <f t="shared" si="23"/>
        <v>16641.046200737383</v>
      </c>
      <c r="J55" s="249">
        <f t="shared" si="23"/>
        <v>31396.128431785648</v>
      </c>
      <c r="K55" s="249">
        <f t="shared" si="23"/>
        <v>53402.282253601756</v>
      </c>
      <c r="L55" s="249">
        <f t="shared" si="23"/>
        <v>69823.831300615784</v>
      </c>
      <c r="M55" s="249">
        <f t="shared" si="23"/>
        <v>87704.732960439287</v>
      </c>
      <c r="N55" s="249">
        <f t="shared" si="23"/>
        <v>105899.11670509688</v>
      </c>
      <c r="O55" s="249">
        <f t="shared" si="23"/>
        <v>123147.903419119</v>
      </c>
      <c r="P55" s="249">
        <f t="shared" si="23"/>
        <v>138402.3570491889</v>
      </c>
      <c r="Q55" s="249">
        <f t="shared" si="23"/>
        <v>151134.50148583422</v>
      </c>
      <c r="R55" s="249">
        <f t="shared" si="23"/>
        <v>161450.06068047753</v>
      </c>
      <c r="S55" s="249">
        <f t="shared" si="23"/>
        <v>169920.86599895277</v>
      </c>
      <c r="T55" s="249">
        <f t="shared" si="23"/>
        <v>177283.18076707592</v>
      </c>
      <c r="U55" s="249">
        <f t="shared" si="23"/>
        <v>184168.25395203376</v>
      </c>
      <c r="V55" s="249">
        <f t="shared" si="23"/>
        <v>190975.41586229223</v>
      </c>
      <c r="W55" s="249">
        <f t="shared" si="23"/>
        <v>197897.79900376074</v>
      </c>
      <c r="X55" s="249">
        <f t="shared" si="23"/>
        <v>205011.20656918531</v>
      </c>
      <c r="Y55" s="249">
        <f t="shared" si="23"/>
        <v>212338.06059038374</v>
      </c>
      <c r="Z55" s="249">
        <f t="shared" si="23"/>
        <v>219890.47557375141</v>
      </c>
      <c r="AA55" s="249">
        <f t="shared" si="23"/>
        <v>227674.78688263852</v>
      </c>
      <c r="AB55" s="249">
        <f t="shared" si="23"/>
        <v>235695.21161712182</v>
      </c>
      <c r="AC55" s="249">
        <f t="shared" si="23"/>
        <v>243964.27103696653</v>
      </c>
    </row>
    <row r="56" spans="1:31">
      <c r="C56" s="249"/>
      <c r="D56" s="228"/>
      <c r="E56" s="192" t="s">
        <v>652</v>
      </c>
      <c r="F56" s="224">
        <f>$B$36*F49*(1+$B$6)^F48</f>
        <v>0</v>
      </c>
      <c r="G56" s="224">
        <f>$B$53*G49*(1+$B$6)^G48</f>
        <v>-1725.8088745200625</v>
      </c>
      <c r="H56" s="224">
        <f t="shared" ref="H56:AC56" si="24">$B$36*H49*(1+$B$6)^H48</f>
        <v>-5711.7453329823784</v>
      </c>
      <c r="I56" s="224">
        <f t="shared" si="24"/>
        <v>-12426.6577670406</v>
      </c>
      <c r="J56" s="224">
        <f t="shared" si="24"/>
        <v>-22315.266501153514</v>
      </c>
      <c r="K56" s="224">
        <f t="shared" si="24"/>
        <v>-36127.513159545451</v>
      </c>
      <c r="L56" s="224">
        <f t="shared" si="24"/>
        <v>-44960.817017594425</v>
      </c>
      <c r="M56" s="224">
        <f t="shared" si="24"/>
        <v>-53753.385106007838</v>
      </c>
      <c r="N56" s="224">
        <f t="shared" si="24"/>
        <v>-61777.082647956297</v>
      </c>
      <c r="O56" s="224">
        <f t="shared" si="24"/>
        <v>-68377.678089506822</v>
      </c>
      <c r="P56" s="224">
        <f t="shared" si="24"/>
        <v>-73144.736968551413</v>
      </c>
      <c r="Q56" s="224">
        <f t="shared" si="24"/>
        <v>-76024.834461113802</v>
      </c>
      <c r="R56" s="224">
        <f t="shared" si="24"/>
        <v>-77300.507843443207</v>
      </c>
      <c r="S56" s="224">
        <f t="shared" si="24"/>
        <v>-77436.036621163308</v>
      </c>
      <c r="T56" s="224">
        <f t="shared" si="24"/>
        <v>-76898.206010906986</v>
      </c>
      <c r="U56" s="224">
        <f t="shared" si="24"/>
        <v>-76035.378624042831</v>
      </c>
      <c r="V56" s="224">
        <f t="shared" si="24"/>
        <v>-75046.540311572971</v>
      </c>
      <c r="W56" s="224">
        <f t="shared" si="24"/>
        <v>-74019.550716163503</v>
      </c>
      <c r="X56" s="224">
        <f t="shared" si="24"/>
        <v>-72985.292266244185</v>
      </c>
      <c r="Y56" s="224">
        <f t="shared" si="24"/>
        <v>-71951.170832323027</v>
      </c>
      <c r="Z56" s="224">
        <f t="shared" si="24"/>
        <v>-70919.996718548282</v>
      </c>
      <c r="AA56" s="224">
        <f t="shared" si="24"/>
        <v>-69892.326367325848</v>
      </c>
      <c r="AB56" s="224">
        <f t="shared" si="24"/>
        <v>-68868.018299937845</v>
      </c>
      <c r="AC56" s="224">
        <f t="shared" si="24"/>
        <v>-67849.292560196016</v>
      </c>
    </row>
    <row r="57" spans="1:31">
      <c r="C57" s="249"/>
      <c r="D57" s="228"/>
      <c r="E57" s="181" t="s">
        <v>216</v>
      </c>
      <c r="F57" s="249">
        <f>SUM(F52:F56)</f>
        <v>9070.2929826495838</v>
      </c>
      <c r="G57" s="249">
        <f t="shared" ref="G57:AC57" si="25">SUM(G52:G56)</f>
        <v>2134.5311357806991</v>
      </c>
      <c r="H57" s="249">
        <f t="shared" si="25"/>
        <v>6369.9450264413954</v>
      </c>
      <c r="I57" s="249">
        <f t="shared" si="25"/>
        <v>13591.349195143222</v>
      </c>
      <c r="J57" s="249">
        <f t="shared" si="25"/>
        <v>24910.675072603888</v>
      </c>
      <c r="K57" s="249">
        <f t="shared" si="25"/>
        <v>42219.799968920102</v>
      </c>
      <c r="L57" s="249">
        <f t="shared" si="25"/>
        <v>49566.034874202305</v>
      </c>
      <c r="M57" s="249">
        <f t="shared" si="25"/>
        <v>63221.324362845109</v>
      </c>
      <c r="N57" s="249">
        <f t="shared" si="25"/>
        <v>77288.569224284671</v>
      </c>
      <c r="O57" s="249">
        <f t="shared" si="25"/>
        <v>90834.647200291147</v>
      </c>
      <c r="P57" s="249">
        <f t="shared" si="25"/>
        <v>103142.98321301749</v>
      </c>
      <c r="Q57" s="249">
        <f t="shared" si="25"/>
        <v>113965.39266875641</v>
      </c>
      <c r="R57" s="249">
        <f t="shared" si="25"/>
        <v>123552.50152182473</v>
      </c>
      <c r="S57" s="249">
        <f t="shared" si="25"/>
        <v>132426.61494097492</v>
      </c>
      <c r="T57" s="249">
        <f t="shared" si="25"/>
        <v>141112.10374781015</v>
      </c>
      <c r="U57" s="249">
        <f t="shared" si="25"/>
        <v>149952.80192111136</v>
      </c>
      <c r="V57" s="249">
        <f t="shared" si="25"/>
        <v>159081.59499650676</v>
      </c>
      <c r="W57" s="249">
        <f t="shared" si="25"/>
        <v>168510.8904102394</v>
      </c>
      <c r="X57" s="249">
        <f t="shared" si="25"/>
        <v>178225.84235890699</v>
      </c>
      <c r="Y57" s="249">
        <f t="shared" si="25"/>
        <v>188211.82417281266</v>
      </c>
      <c r="Z57" s="249">
        <f t="shared" si="25"/>
        <v>198473.99755484128</v>
      </c>
      <c r="AA57" s="249">
        <f t="shared" si="25"/>
        <v>209015.72603310447</v>
      </c>
      <c r="AB57" s="249">
        <f t="shared" si="25"/>
        <v>219840.86777244019</v>
      </c>
      <c r="AC57" s="249">
        <f t="shared" si="25"/>
        <v>230967.58722199238</v>
      </c>
    </row>
    <row r="58" spans="1:31">
      <c r="C58" s="249"/>
      <c r="D58" s="228"/>
      <c r="E58" s="177" t="s">
        <v>641</v>
      </c>
      <c r="F58" s="249">
        <v>0</v>
      </c>
      <c r="G58" s="249">
        <v>0</v>
      </c>
      <c r="H58" s="249">
        <v>0</v>
      </c>
      <c r="I58" s="249">
        <v>0</v>
      </c>
      <c r="J58" s="249">
        <v>0</v>
      </c>
      <c r="K58" s="249">
        <v>0</v>
      </c>
      <c r="L58" s="249">
        <v>0</v>
      </c>
      <c r="M58" s="249">
        <v>0</v>
      </c>
      <c r="N58" s="249">
        <v>0</v>
      </c>
      <c r="O58" s="249">
        <v>0</v>
      </c>
      <c r="P58" s="249">
        <v>0</v>
      </c>
      <c r="Q58" s="249">
        <v>3420.7167625427251</v>
      </c>
      <c r="R58" s="249">
        <v>9649.6639251708984</v>
      </c>
      <c r="S58" s="249">
        <v>20543.00498962402</v>
      </c>
      <c r="T58" s="249">
        <v>37453.43017578125</v>
      </c>
      <c r="U58" s="249">
        <v>61279.850006103523</v>
      </c>
      <c r="V58" s="249">
        <v>71602.516174316406</v>
      </c>
      <c r="W58" s="249">
        <v>89367.317199707031</v>
      </c>
      <c r="X58" s="249">
        <v>106890.625</v>
      </c>
      <c r="Y58" s="249">
        <v>123087.13531494141</v>
      </c>
      <c r="Z58" s="249">
        <v>136995.62072753909</v>
      </c>
      <c r="AA58" s="249">
        <v>148489.63928222659</v>
      </c>
      <c r="AB58" s="249">
        <v>158983.56628417969</v>
      </c>
      <c r="AC58" s="249">
        <v>167314.3310546875</v>
      </c>
    </row>
    <row r="59" spans="1:31">
      <c r="C59" s="249"/>
      <c r="D59" s="228"/>
      <c r="E59" s="185" t="s">
        <v>642</v>
      </c>
      <c r="F59" s="251">
        <f>F57</f>
        <v>9070.2929826495838</v>
      </c>
      <c r="G59" s="222">
        <v>2285.7084274291992</v>
      </c>
      <c r="H59" s="222">
        <v>6321.3496208190918</v>
      </c>
      <c r="I59" s="222">
        <v>13253.487586975099</v>
      </c>
      <c r="J59" s="222">
        <v>23995.475769042969</v>
      </c>
      <c r="K59" s="222">
        <v>39398.555755615227</v>
      </c>
      <c r="L59" s="222">
        <v>45144.824981689453</v>
      </c>
      <c r="M59" s="222">
        <v>56499.305725097664</v>
      </c>
      <c r="N59" s="222">
        <v>67426.010131835938</v>
      </c>
      <c r="O59" s="222">
        <v>78247.634887695313</v>
      </c>
      <c r="P59" s="222">
        <v>87588.729858398438</v>
      </c>
      <c r="Q59" s="222">
        <v>95268.356323242188</v>
      </c>
      <c r="R59" s="222">
        <v>102165.1229858398</v>
      </c>
      <c r="S59" s="222">
        <v>108446.18988037109</v>
      </c>
      <c r="T59" s="222">
        <v>114943.1610107422</v>
      </c>
      <c r="U59" s="222">
        <v>121191.8869018555</v>
      </c>
      <c r="V59" s="222">
        <v>128367.20275878909</v>
      </c>
      <c r="W59" s="222">
        <v>135580.1086425781</v>
      </c>
      <c r="X59" s="222">
        <v>143523.23913574219</v>
      </c>
      <c r="Y59" s="222">
        <v>151186.1267089844</v>
      </c>
      <c r="Z59" s="222">
        <v>159111.92321777341</v>
      </c>
      <c r="AA59" s="222">
        <v>167395.00427246091</v>
      </c>
      <c r="AB59" s="222">
        <v>176159.68322753909</v>
      </c>
      <c r="AC59" s="222">
        <v>184695.4650878906</v>
      </c>
    </row>
    <row r="60" spans="1:31">
      <c r="C60" s="222"/>
      <c r="D60" s="234"/>
      <c r="E60" s="235" t="s">
        <v>643</v>
      </c>
      <c r="F60" s="255">
        <f>F59-F58</f>
        <v>9070.2929826495838</v>
      </c>
      <c r="G60" s="255">
        <f t="shared" ref="G60:AC60" si="26">G59-G58</f>
        <v>2285.7084274291992</v>
      </c>
      <c r="H60" s="255">
        <f t="shared" si="26"/>
        <v>6321.3496208190918</v>
      </c>
      <c r="I60" s="255">
        <f t="shared" si="26"/>
        <v>13253.487586975099</v>
      </c>
      <c r="J60" s="255">
        <f t="shared" si="26"/>
        <v>23995.475769042969</v>
      </c>
      <c r="K60" s="255">
        <f t="shared" si="26"/>
        <v>39398.555755615227</v>
      </c>
      <c r="L60" s="255">
        <f t="shared" si="26"/>
        <v>45144.824981689453</v>
      </c>
      <c r="M60" s="255">
        <f t="shared" si="26"/>
        <v>56499.305725097664</v>
      </c>
      <c r="N60" s="255">
        <f t="shared" si="26"/>
        <v>67426.010131835938</v>
      </c>
      <c r="O60" s="255">
        <f t="shared" si="26"/>
        <v>78247.634887695313</v>
      </c>
      <c r="P60" s="255">
        <f t="shared" si="26"/>
        <v>87588.729858398438</v>
      </c>
      <c r="Q60" s="255">
        <f t="shared" si="26"/>
        <v>91847.639560699463</v>
      </c>
      <c r="R60" s="255">
        <f t="shared" si="26"/>
        <v>92515.459060668902</v>
      </c>
      <c r="S60" s="255">
        <f t="shared" si="26"/>
        <v>87903.18489074707</v>
      </c>
      <c r="T60" s="255">
        <f t="shared" si="26"/>
        <v>77489.730834960952</v>
      </c>
      <c r="U60" s="255">
        <f t="shared" si="26"/>
        <v>59912.036895751975</v>
      </c>
      <c r="V60" s="255">
        <f t="shared" si="26"/>
        <v>56764.686584472685</v>
      </c>
      <c r="W60" s="255">
        <f t="shared" si="26"/>
        <v>46212.791442871065</v>
      </c>
      <c r="X60" s="255">
        <f t="shared" si="26"/>
        <v>36632.614135742188</v>
      </c>
      <c r="Y60" s="255">
        <f t="shared" si="26"/>
        <v>28098.991394042998</v>
      </c>
      <c r="Z60" s="255">
        <f t="shared" si="26"/>
        <v>22116.302490234317</v>
      </c>
      <c r="AA60" s="255">
        <f t="shared" si="26"/>
        <v>18905.364990234317</v>
      </c>
      <c r="AB60" s="255">
        <f t="shared" si="26"/>
        <v>17176.116943359404</v>
      </c>
      <c r="AC60" s="255">
        <f t="shared" si="26"/>
        <v>17381.134033203096</v>
      </c>
    </row>
    <row r="61" spans="1:31">
      <c r="A61" s="215"/>
      <c r="B61" s="215"/>
      <c r="C61" s="234"/>
      <c r="D61" s="234"/>
      <c r="E61" s="177" t="s">
        <v>721</v>
      </c>
      <c r="F61" s="256"/>
      <c r="G61" s="256"/>
      <c r="H61" s="256"/>
      <c r="I61" s="256"/>
      <c r="J61" s="256"/>
      <c r="K61" s="256"/>
      <c r="L61" s="256"/>
      <c r="M61" s="256"/>
      <c r="N61" s="256"/>
      <c r="O61" s="256"/>
      <c r="P61" s="256"/>
      <c r="Q61" s="257">
        <v>5.000000074505806E-2</v>
      </c>
      <c r="R61" s="257">
        <v>0.15999999642372131</v>
      </c>
      <c r="S61" s="257">
        <v>0.36000001430511469</v>
      </c>
      <c r="T61" s="257">
        <v>0.67000001668930054</v>
      </c>
      <c r="U61" s="257">
        <v>1.1000000238418579</v>
      </c>
      <c r="V61" s="257">
        <v>1.4099999666213989</v>
      </c>
      <c r="W61" s="257">
        <v>1.7300000190734861</v>
      </c>
      <c r="X61" s="257">
        <v>2.029999971389771</v>
      </c>
      <c r="Y61" s="257">
        <v>2.309999942779541</v>
      </c>
      <c r="Z61" s="257">
        <v>2.529999971389771</v>
      </c>
      <c r="AA61" s="257">
        <v>2.690000057220459</v>
      </c>
      <c r="AB61" s="257">
        <v>2.809999942779541</v>
      </c>
      <c r="AC61" s="257">
        <v>2.880000114440918</v>
      </c>
    </row>
    <row r="62" spans="1:31">
      <c r="C62" s="222"/>
      <c r="D62" s="234"/>
      <c r="E62" s="177" t="s">
        <v>722</v>
      </c>
      <c r="F62" s="257"/>
      <c r="G62" s="257">
        <v>5.000000074505806E-2</v>
      </c>
      <c r="H62" s="257">
        <v>0.15999999642372131</v>
      </c>
      <c r="I62" s="257">
        <v>0.36000001430511469</v>
      </c>
      <c r="J62" s="257">
        <v>0.67000001668930054</v>
      </c>
      <c r="K62" s="257">
        <v>1.1000000238418579</v>
      </c>
      <c r="L62" s="257">
        <v>1.4099999666213989</v>
      </c>
      <c r="M62" s="257">
        <v>1.7300000190734861</v>
      </c>
      <c r="N62" s="257">
        <v>2.029999971389771</v>
      </c>
      <c r="O62" s="257">
        <v>2.309999942779541</v>
      </c>
      <c r="P62" s="257">
        <v>2.529999971389771</v>
      </c>
      <c r="Q62" s="258">
        <v>2.690000057220459</v>
      </c>
      <c r="R62" s="258">
        <v>2.809999942779541</v>
      </c>
      <c r="S62" s="258">
        <v>2.880000114440918</v>
      </c>
      <c r="T62" s="258">
        <v>2.9300000667572021</v>
      </c>
      <c r="U62" s="258">
        <v>2.970000028610229</v>
      </c>
      <c r="V62" s="258">
        <v>3.0099999904632568</v>
      </c>
      <c r="W62" s="258">
        <v>3.0399999618530269</v>
      </c>
      <c r="X62" s="258">
        <v>3.0699999332427979</v>
      </c>
      <c r="Y62" s="258">
        <v>3.1099998950958252</v>
      </c>
      <c r="Z62" s="258">
        <v>3.1400001049041748</v>
      </c>
      <c r="AA62" s="258">
        <v>3.1700000762939449</v>
      </c>
      <c r="AB62" s="258">
        <v>3.2000000476837158</v>
      </c>
      <c r="AC62" s="258">
        <v>3.2300000190734859</v>
      </c>
    </row>
    <row r="63" spans="1:31" ht="13.5" thickBot="1">
      <c r="C63" s="222"/>
      <c r="D63" s="234"/>
      <c r="E63" s="177"/>
      <c r="F63" s="257"/>
      <c r="G63" s="257"/>
      <c r="H63" s="257"/>
      <c r="I63" s="257"/>
      <c r="J63" s="257"/>
      <c r="K63" s="257"/>
      <c r="L63" s="257"/>
      <c r="M63" s="257"/>
      <c r="N63" s="257"/>
      <c r="O63" s="257"/>
      <c r="P63" s="257"/>
      <c r="Q63" s="257"/>
      <c r="R63" s="257"/>
      <c r="S63" s="257"/>
      <c r="T63" s="257"/>
      <c r="U63" s="257"/>
      <c r="V63" s="257"/>
      <c r="W63" s="257"/>
      <c r="X63" s="257"/>
      <c r="Y63" s="257"/>
      <c r="Z63" s="257"/>
      <c r="AA63" s="257"/>
      <c r="AB63" s="257"/>
      <c r="AC63" s="257"/>
    </row>
    <row r="64" spans="1:31" ht="13.5" thickBot="1">
      <c r="A64" s="254">
        <v>5</v>
      </c>
      <c r="C64" s="212" t="s">
        <v>628</v>
      </c>
      <c r="D64" s="211"/>
      <c r="E64" s="177"/>
      <c r="F64" s="252"/>
      <c r="G64" s="252"/>
      <c r="H64" s="252"/>
      <c r="I64" s="252"/>
      <c r="J64" s="252"/>
      <c r="K64" s="252"/>
      <c r="L64" s="252"/>
      <c r="M64" s="252"/>
      <c r="N64" s="252"/>
      <c r="O64" s="252"/>
      <c r="P64" s="252"/>
      <c r="Q64" s="252"/>
      <c r="R64" s="252"/>
      <c r="S64" s="252"/>
      <c r="T64" s="252"/>
      <c r="U64" s="252"/>
      <c r="V64" s="252"/>
      <c r="W64" s="252"/>
      <c r="X64" s="252"/>
      <c r="Y64" s="252"/>
      <c r="Z64" s="252"/>
      <c r="AA64" s="252"/>
      <c r="AB64" s="252"/>
      <c r="AC64" s="252"/>
    </row>
    <row r="65" spans="1:29">
      <c r="C65" s="214" t="s">
        <v>148</v>
      </c>
      <c r="P65" s="140"/>
    </row>
    <row r="66" spans="1:29">
      <c r="A66" s="215" t="s">
        <v>630</v>
      </c>
      <c r="B66" s="243">
        <v>22938.670107452454</v>
      </c>
      <c r="C66" s="140" t="s">
        <v>577</v>
      </c>
      <c r="F66" s="247">
        <v>0</v>
      </c>
      <c r="G66" s="247">
        <f>F66-1</f>
        <v>-1</v>
      </c>
      <c r="H66" s="247">
        <f t="shared" ref="H66:AC66" si="27">G66-1</f>
        <v>-2</v>
      </c>
      <c r="I66" s="247">
        <f t="shared" si="27"/>
        <v>-3</v>
      </c>
      <c r="J66" s="247">
        <f t="shared" si="27"/>
        <v>-4</v>
      </c>
      <c r="K66" s="247">
        <f t="shared" si="27"/>
        <v>-5</v>
      </c>
      <c r="L66" s="247">
        <f t="shared" si="27"/>
        <v>-6</v>
      </c>
      <c r="M66" s="247">
        <f t="shared" si="27"/>
        <v>-7</v>
      </c>
      <c r="N66" s="247">
        <f t="shared" si="27"/>
        <v>-8</v>
      </c>
      <c r="O66" s="247">
        <f t="shared" si="27"/>
        <v>-9</v>
      </c>
      <c r="P66" s="247">
        <f t="shared" si="27"/>
        <v>-10</v>
      </c>
      <c r="Q66" s="247">
        <f t="shared" si="27"/>
        <v>-11</v>
      </c>
      <c r="R66" s="247">
        <f t="shared" si="27"/>
        <v>-12</v>
      </c>
      <c r="S66" s="247">
        <f t="shared" si="27"/>
        <v>-13</v>
      </c>
      <c r="T66" s="247">
        <f t="shared" si="27"/>
        <v>-14</v>
      </c>
      <c r="U66" s="247">
        <f t="shared" si="27"/>
        <v>-15</v>
      </c>
      <c r="V66" s="247">
        <f t="shared" si="27"/>
        <v>-16</v>
      </c>
      <c r="W66" s="247">
        <f t="shared" si="27"/>
        <v>-17</v>
      </c>
      <c r="X66" s="247">
        <f t="shared" si="27"/>
        <v>-18</v>
      </c>
      <c r="Y66" s="247">
        <f t="shared" si="27"/>
        <v>-19</v>
      </c>
      <c r="Z66" s="247">
        <f t="shared" si="27"/>
        <v>-20</v>
      </c>
      <c r="AA66" s="247">
        <f t="shared" si="27"/>
        <v>-21</v>
      </c>
      <c r="AB66" s="247">
        <f t="shared" si="27"/>
        <v>-22</v>
      </c>
      <c r="AC66" s="247">
        <f t="shared" si="27"/>
        <v>-23</v>
      </c>
    </row>
    <row r="67" spans="1:29">
      <c r="A67" s="215" t="s">
        <v>632</v>
      </c>
      <c r="B67" s="237">
        <v>7.5</v>
      </c>
      <c r="C67" s="140" t="s">
        <v>644</v>
      </c>
      <c r="E67" s="217" t="s">
        <v>631</v>
      </c>
      <c r="F67" s="248">
        <v>0</v>
      </c>
      <c r="G67" s="248">
        <v>5.0168069346103419</v>
      </c>
      <c r="H67" s="248">
        <v>9.4659440943592816</v>
      </c>
      <c r="I67" s="248">
        <v>17.773188598933221</v>
      </c>
      <c r="J67" s="248">
        <v>24.870669926585784</v>
      </c>
      <c r="K67" s="248">
        <v>30.708106345805827</v>
      </c>
      <c r="L67" s="248">
        <v>35.23629086107583</v>
      </c>
      <c r="M67" s="248">
        <v>32.006727691421915</v>
      </c>
      <c r="N67" s="248">
        <v>28.698031479897278</v>
      </c>
      <c r="O67" s="248">
        <v>25.310073269750667</v>
      </c>
      <c r="P67" s="248">
        <v>21.840930409153518</v>
      </c>
      <c r="Q67" s="248">
        <v>18.290360890583877</v>
      </c>
      <c r="R67" s="248">
        <v>14.659426164378914</v>
      </c>
      <c r="S67" s="248">
        <v>10.947896886455712</v>
      </c>
      <c r="T67" s="248">
        <v>9.7581593390235799</v>
      </c>
      <c r="U67" s="248">
        <v>9.8551273230648544</v>
      </c>
      <c r="V67" s="248">
        <v>9.9509628275831616</v>
      </c>
      <c r="W67" s="248">
        <v>10.045875522321866</v>
      </c>
      <c r="X67" s="248">
        <v>10.140134888769325</v>
      </c>
      <c r="Y67" s="248">
        <v>10.233710692417073</v>
      </c>
      <c r="Z67" s="248">
        <v>10.326740960368912</v>
      </c>
      <c r="AA67" s="248">
        <v>10.419196115388305</v>
      </c>
      <c r="AB67" s="248">
        <v>10.510968364879917</v>
      </c>
      <c r="AC67" s="248">
        <v>10.602326533060173</v>
      </c>
    </row>
    <row r="68" spans="1:29">
      <c r="A68" s="215" t="s">
        <v>646</v>
      </c>
      <c r="B68" s="243">
        <v>315</v>
      </c>
      <c r="C68" s="140" t="s">
        <v>636</v>
      </c>
      <c r="E68" s="217" t="s">
        <v>653</v>
      </c>
      <c r="F68" s="248">
        <v>0</v>
      </c>
      <c r="G68" s="248">
        <v>5.2676472813408592</v>
      </c>
      <c r="H68" s="248">
        <v>4.9224343644669037</v>
      </c>
      <c r="I68" s="248">
        <v>9.1959039345206008</v>
      </c>
      <c r="J68" s="248">
        <v>8.3410148239818529</v>
      </c>
      <c r="K68" s="248">
        <v>7.3728417365103356</v>
      </c>
      <c r="L68" s="248">
        <v>6.2899990583237937</v>
      </c>
      <c r="M68" s="248">
        <v>-1.6292267850828188</v>
      </c>
      <c r="N68" s="248">
        <v>-1.8737946375297732</v>
      </c>
      <c r="O68" s="248">
        <v>-2.1224545466590774</v>
      </c>
      <c r="P68" s="248">
        <v>-2.3770963401394729</v>
      </c>
      <c r="Q68" s="248">
        <v>-2.6360514740404479</v>
      </c>
      <c r="R68" s="248">
        <v>-2.8979634179860172</v>
      </c>
      <c r="S68" s="248">
        <v>-3.1641344336004158</v>
      </c>
      <c r="T68" s="248">
        <v>-0.70182958048095356</v>
      </c>
      <c r="U68" s="248">
        <v>0.5897243501945173</v>
      </c>
      <c r="V68" s="248">
        <v>0.59338364589746528</v>
      </c>
      <c r="W68" s="248">
        <v>0.59720647085479805</v>
      </c>
      <c r="X68" s="248">
        <v>0.60126611088592452</v>
      </c>
      <c r="Y68" s="248">
        <v>0.6052613382686024</v>
      </c>
      <c r="Z68" s="248">
        <v>0.60936731597028471</v>
      </c>
      <c r="AA68" s="248">
        <v>0.61341496078880742</v>
      </c>
      <c r="AB68" s="248">
        <v>0.6173206677356079</v>
      </c>
      <c r="AC68" s="248">
        <v>0.62147449483326556</v>
      </c>
    </row>
    <row r="69" spans="1:29">
      <c r="A69" s="177" t="s">
        <v>635</v>
      </c>
      <c r="B69" s="216">
        <v>25</v>
      </c>
      <c r="C69" s="140" t="s">
        <v>636</v>
      </c>
      <c r="E69" s="217" t="s">
        <v>645</v>
      </c>
      <c r="F69" s="150">
        <v>0</v>
      </c>
      <c r="G69" s="150">
        <v>8485.7786988327407</v>
      </c>
      <c r="H69" s="150">
        <v>16011.36097267305</v>
      </c>
      <c r="I69" s="150">
        <v>30062.816287124788</v>
      </c>
      <c r="J69" s="150">
        <v>42067.993414842022</v>
      </c>
      <c r="K69" s="150">
        <v>51941.842312687906</v>
      </c>
      <c r="L69" s="150">
        <v>59601.13082127527</v>
      </c>
      <c r="M69" s="150">
        <v>54138.42143086248</v>
      </c>
      <c r="N69" s="150">
        <v>48541.860869808115</v>
      </c>
      <c r="O69" s="150">
        <v>42811.231011629076</v>
      </c>
      <c r="P69" s="150">
        <v>36943.279748332272</v>
      </c>
      <c r="Q69" s="150">
        <v>30937.597731441332</v>
      </c>
      <c r="R69" s="150">
        <v>24795.980372415877</v>
      </c>
      <c r="S69" s="150">
        <v>18518.039742607478</v>
      </c>
      <c r="T69" s="150">
        <v>16505.634308475455</v>
      </c>
      <c r="U69" s="150">
        <v>16669.652749721317</v>
      </c>
      <c r="V69" s="150">
        <v>16831.7556357668</v>
      </c>
      <c r="W69" s="150">
        <v>16992.297616704145</v>
      </c>
      <c r="X69" s="150">
        <v>17151.734512401112</v>
      </c>
      <c r="Y69" s="150">
        <v>17310.01518209204</v>
      </c>
      <c r="Z69" s="150">
        <v>17467.3730944897</v>
      </c>
      <c r="AA69" s="150">
        <v>17623.758220584208</v>
      </c>
      <c r="AB69" s="150">
        <v>17778.988232428466</v>
      </c>
      <c r="AC69" s="150">
        <v>17933.517838134449</v>
      </c>
    </row>
    <row r="70" spans="1:29">
      <c r="A70" s="177" t="s">
        <v>647</v>
      </c>
      <c r="B70" s="231">
        <v>24</v>
      </c>
      <c r="C70" s="140" t="s">
        <v>644</v>
      </c>
      <c r="E70" s="217" t="s">
        <v>634</v>
      </c>
      <c r="F70" s="150">
        <v>0</v>
      </c>
      <c r="G70" s="150">
        <v>8910.0676337743771</v>
      </c>
      <c r="H70" s="150">
        <v>8326.1503224739627</v>
      </c>
      <c r="I70" s="150">
        <v>15554.596128807978</v>
      </c>
      <c r="J70" s="150">
        <v>14108.576798459335</v>
      </c>
      <c r="K70" s="150">
        <v>12470.94101348028</v>
      </c>
      <c r="L70" s="150">
        <v>10639.345049651129</v>
      </c>
      <c r="M70" s="150">
        <v>-2755.7883188696665</v>
      </c>
      <c r="N70" s="150">
        <v>-3169.4675175639586</v>
      </c>
      <c r="O70" s="150">
        <v>-3590.0683075975858</v>
      </c>
      <c r="P70" s="150">
        <v>-4020.7872758801896</v>
      </c>
      <c r="Q70" s="150">
        <v>-4458.8021303188734</v>
      </c>
      <c r="R70" s="150">
        <v>-4901.8183404046613</v>
      </c>
      <c r="S70" s="150">
        <v>-5352.038642678026</v>
      </c>
      <c r="T70" s="150">
        <v>-1187.1237187082497</v>
      </c>
      <c r="U70" s="150">
        <v>997.50107873192792</v>
      </c>
      <c r="V70" s="150">
        <v>1003.6906678338227</v>
      </c>
      <c r="W70" s="150">
        <v>1010.1568617725525</v>
      </c>
      <c r="X70" s="150">
        <v>1017.0236213170222</v>
      </c>
      <c r="Y70" s="150">
        <v>1023.7814287955304</v>
      </c>
      <c r="Z70" s="150">
        <v>1030.7265671221448</v>
      </c>
      <c r="AA70" s="150">
        <v>1037.5730371237189</v>
      </c>
      <c r="AB70" s="150">
        <v>1044.1794234656813</v>
      </c>
      <c r="AC70" s="150">
        <v>1051.2054976127047</v>
      </c>
    </row>
    <row r="71" spans="1:29">
      <c r="A71" s="177" t="s">
        <v>648</v>
      </c>
      <c r="B71" s="220">
        <v>-35239</v>
      </c>
      <c r="C71" s="181" t="s">
        <v>649</v>
      </c>
      <c r="E71" s="140" t="s">
        <v>630</v>
      </c>
      <c r="F71" s="222">
        <f>B66</f>
        <v>22938.670107452454</v>
      </c>
      <c r="G71" s="222"/>
      <c r="H71" s="222"/>
      <c r="I71" s="222"/>
      <c r="J71" s="222"/>
      <c r="K71" s="222"/>
      <c r="L71" s="222"/>
      <c r="M71" s="222"/>
      <c r="N71" s="222"/>
      <c r="O71" s="222"/>
      <c r="P71" s="222"/>
      <c r="Q71" s="222"/>
      <c r="R71" s="222"/>
      <c r="S71" s="222"/>
      <c r="T71" s="222"/>
      <c r="U71" s="222"/>
      <c r="V71" s="222"/>
      <c r="W71" s="222"/>
      <c r="X71" s="222"/>
      <c r="Y71" s="222"/>
      <c r="Z71" s="222"/>
      <c r="AA71" s="222"/>
      <c r="AB71" s="222"/>
      <c r="AC71" s="222"/>
    </row>
    <row r="72" spans="1:29">
      <c r="A72" s="181"/>
      <c r="B72" s="220"/>
      <c r="E72" s="181" t="s">
        <v>638</v>
      </c>
      <c r="F72" s="249">
        <f t="shared" ref="F72:AC72" si="28">F69*$B$67*(1+$B$6)^F$2</f>
        <v>0</v>
      </c>
      <c r="G72" s="249">
        <f t="shared" si="28"/>
        <v>65234.423747276691</v>
      </c>
      <c r="H72" s="249">
        <f t="shared" si="28"/>
        <v>126164.52091435966</v>
      </c>
      <c r="I72" s="249">
        <f t="shared" si="28"/>
        <v>242807.73765526494</v>
      </c>
      <c r="J72" s="249">
        <f t="shared" si="28"/>
        <v>348263.95060522668</v>
      </c>
      <c r="K72" s="249">
        <f t="shared" si="28"/>
        <v>440755.70238933642</v>
      </c>
      <c r="L72" s="249">
        <f t="shared" si="28"/>
        <v>518392.7934860877</v>
      </c>
      <c r="M72" s="249">
        <f t="shared" si="28"/>
        <v>482651.77710714051</v>
      </c>
      <c r="N72" s="249">
        <f t="shared" si="28"/>
        <v>443576.57950723125</v>
      </c>
      <c r="O72" s="249">
        <f t="shared" si="28"/>
        <v>400990.20831224014</v>
      </c>
      <c r="P72" s="249">
        <f t="shared" si="28"/>
        <v>354678.91063321824</v>
      </c>
      <c r="Q72" s="249">
        <f t="shared" si="28"/>
        <v>304446.06905885163</v>
      </c>
      <c r="R72" s="249">
        <f t="shared" si="28"/>
        <v>250108.77666819497</v>
      </c>
      <c r="S72" s="249">
        <f t="shared" si="28"/>
        <v>191454.91735650838</v>
      </c>
      <c r="T72" s="249">
        <f t="shared" si="28"/>
        <v>174915.21882331689</v>
      </c>
      <c r="U72" s="249">
        <f t="shared" si="28"/>
        <v>181069.70635186179</v>
      </c>
      <c r="V72" s="249">
        <f t="shared" si="28"/>
        <v>187401.26885160693</v>
      </c>
      <c r="W72" s="249">
        <f t="shared" si="28"/>
        <v>193918.42764699564</v>
      </c>
      <c r="X72" s="249">
        <f t="shared" si="28"/>
        <v>200631.3919204043</v>
      </c>
      <c r="Y72" s="249">
        <f t="shared" si="28"/>
        <v>207544.94238331</v>
      </c>
      <c r="Z72" s="249">
        <f t="shared" si="28"/>
        <v>214667.43540987707</v>
      </c>
      <c r="AA72" s="249">
        <f t="shared" si="28"/>
        <v>222004.08344213324</v>
      </c>
      <c r="AB72" s="249">
        <f t="shared" si="28"/>
        <v>229558.48214146477</v>
      </c>
      <c r="AC72" s="249">
        <f t="shared" si="28"/>
        <v>237342.57864245877</v>
      </c>
    </row>
    <row r="73" spans="1:29">
      <c r="E73" s="140" t="s">
        <v>654</v>
      </c>
      <c r="F73" s="249">
        <f t="shared" ref="F73:AC73" si="29">IF(F68&lt;0,0,F70*$B$68*(1+$B$6)^F$2)</f>
        <v>0</v>
      </c>
      <c r="G73" s="249">
        <f t="shared" si="29"/>
        <v>2876838.0872549019</v>
      </c>
      <c r="H73" s="249">
        <f t="shared" si="29"/>
        <v>2755513.430003</v>
      </c>
      <c r="I73" s="249">
        <f t="shared" si="29"/>
        <v>5276438.605233999</v>
      </c>
      <c r="J73" s="249">
        <f t="shared" si="29"/>
        <v>4905567.1156313438</v>
      </c>
      <c r="K73" s="249">
        <f t="shared" si="29"/>
        <v>4444563.401814728</v>
      </c>
      <c r="L73" s="249">
        <f t="shared" si="29"/>
        <v>3886589.2048755372</v>
      </c>
      <c r="M73" s="249">
        <f t="shared" si="29"/>
        <v>0</v>
      </c>
      <c r="N73" s="249">
        <f t="shared" si="29"/>
        <v>0</v>
      </c>
      <c r="O73" s="249">
        <f t="shared" si="29"/>
        <v>0</v>
      </c>
      <c r="P73" s="249">
        <f t="shared" si="29"/>
        <v>0</v>
      </c>
      <c r="Q73" s="249">
        <f t="shared" si="29"/>
        <v>0</v>
      </c>
      <c r="R73" s="249">
        <f t="shared" si="29"/>
        <v>0</v>
      </c>
      <c r="S73" s="249">
        <f t="shared" si="29"/>
        <v>0</v>
      </c>
      <c r="T73" s="249">
        <f t="shared" si="29"/>
        <v>0</v>
      </c>
      <c r="U73" s="249">
        <f t="shared" si="29"/>
        <v>455073.87977331167</v>
      </c>
      <c r="V73" s="249">
        <f t="shared" si="29"/>
        <v>469345.09790821717</v>
      </c>
      <c r="W73" s="249">
        <f t="shared" si="29"/>
        <v>484178.03517082991</v>
      </c>
      <c r="X73" s="249">
        <f t="shared" si="29"/>
        <v>499656.07348666753</v>
      </c>
      <c r="Y73" s="249">
        <f t="shared" si="29"/>
        <v>515550.53693056526</v>
      </c>
      <c r="Z73" s="249">
        <f t="shared" si="29"/>
        <v>532024.131974085</v>
      </c>
      <c r="AA73" s="249">
        <f t="shared" si="29"/>
        <v>548946.98540286778</v>
      </c>
      <c r="AB73" s="249">
        <f t="shared" si="29"/>
        <v>566253.27025476063</v>
      </c>
      <c r="AC73" s="249">
        <f t="shared" si="29"/>
        <v>584315.06194237352</v>
      </c>
    </row>
    <row r="74" spans="1:29">
      <c r="A74" s="181"/>
      <c r="B74" s="181"/>
      <c r="E74" s="181" t="s">
        <v>639</v>
      </c>
      <c r="F74" s="249">
        <f t="shared" ref="F74:AC74" si="30">IF(F68&lt;0,0,F70*$B$69*(1+$B$6)^F$2)</f>
        <v>0</v>
      </c>
      <c r="G74" s="249">
        <f t="shared" si="30"/>
        <v>228320.48311546841</v>
      </c>
      <c r="H74" s="249">
        <f t="shared" si="30"/>
        <v>218691.54206373016</v>
      </c>
      <c r="I74" s="249">
        <f t="shared" si="30"/>
        <v>418764.96866936504</v>
      </c>
      <c r="J74" s="249">
        <f t="shared" si="30"/>
        <v>389330.72346280509</v>
      </c>
      <c r="K74" s="249">
        <f t="shared" si="30"/>
        <v>352743.12712815299</v>
      </c>
      <c r="L74" s="249">
        <f t="shared" si="30"/>
        <v>308459.46070440771</v>
      </c>
      <c r="M74" s="249">
        <f t="shared" si="30"/>
        <v>0</v>
      </c>
      <c r="N74" s="249">
        <f t="shared" si="30"/>
        <v>0</v>
      </c>
      <c r="O74" s="249">
        <f t="shared" si="30"/>
        <v>0</v>
      </c>
      <c r="P74" s="249">
        <f t="shared" si="30"/>
        <v>0</v>
      </c>
      <c r="Q74" s="249">
        <f t="shared" si="30"/>
        <v>0</v>
      </c>
      <c r="R74" s="249">
        <f t="shared" si="30"/>
        <v>0</v>
      </c>
      <c r="S74" s="249">
        <f t="shared" si="30"/>
        <v>0</v>
      </c>
      <c r="T74" s="249">
        <f t="shared" si="30"/>
        <v>0</v>
      </c>
      <c r="U74" s="249">
        <f t="shared" si="30"/>
        <v>36116.97458518346</v>
      </c>
      <c r="V74" s="249">
        <f t="shared" si="30"/>
        <v>37249.610945096603</v>
      </c>
      <c r="W74" s="249">
        <f t="shared" si="30"/>
        <v>38426.828188161104</v>
      </c>
      <c r="X74" s="249">
        <f t="shared" si="30"/>
        <v>39655.2439275133</v>
      </c>
      <c r="Y74" s="249">
        <f t="shared" si="30"/>
        <v>40916.709280203591</v>
      </c>
      <c r="Z74" s="249">
        <f t="shared" si="30"/>
        <v>42224.137458260717</v>
      </c>
      <c r="AA74" s="249">
        <f t="shared" si="30"/>
        <v>43567.221063719669</v>
      </c>
      <c r="AB74" s="249">
        <f t="shared" si="30"/>
        <v>44940.735734504815</v>
      </c>
      <c r="AC74" s="249">
        <f t="shared" si="30"/>
        <v>46374.211265267739</v>
      </c>
    </row>
    <row r="75" spans="1:29">
      <c r="C75" s="181"/>
      <c r="D75" s="177"/>
      <c r="E75" s="140" t="s">
        <v>651</v>
      </c>
      <c r="F75" s="249">
        <f t="shared" ref="F75:AC75" si="31">F69*$B$70*(1+$B$6)^F$2</f>
        <v>0</v>
      </c>
      <c r="G75" s="249">
        <f t="shared" si="31"/>
        <v>208750.1559912854</v>
      </c>
      <c r="H75" s="249">
        <f t="shared" si="31"/>
        <v>403726.46692595095</v>
      </c>
      <c r="I75" s="249">
        <f t="shared" si="31"/>
        <v>776984.76049684768</v>
      </c>
      <c r="J75" s="249">
        <f t="shared" si="31"/>
        <v>1114444.6419367255</v>
      </c>
      <c r="K75" s="249">
        <f t="shared" si="31"/>
        <v>1410418.2476458766</v>
      </c>
      <c r="L75" s="249">
        <f t="shared" si="31"/>
        <v>1658856.9391554808</v>
      </c>
      <c r="M75" s="249">
        <f t="shared" si="31"/>
        <v>1544485.6867428499</v>
      </c>
      <c r="N75" s="249">
        <f t="shared" si="31"/>
        <v>1419445.0544231399</v>
      </c>
      <c r="O75" s="249">
        <f t="shared" si="31"/>
        <v>1283168.6665991684</v>
      </c>
      <c r="P75" s="249">
        <f t="shared" si="31"/>
        <v>1134972.5140262982</v>
      </c>
      <c r="Q75" s="249">
        <f t="shared" si="31"/>
        <v>974227.42098832526</v>
      </c>
      <c r="R75" s="249">
        <f t="shared" si="31"/>
        <v>800348.08533822373</v>
      </c>
      <c r="S75" s="249">
        <f t="shared" si="31"/>
        <v>612655.73554082692</v>
      </c>
      <c r="T75" s="249">
        <f t="shared" si="31"/>
        <v>559728.70023461396</v>
      </c>
      <c r="U75" s="249">
        <f t="shared" si="31"/>
        <v>579423.06032595772</v>
      </c>
      <c r="V75" s="249">
        <f t="shared" si="31"/>
        <v>599684.06032514223</v>
      </c>
      <c r="W75" s="249">
        <f t="shared" si="31"/>
        <v>620538.968470386</v>
      </c>
      <c r="X75" s="249">
        <f t="shared" si="31"/>
        <v>642020.4541452938</v>
      </c>
      <c r="Y75" s="249">
        <f t="shared" si="31"/>
        <v>664143.81562659191</v>
      </c>
      <c r="Z75" s="249">
        <f t="shared" si="31"/>
        <v>686935.79331160663</v>
      </c>
      <c r="AA75" s="249">
        <f t="shared" si="31"/>
        <v>710413.06701482635</v>
      </c>
      <c r="AB75" s="249">
        <f t="shared" si="31"/>
        <v>734587.14285268716</v>
      </c>
      <c r="AC75" s="249">
        <f t="shared" si="31"/>
        <v>759496.25165586802</v>
      </c>
    </row>
    <row r="76" spans="1:29">
      <c r="C76" s="249"/>
      <c r="D76" s="228"/>
      <c r="E76" s="192" t="s">
        <v>652</v>
      </c>
      <c r="F76" s="224">
        <f t="shared" ref="F76:AC76" si="32">$B$71*F67*(1+$B$6)^F66</f>
        <v>0</v>
      </c>
      <c r="G76" s="224">
        <f t="shared" si="32"/>
        <v>-172475.37518900863</v>
      </c>
      <c r="H76" s="224">
        <f t="shared" si="32"/>
        <v>-317497.11261499271</v>
      </c>
      <c r="I76" s="224">
        <f t="shared" si="32"/>
        <v>-581590.53342841379</v>
      </c>
      <c r="J76" s="224">
        <f t="shared" si="32"/>
        <v>-793991.03325085493</v>
      </c>
      <c r="K76" s="224">
        <f t="shared" si="32"/>
        <v>-956439.01749232062</v>
      </c>
      <c r="L76" s="224">
        <f t="shared" si="32"/>
        <v>-1070706.8214346874</v>
      </c>
      <c r="M76" s="224">
        <f t="shared" si="32"/>
        <v>-948850.50454876863</v>
      </c>
      <c r="N76" s="224">
        <f t="shared" si="32"/>
        <v>-830012.74322877941</v>
      </c>
      <c r="O76" s="224">
        <f t="shared" si="32"/>
        <v>-714170.96464163694</v>
      </c>
      <c r="P76" s="224">
        <f t="shared" si="32"/>
        <v>-601251.33935692685</v>
      </c>
      <c r="Q76" s="224">
        <f t="shared" si="32"/>
        <v>-491228.24593260133</v>
      </c>
      <c r="R76" s="224">
        <f t="shared" si="32"/>
        <v>-384108.71537731175</v>
      </c>
      <c r="S76" s="224">
        <f t="shared" si="32"/>
        <v>-279862.05828557949</v>
      </c>
      <c r="T76" s="224">
        <f t="shared" si="32"/>
        <v>-243364.57749151485</v>
      </c>
      <c r="U76" s="224">
        <f t="shared" si="32"/>
        <v>-239788.21472735427</v>
      </c>
      <c r="V76" s="224">
        <f t="shared" si="32"/>
        <v>-236214.65234006211</v>
      </c>
      <c r="W76" s="224">
        <f t="shared" si="32"/>
        <v>-232651.39264118162</v>
      </c>
      <c r="X76" s="224">
        <f t="shared" si="32"/>
        <v>-229106.66884278209</v>
      </c>
      <c r="Y76" s="224">
        <f t="shared" si="32"/>
        <v>-225581.39005478882</v>
      </c>
      <c r="Z76" s="224">
        <f t="shared" si="32"/>
        <v>-222080.05226528121</v>
      </c>
      <c r="AA76" s="224">
        <f t="shared" si="32"/>
        <v>-218603.25034263547</v>
      </c>
      <c r="AB76" s="224">
        <f t="shared" si="32"/>
        <v>-215149.95818973612</v>
      </c>
      <c r="AC76" s="224">
        <f t="shared" si="32"/>
        <v>-211726.80659795212</v>
      </c>
    </row>
    <row r="77" spans="1:29">
      <c r="C77" s="249"/>
      <c r="D77" s="228"/>
      <c r="E77" s="181" t="s">
        <v>216</v>
      </c>
      <c r="F77" s="259">
        <f t="shared" ref="F77:AC77" si="33">SUM(F71:F76)</f>
        <v>22938.670107452454</v>
      </c>
      <c r="G77" s="259">
        <f t="shared" si="33"/>
        <v>3206667.7749199243</v>
      </c>
      <c r="H77" s="259">
        <f t="shared" si="33"/>
        <v>3186598.8472920484</v>
      </c>
      <c r="I77" s="259">
        <f t="shared" si="33"/>
        <v>6133405.5386270629</v>
      </c>
      <c r="J77" s="259">
        <f t="shared" si="33"/>
        <v>5963615.3983852454</v>
      </c>
      <c r="K77" s="259">
        <f t="shared" si="33"/>
        <v>5692041.4614857733</v>
      </c>
      <c r="L77" s="259">
        <f t="shared" si="33"/>
        <v>5301591.5767868254</v>
      </c>
      <c r="M77" s="259">
        <f t="shared" si="33"/>
        <v>1078286.9593012217</v>
      </c>
      <c r="N77" s="259">
        <f t="shared" si="33"/>
        <v>1033008.8907015917</v>
      </c>
      <c r="O77" s="259">
        <f t="shared" si="33"/>
        <v>969987.9102697717</v>
      </c>
      <c r="P77" s="259">
        <f t="shared" si="33"/>
        <v>888400.08530258958</v>
      </c>
      <c r="Q77" s="259">
        <f t="shared" si="33"/>
        <v>787445.24411457544</v>
      </c>
      <c r="R77" s="259">
        <f t="shared" si="33"/>
        <v>666348.14662910695</v>
      </c>
      <c r="S77" s="259">
        <f t="shared" si="33"/>
        <v>524248.59461175586</v>
      </c>
      <c r="T77" s="259">
        <f t="shared" si="33"/>
        <v>491279.34156641597</v>
      </c>
      <c r="U77" s="259">
        <f t="shared" si="33"/>
        <v>1011895.4063089604</v>
      </c>
      <c r="V77" s="259">
        <f t="shared" si="33"/>
        <v>1057465.3856900006</v>
      </c>
      <c r="W77" s="259">
        <f t="shared" si="33"/>
        <v>1104410.8668351911</v>
      </c>
      <c r="X77" s="259">
        <f t="shared" si="33"/>
        <v>1152856.494637097</v>
      </c>
      <c r="Y77" s="259">
        <f t="shared" si="33"/>
        <v>1202574.6141658819</v>
      </c>
      <c r="Z77" s="259">
        <f t="shared" si="33"/>
        <v>1253771.4458885482</v>
      </c>
      <c r="AA77" s="259">
        <f t="shared" si="33"/>
        <v>1306328.1065809117</v>
      </c>
      <c r="AB77" s="259">
        <f t="shared" si="33"/>
        <v>1360189.6727936813</v>
      </c>
      <c r="AC77" s="259">
        <f t="shared" si="33"/>
        <v>1415801.2969080161</v>
      </c>
    </row>
    <row r="78" spans="1:29">
      <c r="C78" s="249"/>
      <c r="D78" s="228"/>
      <c r="E78" s="177" t="s">
        <v>641</v>
      </c>
      <c r="F78" s="249">
        <v>0</v>
      </c>
      <c r="G78" s="249">
        <v>0</v>
      </c>
      <c r="H78" s="249">
        <v>0</v>
      </c>
      <c r="I78" s="249">
        <v>0</v>
      </c>
      <c r="J78" s="249">
        <v>0</v>
      </c>
      <c r="K78" s="249">
        <v>0</v>
      </c>
      <c r="L78" s="249">
        <v>0</v>
      </c>
      <c r="M78" s="249">
        <v>0</v>
      </c>
      <c r="N78" s="249">
        <v>0</v>
      </c>
      <c r="O78" s="249">
        <v>0</v>
      </c>
      <c r="P78" s="249">
        <v>0</v>
      </c>
      <c r="Q78" s="249">
        <v>0</v>
      </c>
      <c r="R78" s="249">
        <v>0</v>
      </c>
      <c r="S78" s="249">
        <v>0</v>
      </c>
      <c r="T78" s="249">
        <v>0</v>
      </c>
      <c r="U78" s="249">
        <v>0</v>
      </c>
      <c r="V78" s="249">
        <v>0</v>
      </c>
      <c r="W78" s="249">
        <v>0</v>
      </c>
      <c r="X78" s="249">
        <v>0</v>
      </c>
      <c r="Y78" s="249">
        <v>0</v>
      </c>
      <c r="Z78" s="249">
        <v>0</v>
      </c>
      <c r="AA78" s="249">
        <v>0</v>
      </c>
      <c r="AB78" s="249">
        <v>0</v>
      </c>
      <c r="AC78" s="249">
        <v>0</v>
      </c>
    </row>
    <row r="79" spans="1:29">
      <c r="A79" s="215"/>
      <c r="B79" s="215"/>
      <c r="C79" s="228"/>
      <c r="D79" s="228"/>
      <c r="E79" s="185" t="s">
        <v>642</v>
      </c>
      <c r="F79" s="251"/>
      <c r="G79" s="251"/>
      <c r="H79" s="251"/>
      <c r="I79" s="251">
        <f>F77*(1+0.025)^I2</f>
        <v>24702.438788683288</v>
      </c>
      <c r="J79" s="168">
        <v>3473757.8125</v>
      </c>
      <c r="K79" s="168">
        <v>3450822.265625</v>
      </c>
      <c r="L79" s="168">
        <v>6639410.64453125</v>
      </c>
      <c r="M79" s="168">
        <v>6418916.50390625</v>
      </c>
      <c r="N79" s="168">
        <v>6093382.32421875</v>
      </c>
      <c r="O79" s="168">
        <v>5636321.77734375</v>
      </c>
      <c r="P79" s="168">
        <v>1059837.646484375</v>
      </c>
      <c r="Q79" s="168">
        <v>998988.28125</v>
      </c>
      <c r="R79" s="168">
        <v>923462.21923828125</v>
      </c>
      <c r="S79" s="168">
        <v>836872.37548828125</v>
      </c>
      <c r="T79" s="168">
        <v>735898.74267578125</v>
      </c>
      <c r="U79" s="168">
        <v>615694.4580078125</v>
      </c>
      <c r="V79" s="168">
        <v>481142.91381835938</v>
      </c>
      <c r="W79" s="168">
        <v>448497.0703125</v>
      </c>
      <c r="X79" s="168">
        <v>1007076.354980469</v>
      </c>
      <c r="Y79" s="168">
        <v>1045411.987304688</v>
      </c>
      <c r="Z79" s="168">
        <v>1089373.413085938</v>
      </c>
      <c r="AA79" s="168">
        <v>1133905.395507812</v>
      </c>
      <c r="AB79" s="168">
        <v>1182182.006835938</v>
      </c>
      <c r="AC79" s="168">
        <v>1228049.560546875</v>
      </c>
    </row>
    <row r="80" spans="1:29">
      <c r="C80" s="222"/>
      <c r="D80" s="234"/>
      <c r="E80" s="235" t="s">
        <v>643</v>
      </c>
      <c r="F80" s="255">
        <f>F79-F78</f>
        <v>0</v>
      </c>
      <c r="G80" s="255">
        <f t="shared" ref="G80:AC80" si="34">G79-G78</f>
        <v>0</v>
      </c>
      <c r="H80" s="255">
        <f t="shared" si="34"/>
        <v>0</v>
      </c>
      <c r="I80" s="255">
        <f>I79-I78</f>
        <v>24702.438788683288</v>
      </c>
      <c r="J80" s="255">
        <f t="shared" si="34"/>
        <v>3473757.8125</v>
      </c>
      <c r="K80" s="255">
        <f t="shared" si="34"/>
        <v>3450822.265625</v>
      </c>
      <c r="L80" s="255">
        <f t="shared" si="34"/>
        <v>6639410.64453125</v>
      </c>
      <c r="M80" s="255">
        <f t="shared" si="34"/>
        <v>6418916.50390625</v>
      </c>
      <c r="N80" s="255">
        <f t="shared" si="34"/>
        <v>6093382.32421875</v>
      </c>
      <c r="O80" s="255">
        <f t="shared" si="34"/>
        <v>5636321.77734375</v>
      </c>
      <c r="P80" s="255">
        <f t="shared" si="34"/>
        <v>1059837.646484375</v>
      </c>
      <c r="Q80" s="255">
        <f t="shared" si="34"/>
        <v>998988.28125</v>
      </c>
      <c r="R80" s="255">
        <f t="shared" si="34"/>
        <v>923462.21923828125</v>
      </c>
      <c r="S80" s="255">
        <f t="shared" si="34"/>
        <v>836872.37548828125</v>
      </c>
      <c r="T80" s="255">
        <f t="shared" si="34"/>
        <v>735898.74267578125</v>
      </c>
      <c r="U80" s="255">
        <f t="shared" si="34"/>
        <v>615694.4580078125</v>
      </c>
      <c r="V80" s="255">
        <f t="shared" si="34"/>
        <v>481142.91381835938</v>
      </c>
      <c r="W80" s="255">
        <f t="shared" si="34"/>
        <v>448497.0703125</v>
      </c>
      <c r="X80" s="255">
        <f t="shared" si="34"/>
        <v>1007076.354980469</v>
      </c>
      <c r="Y80" s="255">
        <f t="shared" si="34"/>
        <v>1045411.987304688</v>
      </c>
      <c r="Z80" s="255">
        <f t="shared" si="34"/>
        <v>1089373.413085938</v>
      </c>
      <c r="AA80" s="255">
        <f t="shared" si="34"/>
        <v>1133905.395507812</v>
      </c>
      <c r="AB80" s="255">
        <f t="shared" si="34"/>
        <v>1182182.006835938</v>
      </c>
      <c r="AC80" s="255">
        <f t="shared" si="34"/>
        <v>1228049.560546875</v>
      </c>
    </row>
    <row r="81" spans="1:31">
      <c r="C81" s="222"/>
      <c r="D81" s="234"/>
      <c r="E81" s="177" t="s">
        <v>721</v>
      </c>
      <c r="F81" s="252"/>
      <c r="G81" s="252"/>
      <c r="H81" s="252"/>
      <c r="I81" s="252"/>
      <c r="J81" s="252"/>
      <c r="K81" s="252"/>
      <c r="L81" s="252"/>
      <c r="M81" s="252"/>
      <c r="N81" s="252"/>
      <c r="O81" s="252"/>
      <c r="P81" s="252"/>
      <c r="Q81" s="252"/>
      <c r="R81" s="252"/>
      <c r="S81" s="252"/>
      <c r="T81" s="252"/>
      <c r="U81" s="252"/>
      <c r="V81" s="252"/>
      <c r="W81" s="252"/>
      <c r="X81" s="252"/>
      <c r="Y81" s="252"/>
      <c r="Z81" s="252"/>
      <c r="AA81" s="252"/>
      <c r="AB81" s="252"/>
      <c r="AC81" s="252"/>
    </row>
    <row r="82" spans="1:31">
      <c r="C82" s="222"/>
      <c r="D82" s="234"/>
      <c r="E82" s="177" t="s">
        <v>722</v>
      </c>
      <c r="F82" s="252"/>
      <c r="G82" s="252"/>
      <c r="H82" s="252"/>
      <c r="I82" s="252"/>
      <c r="J82" s="253">
        <v>5.0199999809265137</v>
      </c>
      <c r="K82" s="253">
        <v>9.4700002670288086</v>
      </c>
      <c r="L82" s="253">
        <v>17.770000457763668</v>
      </c>
      <c r="M82" s="253">
        <v>24.870000839233398</v>
      </c>
      <c r="N82" s="253">
        <v>30.70999908447266</v>
      </c>
      <c r="O82" s="253">
        <v>35.240001678466797</v>
      </c>
      <c r="P82" s="253">
        <v>32.009998321533203</v>
      </c>
      <c r="Q82" s="253">
        <v>28.70000076293945</v>
      </c>
      <c r="R82" s="253">
        <v>25.309999465942379</v>
      </c>
      <c r="S82" s="253">
        <v>21.840000152587891</v>
      </c>
      <c r="T82" s="253">
        <v>18.29000091552734</v>
      </c>
      <c r="U82" s="253">
        <v>14.659999847412109</v>
      </c>
      <c r="V82" s="253">
        <v>10.94999980926514</v>
      </c>
      <c r="W82" s="253">
        <v>9.7600002288818359</v>
      </c>
      <c r="X82" s="253">
        <v>9.8599996566772461</v>
      </c>
      <c r="Y82" s="253">
        <v>9.9499998092651367</v>
      </c>
      <c r="Z82" s="253">
        <v>10.05000019073486</v>
      </c>
      <c r="AA82" s="253">
        <v>10.14000034332275</v>
      </c>
      <c r="AB82" s="253">
        <v>10.22999954223633</v>
      </c>
      <c r="AC82" s="253">
        <v>10.329999923706049</v>
      </c>
    </row>
    <row r="83" spans="1:31" ht="13.5" thickBot="1">
      <c r="E83" s="177"/>
      <c r="F83" s="162"/>
      <c r="G83" s="162"/>
      <c r="H83" s="162"/>
      <c r="I83" s="162"/>
      <c r="J83" s="162"/>
      <c r="K83" s="162"/>
      <c r="L83" s="162"/>
      <c r="M83" s="162"/>
      <c r="N83" s="162"/>
      <c r="O83" s="162"/>
      <c r="P83" s="162"/>
      <c r="Q83" s="162"/>
      <c r="R83" s="162"/>
      <c r="S83" s="162"/>
      <c r="T83" s="162"/>
      <c r="U83" s="162"/>
      <c r="V83" s="162"/>
      <c r="W83" s="162"/>
      <c r="X83" s="162"/>
      <c r="Y83" s="162"/>
      <c r="Z83" s="162"/>
      <c r="AA83" s="162"/>
      <c r="AB83" s="162"/>
      <c r="AC83" s="162"/>
    </row>
    <row r="84" spans="1:31" ht="13.5" thickBot="1">
      <c r="A84" s="254">
        <v>6</v>
      </c>
      <c r="C84" s="210" t="s">
        <v>628</v>
      </c>
      <c r="D84" s="211"/>
      <c r="F84" s="222"/>
      <c r="G84" s="222"/>
      <c r="H84" s="222"/>
      <c r="I84" s="222"/>
      <c r="J84" s="222"/>
      <c r="K84" s="222"/>
      <c r="L84" s="222"/>
      <c r="M84" s="234"/>
      <c r="N84" s="222"/>
      <c r="O84" s="222"/>
      <c r="P84" s="222"/>
      <c r="Q84" s="222"/>
      <c r="R84" s="222"/>
      <c r="S84" s="222"/>
      <c r="T84" s="222"/>
      <c r="U84" s="222"/>
      <c r="V84" s="222"/>
      <c r="W84" s="222"/>
      <c r="X84" s="222"/>
      <c r="Y84" s="222"/>
      <c r="Z84" s="222"/>
      <c r="AA84" s="222"/>
      <c r="AB84" s="222"/>
      <c r="AC84" s="222"/>
    </row>
    <row r="85" spans="1:31">
      <c r="A85" s="260"/>
      <c r="C85" s="214" t="s">
        <v>149</v>
      </c>
      <c r="F85" s="247">
        <v>0</v>
      </c>
      <c r="G85" s="247">
        <f>F85-1</f>
        <v>-1</v>
      </c>
      <c r="H85" s="247">
        <f t="shared" ref="H85:AC85" si="35">G85-1</f>
        <v>-2</v>
      </c>
      <c r="I85" s="247">
        <f t="shared" si="35"/>
        <v>-3</v>
      </c>
      <c r="J85" s="247">
        <f t="shared" si="35"/>
        <v>-4</v>
      </c>
      <c r="K85" s="247">
        <f t="shared" si="35"/>
        <v>-5</v>
      </c>
      <c r="L85" s="247">
        <f t="shared" si="35"/>
        <v>-6</v>
      </c>
      <c r="M85" s="247">
        <f t="shared" si="35"/>
        <v>-7</v>
      </c>
      <c r="N85" s="247">
        <f t="shared" si="35"/>
        <v>-8</v>
      </c>
      <c r="O85" s="247">
        <f t="shared" si="35"/>
        <v>-9</v>
      </c>
      <c r="P85" s="247">
        <f t="shared" si="35"/>
        <v>-10</v>
      </c>
      <c r="Q85" s="247">
        <f t="shared" si="35"/>
        <v>-11</v>
      </c>
      <c r="R85" s="247">
        <f t="shared" si="35"/>
        <v>-12</v>
      </c>
      <c r="S85" s="247">
        <f t="shared" si="35"/>
        <v>-13</v>
      </c>
      <c r="T85" s="247">
        <f t="shared" si="35"/>
        <v>-14</v>
      </c>
      <c r="U85" s="247">
        <f t="shared" si="35"/>
        <v>-15</v>
      </c>
      <c r="V85" s="247">
        <f t="shared" si="35"/>
        <v>-16</v>
      </c>
      <c r="W85" s="247">
        <f t="shared" si="35"/>
        <v>-17</v>
      </c>
      <c r="X85" s="247">
        <f t="shared" si="35"/>
        <v>-18</v>
      </c>
      <c r="Y85" s="247">
        <f t="shared" si="35"/>
        <v>-19</v>
      </c>
      <c r="Z85" s="247">
        <f t="shared" si="35"/>
        <v>-20</v>
      </c>
      <c r="AA85" s="247">
        <f t="shared" si="35"/>
        <v>-21</v>
      </c>
      <c r="AB85" s="247">
        <f t="shared" si="35"/>
        <v>-22</v>
      </c>
      <c r="AC85" s="247">
        <f t="shared" si="35"/>
        <v>-23</v>
      </c>
    </row>
    <row r="86" spans="1:31">
      <c r="A86" s="140" t="s">
        <v>630</v>
      </c>
      <c r="B86" s="244">
        <v>124786.36538454129</v>
      </c>
      <c r="C86" s="181" t="s">
        <v>577</v>
      </c>
      <c r="D86" s="177"/>
      <c r="E86" s="217" t="s">
        <v>631</v>
      </c>
      <c r="F86" s="248">
        <v>0</v>
      </c>
      <c r="G86" s="248">
        <v>0.59525259808410347</v>
      </c>
      <c r="H86" s="248">
        <v>1.861255513493294</v>
      </c>
      <c r="I86" s="248">
        <v>5.096519535901888</v>
      </c>
      <c r="J86" s="248">
        <v>9.7521049402274382</v>
      </c>
      <c r="K86" s="248">
        <v>15.873728818755009</v>
      </c>
      <c r="L86" s="248">
        <v>23.506786581219398</v>
      </c>
      <c r="M86" s="248">
        <v>27.247991574282203</v>
      </c>
      <c r="N86" s="248">
        <v>31.067145568024976</v>
      </c>
      <c r="O86" s="248">
        <v>34.964940243870203</v>
      </c>
      <c r="P86" s="248">
        <v>38.939258786605158</v>
      </c>
      <c r="Q86" s="248">
        <v>42.988655113868901</v>
      </c>
      <c r="R86" s="248">
        <v>47.114120959603945</v>
      </c>
      <c r="S86" s="248">
        <v>51.313436700752511</v>
      </c>
      <c r="T86" s="248">
        <v>53.084386804288258</v>
      </c>
      <c r="U86" s="248">
        <v>53.611892637472792</v>
      </c>
      <c r="V86" s="248">
        <v>54.133237782052383</v>
      </c>
      <c r="W86" s="248">
        <v>54.649562841430956</v>
      </c>
      <c r="X86" s="248">
        <v>55.162333794905102</v>
      </c>
      <c r="Y86" s="248">
        <v>55.671386166748874</v>
      </c>
      <c r="Z86" s="248">
        <v>56.177470824406868</v>
      </c>
      <c r="AA86" s="248">
        <v>56.680426867712363</v>
      </c>
      <c r="AB86" s="248">
        <v>57.179667904946726</v>
      </c>
      <c r="AC86" s="248">
        <v>57.67665633984732</v>
      </c>
    </row>
    <row r="87" spans="1:31">
      <c r="A87" s="140" t="s">
        <v>632</v>
      </c>
      <c r="B87" s="244">
        <v>7.5</v>
      </c>
      <c r="C87" s="140" t="s">
        <v>644</v>
      </c>
      <c r="E87" s="217" t="s">
        <v>645</v>
      </c>
      <c r="F87" s="150">
        <v>0</v>
      </c>
      <c r="G87" s="150">
        <v>1006.8519444907158</v>
      </c>
      <c r="H87" s="150">
        <v>3148.257964747278</v>
      </c>
      <c r="I87" s="150">
        <v>8620.6101768794178</v>
      </c>
      <c r="J87" s="150">
        <v>16495.393474214106</v>
      </c>
      <c r="K87" s="150">
        <v>26849.936949327894</v>
      </c>
      <c r="L87" s="150">
        <v>39761.025578396519</v>
      </c>
      <c r="M87" s="150">
        <v>46089.161791707833</v>
      </c>
      <c r="N87" s="150">
        <v>52549.146405443338</v>
      </c>
      <c r="O87" s="150">
        <v>59142.149378016373</v>
      </c>
      <c r="P87" s="150">
        <v>65864.590179883846</v>
      </c>
      <c r="Q87" s="150">
        <v>72714.022806035966</v>
      </c>
      <c r="R87" s="150">
        <v>79692.124744738438</v>
      </c>
      <c r="S87" s="150">
        <v>86795.141570056876</v>
      </c>
      <c r="T87" s="150">
        <v>89790.650638106454</v>
      </c>
      <c r="U87" s="150">
        <v>90682.910958483932</v>
      </c>
      <c r="V87" s="150">
        <v>91564.750658571371</v>
      </c>
      <c r="W87" s="150">
        <v>92438.099034870524</v>
      </c>
      <c r="X87" s="150">
        <v>93305.435747462005</v>
      </c>
      <c r="Y87" s="150">
        <v>94166.482590580679</v>
      </c>
      <c r="Z87" s="150">
        <v>95022.50963402394</v>
      </c>
      <c r="AA87" s="150">
        <v>95873.244719978102</v>
      </c>
      <c r="AB87" s="150">
        <v>96717.695984410806</v>
      </c>
      <c r="AC87" s="150">
        <v>97558.337039451377</v>
      </c>
    </row>
    <row r="88" spans="1:31">
      <c r="A88" s="181" t="s">
        <v>646</v>
      </c>
      <c r="B88" s="220">
        <v>40</v>
      </c>
      <c r="C88" s="140" t="s">
        <v>636</v>
      </c>
      <c r="E88" s="217" t="s">
        <v>634</v>
      </c>
      <c r="F88" s="150">
        <v>0</v>
      </c>
      <c r="G88" s="150">
        <v>1057.1945417152517</v>
      </c>
      <c r="H88" s="150">
        <v>2298.8189184939265</v>
      </c>
      <c r="I88" s="150">
        <v>5903.3827209761112</v>
      </c>
      <c r="J88" s="150">
        <v>8699.5529710453939</v>
      </c>
      <c r="K88" s="150">
        <v>11697.040322580182</v>
      </c>
      <c r="L88" s="150">
        <v>14899.13990798845</v>
      </c>
      <c r="M88" s="150">
        <v>8632.5943028967067</v>
      </c>
      <c r="N88" s="150">
        <v>9087.4419340076729</v>
      </c>
      <c r="O88" s="150">
        <v>9550.1104414738529</v>
      </c>
      <c r="P88" s="150">
        <v>10015.670310861666</v>
      </c>
      <c r="Q88" s="150">
        <v>10485.133766453919</v>
      </c>
      <c r="R88" s="150">
        <v>10962.708175939393</v>
      </c>
      <c r="S88" s="150">
        <v>11442.773903821282</v>
      </c>
      <c r="T88" s="150">
        <v>7485.0415999549004</v>
      </c>
      <c r="U88" s="150">
        <v>5426.4058683016747</v>
      </c>
      <c r="V88" s="150">
        <v>5460.077233016008</v>
      </c>
      <c r="W88" s="150">
        <v>5495.2533280426787</v>
      </c>
      <c r="X88" s="150">
        <v>5532.6084999645818</v>
      </c>
      <c r="Y88" s="150">
        <v>5569.3709726477091</v>
      </c>
      <c r="Z88" s="150">
        <v>5607.1525251444573</v>
      </c>
      <c r="AA88" s="150">
        <v>5644.3973219530671</v>
      </c>
      <c r="AB88" s="150">
        <v>5680.3360636532443</v>
      </c>
      <c r="AC88" s="150">
        <v>5718.5579070131398</v>
      </c>
    </row>
    <row r="89" spans="1:31">
      <c r="A89" s="181" t="s">
        <v>635</v>
      </c>
      <c r="B89" s="220">
        <v>25</v>
      </c>
      <c r="C89" s="181" t="s">
        <v>636</v>
      </c>
      <c r="D89" s="177"/>
      <c r="E89" s="140" t="s">
        <v>630</v>
      </c>
      <c r="F89" s="222">
        <f>B86</f>
        <v>124786.36538454129</v>
      </c>
      <c r="P89" s="140"/>
    </row>
    <row r="90" spans="1:31">
      <c r="A90" s="181" t="s">
        <v>647</v>
      </c>
      <c r="B90" s="220">
        <v>24</v>
      </c>
      <c r="C90" s="181" t="s">
        <v>644</v>
      </c>
      <c r="D90" s="177"/>
      <c r="E90" s="181" t="s">
        <v>638</v>
      </c>
      <c r="F90" s="249">
        <f t="shared" ref="F90:AC90" si="36">F87*$B$87*(1+$B$6)^F$2</f>
        <v>0</v>
      </c>
      <c r="G90" s="249">
        <f t="shared" si="36"/>
        <v>7740.1743232723775</v>
      </c>
      <c r="H90" s="249">
        <f t="shared" si="36"/>
        <v>24807.288931594565</v>
      </c>
      <c r="I90" s="249">
        <f t="shared" si="36"/>
        <v>69625.907109457767</v>
      </c>
      <c r="J90" s="249">
        <f t="shared" si="36"/>
        <v>136558.70964576773</v>
      </c>
      <c r="K90" s="249">
        <f t="shared" si="36"/>
        <v>227836.79385048768</v>
      </c>
      <c r="L90" s="249">
        <f t="shared" si="36"/>
        <v>345829.49748495611</v>
      </c>
      <c r="M90" s="249">
        <f t="shared" si="36"/>
        <v>410891.47515234305</v>
      </c>
      <c r="N90" s="249">
        <f t="shared" si="36"/>
        <v>480195.2418154878</v>
      </c>
      <c r="O90" s="249">
        <f t="shared" si="36"/>
        <v>553953.30240988499</v>
      </c>
      <c r="P90" s="249">
        <f t="shared" si="36"/>
        <v>632341.82924322353</v>
      </c>
      <c r="Q90" s="249">
        <f t="shared" si="36"/>
        <v>715553.24369142565</v>
      </c>
      <c r="R90" s="249">
        <f t="shared" si="36"/>
        <v>803827.85962230409</v>
      </c>
      <c r="S90" s="249">
        <f t="shared" si="36"/>
        <v>897360.4597039189</v>
      </c>
      <c r="T90" s="249">
        <f t="shared" si="36"/>
        <v>951538.79039884347</v>
      </c>
      <c r="U90" s="249">
        <f t="shared" si="36"/>
        <v>985019.20255412778</v>
      </c>
      <c r="V90" s="249">
        <f t="shared" si="36"/>
        <v>1019462.9025527416</v>
      </c>
      <c r="W90" s="249">
        <f t="shared" si="36"/>
        <v>1054916.2463996559</v>
      </c>
      <c r="X90" s="249">
        <f t="shared" si="36"/>
        <v>1091434.7720469988</v>
      </c>
      <c r="Y90" s="249">
        <f t="shared" si="36"/>
        <v>1129044.4865652062</v>
      </c>
      <c r="Z90" s="249">
        <f t="shared" si="36"/>
        <v>1167790.848629731</v>
      </c>
      <c r="AA90" s="249">
        <f t="shared" si="36"/>
        <v>1207702.2139252047</v>
      </c>
      <c r="AB90" s="249">
        <f t="shared" si="36"/>
        <v>1248798.1428495676</v>
      </c>
      <c r="AC90" s="249">
        <f t="shared" si="36"/>
        <v>1291143.6278149753</v>
      </c>
    </row>
    <row r="91" spans="1:31">
      <c r="A91" s="181" t="s">
        <v>648</v>
      </c>
      <c r="B91" s="220">
        <v>-37023.402005835385</v>
      </c>
      <c r="C91" s="181" t="s">
        <v>649</v>
      </c>
      <c r="E91" s="140" t="s">
        <v>654</v>
      </c>
      <c r="F91" s="249">
        <f t="shared" ref="F91:AC91" si="37">F88*$B$88*(1+$B$6)^F$2</f>
        <v>0</v>
      </c>
      <c r="G91" s="249">
        <f t="shared" si="37"/>
        <v>43344.976210325316</v>
      </c>
      <c r="H91" s="249">
        <f t="shared" si="37"/>
        <v>96607.865049707252</v>
      </c>
      <c r="I91" s="249">
        <f t="shared" si="37"/>
        <v>254291.90032024658</v>
      </c>
      <c r="J91" s="249">
        <f t="shared" si="37"/>
        <v>384107.14848459681</v>
      </c>
      <c r="K91" s="249">
        <f t="shared" si="37"/>
        <v>529365.09949920082</v>
      </c>
      <c r="L91" s="249">
        <f t="shared" si="37"/>
        <v>691137.37953308853</v>
      </c>
      <c r="M91" s="249">
        <f t="shared" si="37"/>
        <v>410457.67460202758</v>
      </c>
      <c r="N91" s="249">
        <f t="shared" si="37"/>
        <v>442886.62333392317</v>
      </c>
      <c r="O91" s="249">
        <f t="shared" si="37"/>
        <v>477071.17157068982</v>
      </c>
      <c r="P91" s="249">
        <f t="shared" si="37"/>
        <v>512836.19058801362</v>
      </c>
      <c r="Q91" s="249">
        <f t="shared" si="37"/>
        <v>550296.16480902885</v>
      </c>
      <c r="R91" s="249">
        <f t="shared" si="37"/>
        <v>589744.94837177615</v>
      </c>
      <c r="S91" s="249">
        <f t="shared" si="37"/>
        <v>630959.6084066832</v>
      </c>
      <c r="T91" s="249">
        <f t="shared" si="37"/>
        <v>423046.7131854347</v>
      </c>
      <c r="U91" s="249">
        <f t="shared" si="37"/>
        <v>314362.14678943611</v>
      </c>
      <c r="V91" s="249">
        <f t="shared" si="37"/>
        <v>324220.61366612156</v>
      </c>
      <c r="W91" s="249">
        <f t="shared" si="37"/>
        <v>334467.11254975386</v>
      </c>
      <c r="X91" s="249">
        <f t="shared" si="37"/>
        <v>345159.24314507458</v>
      </c>
      <c r="Y91" s="249">
        <f t="shared" si="37"/>
        <v>356139.03757489362</v>
      </c>
      <c r="Z91" s="249">
        <f t="shared" si="37"/>
        <v>367518.89243670052</v>
      </c>
      <c r="AA91" s="249">
        <f t="shared" si="37"/>
        <v>379209.09213861841</v>
      </c>
      <c r="AB91" s="249">
        <f t="shared" si="37"/>
        <v>391164.16383312561</v>
      </c>
      <c r="AC91" s="249">
        <f t="shared" si="37"/>
        <v>403641.13485289225</v>
      </c>
    </row>
    <row r="92" spans="1:31">
      <c r="A92" s="181"/>
      <c r="B92" s="181"/>
      <c r="C92" s="181"/>
      <c r="D92" s="177"/>
      <c r="E92" s="181" t="s">
        <v>639</v>
      </c>
      <c r="F92" s="249">
        <f>F87*$B$89*(1+$B$6)^F$2</f>
        <v>0</v>
      </c>
      <c r="G92" s="249">
        <f t="shared" ref="G92:AC92" si="38">G88*$B$89*(1+$B$6)^G$2</f>
        <v>27090.610131453323</v>
      </c>
      <c r="H92" s="249">
        <f t="shared" si="38"/>
        <v>60379.915656067031</v>
      </c>
      <c r="I92" s="249">
        <f t="shared" si="38"/>
        <v>158932.43770015411</v>
      </c>
      <c r="J92" s="249">
        <f t="shared" si="38"/>
        <v>240066.96780287303</v>
      </c>
      <c r="K92" s="249">
        <f t="shared" si="38"/>
        <v>330853.18718700047</v>
      </c>
      <c r="L92" s="249">
        <f t="shared" si="38"/>
        <v>431960.8622081803</v>
      </c>
      <c r="M92" s="249">
        <f t="shared" si="38"/>
        <v>256536.04662626726</v>
      </c>
      <c r="N92" s="249">
        <f t="shared" si="38"/>
        <v>276804.13958370197</v>
      </c>
      <c r="O92" s="249">
        <f t="shared" si="38"/>
        <v>298169.48223168118</v>
      </c>
      <c r="P92" s="249">
        <f t="shared" si="38"/>
        <v>320522.61911750853</v>
      </c>
      <c r="Q92" s="249">
        <f t="shared" si="38"/>
        <v>343935.10300564306</v>
      </c>
      <c r="R92" s="249">
        <f t="shared" si="38"/>
        <v>368590.59273236012</v>
      </c>
      <c r="S92" s="249">
        <f t="shared" si="38"/>
        <v>394349.75525417703</v>
      </c>
      <c r="T92" s="249">
        <f t="shared" si="38"/>
        <v>264404.19574089668</v>
      </c>
      <c r="U92" s="249">
        <f t="shared" si="38"/>
        <v>196476.34174339756</v>
      </c>
      <c r="V92" s="249">
        <f t="shared" si="38"/>
        <v>202637.88354132598</v>
      </c>
      <c r="W92" s="249">
        <f t="shared" si="38"/>
        <v>209041.94534359616</v>
      </c>
      <c r="X92" s="249">
        <f t="shared" si="38"/>
        <v>215724.5269656716</v>
      </c>
      <c r="Y92" s="249">
        <f t="shared" si="38"/>
        <v>222586.89848430848</v>
      </c>
      <c r="Z92" s="249">
        <f t="shared" si="38"/>
        <v>229699.30777293781</v>
      </c>
      <c r="AA92" s="249">
        <f t="shared" si="38"/>
        <v>237005.68258663648</v>
      </c>
      <c r="AB92" s="249">
        <f t="shared" si="38"/>
        <v>244477.60239570352</v>
      </c>
      <c r="AC92" s="249">
        <f t="shared" si="38"/>
        <v>252275.70928305766</v>
      </c>
    </row>
    <row r="93" spans="1:31">
      <c r="A93" s="181"/>
      <c r="B93" s="181"/>
      <c r="C93" s="249"/>
      <c r="D93" s="228"/>
      <c r="E93" s="140" t="s">
        <v>651</v>
      </c>
      <c r="F93" s="249">
        <f t="shared" ref="F93:AC93" si="39">F87*$B$90*(1+$B$6)^F$2</f>
        <v>0</v>
      </c>
      <c r="G93" s="249">
        <f t="shared" si="39"/>
        <v>24768.557834471605</v>
      </c>
      <c r="H93" s="249">
        <f t="shared" si="39"/>
        <v>79383.324581102614</v>
      </c>
      <c r="I93" s="249">
        <f t="shared" si="39"/>
        <v>222802.90275026485</v>
      </c>
      <c r="J93" s="249">
        <f t="shared" si="39"/>
        <v>436987.87086645671</v>
      </c>
      <c r="K93" s="249">
        <f t="shared" si="39"/>
        <v>729077.74032156053</v>
      </c>
      <c r="L93" s="249">
        <f t="shared" si="39"/>
        <v>1106654.3919518597</v>
      </c>
      <c r="M93" s="249">
        <f t="shared" si="39"/>
        <v>1314852.720487498</v>
      </c>
      <c r="N93" s="249">
        <f t="shared" si="39"/>
        <v>1536624.7738095608</v>
      </c>
      <c r="O93" s="249">
        <f t="shared" si="39"/>
        <v>1772650.5677116322</v>
      </c>
      <c r="P93" s="249">
        <f t="shared" si="39"/>
        <v>2023493.8535783153</v>
      </c>
      <c r="Q93" s="249">
        <f t="shared" si="39"/>
        <v>2289770.3798125624</v>
      </c>
      <c r="R93" s="249">
        <f t="shared" si="39"/>
        <v>2572249.1507913731</v>
      </c>
      <c r="S93" s="249">
        <f t="shared" si="39"/>
        <v>2871553.4710525405</v>
      </c>
      <c r="T93" s="249">
        <f t="shared" si="39"/>
        <v>3044924.1292762994</v>
      </c>
      <c r="U93" s="249">
        <f t="shared" si="39"/>
        <v>3152061.4481732086</v>
      </c>
      <c r="V93" s="249">
        <f t="shared" si="39"/>
        <v>3262281.2881687726</v>
      </c>
      <c r="W93" s="249">
        <f t="shared" si="39"/>
        <v>3375731.988478899</v>
      </c>
      <c r="X93" s="249">
        <f t="shared" si="39"/>
        <v>3492591.2705503968</v>
      </c>
      <c r="Y93" s="249">
        <f t="shared" si="39"/>
        <v>3612942.3570086593</v>
      </c>
      <c r="Z93" s="249">
        <f t="shared" si="39"/>
        <v>3736930.7156151389</v>
      </c>
      <c r="AA93" s="249">
        <f t="shared" si="39"/>
        <v>3864647.0845606555</v>
      </c>
      <c r="AB93" s="249">
        <f t="shared" si="39"/>
        <v>3996154.0571186161</v>
      </c>
      <c r="AC93" s="249">
        <f t="shared" si="39"/>
        <v>4131659.6090079215</v>
      </c>
    </row>
    <row r="94" spans="1:31">
      <c r="A94" s="181"/>
      <c r="B94" s="181"/>
      <c r="C94" s="249"/>
      <c r="D94" s="228"/>
      <c r="E94" s="192" t="s">
        <v>652</v>
      </c>
      <c r="F94" s="224">
        <f t="shared" ref="F94:AC94" si="40">$B$91*F86*(1+$B$6)^F85</f>
        <v>0</v>
      </c>
      <c r="G94" s="224">
        <f t="shared" si="40"/>
        <v>-21500.757301351925</v>
      </c>
      <c r="H94" s="224">
        <f t="shared" si="40"/>
        <v>-65589.540617860592</v>
      </c>
      <c r="I94" s="224">
        <f t="shared" si="40"/>
        <v>-175217.87935361516</v>
      </c>
      <c r="J94" s="224">
        <f t="shared" si="40"/>
        <v>-327099.00805805676</v>
      </c>
      <c r="K94" s="224">
        <f t="shared" si="40"/>
        <v>-519440.67286454735</v>
      </c>
      <c r="L94" s="224">
        <f t="shared" si="40"/>
        <v>-750458.00536060077</v>
      </c>
      <c r="M94" s="224">
        <f t="shared" si="40"/>
        <v>-848679.59659912495</v>
      </c>
      <c r="N94" s="224">
        <f t="shared" si="40"/>
        <v>-944032.07829652517</v>
      </c>
      <c r="O94" s="224">
        <f t="shared" si="40"/>
        <v>-1036559.7106406851</v>
      </c>
      <c r="P94" s="224">
        <f t="shared" si="40"/>
        <v>-1126225.4812793038</v>
      </c>
      <c r="Q94" s="224">
        <f t="shared" si="40"/>
        <v>-1213019.1634126408</v>
      </c>
      <c r="R94" s="224">
        <f t="shared" si="40"/>
        <v>-1297003.1492502932</v>
      </c>
      <c r="S94" s="224">
        <f t="shared" si="40"/>
        <v>-1378152.1753975409</v>
      </c>
      <c r="T94" s="224">
        <f t="shared" si="40"/>
        <v>-1390941.9719708434</v>
      </c>
      <c r="U94" s="224">
        <f t="shared" si="40"/>
        <v>-1370501.3921340425</v>
      </c>
      <c r="V94" s="224">
        <f t="shared" si="40"/>
        <v>-1350076.8177560628</v>
      </c>
      <c r="W94" s="224">
        <f t="shared" si="40"/>
        <v>-1329711.1280435668</v>
      </c>
      <c r="X94" s="224">
        <f t="shared" si="40"/>
        <v>-1309451.3796403306</v>
      </c>
      <c r="Y94" s="224">
        <f t="shared" si="40"/>
        <v>-1289302.7685332387</v>
      </c>
      <c r="Z94" s="224">
        <f t="shared" si="40"/>
        <v>-1269290.9913893621</v>
      </c>
      <c r="AA94" s="224">
        <f t="shared" si="40"/>
        <v>-1249419.4481586902</v>
      </c>
      <c r="AB94" s="224">
        <f t="shared" si="40"/>
        <v>-1229682.2742180303</v>
      </c>
      <c r="AC94" s="224">
        <f t="shared" si="40"/>
        <v>-1210117.3676301057</v>
      </c>
      <c r="AD94" s="231"/>
      <c r="AE94" s="231"/>
    </row>
    <row r="95" spans="1:31">
      <c r="A95" s="181"/>
      <c r="B95" s="181"/>
      <c r="C95" s="249"/>
      <c r="D95" s="228"/>
      <c r="E95" s="181" t="s">
        <v>216</v>
      </c>
      <c r="F95" s="259">
        <f>SUM(F89:F94)</f>
        <v>124786.36538454129</v>
      </c>
      <c r="G95" s="259">
        <f t="shared" ref="G95:AC95" si="41">SUM(G89:G94)</f>
        <v>81443.56119817069</v>
      </c>
      <c r="H95" s="259">
        <f t="shared" si="41"/>
        <v>195588.85360061086</v>
      </c>
      <c r="I95" s="259">
        <f t="shared" si="41"/>
        <v>530435.26852650824</v>
      </c>
      <c r="J95" s="259">
        <f t="shared" si="41"/>
        <v>870621.68874163763</v>
      </c>
      <c r="K95" s="259">
        <f t="shared" si="41"/>
        <v>1297692.147993702</v>
      </c>
      <c r="L95" s="259">
        <f t="shared" si="41"/>
        <v>1825124.125817484</v>
      </c>
      <c r="M95" s="259">
        <f t="shared" si="41"/>
        <v>1544058.320269011</v>
      </c>
      <c r="N95" s="259">
        <f t="shared" si="41"/>
        <v>1792478.7002461485</v>
      </c>
      <c r="O95" s="259">
        <f t="shared" si="41"/>
        <v>2065284.8132832032</v>
      </c>
      <c r="P95" s="259">
        <f t="shared" si="41"/>
        <v>2362969.0112477574</v>
      </c>
      <c r="Q95" s="259">
        <f t="shared" si="41"/>
        <v>2686535.727906019</v>
      </c>
      <c r="R95" s="259">
        <f t="shared" si="41"/>
        <v>3037409.4022675203</v>
      </c>
      <c r="S95" s="259">
        <f t="shared" si="41"/>
        <v>3416071.1190197789</v>
      </c>
      <c r="T95" s="259">
        <f t="shared" si="41"/>
        <v>3292971.8566306308</v>
      </c>
      <c r="U95" s="259">
        <f t="shared" si="41"/>
        <v>3277417.7471261276</v>
      </c>
      <c r="V95" s="259">
        <f t="shared" si="41"/>
        <v>3458525.8701728988</v>
      </c>
      <c r="W95" s="259">
        <f t="shared" si="41"/>
        <v>3644446.1647283379</v>
      </c>
      <c r="X95" s="259">
        <f t="shared" si="41"/>
        <v>3835458.4330678107</v>
      </c>
      <c r="Y95" s="259">
        <f t="shared" si="41"/>
        <v>4031410.0110998289</v>
      </c>
      <c r="Z95" s="259">
        <f t="shared" si="41"/>
        <v>4232648.7730651461</v>
      </c>
      <c r="AA95" s="259">
        <f t="shared" si="41"/>
        <v>4439144.6250524241</v>
      </c>
      <c r="AB95" s="259">
        <f t="shared" si="41"/>
        <v>4650911.6919789826</v>
      </c>
      <c r="AC95" s="259">
        <f t="shared" si="41"/>
        <v>4868602.7133287415</v>
      </c>
    </row>
    <row r="96" spans="1:31">
      <c r="A96" s="177"/>
      <c r="B96" s="181"/>
      <c r="C96" s="249"/>
      <c r="D96" s="228"/>
      <c r="E96" s="177" t="s">
        <v>641</v>
      </c>
      <c r="F96" s="261">
        <f>F95</f>
        <v>124786.36538454129</v>
      </c>
      <c r="G96" s="249">
        <v>82868.812561035156</v>
      </c>
      <c r="H96" s="249">
        <v>196516.83044433591</v>
      </c>
      <c r="I96" s="249">
        <v>527714.4775390625</v>
      </c>
      <c r="J96" s="249">
        <v>855944.9462890625</v>
      </c>
      <c r="K96" s="249">
        <v>1260809.814453125</v>
      </c>
      <c r="L96" s="249">
        <v>1756141.845703125</v>
      </c>
      <c r="M96" s="249">
        <v>1437378.41796875</v>
      </c>
      <c r="N96" s="249">
        <v>1645129.150390625</v>
      </c>
      <c r="O96" s="249">
        <v>1874298.33984375</v>
      </c>
      <c r="P96" s="249">
        <v>2127248.53515625</v>
      </c>
      <c r="Q96" s="249">
        <v>2393100.830078125</v>
      </c>
      <c r="R96" s="249">
        <v>2679718.994140625</v>
      </c>
      <c r="S96" s="249">
        <v>2994139.16015625</v>
      </c>
      <c r="T96" s="249">
        <v>2826852.294921875</v>
      </c>
      <c r="U96" s="249">
        <v>2763762.451171875</v>
      </c>
      <c r="V96" s="249">
        <v>2906729.00390625</v>
      </c>
      <c r="W96" s="249">
        <v>3056307.861328125</v>
      </c>
      <c r="X96" s="249">
        <v>3220708.49609375</v>
      </c>
      <c r="Y96" s="249">
        <v>3368326.416015625</v>
      </c>
      <c r="Z96" s="249">
        <v>3531477.05078125</v>
      </c>
      <c r="AA96" s="249">
        <v>3700907.470703125</v>
      </c>
      <c r="AB96" s="249">
        <v>3881521.728515625</v>
      </c>
      <c r="AC96" s="249">
        <v>4054695.80078125</v>
      </c>
    </row>
    <row r="97" spans="1:31">
      <c r="A97" s="181"/>
      <c r="B97" s="181"/>
      <c r="C97" s="249"/>
      <c r="D97" s="228"/>
      <c r="E97" s="185" t="s">
        <v>642</v>
      </c>
      <c r="F97" s="251">
        <f>F95</f>
        <v>124786.36538454129</v>
      </c>
      <c r="G97" s="224">
        <v>82868.812561035156</v>
      </c>
      <c r="H97" s="168">
        <v>196516.83044433591</v>
      </c>
      <c r="I97" s="168">
        <v>527714.4775390625</v>
      </c>
      <c r="J97" s="168">
        <v>855944.9462890625</v>
      </c>
      <c r="K97" s="168">
        <v>1260809.814453125</v>
      </c>
      <c r="L97" s="168">
        <v>1756141.845703125</v>
      </c>
      <c r="M97" s="168">
        <v>1437378.41796875</v>
      </c>
      <c r="N97" s="168">
        <v>1645129.150390625</v>
      </c>
      <c r="O97" s="168">
        <v>1874298.33984375</v>
      </c>
      <c r="P97" s="168">
        <v>2127248.53515625</v>
      </c>
      <c r="Q97" s="168">
        <v>2393100.830078125</v>
      </c>
      <c r="R97" s="168">
        <v>2679718.994140625</v>
      </c>
      <c r="S97" s="168">
        <v>2994139.16015625</v>
      </c>
      <c r="T97" s="168">
        <v>2826852.294921875</v>
      </c>
      <c r="U97" s="168">
        <v>2763762.451171875</v>
      </c>
      <c r="V97" s="168">
        <v>2906729.00390625</v>
      </c>
      <c r="W97" s="168">
        <v>3056307.861328125</v>
      </c>
      <c r="X97" s="168">
        <v>3220708.49609375</v>
      </c>
      <c r="Y97" s="168">
        <v>3368326.416015625</v>
      </c>
      <c r="Z97" s="168">
        <v>3531477.05078125</v>
      </c>
      <c r="AA97" s="168">
        <v>3700907.470703125</v>
      </c>
      <c r="AB97" s="168">
        <v>3881521.728515625</v>
      </c>
      <c r="AC97" s="168">
        <v>4054695.80078125</v>
      </c>
    </row>
    <row r="98" spans="1:31">
      <c r="E98" s="235" t="s">
        <v>643</v>
      </c>
      <c r="F98" s="255">
        <f>F97-F96</f>
        <v>0</v>
      </c>
      <c r="G98" s="255">
        <f t="shared" ref="G98:AC98" si="42">G97-G96</f>
        <v>0</v>
      </c>
      <c r="H98" s="255">
        <f t="shared" si="42"/>
        <v>0</v>
      </c>
      <c r="I98" s="255">
        <f t="shared" si="42"/>
        <v>0</v>
      </c>
      <c r="J98" s="255">
        <f t="shared" si="42"/>
        <v>0</v>
      </c>
      <c r="K98" s="255">
        <f t="shared" si="42"/>
        <v>0</v>
      </c>
      <c r="L98" s="255">
        <f t="shared" si="42"/>
        <v>0</v>
      </c>
      <c r="M98" s="255">
        <f t="shared" si="42"/>
        <v>0</v>
      </c>
      <c r="N98" s="255">
        <f t="shared" si="42"/>
        <v>0</v>
      </c>
      <c r="O98" s="255">
        <f t="shared" si="42"/>
        <v>0</v>
      </c>
      <c r="P98" s="255">
        <f t="shared" si="42"/>
        <v>0</v>
      </c>
      <c r="Q98" s="255">
        <f t="shared" si="42"/>
        <v>0</v>
      </c>
      <c r="R98" s="255">
        <f t="shared" si="42"/>
        <v>0</v>
      </c>
      <c r="S98" s="255">
        <f t="shared" si="42"/>
        <v>0</v>
      </c>
      <c r="T98" s="255">
        <f t="shared" si="42"/>
        <v>0</v>
      </c>
      <c r="U98" s="255">
        <f t="shared" si="42"/>
        <v>0</v>
      </c>
      <c r="V98" s="255">
        <f t="shared" si="42"/>
        <v>0</v>
      </c>
      <c r="W98" s="255">
        <f t="shared" si="42"/>
        <v>0</v>
      </c>
      <c r="X98" s="255">
        <f t="shared" si="42"/>
        <v>0</v>
      </c>
      <c r="Y98" s="255">
        <f t="shared" si="42"/>
        <v>0</v>
      </c>
      <c r="Z98" s="255">
        <f t="shared" si="42"/>
        <v>0</v>
      </c>
      <c r="AA98" s="255">
        <f t="shared" si="42"/>
        <v>0</v>
      </c>
      <c r="AB98" s="255">
        <f t="shared" si="42"/>
        <v>0</v>
      </c>
      <c r="AC98" s="255">
        <f t="shared" si="42"/>
        <v>0</v>
      </c>
    </row>
    <row r="99" spans="1:31">
      <c r="E99" s="177" t="s">
        <v>721</v>
      </c>
      <c r="F99" s="262"/>
      <c r="G99" s="262">
        <v>0.60000002384185791</v>
      </c>
      <c r="H99" s="262">
        <v>1.860000014305115</v>
      </c>
      <c r="I99" s="262">
        <v>5.0999999046325684</v>
      </c>
      <c r="J99" s="262">
        <v>9.75</v>
      </c>
      <c r="K99" s="262">
        <v>15.86999988555908</v>
      </c>
      <c r="L99" s="262">
        <v>23.510000228881839</v>
      </c>
      <c r="M99" s="262">
        <v>27.25</v>
      </c>
      <c r="N99" s="262">
        <v>31.069999694824219</v>
      </c>
      <c r="O99" s="262">
        <v>34.959999084472663</v>
      </c>
      <c r="P99" s="262">
        <v>38.939998626708977</v>
      </c>
      <c r="Q99" s="262">
        <v>42.990001678466797</v>
      </c>
      <c r="R99" s="262">
        <v>47.110000610351563</v>
      </c>
      <c r="S99" s="262">
        <v>51.310001373291023</v>
      </c>
      <c r="T99" s="262">
        <v>53.080001831054688</v>
      </c>
      <c r="U99" s="262">
        <v>53.610000610351563</v>
      </c>
      <c r="V99" s="262">
        <v>54.130001068115227</v>
      </c>
      <c r="W99" s="262">
        <v>54.650001525878913</v>
      </c>
      <c r="X99" s="262">
        <v>55.159999847412109</v>
      </c>
      <c r="Y99" s="262">
        <v>55.669998168945313</v>
      </c>
      <c r="Z99" s="262">
        <v>56.180000305175781</v>
      </c>
      <c r="AA99" s="262">
        <v>56.680000305175781</v>
      </c>
      <c r="AB99" s="262">
        <v>57.180000305175781</v>
      </c>
      <c r="AC99" s="262">
        <v>57.680000305175781</v>
      </c>
    </row>
    <row r="100" spans="1:31">
      <c r="E100" s="177" t="s">
        <v>722</v>
      </c>
      <c r="F100" s="252"/>
      <c r="G100" s="253">
        <v>0.60000002384185791</v>
      </c>
      <c r="H100" s="253">
        <v>1.860000014305115</v>
      </c>
      <c r="I100" s="253">
        <v>5.0999999046325684</v>
      </c>
      <c r="J100" s="253">
        <v>9.75</v>
      </c>
      <c r="K100" s="253">
        <v>15.86999988555908</v>
      </c>
      <c r="L100" s="253">
        <v>23.510000228881839</v>
      </c>
      <c r="M100" s="253">
        <v>27.25</v>
      </c>
      <c r="N100" s="253">
        <v>31.069999694824219</v>
      </c>
      <c r="O100" s="253">
        <v>34.959999084472663</v>
      </c>
      <c r="P100" s="253">
        <v>38.939998626708977</v>
      </c>
      <c r="Q100" s="253">
        <v>42.990001678466797</v>
      </c>
      <c r="R100" s="253">
        <v>47.110000610351563</v>
      </c>
      <c r="S100" s="253">
        <v>51.310001373291023</v>
      </c>
      <c r="T100" s="253">
        <v>53.080001831054688</v>
      </c>
      <c r="U100" s="253">
        <v>53.610000610351563</v>
      </c>
      <c r="V100" s="253">
        <v>54.130001068115227</v>
      </c>
      <c r="W100" s="253">
        <v>54.650001525878913</v>
      </c>
      <c r="X100" s="253">
        <v>55.159999847412109</v>
      </c>
      <c r="Y100" s="253">
        <v>55.669998168945313</v>
      </c>
      <c r="Z100" s="253">
        <v>56.180000305175781</v>
      </c>
      <c r="AA100" s="253">
        <v>56.680000305175781</v>
      </c>
      <c r="AB100" s="253">
        <v>57.180000305175781</v>
      </c>
      <c r="AC100" s="253">
        <v>57.680000305175781</v>
      </c>
    </row>
    <row r="101" spans="1:31" ht="13.5" thickBot="1">
      <c r="E101" s="177"/>
      <c r="F101" s="162"/>
      <c r="G101" s="162"/>
      <c r="H101" s="162"/>
      <c r="I101" s="162"/>
      <c r="J101" s="162"/>
      <c r="K101" s="162"/>
      <c r="L101" s="162"/>
      <c r="M101" s="162"/>
      <c r="N101" s="162"/>
      <c r="O101" s="162"/>
      <c r="P101" s="162"/>
      <c r="Q101" s="162"/>
      <c r="R101" s="162"/>
      <c r="S101" s="162"/>
      <c r="T101" s="162"/>
      <c r="U101" s="162"/>
      <c r="V101" s="162"/>
      <c r="W101" s="162"/>
      <c r="X101" s="162"/>
      <c r="Y101" s="162"/>
      <c r="Z101" s="162"/>
      <c r="AA101" s="162"/>
      <c r="AB101" s="162"/>
      <c r="AC101" s="162"/>
    </row>
    <row r="102" spans="1:31" ht="13.5" thickBot="1">
      <c r="A102" s="263" t="s">
        <v>655</v>
      </c>
      <c r="C102" s="212" t="s">
        <v>628</v>
      </c>
      <c r="D102" s="211"/>
      <c r="P102" s="140"/>
      <c r="AD102" s="215"/>
      <c r="AE102" s="215"/>
    </row>
    <row r="103" spans="1:31">
      <c r="A103" s="260"/>
      <c r="C103" s="214" t="s">
        <v>150</v>
      </c>
      <c r="F103" s="247">
        <v>0</v>
      </c>
      <c r="G103" s="247">
        <f>F103-1</f>
        <v>-1</v>
      </c>
      <c r="H103" s="247">
        <f t="shared" ref="H103:AC103" si="43">G103-1</f>
        <v>-2</v>
      </c>
      <c r="I103" s="247">
        <f t="shared" si="43"/>
        <v>-3</v>
      </c>
      <c r="J103" s="247">
        <f t="shared" si="43"/>
        <v>-4</v>
      </c>
      <c r="K103" s="247">
        <f t="shared" si="43"/>
        <v>-5</v>
      </c>
      <c r="L103" s="247">
        <f t="shared" si="43"/>
        <v>-6</v>
      </c>
      <c r="M103" s="247">
        <f t="shared" si="43"/>
        <v>-7</v>
      </c>
      <c r="N103" s="247">
        <f t="shared" si="43"/>
        <v>-8</v>
      </c>
      <c r="O103" s="247">
        <f t="shared" si="43"/>
        <v>-9</v>
      </c>
      <c r="P103" s="247">
        <f t="shared" si="43"/>
        <v>-10</v>
      </c>
      <c r="Q103" s="247">
        <f t="shared" si="43"/>
        <v>-11</v>
      </c>
      <c r="R103" s="247">
        <f t="shared" si="43"/>
        <v>-12</v>
      </c>
      <c r="S103" s="247">
        <f t="shared" si="43"/>
        <v>-13</v>
      </c>
      <c r="T103" s="247">
        <f t="shared" si="43"/>
        <v>-14</v>
      </c>
      <c r="U103" s="247">
        <f t="shared" si="43"/>
        <v>-15</v>
      </c>
      <c r="V103" s="247">
        <f t="shared" si="43"/>
        <v>-16</v>
      </c>
      <c r="W103" s="247">
        <f t="shared" si="43"/>
        <v>-17</v>
      </c>
      <c r="X103" s="247">
        <f t="shared" si="43"/>
        <v>-18</v>
      </c>
      <c r="Y103" s="247">
        <f t="shared" si="43"/>
        <v>-19</v>
      </c>
      <c r="Z103" s="247">
        <f t="shared" si="43"/>
        <v>-20</v>
      </c>
      <c r="AA103" s="247">
        <f t="shared" si="43"/>
        <v>-21</v>
      </c>
      <c r="AB103" s="247">
        <f t="shared" si="43"/>
        <v>-22</v>
      </c>
      <c r="AC103" s="247">
        <f t="shared" si="43"/>
        <v>-23</v>
      </c>
    </row>
    <row r="104" spans="1:31">
      <c r="A104" s="140" t="s">
        <v>630</v>
      </c>
      <c r="B104" s="244">
        <v>353.25535838606794</v>
      </c>
      <c r="C104" s="181" t="s">
        <v>577</v>
      </c>
      <c r="D104" s="177"/>
      <c r="E104" s="217" t="s">
        <v>631</v>
      </c>
      <c r="F104" s="248">
        <v>0</v>
      </c>
      <c r="G104" s="248">
        <v>7.7258791522692508E-2</v>
      </c>
      <c r="H104" s="248">
        <v>0.14577547250348166</v>
      </c>
      <c r="I104" s="248">
        <v>0.27370697947042461</v>
      </c>
      <c r="J104" s="248">
        <v>0.38300814201793287</v>
      </c>
      <c r="K104" s="248">
        <v>0.4729046218342372</v>
      </c>
      <c r="L104" s="248">
        <v>0.54263863153431402</v>
      </c>
      <c r="M104" s="248">
        <v>0.49290338142685952</v>
      </c>
      <c r="N104" s="248">
        <v>0.44194948303093501</v>
      </c>
      <c r="O104" s="248">
        <v>0.38977495041347798</v>
      </c>
      <c r="P104" s="248">
        <v>0.3363501747498458</v>
      </c>
      <c r="Q104" s="248">
        <v>0.28167142912590148</v>
      </c>
      <c r="R104" s="248">
        <v>0.22575505986937516</v>
      </c>
      <c r="S104" s="248">
        <v>0.16859753508300218</v>
      </c>
      <c r="T104" s="248">
        <v>0.1502755852169132</v>
      </c>
      <c r="U104" s="248">
        <v>0.1517688914894223</v>
      </c>
      <c r="V104" s="248">
        <v>0.15324475758523948</v>
      </c>
      <c r="W104" s="248">
        <v>0.15470641241693858</v>
      </c>
      <c r="X104" s="248">
        <v>0.15615800599754556</v>
      </c>
      <c r="Y104" s="248">
        <v>0.15759907271584284</v>
      </c>
      <c r="Z104" s="248">
        <v>0.15903173818825836</v>
      </c>
      <c r="AA104" s="248">
        <v>0.16045554692555758</v>
      </c>
      <c r="AB104" s="248">
        <v>0.16186883892253015</v>
      </c>
      <c r="AC104" s="248">
        <v>0.16327575407021888</v>
      </c>
    </row>
    <row r="105" spans="1:31">
      <c r="A105" s="140" t="s">
        <v>632</v>
      </c>
      <c r="B105" s="244">
        <v>7.5</v>
      </c>
      <c r="C105" s="181" t="s">
        <v>644</v>
      </c>
      <c r="D105" s="177"/>
      <c r="E105" s="217" t="s">
        <v>653</v>
      </c>
      <c r="F105" s="248">
        <v>0</v>
      </c>
      <c r="G105" s="248">
        <v>8.112173109882713E-2</v>
      </c>
      <c r="H105" s="248">
        <v>7.5805454605963232E-2</v>
      </c>
      <c r="I105" s="248">
        <v>0.14161685594046416</v>
      </c>
      <c r="J105" s="248">
        <v>0.12845156964840493</v>
      </c>
      <c r="K105" s="248">
        <v>0.11354171090801619</v>
      </c>
      <c r="L105" s="248">
        <v>9.6865941276792517E-2</v>
      </c>
      <c r="M105" s="248">
        <v>-2.509008103611152E-2</v>
      </c>
      <c r="N105" s="248">
        <v>-2.885642424437776E-2</v>
      </c>
      <c r="O105" s="248">
        <v>-3.2685785096783125E-2</v>
      </c>
      <c r="P105" s="248">
        <v>-3.6607266926139893E-2</v>
      </c>
      <c r="Q105" s="248">
        <v>-4.0595174167649239E-2</v>
      </c>
      <c r="R105" s="248">
        <v>-4.4628616263057565E-2</v>
      </c>
      <c r="S105" s="248">
        <v>-4.8727648032222876E-2</v>
      </c>
      <c r="T105" s="248">
        <v>-1.0808170605243323E-2</v>
      </c>
      <c r="U105" s="248">
        <v>9.0817508469802147E-3</v>
      </c>
      <c r="V105" s="248">
        <v>9.1381039750791544E-3</v>
      </c>
      <c r="W105" s="248">
        <v>9.196975452546035E-3</v>
      </c>
      <c r="X105" s="248">
        <v>9.259493880484259E-3</v>
      </c>
      <c r="Y105" s="248">
        <v>9.3210203540894151E-3</v>
      </c>
      <c r="Z105" s="248">
        <v>9.3842523818284413E-3</v>
      </c>
      <c r="AA105" s="248">
        <v>9.4465860835771E-3</v>
      </c>
      <c r="AB105" s="248">
        <v>9.5067339430990796E-3</v>
      </c>
      <c r="AC105" s="248">
        <v>9.5707028511996754E-3</v>
      </c>
    </row>
    <row r="106" spans="1:31">
      <c r="A106" s="181" t="s">
        <v>646</v>
      </c>
      <c r="B106" s="220">
        <v>315</v>
      </c>
      <c r="C106" s="140" t="s">
        <v>636</v>
      </c>
      <c r="E106" s="217" t="s">
        <v>645</v>
      </c>
      <c r="F106" s="150">
        <v>0</v>
      </c>
      <c r="G106" s="150">
        <v>318.81998880993478</v>
      </c>
      <c r="H106" s="150">
        <v>601.56434751729148</v>
      </c>
      <c r="I106" s="150">
        <v>1129.4928953985875</v>
      </c>
      <c r="J106" s="150">
        <v>1580.540533259634</v>
      </c>
      <c r="K106" s="150">
        <v>1951.5118379385119</v>
      </c>
      <c r="L106" s="150">
        <v>2239.2796861544671</v>
      </c>
      <c r="M106" s="150">
        <v>2034.039718376036</v>
      </c>
      <c r="N106" s="150">
        <v>1823.7708156888948</v>
      </c>
      <c r="O106" s="150">
        <v>1608.4647828424529</v>
      </c>
      <c r="P106" s="150">
        <v>1387.9994345817363</v>
      </c>
      <c r="Q106" s="150">
        <v>1162.3593912366775</v>
      </c>
      <c r="R106" s="150">
        <v>931.61210837992121</v>
      </c>
      <c r="S106" s="150">
        <v>695.74301110776764</v>
      </c>
      <c r="T106" s="150">
        <v>620.13473745819931</v>
      </c>
      <c r="U106" s="150">
        <v>626.29708972527169</v>
      </c>
      <c r="V106" s="150">
        <v>632.3874724879272</v>
      </c>
      <c r="W106" s="150">
        <v>638.41921033810343</v>
      </c>
      <c r="X106" s="150">
        <v>644.40942892688054</v>
      </c>
      <c r="Y106" s="150">
        <v>650.35620683974707</v>
      </c>
      <c r="Z106" s="150">
        <v>656.26831575164681</v>
      </c>
      <c r="AA106" s="150">
        <v>662.14387601794851</v>
      </c>
      <c r="AB106" s="150">
        <v>667.97603737822044</v>
      </c>
      <c r="AC106" s="150">
        <v>673.78188371366195</v>
      </c>
    </row>
    <row r="107" spans="1:31">
      <c r="A107" s="181" t="s">
        <v>635</v>
      </c>
      <c r="B107" s="220">
        <v>25</v>
      </c>
      <c r="C107" s="140" t="s">
        <v>636</v>
      </c>
      <c r="E107" s="217" t="s">
        <v>634</v>
      </c>
      <c r="F107" s="150">
        <v>0</v>
      </c>
      <c r="G107" s="150">
        <v>334.76098825043152</v>
      </c>
      <c r="H107" s="150">
        <v>312.82257608322129</v>
      </c>
      <c r="I107" s="150">
        <v>584.40319265122537</v>
      </c>
      <c r="J107" s="150">
        <v>530.07466452402821</v>
      </c>
      <c r="K107" s="150">
        <v>468.54689657580354</v>
      </c>
      <c r="L107" s="150">
        <v>399.73183252367852</v>
      </c>
      <c r="M107" s="150">
        <v>-103.53798185962923</v>
      </c>
      <c r="N107" s="150">
        <v>-119.0803619026965</v>
      </c>
      <c r="O107" s="150">
        <v>-134.88279370431923</v>
      </c>
      <c r="P107" s="150">
        <v>-151.06537653162979</v>
      </c>
      <c r="Q107" s="150">
        <v>-167.52207378322487</v>
      </c>
      <c r="R107" s="150">
        <v>-184.16667743776026</v>
      </c>
      <c r="S107" s="150">
        <v>-201.08194671676517</v>
      </c>
      <c r="T107" s="150">
        <v>-44.601536776658364</v>
      </c>
      <c r="U107" s="150">
        <v>37.477206753335963</v>
      </c>
      <c r="V107" s="150">
        <v>37.709756387051868</v>
      </c>
      <c r="W107" s="150">
        <v>37.952698367081396</v>
      </c>
      <c r="X107" s="150">
        <v>38.210690035121139</v>
      </c>
      <c r="Y107" s="150">
        <v>38.464588254853894</v>
      </c>
      <c r="Z107" s="150">
        <v>38.725524699482079</v>
      </c>
      <c r="AA107" s="150">
        <v>38.982754067199131</v>
      </c>
      <c r="AB107" s="150">
        <v>39.230963229182947</v>
      </c>
      <c r="AC107" s="150">
        <v>39.494940521124612</v>
      </c>
    </row>
    <row r="108" spans="1:31">
      <c r="A108" s="181" t="s">
        <v>647</v>
      </c>
      <c r="B108" s="220">
        <v>24</v>
      </c>
      <c r="C108" s="181" t="s">
        <v>644</v>
      </c>
      <c r="D108" s="177"/>
      <c r="E108" s="140" t="s">
        <v>630</v>
      </c>
      <c r="F108" s="222">
        <f>B104</f>
        <v>353.25535838606794</v>
      </c>
      <c r="P108" s="140"/>
    </row>
    <row r="109" spans="1:31">
      <c r="A109" s="181" t="s">
        <v>648</v>
      </c>
      <c r="B109" s="220">
        <v>-37023.402005835385</v>
      </c>
      <c r="C109" s="181" t="s">
        <v>649</v>
      </c>
      <c r="D109" s="177"/>
      <c r="E109" s="181" t="s">
        <v>638</v>
      </c>
      <c r="F109" s="249">
        <f t="shared" ref="F109:AC109" si="44">F106*$B$105*(1+$B$6)^F$2</f>
        <v>0</v>
      </c>
      <c r="G109" s="249">
        <f t="shared" si="44"/>
        <v>2450.9286639763732</v>
      </c>
      <c r="H109" s="249">
        <f t="shared" si="44"/>
        <v>4740.1390695776572</v>
      </c>
      <c r="I109" s="249">
        <f t="shared" si="44"/>
        <v>9122.5523254413329</v>
      </c>
      <c r="J109" s="249">
        <f t="shared" si="44"/>
        <v>13084.657610754713</v>
      </c>
      <c r="K109" s="249">
        <f t="shared" si="44"/>
        <v>16559.673907476827</v>
      </c>
      <c r="L109" s="249">
        <f t="shared" si="44"/>
        <v>19476.584351783713</v>
      </c>
      <c r="M109" s="249">
        <f t="shared" si="44"/>
        <v>18133.755267216729</v>
      </c>
      <c r="N109" s="249">
        <f t="shared" si="44"/>
        <v>16665.657346720316</v>
      </c>
      <c r="O109" s="249">
        <f t="shared" si="44"/>
        <v>15065.640793176393</v>
      </c>
      <c r="P109" s="249">
        <f t="shared" si="44"/>
        <v>13325.674676710225</v>
      </c>
      <c r="Q109" s="249">
        <f t="shared" si="44"/>
        <v>11438.371866087347</v>
      </c>
      <c r="R109" s="249">
        <f t="shared" si="44"/>
        <v>9396.8603481951486</v>
      </c>
      <c r="S109" s="249">
        <f t="shared" si="44"/>
        <v>7193.170688932214</v>
      </c>
      <c r="T109" s="249">
        <f t="shared" si="44"/>
        <v>6571.756121286563</v>
      </c>
      <c r="U109" s="249">
        <f t="shared" si="44"/>
        <v>6802.9869504916023</v>
      </c>
      <c r="V109" s="249">
        <f t="shared" si="44"/>
        <v>7040.8706800774135</v>
      </c>
      <c r="W109" s="249">
        <f t="shared" si="44"/>
        <v>7285.7274655253068</v>
      </c>
      <c r="X109" s="249">
        <f t="shared" si="44"/>
        <v>7537.9408769855936</v>
      </c>
      <c r="Y109" s="249">
        <f t="shared" si="44"/>
        <v>7797.6905310183702</v>
      </c>
      <c r="Z109" s="249">
        <f t="shared" si="44"/>
        <v>8065.2903857425254</v>
      </c>
      <c r="AA109" s="249">
        <f t="shared" si="44"/>
        <v>8340.9362783072338</v>
      </c>
      <c r="AB109" s="249">
        <f t="shared" si="44"/>
        <v>8624.7633016442833</v>
      </c>
      <c r="AC109" s="249">
        <f t="shared" si="44"/>
        <v>8917.2203226697966</v>
      </c>
    </row>
    <row r="110" spans="1:31">
      <c r="A110" s="181"/>
      <c r="B110" s="181"/>
      <c r="E110" s="140" t="s">
        <v>654</v>
      </c>
      <c r="F110" s="249">
        <f t="shared" ref="F110:AC110" si="45">IF(F105&lt;0,0,F107*$B$106*(1+$B$6)^F$2)</f>
        <v>0</v>
      </c>
      <c r="G110" s="249">
        <f t="shared" si="45"/>
        <v>108085.95408135807</v>
      </c>
      <c r="H110" s="249">
        <f t="shared" si="45"/>
        <v>103527.65398419181</v>
      </c>
      <c r="I110" s="249">
        <f t="shared" si="45"/>
        <v>198241.57060664461</v>
      </c>
      <c r="J110" s="249">
        <f t="shared" si="45"/>
        <v>184307.52302403355</v>
      </c>
      <c r="K110" s="249">
        <f t="shared" si="45"/>
        <v>166987.10917673763</v>
      </c>
      <c r="L110" s="249">
        <f t="shared" si="45"/>
        <v>146023.4081967845</v>
      </c>
      <c r="M110" s="249">
        <f t="shared" si="45"/>
        <v>0</v>
      </c>
      <c r="N110" s="249">
        <f t="shared" si="45"/>
        <v>0</v>
      </c>
      <c r="O110" s="249">
        <f t="shared" si="45"/>
        <v>0</v>
      </c>
      <c r="P110" s="249">
        <f t="shared" si="45"/>
        <v>0</v>
      </c>
      <c r="Q110" s="249">
        <f t="shared" si="45"/>
        <v>0</v>
      </c>
      <c r="R110" s="249">
        <f t="shared" si="45"/>
        <v>0</v>
      </c>
      <c r="S110" s="249">
        <f t="shared" si="45"/>
        <v>0</v>
      </c>
      <c r="T110" s="249">
        <f t="shared" si="45"/>
        <v>0</v>
      </c>
      <c r="U110" s="249">
        <f t="shared" si="45"/>
        <v>17097.623495293032</v>
      </c>
      <c r="V110" s="249">
        <f t="shared" si="45"/>
        <v>17633.808772750504</v>
      </c>
      <c r="W110" s="249">
        <f t="shared" si="45"/>
        <v>18191.09845233339</v>
      </c>
      <c r="X110" s="249">
        <f t="shared" si="45"/>
        <v>18772.625284200185</v>
      </c>
      <c r="Y110" s="249">
        <f t="shared" si="45"/>
        <v>19369.797663680391</v>
      </c>
      <c r="Z110" s="249">
        <f t="shared" si="45"/>
        <v>19988.728650904581</v>
      </c>
      <c r="AA110" s="249">
        <f t="shared" si="45"/>
        <v>20624.538767133268</v>
      </c>
      <c r="AB110" s="249">
        <f t="shared" si="45"/>
        <v>21274.75482138653</v>
      </c>
      <c r="AC110" s="249">
        <f t="shared" si="45"/>
        <v>21953.356093951592</v>
      </c>
    </row>
    <row r="111" spans="1:31">
      <c r="A111" s="181"/>
      <c r="B111" s="181"/>
      <c r="C111" s="181"/>
      <c r="D111" s="177"/>
      <c r="E111" s="181" t="s">
        <v>639</v>
      </c>
      <c r="F111" s="249">
        <f t="shared" ref="F111:AC111" si="46">IF(F105&lt;0,0,F107*$B$107*(1+$B$6)^F$2)</f>
        <v>0</v>
      </c>
      <c r="G111" s="249">
        <f t="shared" si="46"/>
        <v>8578.2503239173075</v>
      </c>
      <c r="H111" s="249">
        <f t="shared" si="46"/>
        <v>8216.4804749358591</v>
      </c>
      <c r="I111" s="249">
        <f t="shared" si="46"/>
        <v>15733.457984654337</v>
      </c>
      <c r="J111" s="249">
        <f t="shared" si="46"/>
        <v>14627.581192383614</v>
      </c>
      <c r="K111" s="249">
        <f t="shared" si="46"/>
        <v>13252.945172756956</v>
      </c>
      <c r="L111" s="249">
        <f t="shared" si="46"/>
        <v>11589.159380697183</v>
      </c>
      <c r="M111" s="249">
        <f t="shared" si="46"/>
        <v>0</v>
      </c>
      <c r="N111" s="249">
        <f t="shared" si="46"/>
        <v>0</v>
      </c>
      <c r="O111" s="249">
        <f t="shared" si="46"/>
        <v>0</v>
      </c>
      <c r="P111" s="249">
        <f t="shared" si="46"/>
        <v>0</v>
      </c>
      <c r="Q111" s="249">
        <f t="shared" si="46"/>
        <v>0</v>
      </c>
      <c r="R111" s="249">
        <f t="shared" si="46"/>
        <v>0</v>
      </c>
      <c r="S111" s="249">
        <f t="shared" si="46"/>
        <v>0</v>
      </c>
      <c r="T111" s="249">
        <f t="shared" si="46"/>
        <v>0</v>
      </c>
      <c r="U111" s="249">
        <f t="shared" si="46"/>
        <v>1356.9542456581769</v>
      </c>
      <c r="V111" s="249">
        <f t="shared" si="46"/>
        <v>1399.5086327579766</v>
      </c>
      <c r="W111" s="249">
        <f t="shared" si="46"/>
        <v>1443.7379724074121</v>
      </c>
      <c r="X111" s="249">
        <f t="shared" si="46"/>
        <v>1489.890895571443</v>
      </c>
      <c r="Y111" s="249">
        <f t="shared" si="46"/>
        <v>1537.2855288635233</v>
      </c>
      <c r="Z111" s="249">
        <f t="shared" si="46"/>
        <v>1586.4070357860778</v>
      </c>
      <c r="AA111" s="249">
        <f t="shared" si="46"/>
        <v>1636.8681561216879</v>
      </c>
      <c r="AB111" s="249">
        <f t="shared" si="46"/>
        <v>1688.4726048719467</v>
      </c>
      <c r="AC111" s="249">
        <f t="shared" si="46"/>
        <v>1742.3298487263169</v>
      </c>
    </row>
    <row r="112" spans="1:31">
      <c r="A112" s="181"/>
      <c r="B112" s="181"/>
      <c r="C112" s="249"/>
      <c r="D112" s="228"/>
      <c r="E112" s="140" t="s">
        <v>651</v>
      </c>
      <c r="F112" s="249">
        <f t="shared" ref="F112:AC112" si="47">F106*$B$108*(1+$B$6)^F$2</f>
        <v>0</v>
      </c>
      <c r="G112" s="249">
        <f t="shared" si="47"/>
        <v>7842.9717247243952</v>
      </c>
      <c r="H112" s="249">
        <f t="shared" si="47"/>
        <v>15168.445022648504</v>
      </c>
      <c r="I112" s="249">
        <f t="shared" si="47"/>
        <v>29192.167441412268</v>
      </c>
      <c r="J112" s="249">
        <f t="shared" si="47"/>
        <v>41870.904354415085</v>
      </c>
      <c r="K112" s="249">
        <f t="shared" si="47"/>
        <v>52990.956503925838</v>
      </c>
      <c r="L112" s="249">
        <f t="shared" si="47"/>
        <v>62325.069925707889</v>
      </c>
      <c r="M112" s="249">
        <f t="shared" si="47"/>
        <v>58028.016855093527</v>
      </c>
      <c r="N112" s="249">
        <f t="shared" si="47"/>
        <v>53330.10350950501</v>
      </c>
      <c r="O112" s="249">
        <f t="shared" si="47"/>
        <v>48210.050538164454</v>
      </c>
      <c r="P112" s="249">
        <f t="shared" si="47"/>
        <v>42642.158965472721</v>
      </c>
      <c r="Q112" s="249">
        <f t="shared" si="47"/>
        <v>36602.789971479513</v>
      </c>
      <c r="R112" s="249">
        <f t="shared" si="47"/>
        <v>30069.953114224478</v>
      </c>
      <c r="S112" s="249">
        <f t="shared" si="47"/>
        <v>23018.146204583089</v>
      </c>
      <c r="T112" s="249">
        <f t="shared" si="47"/>
        <v>21029.619588117006</v>
      </c>
      <c r="U112" s="249">
        <f t="shared" si="47"/>
        <v>21769.558241573126</v>
      </c>
      <c r="V112" s="249">
        <f t="shared" si="47"/>
        <v>22530.786176247722</v>
      </c>
      <c r="W112" s="249">
        <f t="shared" si="47"/>
        <v>23314.327889680982</v>
      </c>
      <c r="X112" s="249">
        <f t="shared" si="47"/>
        <v>24121.410806353895</v>
      </c>
      <c r="Y112" s="249">
        <f t="shared" si="47"/>
        <v>24952.609699258788</v>
      </c>
      <c r="Z112" s="249">
        <f t="shared" si="47"/>
        <v>25808.929234376086</v>
      </c>
      <c r="AA112" s="249">
        <f t="shared" si="47"/>
        <v>26690.996090583147</v>
      </c>
      <c r="AB112" s="249">
        <f t="shared" si="47"/>
        <v>27599.242565261706</v>
      </c>
      <c r="AC112" s="249">
        <f t="shared" si="47"/>
        <v>28535.105032543346</v>
      </c>
    </row>
    <row r="113" spans="1:31">
      <c r="A113" s="181"/>
      <c r="B113" s="181"/>
      <c r="C113" s="249"/>
      <c r="D113" s="228"/>
      <c r="E113" s="192" t="s">
        <v>652</v>
      </c>
      <c r="F113" s="224">
        <f t="shared" ref="F113:AC113" si="48">$B$109*F104*(1+$B$6)^F103</f>
        <v>0</v>
      </c>
      <c r="G113" s="224">
        <f t="shared" si="48"/>
        <v>-2790.6178507606555</v>
      </c>
      <c r="H113" s="224">
        <f t="shared" si="48"/>
        <v>-5137.0412098389097</v>
      </c>
      <c r="I113" s="224">
        <f t="shared" si="48"/>
        <v>-9410.0211270169293</v>
      </c>
      <c r="J113" s="224">
        <f t="shared" si="48"/>
        <v>-12846.619688785195</v>
      </c>
      <c r="K113" s="224">
        <f t="shared" si="48"/>
        <v>-15474.996314419634</v>
      </c>
      <c r="L113" s="224">
        <f t="shared" si="48"/>
        <v>-17323.827042280598</v>
      </c>
      <c r="M113" s="224">
        <f t="shared" si="48"/>
        <v>-15352.215658585163</v>
      </c>
      <c r="N113" s="224">
        <f t="shared" si="48"/>
        <v>-13429.443913803761</v>
      </c>
      <c r="O113" s="224">
        <f t="shared" si="48"/>
        <v>-11555.146583910229</v>
      </c>
      <c r="P113" s="224">
        <f t="shared" si="48"/>
        <v>-9728.129123154491</v>
      </c>
      <c r="Q113" s="224">
        <f t="shared" si="48"/>
        <v>-7947.9769816133248</v>
      </c>
      <c r="R113" s="224">
        <f t="shared" si="48"/>
        <v>-6214.8039196321124</v>
      </c>
      <c r="S113" s="224">
        <f t="shared" si="48"/>
        <v>-4528.1133886301404</v>
      </c>
      <c r="T113" s="224">
        <f t="shared" si="48"/>
        <v>-3937.5912848220064</v>
      </c>
      <c r="U113" s="224">
        <f t="shared" si="48"/>
        <v>-3879.7264344946757</v>
      </c>
      <c r="V113" s="224">
        <f t="shared" si="48"/>
        <v>-3821.9068937175875</v>
      </c>
      <c r="W113" s="224">
        <f t="shared" si="48"/>
        <v>-3764.2540484247756</v>
      </c>
      <c r="X113" s="224">
        <f t="shared" si="48"/>
        <v>-3706.9011103778817</v>
      </c>
      <c r="Y113" s="224">
        <f t="shared" si="48"/>
        <v>-3649.8627887977655</v>
      </c>
      <c r="Z113" s="224">
        <f t="shared" si="48"/>
        <v>-3593.21182789256</v>
      </c>
      <c r="AA113" s="224">
        <f t="shared" si="48"/>
        <v>-3536.9578525162974</v>
      </c>
      <c r="AB113" s="224">
        <f t="shared" si="48"/>
        <v>-3481.0842606182559</v>
      </c>
      <c r="AC113" s="224">
        <f t="shared" si="48"/>
        <v>-3425.6983371064271</v>
      </c>
    </row>
    <row r="114" spans="1:31">
      <c r="A114" s="181"/>
      <c r="B114" s="181"/>
      <c r="C114" s="249"/>
      <c r="D114" s="228"/>
      <c r="E114" s="181" t="s">
        <v>216</v>
      </c>
      <c r="F114" s="259">
        <f>SUM(F108:F113)</f>
        <v>353.25535838606794</v>
      </c>
      <c r="G114" s="259">
        <f>SUM(G108:G113)</f>
        <v>124167.4869432155</v>
      </c>
      <c r="H114" s="259">
        <f t="shared" ref="H114:AC114" si="49">SUM(H108:H113)</f>
        <v>126515.67734151494</v>
      </c>
      <c r="I114" s="259">
        <f t="shared" si="49"/>
        <v>242879.72723113565</v>
      </c>
      <c r="J114" s="259">
        <f t="shared" si="49"/>
        <v>241044.04649280175</v>
      </c>
      <c r="K114" s="259">
        <f t="shared" si="49"/>
        <v>234315.68844647764</v>
      </c>
      <c r="L114" s="259">
        <f t="shared" si="49"/>
        <v>222090.39481269266</v>
      </c>
      <c r="M114" s="259">
        <f t="shared" si="49"/>
        <v>60809.556463725094</v>
      </c>
      <c r="N114" s="259">
        <f t="shared" si="49"/>
        <v>56566.316942421567</v>
      </c>
      <c r="O114" s="259">
        <f t="shared" si="49"/>
        <v>51720.544747430613</v>
      </c>
      <c r="P114" s="259">
        <f t="shared" si="49"/>
        <v>46239.704519028455</v>
      </c>
      <c r="Q114" s="259">
        <f t="shared" si="49"/>
        <v>40093.184855953536</v>
      </c>
      <c r="R114" s="259">
        <f t="shared" si="49"/>
        <v>33252.009542787513</v>
      </c>
      <c r="S114" s="259">
        <f t="shared" si="49"/>
        <v>25683.203504885161</v>
      </c>
      <c r="T114" s="259">
        <f t="shared" si="49"/>
        <v>23663.784424581561</v>
      </c>
      <c r="U114" s="259">
        <f t="shared" si="49"/>
        <v>43147.396498521266</v>
      </c>
      <c r="V114" s="259">
        <f t="shared" si="49"/>
        <v>44783.067368116026</v>
      </c>
      <c r="W114" s="259">
        <f t="shared" si="49"/>
        <v>46470.637731522322</v>
      </c>
      <c r="X114" s="259">
        <f t="shared" si="49"/>
        <v>48214.966752733235</v>
      </c>
      <c r="Y114" s="259">
        <f t="shared" si="49"/>
        <v>50007.520634023305</v>
      </c>
      <c r="Z114" s="259">
        <f t="shared" si="49"/>
        <v>51856.143478916711</v>
      </c>
      <c r="AA114" s="259">
        <f t="shared" si="49"/>
        <v>53756.38143962904</v>
      </c>
      <c r="AB114" s="259">
        <f t="shared" si="49"/>
        <v>55706.149032546207</v>
      </c>
      <c r="AC114" s="259">
        <f t="shared" si="49"/>
        <v>57722.31296078462</v>
      </c>
    </row>
    <row r="115" spans="1:31">
      <c r="A115" s="264" t="s">
        <v>656</v>
      </c>
      <c r="B115" s="181"/>
      <c r="C115" s="249"/>
      <c r="D115" s="228"/>
      <c r="E115" s="177" t="s">
        <v>641</v>
      </c>
      <c r="F115" s="249"/>
      <c r="G115" s="249"/>
      <c r="H115" s="249"/>
      <c r="I115" s="249"/>
      <c r="J115" s="249"/>
      <c r="K115" s="249"/>
      <c r="L115" s="249"/>
      <c r="M115" s="249"/>
      <c r="N115" s="249"/>
      <c r="O115" s="249"/>
      <c r="P115" s="249"/>
      <c r="Q115" s="249"/>
      <c r="R115" s="249"/>
      <c r="S115" s="249"/>
      <c r="T115" s="249"/>
      <c r="U115" s="249"/>
      <c r="V115" s="249"/>
      <c r="W115" s="249"/>
      <c r="X115" s="249"/>
      <c r="Y115" s="249"/>
      <c r="Z115" s="249"/>
      <c r="AA115" s="249"/>
      <c r="AB115" s="249"/>
      <c r="AC115" s="249"/>
    </row>
    <row r="116" spans="1:31">
      <c r="A116" s="177"/>
      <c r="B116" s="215"/>
      <c r="C116" s="228"/>
      <c r="D116" s="228"/>
      <c r="E116" s="185" t="s">
        <v>642</v>
      </c>
      <c r="F116" s="265"/>
      <c r="G116" s="266"/>
      <c r="H116" s="266"/>
      <c r="I116" s="266"/>
      <c r="J116" s="266"/>
      <c r="K116" s="266"/>
      <c r="L116" s="266"/>
      <c r="M116" s="266"/>
      <c r="N116" s="266"/>
      <c r="O116" s="266"/>
      <c r="P116" s="266"/>
      <c r="Q116" s="266"/>
      <c r="R116" s="266"/>
      <c r="S116" s="266"/>
      <c r="T116" s="266"/>
      <c r="U116" s="266"/>
      <c r="V116" s="266"/>
      <c r="W116" s="266"/>
      <c r="X116" s="266"/>
      <c r="Y116" s="266"/>
      <c r="Z116" s="266"/>
      <c r="AA116" s="266"/>
      <c r="AB116" s="266"/>
      <c r="AC116" s="266"/>
      <c r="AD116" s="256"/>
      <c r="AE116" s="256"/>
    </row>
    <row r="117" spans="1:31">
      <c r="E117" s="177" t="s">
        <v>643</v>
      </c>
      <c r="F117" s="267">
        <f>F116-F115</f>
        <v>0</v>
      </c>
      <c r="G117" s="267">
        <f t="shared" ref="G117:AC117" si="50">G116-G115</f>
        <v>0</v>
      </c>
      <c r="H117" s="267">
        <f t="shared" si="50"/>
        <v>0</v>
      </c>
      <c r="I117" s="267">
        <f t="shared" si="50"/>
        <v>0</v>
      </c>
      <c r="J117" s="267">
        <f t="shared" si="50"/>
        <v>0</v>
      </c>
      <c r="K117" s="267">
        <f t="shared" si="50"/>
        <v>0</v>
      </c>
      <c r="L117" s="267">
        <f t="shared" si="50"/>
        <v>0</v>
      </c>
      <c r="M117" s="267">
        <f t="shared" si="50"/>
        <v>0</v>
      </c>
      <c r="N117" s="267">
        <f t="shared" si="50"/>
        <v>0</v>
      </c>
      <c r="O117" s="267">
        <f t="shared" si="50"/>
        <v>0</v>
      </c>
      <c r="P117" s="267">
        <f t="shared" si="50"/>
        <v>0</v>
      </c>
      <c r="Q117" s="267">
        <f t="shared" si="50"/>
        <v>0</v>
      </c>
      <c r="R117" s="267">
        <f t="shared" si="50"/>
        <v>0</v>
      </c>
      <c r="S117" s="267">
        <f t="shared" si="50"/>
        <v>0</v>
      </c>
      <c r="T117" s="267">
        <f t="shared" si="50"/>
        <v>0</v>
      </c>
      <c r="U117" s="267">
        <f t="shared" si="50"/>
        <v>0</v>
      </c>
      <c r="V117" s="267">
        <f t="shared" si="50"/>
        <v>0</v>
      </c>
      <c r="W117" s="267">
        <f t="shared" si="50"/>
        <v>0</v>
      </c>
      <c r="X117" s="267">
        <f t="shared" si="50"/>
        <v>0</v>
      </c>
      <c r="Y117" s="267">
        <f t="shared" si="50"/>
        <v>0</v>
      </c>
      <c r="Z117" s="267">
        <f t="shared" si="50"/>
        <v>0</v>
      </c>
      <c r="AA117" s="267">
        <f t="shared" si="50"/>
        <v>0</v>
      </c>
      <c r="AB117" s="267">
        <f t="shared" si="50"/>
        <v>0</v>
      </c>
      <c r="AC117" s="267">
        <f t="shared" si="50"/>
        <v>0</v>
      </c>
    </row>
    <row r="118" spans="1:31">
      <c r="E118" s="177" t="s">
        <v>721</v>
      </c>
      <c r="F118" s="252"/>
      <c r="G118" s="252"/>
      <c r="H118" s="252"/>
      <c r="I118" s="252"/>
      <c r="J118" s="252"/>
      <c r="K118" s="252"/>
      <c r="L118" s="252"/>
      <c r="M118" s="252"/>
      <c r="N118" s="252"/>
      <c r="O118" s="252"/>
      <c r="P118" s="252"/>
      <c r="Q118" s="252"/>
      <c r="R118" s="252"/>
      <c r="S118" s="252"/>
      <c r="T118" s="252"/>
      <c r="U118" s="252"/>
      <c r="V118" s="252"/>
      <c r="W118" s="252"/>
      <c r="X118" s="252"/>
      <c r="Y118" s="252"/>
      <c r="Z118" s="252"/>
      <c r="AA118" s="252"/>
      <c r="AB118" s="252"/>
      <c r="AC118" s="252"/>
    </row>
    <row r="119" spans="1:31">
      <c r="E119" s="177" t="s">
        <v>722</v>
      </c>
      <c r="F119" s="252"/>
      <c r="G119" s="252"/>
      <c r="H119" s="252"/>
      <c r="I119" s="252"/>
      <c r="J119" s="252"/>
      <c r="K119" s="252"/>
      <c r="L119" s="252"/>
      <c r="M119" s="252"/>
      <c r="N119" s="252"/>
      <c r="O119" s="252"/>
      <c r="P119" s="252"/>
      <c r="Q119" s="252"/>
      <c r="R119" s="252"/>
      <c r="S119" s="252"/>
      <c r="T119" s="252"/>
      <c r="U119" s="252"/>
      <c r="V119" s="252"/>
      <c r="W119" s="252"/>
      <c r="X119" s="252"/>
      <c r="Y119" s="252"/>
      <c r="Z119" s="252"/>
      <c r="AA119" s="252"/>
      <c r="AB119" s="252"/>
      <c r="AC119" s="252"/>
    </row>
    <row r="120" spans="1:31" ht="13.5" thickBot="1">
      <c r="A120" s="260"/>
      <c r="E120" s="177"/>
      <c r="F120" s="162"/>
      <c r="G120" s="162"/>
      <c r="H120" s="162"/>
      <c r="I120" s="162"/>
      <c r="J120" s="162"/>
      <c r="K120" s="162"/>
      <c r="L120" s="162"/>
      <c r="M120" s="162"/>
      <c r="N120" s="162"/>
      <c r="O120" s="162"/>
      <c r="P120" s="162"/>
      <c r="Q120" s="162"/>
      <c r="R120" s="162"/>
      <c r="S120" s="162"/>
      <c r="T120" s="162"/>
      <c r="U120" s="162"/>
      <c r="V120" s="162"/>
      <c r="W120" s="162"/>
      <c r="X120" s="162"/>
      <c r="Y120" s="162"/>
      <c r="Z120" s="162"/>
      <c r="AA120" s="162"/>
      <c r="AB120" s="162"/>
      <c r="AC120" s="162"/>
    </row>
    <row r="121" spans="1:31" ht="13.5" thickBot="1">
      <c r="A121" s="260">
        <v>8</v>
      </c>
      <c r="C121" s="212" t="s">
        <v>628</v>
      </c>
      <c r="D121" s="211"/>
      <c r="P121" s="140"/>
    </row>
    <row r="122" spans="1:31">
      <c r="C122" s="214" t="s">
        <v>151</v>
      </c>
      <c r="F122" s="247">
        <v>0</v>
      </c>
      <c r="G122" s="247">
        <f>F122-1</f>
        <v>-1</v>
      </c>
      <c r="H122" s="247">
        <f t="shared" ref="H122:AC122" si="51">G122-1</f>
        <v>-2</v>
      </c>
      <c r="I122" s="247">
        <f t="shared" si="51"/>
        <v>-3</v>
      </c>
      <c r="J122" s="247">
        <f t="shared" si="51"/>
        <v>-4</v>
      </c>
      <c r="K122" s="247">
        <f t="shared" si="51"/>
        <v>-5</v>
      </c>
      <c r="L122" s="247">
        <f t="shared" si="51"/>
        <v>-6</v>
      </c>
      <c r="M122" s="247">
        <f t="shared" si="51"/>
        <v>-7</v>
      </c>
      <c r="N122" s="247">
        <f t="shared" si="51"/>
        <v>-8</v>
      </c>
      <c r="O122" s="247">
        <f t="shared" si="51"/>
        <v>-9</v>
      </c>
      <c r="P122" s="247">
        <f t="shared" si="51"/>
        <v>-10</v>
      </c>
      <c r="Q122" s="247">
        <f t="shared" si="51"/>
        <v>-11</v>
      </c>
      <c r="R122" s="247">
        <f t="shared" si="51"/>
        <v>-12</v>
      </c>
      <c r="S122" s="247">
        <f t="shared" si="51"/>
        <v>-13</v>
      </c>
      <c r="T122" s="247">
        <f t="shared" si="51"/>
        <v>-14</v>
      </c>
      <c r="U122" s="247">
        <f t="shared" si="51"/>
        <v>-15</v>
      </c>
      <c r="V122" s="247">
        <f t="shared" si="51"/>
        <v>-16</v>
      </c>
      <c r="W122" s="247">
        <f t="shared" si="51"/>
        <v>-17</v>
      </c>
      <c r="X122" s="247">
        <f t="shared" si="51"/>
        <v>-18</v>
      </c>
      <c r="Y122" s="247">
        <f t="shared" si="51"/>
        <v>-19</v>
      </c>
      <c r="Z122" s="247">
        <f t="shared" si="51"/>
        <v>-20</v>
      </c>
      <c r="AA122" s="247">
        <f t="shared" si="51"/>
        <v>-21</v>
      </c>
      <c r="AB122" s="247">
        <f t="shared" si="51"/>
        <v>-22</v>
      </c>
      <c r="AC122" s="247">
        <f t="shared" si="51"/>
        <v>-23</v>
      </c>
    </row>
    <row r="123" spans="1:31">
      <c r="A123" s="140" t="s">
        <v>630</v>
      </c>
      <c r="B123" s="244">
        <v>1921.7091496202092</v>
      </c>
      <c r="C123" s="181" t="s">
        <v>577</v>
      </c>
      <c r="D123" s="177"/>
      <c r="E123" s="217" t="s">
        <v>631</v>
      </c>
      <c r="F123" s="248">
        <v>0</v>
      </c>
      <c r="G123" s="248">
        <v>9.1668858256138495E-3</v>
      </c>
      <c r="H123" s="248">
        <v>2.8663321822371322E-2</v>
      </c>
      <c r="I123" s="248">
        <v>7.8486365022168478E-2</v>
      </c>
      <c r="J123" s="248">
        <v>0.15018234751801768</v>
      </c>
      <c r="K123" s="248">
        <v>0.24445531220969802</v>
      </c>
      <c r="L123" s="248">
        <v>0.3620043480879761</v>
      </c>
      <c r="M123" s="248">
        <v>0.41961887867886594</v>
      </c>
      <c r="N123" s="248">
        <v>0.47843382333221224</v>
      </c>
      <c r="O123" s="248">
        <v>0.53845983393705854</v>
      </c>
      <c r="P123" s="248">
        <v>0.59966431155401101</v>
      </c>
      <c r="Q123" s="248">
        <v>0.66202498652487785</v>
      </c>
      <c r="R123" s="248">
        <v>0.72555713154540169</v>
      </c>
      <c r="S123" s="248">
        <v>0.79022656443609673</v>
      </c>
      <c r="T123" s="248">
        <v>0.81749918358000739</v>
      </c>
      <c r="U123" s="248">
        <v>0.82562276970245696</v>
      </c>
      <c r="V123" s="248">
        <v>0.83365148126370248</v>
      </c>
      <c r="W123" s="248">
        <v>0.84160288354814561</v>
      </c>
      <c r="X123" s="248">
        <v>0.84949955262664756</v>
      </c>
      <c r="Y123" s="248">
        <v>0.85733895557418482</v>
      </c>
      <c r="Z123" s="248">
        <v>0.86513265574412535</v>
      </c>
      <c r="AA123" s="248">
        <v>0.87287817527503331</v>
      </c>
      <c r="AB123" s="248">
        <v>0.88056648373856372</v>
      </c>
      <c r="AC123" s="248">
        <v>0.88822010214199076</v>
      </c>
    </row>
    <row r="124" spans="1:31">
      <c r="A124" s="140" t="s">
        <v>632</v>
      </c>
      <c r="B124" s="244">
        <v>7.5</v>
      </c>
      <c r="C124" s="181" t="s">
        <v>644</v>
      </c>
      <c r="D124" s="177"/>
      <c r="E124" s="217" t="s">
        <v>645</v>
      </c>
      <c r="F124" s="150">
        <v>0</v>
      </c>
      <c r="G124" s="150">
        <v>37.828529009358547</v>
      </c>
      <c r="H124" s="150">
        <v>118.28349580099029</v>
      </c>
      <c r="I124" s="150">
        <v>323.8857549402702</v>
      </c>
      <c r="J124" s="150">
        <v>619.74997811194658</v>
      </c>
      <c r="K124" s="150">
        <v>1008.7815039189844</v>
      </c>
      <c r="L124" s="150">
        <v>1493.8652279159287</v>
      </c>
      <c r="M124" s="150">
        <v>1731.6202281722028</v>
      </c>
      <c r="N124" s="150">
        <v>1974.3289170691694</v>
      </c>
      <c r="O124" s="150">
        <v>2222.0352512243062</v>
      </c>
      <c r="P124" s="150">
        <v>2474.6047062257257</v>
      </c>
      <c r="Q124" s="150">
        <v>2731.9453829893796</v>
      </c>
      <c r="R124" s="150">
        <v>2994.1203065845157</v>
      </c>
      <c r="S124" s="150">
        <v>3260.9884191215906</v>
      </c>
      <c r="T124" s="150">
        <v>3373.5329717726031</v>
      </c>
      <c r="U124" s="150">
        <v>3407.0561681054774</v>
      </c>
      <c r="V124" s="150">
        <v>3440.1878503343237</v>
      </c>
      <c r="W124" s="150">
        <v>3473.0005042392818</v>
      </c>
      <c r="X124" s="150">
        <v>3505.5872933622295</v>
      </c>
      <c r="Y124" s="150">
        <v>3537.9377652082235</v>
      </c>
      <c r="Z124" s="150">
        <v>3570.0996376889575</v>
      </c>
      <c r="AA124" s="150">
        <v>3602.062685537639</v>
      </c>
      <c r="AB124" s="150">
        <v>3633.7896433375181</v>
      </c>
      <c r="AC124" s="150">
        <v>3665.3734474023199</v>
      </c>
    </row>
    <row r="125" spans="1:31">
      <c r="A125" s="181" t="s">
        <v>646</v>
      </c>
      <c r="B125" s="220">
        <v>40</v>
      </c>
      <c r="C125" s="140" t="s">
        <v>636</v>
      </c>
      <c r="E125" s="217" t="s">
        <v>634</v>
      </c>
      <c r="F125" s="150">
        <v>0</v>
      </c>
      <c r="G125" s="150">
        <v>39.719955459826473</v>
      </c>
      <c r="H125" s="150">
        <v>86.369141581681262</v>
      </c>
      <c r="I125" s="150">
        <v>221.79654688629341</v>
      </c>
      <c r="J125" s="150">
        <v>326.85172207727368</v>
      </c>
      <c r="K125" s="150">
        <v>439.47060100298705</v>
      </c>
      <c r="L125" s="150">
        <v>559.7769853927407</v>
      </c>
      <c r="M125" s="150">
        <v>324.33601166488427</v>
      </c>
      <c r="N125" s="150">
        <v>341.42513475042506</v>
      </c>
      <c r="O125" s="150">
        <v>358.80809671635211</v>
      </c>
      <c r="P125" s="150">
        <v>376.29969031270582</v>
      </c>
      <c r="Q125" s="150">
        <v>393.9379459131228</v>
      </c>
      <c r="R125" s="150">
        <v>411.88093892436189</v>
      </c>
      <c r="S125" s="150">
        <v>429.91753349315445</v>
      </c>
      <c r="T125" s="150">
        <v>281.22120123964271</v>
      </c>
      <c r="U125" s="150">
        <v>203.87600473814814</v>
      </c>
      <c r="V125" s="150">
        <v>205.14107474556252</v>
      </c>
      <c r="W125" s="150">
        <v>206.4626791169222</v>
      </c>
      <c r="X125" s="150">
        <v>207.86615379105922</v>
      </c>
      <c r="Y125" s="150">
        <v>209.24736010640515</v>
      </c>
      <c r="Z125" s="150">
        <v>210.6668543651819</v>
      </c>
      <c r="AA125" s="150">
        <v>212.0661821255635</v>
      </c>
      <c r="AB125" s="150">
        <v>213.41643996675498</v>
      </c>
      <c r="AC125" s="150">
        <v>214.85247643491783</v>
      </c>
    </row>
    <row r="126" spans="1:31">
      <c r="A126" s="181" t="s">
        <v>635</v>
      </c>
      <c r="B126" s="220">
        <v>25</v>
      </c>
      <c r="C126" s="140" t="s">
        <v>636</v>
      </c>
      <c r="E126" s="140" t="s">
        <v>630</v>
      </c>
      <c r="F126" s="222">
        <f>B123</f>
        <v>1921.7091496202092</v>
      </c>
      <c r="P126" s="140"/>
    </row>
    <row r="127" spans="1:31">
      <c r="A127" s="181" t="s">
        <v>647</v>
      </c>
      <c r="B127" s="220">
        <v>24</v>
      </c>
      <c r="C127" s="181" t="s">
        <v>644</v>
      </c>
      <c r="D127" s="177"/>
      <c r="E127" s="181" t="s">
        <v>638</v>
      </c>
      <c r="F127" s="249">
        <f t="shared" ref="F127:AC127" si="52">F124*$B$124*(1+$B$6)^F$2</f>
        <v>0</v>
      </c>
      <c r="G127" s="249">
        <f t="shared" si="52"/>
        <v>290.80681675944379</v>
      </c>
      <c r="H127" s="249">
        <f t="shared" si="52"/>
        <v>932.03698331936562</v>
      </c>
      <c r="I127" s="249">
        <f t="shared" si="52"/>
        <v>2615.9214979966828</v>
      </c>
      <c r="J127" s="249">
        <f t="shared" si="52"/>
        <v>5130.6601110339607</v>
      </c>
      <c r="K127" s="249">
        <f t="shared" si="52"/>
        <v>8560.077589095712</v>
      </c>
      <c r="L127" s="249">
        <f t="shared" si="52"/>
        <v>12993.192543834011</v>
      </c>
      <c r="M127" s="249">
        <f t="shared" si="52"/>
        <v>15437.642219939977</v>
      </c>
      <c r="N127" s="249">
        <f t="shared" si="52"/>
        <v>18041.460548960207</v>
      </c>
      <c r="O127" s="249">
        <f t="shared" si="52"/>
        <v>20812.631573792954</v>
      </c>
      <c r="P127" s="249">
        <f t="shared" si="52"/>
        <v>23757.774280763388</v>
      </c>
      <c r="Q127" s="249">
        <f t="shared" si="52"/>
        <v>26884.118151466009</v>
      </c>
      <c r="R127" s="249">
        <f t="shared" si="52"/>
        <v>30200.692040808095</v>
      </c>
      <c r="S127" s="249">
        <f t="shared" si="52"/>
        <v>33714.814146712946</v>
      </c>
      <c r="T127" s="249">
        <f t="shared" si="52"/>
        <v>35750.353299798895</v>
      </c>
      <c r="U127" s="249">
        <f t="shared" si="52"/>
        <v>37008.249010674306</v>
      </c>
      <c r="V127" s="249">
        <f t="shared" si="52"/>
        <v>38302.336499621124</v>
      </c>
      <c r="W127" s="249">
        <f t="shared" si="52"/>
        <v>39634.357412457655</v>
      </c>
      <c r="X127" s="249">
        <f t="shared" si="52"/>
        <v>41006.398370801617</v>
      </c>
      <c r="Y127" s="249">
        <f t="shared" si="52"/>
        <v>42419.436488739928</v>
      </c>
      <c r="Z127" s="249">
        <f t="shared" si="52"/>
        <v>43875.17969843933</v>
      </c>
      <c r="AA127" s="249">
        <f t="shared" si="52"/>
        <v>45374.693353991337</v>
      </c>
      <c r="AB127" s="249">
        <f t="shared" si="52"/>
        <v>46918.712360944883</v>
      </c>
      <c r="AC127" s="249">
        <f t="shared" si="52"/>
        <v>48509.678555323677</v>
      </c>
    </row>
    <row r="128" spans="1:31">
      <c r="A128" s="181" t="s">
        <v>648</v>
      </c>
      <c r="B128" s="220">
        <v>-37023.402005835385</v>
      </c>
      <c r="C128" s="181" t="s">
        <v>649</v>
      </c>
      <c r="D128" s="177"/>
      <c r="E128" s="140" t="s">
        <v>654</v>
      </c>
      <c r="F128" s="249">
        <f t="shared" ref="F128:AC128" si="53">F125*$B$125*(1+$B$6)^F$2</f>
        <v>0</v>
      </c>
      <c r="G128" s="249">
        <f t="shared" si="53"/>
        <v>1628.5181738528852</v>
      </c>
      <c r="H128" s="249">
        <f t="shared" si="53"/>
        <v>3629.6631749701551</v>
      </c>
      <c r="I128" s="249">
        <f t="shared" si="53"/>
        <v>9554.0248799688925</v>
      </c>
      <c r="J128" s="249">
        <f t="shared" si="53"/>
        <v>14431.32576607498</v>
      </c>
      <c r="K128" s="249">
        <f t="shared" si="53"/>
        <v>19888.825891950331</v>
      </c>
      <c r="L128" s="249">
        <f t="shared" si="53"/>
        <v>25966.787425080583</v>
      </c>
      <c r="M128" s="249">
        <f t="shared" si="53"/>
        <v>15421.343858704604</v>
      </c>
      <c r="N128" s="249">
        <f t="shared" si="53"/>
        <v>16639.73493850528</v>
      </c>
      <c r="O128" s="249">
        <f t="shared" si="53"/>
        <v>17924.085812258108</v>
      </c>
      <c r="P128" s="249">
        <f t="shared" si="53"/>
        <v>19267.816702206816</v>
      </c>
      <c r="Q128" s="249">
        <f t="shared" si="53"/>
        <v>20675.228913369807</v>
      </c>
      <c r="R128" s="249">
        <f t="shared" si="53"/>
        <v>22157.362867177846</v>
      </c>
      <c r="S128" s="249">
        <f t="shared" si="53"/>
        <v>23705.842731841542</v>
      </c>
      <c r="T128" s="249">
        <f t="shared" si="53"/>
        <v>15894.327810176414</v>
      </c>
      <c r="U128" s="249">
        <f t="shared" si="53"/>
        <v>11810.929754208801</v>
      </c>
      <c r="V128" s="249">
        <f t="shared" si="53"/>
        <v>12181.323139525452</v>
      </c>
      <c r="W128" s="249">
        <f t="shared" si="53"/>
        <v>12566.295311834079</v>
      </c>
      <c r="X128" s="249">
        <f t="shared" si="53"/>
        <v>12968.010355053857</v>
      </c>
      <c r="Y128" s="249">
        <f t="shared" si="53"/>
        <v>13380.533243228107</v>
      </c>
      <c r="Z128" s="249">
        <f t="shared" si="53"/>
        <v>13808.086839481983</v>
      </c>
      <c r="AA128" s="249">
        <f t="shared" si="53"/>
        <v>14247.300430883186</v>
      </c>
      <c r="AB128" s="249">
        <f t="shared" si="53"/>
        <v>14696.465552805406</v>
      </c>
      <c r="AC128" s="249">
        <f t="shared" si="53"/>
        <v>15165.239003313858</v>
      </c>
    </row>
    <row r="129" spans="1:29">
      <c r="A129" s="181"/>
      <c r="B129" s="181"/>
      <c r="E129" s="181" t="s">
        <v>639</v>
      </c>
      <c r="F129" s="249">
        <f t="shared" ref="F129:AC129" si="54">F125*$B$126*(1+$B$6)^F$2</f>
        <v>0</v>
      </c>
      <c r="G129" s="249">
        <f t="shared" si="54"/>
        <v>1017.8238586580533</v>
      </c>
      <c r="H129" s="249">
        <f t="shared" si="54"/>
        <v>2268.5394843563467</v>
      </c>
      <c r="I129" s="249">
        <f t="shared" si="54"/>
        <v>5971.2655499805569</v>
      </c>
      <c r="J129" s="249">
        <f t="shared" si="54"/>
        <v>9019.5786037968628</v>
      </c>
      <c r="K129" s="249">
        <f t="shared" si="54"/>
        <v>12430.516182468959</v>
      </c>
      <c r="L129" s="249">
        <f t="shared" si="54"/>
        <v>16229.242140675364</v>
      </c>
      <c r="M129" s="249">
        <f t="shared" si="54"/>
        <v>9638.3399116903784</v>
      </c>
      <c r="N129" s="249">
        <f t="shared" si="54"/>
        <v>10399.8343365658</v>
      </c>
      <c r="O129" s="249">
        <f t="shared" si="54"/>
        <v>11202.553632661316</v>
      </c>
      <c r="P129" s="249">
        <f t="shared" si="54"/>
        <v>12042.385438879259</v>
      </c>
      <c r="Q129" s="249">
        <f t="shared" si="54"/>
        <v>12922.018070856131</v>
      </c>
      <c r="R129" s="249">
        <f t="shared" si="54"/>
        <v>13848.351791986153</v>
      </c>
      <c r="S129" s="249">
        <f t="shared" si="54"/>
        <v>14816.151707400966</v>
      </c>
      <c r="T129" s="249">
        <f t="shared" si="54"/>
        <v>9933.9548813602596</v>
      </c>
      <c r="U129" s="249">
        <f t="shared" si="54"/>
        <v>7381.8310963805015</v>
      </c>
      <c r="V129" s="249">
        <f t="shared" si="54"/>
        <v>7613.3269622034059</v>
      </c>
      <c r="W129" s="249">
        <f t="shared" si="54"/>
        <v>7853.9345698962989</v>
      </c>
      <c r="X129" s="249">
        <f t="shared" si="54"/>
        <v>8105.0064719086595</v>
      </c>
      <c r="Y129" s="249">
        <f t="shared" si="54"/>
        <v>8362.8332770175657</v>
      </c>
      <c r="Z129" s="249">
        <f t="shared" si="54"/>
        <v>8630.0542746762385</v>
      </c>
      <c r="AA129" s="249">
        <f t="shared" si="54"/>
        <v>8904.5627693019924</v>
      </c>
      <c r="AB129" s="249">
        <f t="shared" si="54"/>
        <v>9185.2909705033799</v>
      </c>
      <c r="AC129" s="249">
        <f t="shared" si="54"/>
        <v>9478.2743770711604</v>
      </c>
    </row>
    <row r="130" spans="1:29">
      <c r="A130" s="181"/>
      <c r="B130" s="181"/>
      <c r="C130" s="181"/>
      <c r="D130" s="177"/>
      <c r="E130" s="140" t="s">
        <v>651</v>
      </c>
      <c r="F130" s="249">
        <f t="shared" ref="F130:AC130" si="55">F124*$B$127*(1+$B$6)^F$2</f>
        <v>0</v>
      </c>
      <c r="G130" s="249">
        <f t="shared" si="55"/>
        <v>930.58181363022015</v>
      </c>
      <c r="H130" s="249">
        <f t="shared" si="55"/>
        <v>2982.5183466219701</v>
      </c>
      <c r="I130" s="249">
        <f t="shared" si="55"/>
        <v>8370.9487935893849</v>
      </c>
      <c r="J130" s="249">
        <f t="shared" si="55"/>
        <v>16418.112355308673</v>
      </c>
      <c r="K130" s="249">
        <f t="shared" si="55"/>
        <v>27392.248285106274</v>
      </c>
      <c r="L130" s="249">
        <f t="shared" si="55"/>
        <v>41578.216140268836</v>
      </c>
      <c r="M130" s="249">
        <f t="shared" si="55"/>
        <v>49400.45510380793</v>
      </c>
      <c r="N130" s="249">
        <f t="shared" si="55"/>
        <v>57732.673756672652</v>
      </c>
      <c r="O130" s="249">
        <f t="shared" si="55"/>
        <v>66600.421036137457</v>
      </c>
      <c r="P130" s="249">
        <f t="shared" si="55"/>
        <v>76024.87769844284</v>
      </c>
      <c r="Q130" s="249">
        <f t="shared" si="55"/>
        <v>86029.17808469123</v>
      </c>
      <c r="R130" s="249">
        <f t="shared" si="55"/>
        <v>96642.21453058593</v>
      </c>
      <c r="S130" s="249">
        <f t="shared" si="55"/>
        <v>107887.40526948143</v>
      </c>
      <c r="T130" s="249">
        <f t="shared" si="55"/>
        <v>114401.13055935646</v>
      </c>
      <c r="U130" s="249">
        <f t="shared" si="55"/>
        <v>118426.39683415779</v>
      </c>
      <c r="V130" s="249">
        <f t="shared" si="55"/>
        <v>122567.47679878761</v>
      </c>
      <c r="W130" s="249">
        <f t="shared" si="55"/>
        <v>126829.9437198645</v>
      </c>
      <c r="X130" s="249">
        <f t="shared" si="55"/>
        <v>131220.47478656517</v>
      </c>
      <c r="Y130" s="249">
        <f t="shared" si="55"/>
        <v>135742.19676396778</v>
      </c>
      <c r="Z130" s="249">
        <f t="shared" si="55"/>
        <v>140400.57503500584</v>
      </c>
      <c r="AA130" s="249">
        <f t="shared" si="55"/>
        <v>145199.01873277227</v>
      </c>
      <c r="AB130" s="249">
        <f t="shared" si="55"/>
        <v>150139.87955502365</v>
      </c>
      <c r="AC130" s="249">
        <f t="shared" si="55"/>
        <v>155230.97137703575</v>
      </c>
    </row>
    <row r="131" spans="1:29">
      <c r="A131" s="181"/>
      <c r="B131" s="181"/>
      <c r="C131" s="249"/>
      <c r="D131" s="228"/>
      <c r="E131" s="192" t="s">
        <v>652</v>
      </c>
      <c r="F131" s="224">
        <f t="shared" ref="F131:AC131" si="56">$B$128*F123*(1+$B$6)^F122</f>
        <v>0</v>
      </c>
      <c r="G131" s="224">
        <f t="shared" si="56"/>
        <v>-331.1115112812642</v>
      </c>
      <c r="H131" s="224">
        <f t="shared" si="56"/>
        <v>-1010.0784643924213</v>
      </c>
      <c r="I131" s="224">
        <f t="shared" si="56"/>
        <v>-2698.3541101887495</v>
      </c>
      <c r="J131" s="224">
        <f t="shared" si="56"/>
        <v>-5037.322424447605</v>
      </c>
      <c r="K131" s="224">
        <f t="shared" si="56"/>
        <v>-7999.3827102230725</v>
      </c>
      <c r="L131" s="224">
        <f t="shared" si="56"/>
        <v>-11557.048006511253</v>
      </c>
      <c r="M131" s="224">
        <f t="shared" si="56"/>
        <v>-13069.65982104457</v>
      </c>
      <c r="N131" s="224">
        <f t="shared" si="56"/>
        <v>-14538.087368815646</v>
      </c>
      <c r="O131" s="224">
        <f t="shared" si="56"/>
        <v>-15963.012256406721</v>
      </c>
      <c r="P131" s="224">
        <f t="shared" si="56"/>
        <v>-17343.864493852583</v>
      </c>
      <c r="Q131" s="224">
        <f t="shared" si="56"/>
        <v>-18680.486588509124</v>
      </c>
      <c r="R131" s="224">
        <f t="shared" si="56"/>
        <v>-19973.839379965499</v>
      </c>
      <c r="S131" s="224">
        <f t="shared" si="56"/>
        <v>-21223.533812120611</v>
      </c>
      <c r="T131" s="224">
        <f t="shared" si="56"/>
        <v>-21420.496589431703</v>
      </c>
      <c r="U131" s="224">
        <f t="shared" si="56"/>
        <v>-21105.711803651029</v>
      </c>
      <c r="V131" s="224">
        <f t="shared" si="56"/>
        <v>-20791.173501823672</v>
      </c>
      <c r="W131" s="224">
        <f t="shared" si="56"/>
        <v>-20477.542023430775</v>
      </c>
      <c r="X131" s="224">
        <f t="shared" si="56"/>
        <v>-20165.542040455668</v>
      </c>
      <c r="Y131" s="224">
        <f t="shared" si="56"/>
        <v>-19855.253571059839</v>
      </c>
      <c r="Z131" s="224">
        <f t="shared" si="56"/>
        <v>-19547.072343735523</v>
      </c>
      <c r="AA131" s="224">
        <f t="shared" si="56"/>
        <v>-19241.05071768866</v>
      </c>
      <c r="AB131" s="224">
        <f t="shared" si="56"/>
        <v>-18937.098377763305</v>
      </c>
      <c r="AC131" s="224">
        <f t="shared" si="56"/>
        <v>-18635.798953858965</v>
      </c>
    </row>
    <row r="132" spans="1:29">
      <c r="A132" s="177"/>
      <c r="B132" s="181"/>
      <c r="C132" s="249"/>
      <c r="D132" s="228"/>
      <c r="E132" s="181" t="s">
        <v>216</v>
      </c>
      <c r="F132" s="259">
        <f>SUM(F126:F131)</f>
        <v>1921.7091496202092</v>
      </c>
      <c r="G132" s="259">
        <f>SUM(G126:G131)</f>
        <v>3536.619151619338</v>
      </c>
      <c r="H132" s="259">
        <f>SUM(H126:H131)</f>
        <v>8802.6795248754152</v>
      </c>
      <c r="I132" s="259">
        <f>SUM(I126:I131)</f>
        <v>23813.806611346768</v>
      </c>
      <c r="J132" s="259">
        <f>SUM(J126:J131)</f>
        <v>39962.354411766872</v>
      </c>
      <c r="K132" s="259">
        <f t="shared" ref="K132:AC132" si="57">SUM(K126:K131)</f>
        <v>60272.285238398195</v>
      </c>
      <c r="L132" s="259">
        <f t="shared" si="57"/>
        <v>85210.390243347545</v>
      </c>
      <c r="M132" s="259">
        <f t="shared" si="57"/>
        <v>76828.12127309831</v>
      </c>
      <c r="N132" s="259">
        <f t="shared" si="57"/>
        <v>88275.616211888293</v>
      </c>
      <c r="O132" s="259">
        <f t="shared" si="57"/>
        <v>100576.67979844313</v>
      </c>
      <c r="P132" s="259">
        <f t="shared" si="57"/>
        <v>113748.98962643971</v>
      </c>
      <c r="Q132" s="259">
        <f t="shared" si="57"/>
        <v>127830.05663187405</v>
      </c>
      <c r="R132" s="259">
        <f t="shared" si="57"/>
        <v>142874.78185059252</v>
      </c>
      <c r="S132" s="259">
        <f t="shared" si="57"/>
        <v>158900.68004331627</v>
      </c>
      <c r="T132" s="259">
        <f t="shared" si="57"/>
        <v>154559.26996126032</v>
      </c>
      <c r="U132" s="259">
        <f t="shared" si="57"/>
        <v>153521.69489177034</v>
      </c>
      <c r="V132" s="259">
        <f t="shared" si="57"/>
        <v>159873.2898983139</v>
      </c>
      <c r="W132" s="259">
        <f t="shared" si="57"/>
        <v>166406.98899062176</v>
      </c>
      <c r="X132" s="259">
        <f t="shared" si="57"/>
        <v>173134.34794387361</v>
      </c>
      <c r="Y132" s="259">
        <f t="shared" si="57"/>
        <v>180049.74620189355</v>
      </c>
      <c r="Z132" s="259">
        <f t="shared" si="57"/>
        <v>187166.82350386787</v>
      </c>
      <c r="AA132" s="259">
        <f t="shared" si="57"/>
        <v>194484.52456926013</v>
      </c>
      <c r="AB132" s="259">
        <f t="shared" si="57"/>
        <v>202003.25006151403</v>
      </c>
      <c r="AC132" s="259">
        <f t="shared" si="57"/>
        <v>209748.36435888548</v>
      </c>
    </row>
    <row r="133" spans="1:29">
      <c r="A133" s="181"/>
      <c r="B133" s="181"/>
      <c r="C133" s="249"/>
      <c r="D133" s="228"/>
      <c r="E133" s="177" t="s">
        <v>641</v>
      </c>
      <c r="F133" s="261">
        <f>F132</f>
        <v>1921.7091496202092</v>
      </c>
      <c r="G133" s="249">
        <v>3877.8090476989751</v>
      </c>
      <c r="H133" s="249">
        <v>9263.5793685913086</v>
      </c>
      <c r="I133" s="249">
        <v>24268.533706665039</v>
      </c>
      <c r="J133" s="249">
        <v>39763.755798339836</v>
      </c>
      <c r="K133" s="249">
        <v>58729.274749755859</v>
      </c>
      <c r="L133" s="249">
        <v>83990.53955078125</v>
      </c>
      <c r="M133" s="249">
        <v>75397.613525390625</v>
      </c>
      <c r="N133" s="249">
        <v>86453.094482421875</v>
      </c>
      <c r="O133" s="249">
        <v>98108.551025390625</v>
      </c>
      <c r="P133" s="249">
        <v>110605.1025390625</v>
      </c>
      <c r="Q133" s="249">
        <v>123169.44885253911</v>
      </c>
      <c r="R133" s="249">
        <v>138476.85241699219</v>
      </c>
      <c r="S133" s="249">
        <v>152654.92248535159</v>
      </c>
      <c r="T133" s="249">
        <v>148407.16552734381</v>
      </c>
      <c r="U133" s="249">
        <v>146669.0979003906</v>
      </c>
      <c r="V133" s="249">
        <v>151006.91223144531</v>
      </c>
      <c r="W133" s="249">
        <v>157351.62353515619</v>
      </c>
      <c r="X133" s="249">
        <v>164386.41357421881</v>
      </c>
      <c r="Y133" s="249">
        <v>170678.81774902341</v>
      </c>
      <c r="Z133" s="249">
        <v>177670.8679199219</v>
      </c>
      <c r="AA133" s="249">
        <v>182821.71630859381</v>
      </c>
      <c r="AB133" s="249">
        <v>190700.24108886719</v>
      </c>
      <c r="AC133" s="249">
        <v>197910.93444824219</v>
      </c>
    </row>
    <row r="134" spans="1:29">
      <c r="A134" s="181"/>
      <c r="B134" s="181"/>
      <c r="C134" s="249"/>
      <c r="D134" s="228"/>
      <c r="E134" s="185" t="s">
        <v>642</v>
      </c>
      <c r="F134" s="251">
        <f>F132</f>
        <v>1921.7091496202092</v>
      </c>
      <c r="G134" s="224">
        <v>3877.8090476989751</v>
      </c>
      <c r="H134" s="168">
        <v>9263.5793685913086</v>
      </c>
      <c r="I134" s="168">
        <v>24268.533706665039</v>
      </c>
      <c r="J134" s="168">
        <v>39763.755798339836</v>
      </c>
      <c r="K134" s="168">
        <v>58729.274749755859</v>
      </c>
      <c r="L134" s="168">
        <v>83990.53955078125</v>
      </c>
      <c r="M134" s="168">
        <v>75397.613525390625</v>
      </c>
      <c r="N134" s="168">
        <v>86453.094482421875</v>
      </c>
      <c r="O134" s="168">
        <v>98108.551025390625</v>
      </c>
      <c r="P134" s="168">
        <v>110605.1025390625</v>
      </c>
      <c r="Q134" s="168">
        <v>123169.44885253911</v>
      </c>
      <c r="R134" s="168">
        <v>138476.85241699219</v>
      </c>
      <c r="S134" s="168">
        <v>152654.92248535159</v>
      </c>
      <c r="T134" s="168">
        <v>148407.16552734381</v>
      </c>
      <c r="U134" s="168">
        <v>146669.0979003906</v>
      </c>
      <c r="V134" s="168">
        <v>151006.91223144531</v>
      </c>
      <c r="W134" s="168">
        <v>157351.62353515619</v>
      </c>
      <c r="X134" s="168">
        <v>164386.41357421881</v>
      </c>
      <c r="Y134" s="168">
        <v>170678.81774902341</v>
      </c>
      <c r="Z134" s="168">
        <v>177670.8679199219</v>
      </c>
      <c r="AA134" s="168">
        <v>182821.71630859381</v>
      </c>
      <c r="AB134" s="168">
        <v>190700.24108886719</v>
      </c>
      <c r="AC134" s="168">
        <v>197910.93444824219</v>
      </c>
    </row>
    <row r="135" spans="1:29">
      <c r="C135" s="249"/>
      <c r="D135" s="228"/>
      <c r="E135" s="177" t="s">
        <v>643</v>
      </c>
      <c r="F135" s="267">
        <f>F134-F133</f>
        <v>0</v>
      </c>
      <c r="G135" s="267">
        <f t="shared" ref="G135:AC135" si="58">G134-G133</f>
        <v>0</v>
      </c>
      <c r="H135" s="267">
        <f t="shared" si="58"/>
        <v>0</v>
      </c>
      <c r="I135" s="267">
        <f t="shared" si="58"/>
        <v>0</v>
      </c>
      <c r="J135" s="267">
        <f t="shared" si="58"/>
        <v>0</v>
      </c>
      <c r="K135" s="267">
        <f t="shared" si="58"/>
        <v>0</v>
      </c>
      <c r="L135" s="267">
        <f t="shared" si="58"/>
        <v>0</v>
      </c>
      <c r="M135" s="267">
        <f t="shared" si="58"/>
        <v>0</v>
      </c>
      <c r="N135" s="267">
        <f t="shared" si="58"/>
        <v>0</v>
      </c>
      <c r="O135" s="267">
        <f t="shared" si="58"/>
        <v>0</v>
      </c>
      <c r="P135" s="267">
        <f t="shared" si="58"/>
        <v>0</v>
      </c>
      <c r="Q135" s="267">
        <f t="shared" si="58"/>
        <v>0</v>
      </c>
      <c r="R135" s="267">
        <f t="shared" si="58"/>
        <v>0</v>
      </c>
      <c r="S135" s="267">
        <f t="shared" si="58"/>
        <v>0</v>
      </c>
      <c r="T135" s="267">
        <f t="shared" si="58"/>
        <v>0</v>
      </c>
      <c r="U135" s="267">
        <f t="shared" si="58"/>
        <v>0</v>
      </c>
      <c r="V135" s="267">
        <f t="shared" si="58"/>
        <v>0</v>
      </c>
      <c r="W135" s="267">
        <f t="shared" si="58"/>
        <v>0</v>
      </c>
      <c r="X135" s="267">
        <f t="shared" si="58"/>
        <v>0</v>
      </c>
      <c r="Y135" s="267">
        <f t="shared" si="58"/>
        <v>0</v>
      </c>
      <c r="Z135" s="267">
        <f t="shared" si="58"/>
        <v>0</v>
      </c>
      <c r="AA135" s="267">
        <f t="shared" si="58"/>
        <v>0</v>
      </c>
      <c r="AB135" s="267">
        <f t="shared" si="58"/>
        <v>0</v>
      </c>
      <c r="AC135" s="267">
        <f t="shared" si="58"/>
        <v>0</v>
      </c>
    </row>
    <row r="136" spans="1:29">
      <c r="C136" s="249"/>
      <c r="D136" s="228"/>
      <c r="E136" s="177" t="s">
        <v>721</v>
      </c>
      <c r="G136" s="140">
        <v>9.9999997764825821E-3</v>
      </c>
      <c r="H136" s="257">
        <v>2.999999932944775E-2</v>
      </c>
      <c r="I136" s="257">
        <v>7.9999998211860657E-2</v>
      </c>
      <c r="J136" s="257">
        <v>0.15000000596046451</v>
      </c>
      <c r="K136" s="257">
        <v>0.239999994635582</v>
      </c>
      <c r="L136" s="257">
        <v>0.36000001430511469</v>
      </c>
      <c r="M136" s="257">
        <v>0.41999998688697809</v>
      </c>
      <c r="N136" s="257">
        <v>0.47999998927116388</v>
      </c>
      <c r="O136" s="257">
        <v>0.54000002145767212</v>
      </c>
      <c r="P136" s="257">
        <v>0.60000002384185791</v>
      </c>
      <c r="Q136" s="257">
        <v>0.6600000262260437</v>
      </c>
      <c r="R136" s="257">
        <v>0.73000001907348633</v>
      </c>
      <c r="S136" s="257">
        <v>0.79000002145767212</v>
      </c>
      <c r="T136" s="257">
        <v>0.81999999284744263</v>
      </c>
      <c r="U136" s="257">
        <v>0.82999998331069946</v>
      </c>
      <c r="V136" s="257">
        <v>0.82999998331069946</v>
      </c>
      <c r="W136" s="257">
        <v>0.8399999737739563</v>
      </c>
      <c r="X136" s="257">
        <v>0.85000002384185791</v>
      </c>
      <c r="Y136" s="257">
        <v>0.86000001430511475</v>
      </c>
      <c r="Z136" s="257">
        <v>0.87000000476837158</v>
      </c>
      <c r="AA136" s="257">
        <v>0.87000000476837158</v>
      </c>
      <c r="AB136" s="257">
        <v>0.87999999523162842</v>
      </c>
      <c r="AC136" s="257">
        <v>0.88999998569488525</v>
      </c>
    </row>
    <row r="137" spans="1:29">
      <c r="C137" s="249"/>
      <c r="D137" s="228"/>
      <c r="E137" s="177" t="s">
        <v>722</v>
      </c>
      <c r="F137" s="252"/>
      <c r="G137" s="253">
        <v>9.9999997764825821E-3</v>
      </c>
      <c r="H137" s="253">
        <v>2.999999932944775E-2</v>
      </c>
      <c r="I137" s="253">
        <v>7.9999998211860657E-2</v>
      </c>
      <c r="J137" s="253">
        <v>0.15000000596046451</v>
      </c>
      <c r="K137" s="253">
        <v>0.239999994635582</v>
      </c>
      <c r="L137" s="253">
        <v>0.36000001430511469</v>
      </c>
      <c r="M137" s="253">
        <v>0.41999998688697809</v>
      </c>
      <c r="N137" s="253">
        <v>0.47999998927116388</v>
      </c>
      <c r="O137" s="253">
        <v>0.54000002145767212</v>
      </c>
      <c r="P137" s="253">
        <v>0.60000002384185791</v>
      </c>
      <c r="Q137" s="253">
        <v>0.6600000262260437</v>
      </c>
      <c r="R137" s="253">
        <v>0.73000001907348633</v>
      </c>
      <c r="S137" s="253">
        <v>0.79000002145767212</v>
      </c>
      <c r="T137" s="253">
        <v>0.81999999284744263</v>
      </c>
      <c r="U137" s="253">
        <v>0.82999998331069946</v>
      </c>
      <c r="V137" s="253">
        <v>0.82999998331069946</v>
      </c>
      <c r="W137" s="253">
        <v>0.8399999737739563</v>
      </c>
      <c r="X137" s="253">
        <v>0.85000002384185791</v>
      </c>
      <c r="Y137" s="253">
        <v>0.86000001430511475</v>
      </c>
      <c r="Z137" s="253">
        <v>0.87000000476837158</v>
      </c>
      <c r="AA137" s="253">
        <v>0.87000000476837158</v>
      </c>
      <c r="AB137" s="253">
        <v>0.87999999523162842</v>
      </c>
      <c r="AC137" s="253">
        <v>0.88999998569488525</v>
      </c>
    </row>
    <row r="138" spans="1:29" ht="13.5" thickBot="1">
      <c r="A138" s="268"/>
      <c r="E138" s="177"/>
      <c r="F138" s="162"/>
      <c r="G138" s="162"/>
      <c r="H138" s="162"/>
      <c r="I138" s="162"/>
      <c r="J138" s="162"/>
      <c r="K138" s="162"/>
      <c r="L138" s="162"/>
      <c r="M138" s="162"/>
      <c r="N138" s="162"/>
      <c r="O138" s="162"/>
      <c r="P138" s="162"/>
      <c r="Q138" s="162"/>
      <c r="R138" s="162"/>
      <c r="S138" s="162"/>
      <c r="T138" s="162"/>
      <c r="U138" s="162"/>
      <c r="V138" s="162"/>
      <c r="W138" s="162"/>
      <c r="X138" s="162"/>
      <c r="Y138" s="162"/>
      <c r="Z138" s="162"/>
      <c r="AA138" s="162"/>
      <c r="AB138" s="162"/>
      <c r="AC138" s="162"/>
    </row>
    <row r="139" spans="1:29" ht="13.5" thickBot="1">
      <c r="A139" s="260" t="s">
        <v>657</v>
      </c>
      <c r="C139" s="212" t="s">
        <v>628</v>
      </c>
      <c r="D139" s="211"/>
      <c r="P139" s="140"/>
    </row>
    <row r="140" spans="1:29">
      <c r="C140" s="214" t="s">
        <v>152</v>
      </c>
      <c r="F140" s="247">
        <v>0</v>
      </c>
      <c r="G140" s="247">
        <f>F140-1</f>
        <v>-1</v>
      </c>
      <c r="H140" s="247">
        <f t="shared" ref="H140:AC140" si="59">G140-1</f>
        <v>-2</v>
      </c>
      <c r="I140" s="247">
        <f t="shared" si="59"/>
        <v>-3</v>
      </c>
      <c r="J140" s="247">
        <f t="shared" si="59"/>
        <v>-4</v>
      </c>
      <c r="K140" s="247">
        <f t="shared" si="59"/>
        <v>-5</v>
      </c>
      <c r="L140" s="247">
        <f t="shared" si="59"/>
        <v>-6</v>
      </c>
      <c r="M140" s="247">
        <f t="shared" si="59"/>
        <v>-7</v>
      </c>
      <c r="N140" s="247">
        <f t="shared" si="59"/>
        <v>-8</v>
      </c>
      <c r="O140" s="247">
        <f t="shared" si="59"/>
        <v>-9</v>
      </c>
      <c r="P140" s="247">
        <f t="shared" si="59"/>
        <v>-10</v>
      </c>
      <c r="Q140" s="247">
        <f t="shared" si="59"/>
        <v>-11</v>
      </c>
      <c r="R140" s="247">
        <f t="shared" si="59"/>
        <v>-12</v>
      </c>
      <c r="S140" s="247">
        <f t="shared" si="59"/>
        <v>-13</v>
      </c>
      <c r="T140" s="247">
        <f t="shared" si="59"/>
        <v>-14</v>
      </c>
      <c r="U140" s="247">
        <f t="shared" si="59"/>
        <v>-15</v>
      </c>
      <c r="V140" s="247">
        <f t="shared" si="59"/>
        <v>-16</v>
      </c>
      <c r="W140" s="247">
        <f t="shared" si="59"/>
        <v>-17</v>
      </c>
      <c r="X140" s="247">
        <f t="shared" si="59"/>
        <v>-18</v>
      </c>
      <c r="Y140" s="247">
        <f t="shared" si="59"/>
        <v>-19</v>
      </c>
      <c r="Z140" s="247">
        <f t="shared" si="59"/>
        <v>-20</v>
      </c>
      <c r="AA140" s="247">
        <f t="shared" si="59"/>
        <v>-21</v>
      </c>
      <c r="AB140" s="247">
        <f t="shared" si="59"/>
        <v>-22</v>
      </c>
      <c r="AC140" s="247">
        <f t="shared" si="59"/>
        <v>-23</v>
      </c>
    </row>
    <row r="141" spans="1:29">
      <c r="A141" s="140" t="s">
        <v>630</v>
      </c>
      <c r="B141" s="244">
        <v>84712.110305343856</v>
      </c>
      <c r="C141" s="181" t="s">
        <v>577</v>
      </c>
      <c r="D141" s="177"/>
      <c r="E141" s="217" t="s">
        <v>631</v>
      </c>
      <c r="F141" s="248">
        <v>0</v>
      </c>
      <c r="G141" s="248">
        <v>0.54132144294473328</v>
      </c>
      <c r="H141" s="248">
        <v>1.0954429668685244</v>
      </c>
      <c r="I141" s="248">
        <v>2.2134728863514037</v>
      </c>
      <c r="J141" s="248">
        <v>3.3531809486599715</v>
      </c>
      <c r="K141" s="248">
        <v>4.514485024317028</v>
      </c>
      <c r="L141" s="248">
        <v>5.6974934973047775</v>
      </c>
      <c r="M141" s="248">
        <v>5.7524125362377507</v>
      </c>
      <c r="N141" s="248">
        <v>5.8081528699427025</v>
      </c>
      <c r="O141" s="248">
        <v>5.8642466296765843</v>
      </c>
      <c r="P141" s="248">
        <v>5.9199432058731949</v>
      </c>
      <c r="Q141" s="248">
        <v>5.9755085095447757</v>
      </c>
      <c r="R141" s="248">
        <v>6.0310637153298154</v>
      </c>
      <c r="S141" s="248">
        <v>6.0864472570436607</v>
      </c>
      <c r="T141" s="248">
        <v>6.1414538109933217</v>
      </c>
      <c r="U141" s="248">
        <v>6.1961843560442009</v>
      </c>
      <c r="V141" s="248">
        <v>6.2505244494821692</v>
      </c>
      <c r="W141" s="248">
        <v>6.3046558532649648</v>
      </c>
      <c r="X141" s="248">
        <v>6.3589824828542136</v>
      </c>
      <c r="Y141" s="248">
        <v>6.4133057464812797</v>
      </c>
      <c r="Z141" s="248">
        <v>6.4670024686796683</v>
      </c>
      <c r="AA141" s="248">
        <v>6.5204261001356505</v>
      </c>
      <c r="AB141" s="248">
        <v>6.5735660355247267</v>
      </c>
      <c r="AC141" s="248">
        <v>6.6264528688699675</v>
      </c>
    </row>
    <row r="142" spans="1:29">
      <c r="A142" s="140" t="s">
        <v>632</v>
      </c>
      <c r="B142" s="244">
        <v>15</v>
      </c>
      <c r="C142" s="181" t="s">
        <v>644</v>
      </c>
      <c r="D142" s="177"/>
      <c r="E142" s="217" t="s">
        <v>645</v>
      </c>
      <c r="F142" s="150">
        <v>0</v>
      </c>
      <c r="G142" s="150">
        <v>283.58842018960729</v>
      </c>
      <c r="H142" s="150">
        <v>573.88256909264499</v>
      </c>
      <c r="I142" s="150">
        <v>1159.5980302539242</v>
      </c>
      <c r="J142" s="150">
        <v>1756.6702746291453</v>
      </c>
      <c r="K142" s="150">
        <v>2365.0562760847729</v>
      </c>
      <c r="L142" s="150">
        <v>2984.8128150101438</v>
      </c>
      <c r="M142" s="150">
        <v>3013.5838967626232</v>
      </c>
      <c r="N142" s="150">
        <v>3042.7852398504547</v>
      </c>
      <c r="O142" s="150">
        <v>3072.1717363817788</v>
      </c>
      <c r="P142" s="150">
        <v>3101.3501557099403</v>
      </c>
      <c r="Q142" s="150">
        <v>3130.4598037590913</v>
      </c>
      <c r="R142" s="150">
        <v>3159.5641617098549</v>
      </c>
      <c r="S142" s="150">
        <v>3188.5785879880664</v>
      </c>
      <c r="T142" s="150">
        <v>3217.3955172598876</v>
      </c>
      <c r="U142" s="150">
        <v>3246.0678505091719</v>
      </c>
      <c r="V142" s="150">
        <v>3274.5356332875513</v>
      </c>
      <c r="W142" s="150">
        <v>3302.894087365964</v>
      </c>
      <c r="X142" s="150">
        <v>3331.3548166798291</v>
      </c>
      <c r="Y142" s="150">
        <v>3359.8137826275647</v>
      </c>
      <c r="Z142" s="150">
        <v>3387.9445149605831</v>
      </c>
      <c r="AA142" s="150">
        <v>3415.9321800399075</v>
      </c>
      <c r="AB142" s="150">
        <v>3443.7712219296718</v>
      </c>
      <c r="AC142" s="150">
        <v>3471.4776682799575</v>
      </c>
    </row>
    <row r="143" spans="1:29">
      <c r="A143" s="181" t="s">
        <v>646</v>
      </c>
      <c r="B143" s="220">
        <v>387</v>
      </c>
      <c r="C143" s="140" t="s">
        <v>636</v>
      </c>
      <c r="E143" s="217" t="s">
        <v>634</v>
      </c>
      <c r="F143" s="150">
        <v>0</v>
      </c>
      <c r="G143" s="150">
        <v>297.76784119908768</v>
      </c>
      <c r="H143" s="150">
        <v>318.98827735766997</v>
      </c>
      <c r="I143" s="150">
        <v>643.69536267397541</v>
      </c>
      <c r="J143" s="150">
        <v>684.90575810667838</v>
      </c>
      <c r="K143" s="150">
        <v>726.63881525986631</v>
      </c>
      <c r="L143" s="150">
        <v>768.9971796758781</v>
      </c>
      <c r="M143" s="150">
        <v>179.45027659061057</v>
      </c>
      <c r="N143" s="150">
        <v>181.34060508035418</v>
      </c>
      <c r="O143" s="150">
        <v>182.9950833504131</v>
      </c>
      <c r="P143" s="150">
        <v>184.24592711365847</v>
      </c>
      <c r="Q143" s="150">
        <v>185.6326382371056</v>
      </c>
      <c r="R143" s="150">
        <v>187.0825660362564</v>
      </c>
      <c r="S143" s="150">
        <v>188.44335567761476</v>
      </c>
      <c r="T143" s="150">
        <v>189.68670513481561</v>
      </c>
      <c r="U143" s="150">
        <v>190.9757257747429</v>
      </c>
      <c r="V143" s="150">
        <v>192.19456444275696</v>
      </c>
      <c r="W143" s="150">
        <v>193.50315844671093</v>
      </c>
      <c r="X143" s="150">
        <v>195.02847014785664</v>
      </c>
      <c r="Y143" s="150">
        <v>196.44965507911382</v>
      </c>
      <c r="Z143" s="150">
        <v>197.52795808104756</v>
      </c>
      <c r="AA143" s="150">
        <v>198.78427408131981</v>
      </c>
      <c r="AB143" s="150">
        <v>200.0276029862479</v>
      </c>
      <c r="AC143" s="150">
        <v>201.28032976428355</v>
      </c>
    </row>
    <row r="144" spans="1:29">
      <c r="A144" s="181" t="s">
        <v>635</v>
      </c>
      <c r="B144" s="220">
        <v>69</v>
      </c>
      <c r="C144" s="140" t="s">
        <v>636</v>
      </c>
      <c r="E144" s="140" t="s">
        <v>630</v>
      </c>
      <c r="F144" s="222">
        <f>B141</f>
        <v>84712.110305343856</v>
      </c>
      <c r="P144" s="140"/>
    </row>
    <row r="145" spans="1:29">
      <c r="A145" s="181" t="s">
        <v>647</v>
      </c>
      <c r="B145" s="220">
        <v>38</v>
      </c>
      <c r="C145" s="181" t="s">
        <v>644</v>
      </c>
      <c r="D145" s="177"/>
      <c r="E145" s="181" t="s">
        <v>638</v>
      </c>
      <c r="F145" s="249">
        <f t="shared" ref="F145:AC145" si="60">F142*$B$142*(1+$B$6)^F$2</f>
        <v>0</v>
      </c>
      <c r="G145" s="249">
        <f t="shared" si="60"/>
        <v>4360.1719604152122</v>
      </c>
      <c r="H145" s="249">
        <f t="shared" si="60"/>
        <v>9044.0306122944021</v>
      </c>
      <c r="I145" s="249">
        <f t="shared" si="60"/>
        <v>18731.403713233758</v>
      </c>
      <c r="J145" s="249">
        <f t="shared" si="60"/>
        <v>29085.529405701138</v>
      </c>
      <c r="K145" s="249">
        <f t="shared" si="60"/>
        <v>40137.661420662429</v>
      </c>
      <c r="L145" s="249">
        <f t="shared" si="60"/>
        <v>51922.016642471295</v>
      </c>
      <c r="M145" s="249">
        <f t="shared" si="60"/>
        <v>53733.063683485008</v>
      </c>
      <c r="N145" s="249">
        <f t="shared" si="60"/>
        <v>55610.075291013061</v>
      </c>
      <c r="O145" s="249">
        <f t="shared" si="60"/>
        <v>57550.822783305368</v>
      </c>
      <c r="P145" s="249">
        <f t="shared" si="60"/>
        <v>59549.856006978902</v>
      </c>
      <c r="Q145" s="249">
        <f t="shared" si="60"/>
        <v>61611.518119432098</v>
      </c>
      <c r="R145" s="249">
        <f t="shared" si="60"/>
        <v>63738.937958590584</v>
      </c>
      <c r="S145" s="249">
        <f t="shared" si="60"/>
        <v>65932.36201382392</v>
      </c>
      <c r="T145" s="249">
        <f t="shared" si="60"/>
        <v>68191.434564098556</v>
      </c>
      <c r="U145" s="249">
        <f t="shared" si="60"/>
        <v>70519.11174331345</v>
      </c>
      <c r="V145" s="249">
        <f t="shared" si="60"/>
        <v>72915.998290029995</v>
      </c>
      <c r="W145" s="249">
        <f t="shared" si="60"/>
        <v>75386.159371047703</v>
      </c>
      <c r="X145" s="249">
        <f t="shared" si="60"/>
        <v>77936.648724123719</v>
      </c>
      <c r="Y145" s="249">
        <f t="shared" si="60"/>
        <v>80567.503910162777</v>
      </c>
      <c r="Z145" s="249">
        <f t="shared" si="60"/>
        <v>83273.12371509122</v>
      </c>
      <c r="AA145" s="249">
        <f t="shared" si="60"/>
        <v>86060.065422879954</v>
      </c>
      <c r="AB145" s="249">
        <f t="shared" si="60"/>
        <v>88930.470532253734</v>
      </c>
      <c r="AC145" s="249">
        <f t="shared" si="60"/>
        <v>91887.098663625628</v>
      </c>
    </row>
    <row r="146" spans="1:29">
      <c r="A146" s="181" t="s">
        <v>648</v>
      </c>
      <c r="B146" s="220">
        <v>-37023.402005835385</v>
      </c>
      <c r="C146" s="181" t="s">
        <v>649</v>
      </c>
      <c r="D146" s="177"/>
      <c r="E146" s="140" t="s">
        <v>654</v>
      </c>
      <c r="F146" s="249">
        <f t="shared" ref="F146:AC146" si="61">F143*$B$143*(1+$B$6)^F$2</f>
        <v>0</v>
      </c>
      <c r="G146" s="249">
        <f t="shared" si="61"/>
        <v>118117.0584076481</v>
      </c>
      <c r="H146" s="249">
        <f t="shared" si="61"/>
        <v>129698.04179387506</v>
      </c>
      <c r="I146" s="249">
        <f t="shared" si="61"/>
        <v>268264.33704937709</v>
      </c>
      <c r="J146" s="249">
        <f t="shared" si="61"/>
        <v>292575.02040397713</v>
      </c>
      <c r="K146" s="249">
        <f t="shared" si="61"/>
        <v>318162.4227519788</v>
      </c>
      <c r="L146" s="249">
        <f t="shared" si="61"/>
        <v>345126.9745751294</v>
      </c>
      <c r="M146" s="249">
        <f t="shared" si="61"/>
        <v>82550.965075455606</v>
      </c>
      <c r="N146" s="249">
        <f t="shared" si="61"/>
        <v>85506.070523782735</v>
      </c>
      <c r="O146" s="249">
        <f t="shared" si="61"/>
        <v>88443.348128902362</v>
      </c>
      <c r="P146" s="249">
        <f t="shared" si="61"/>
        <v>91274.090724547888</v>
      </c>
      <c r="Q146" s="249">
        <f t="shared" si="61"/>
        <v>94260.083750858539</v>
      </c>
      <c r="R146" s="249">
        <f t="shared" si="61"/>
        <v>97371.232629837221</v>
      </c>
      <c r="S146" s="249">
        <f t="shared" si="61"/>
        <v>100531.47263956213</v>
      </c>
      <c r="T146" s="249">
        <f t="shared" si="61"/>
        <v>103724.64888585635</v>
      </c>
      <c r="U146" s="249">
        <f t="shared" si="61"/>
        <v>107040.25007877476</v>
      </c>
      <c r="V146" s="249">
        <f t="shared" si="61"/>
        <v>110416.48362498874</v>
      </c>
      <c r="W146" s="249">
        <f t="shared" si="61"/>
        <v>113947.48258183924</v>
      </c>
      <c r="X146" s="249">
        <f t="shared" si="61"/>
        <v>117716.82936915504</v>
      </c>
      <c r="Y146" s="249">
        <f t="shared" si="61"/>
        <v>121539.00541685781</v>
      </c>
      <c r="Z146" s="249">
        <f t="shared" si="61"/>
        <v>125261.2805375669</v>
      </c>
      <c r="AA146" s="249">
        <f t="shared" si="61"/>
        <v>129209.41566023072</v>
      </c>
      <c r="AB146" s="249">
        <f t="shared" si="61"/>
        <v>133268.01661069339</v>
      </c>
      <c r="AC146" s="249">
        <f t="shared" si="61"/>
        <v>137455.20957216836</v>
      </c>
    </row>
    <row r="147" spans="1:29">
      <c r="A147" s="181"/>
      <c r="B147" s="181"/>
      <c r="E147" s="181" t="s">
        <v>639</v>
      </c>
      <c r="F147" s="249">
        <f t="shared" ref="F147:AC147" si="62">F143*$B$144*(1+$B$6)^F$2</f>
        <v>0</v>
      </c>
      <c r="G147" s="249">
        <f t="shared" si="62"/>
        <v>21059.630568805474</v>
      </c>
      <c r="H147" s="249">
        <f t="shared" si="62"/>
        <v>23124.457064024235</v>
      </c>
      <c r="I147" s="249">
        <f t="shared" si="62"/>
        <v>47830.075597950949</v>
      </c>
      <c r="J147" s="249">
        <f t="shared" si="62"/>
        <v>52164.538521639326</v>
      </c>
      <c r="K147" s="249">
        <f t="shared" si="62"/>
        <v>56726.633513918699</v>
      </c>
      <c r="L147" s="249">
        <f t="shared" si="62"/>
        <v>61534.266784712985</v>
      </c>
      <c r="M147" s="249">
        <f t="shared" si="62"/>
        <v>14718.389121980459</v>
      </c>
      <c r="N147" s="249">
        <f t="shared" si="62"/>
        <v>15245.26838796126</v>
      </c>
      <c r="O147" s="249">
        <f t="shared" si="62"/>
        <v>15768.969046238406</v>
      </c>
      <c r="P147" s="249">
        <f t="shared" si="62"/>
        <v>16273.675090423269</v>
      </c>
      <c r="Q147" s="249">
        <f t="shared" si="62"/>
        <v>16806.061443951519</v>
      </c>
      <c r="R147" s="249">
        <f t="shared" si="62"/>
        <v>17360.762406870199</v>
      </c>
      <c r="S147" s="249">
        <f t="shared" si="62"/>
        <v>17924.216052014955</v>
      </c>
      <c r="T147" s="249">
        <f t="shared" si="62"/>
        <v>18493.54204941625</v>
      </c>
      <c r="U147" s="249">
        <f t="shared" si="62"/>
        <v>19084.695750479219</v>
      </c>
      <c r="V147" s="249">
        <f t="shared" si="62"/>
        <v>19686.659871122025</v>
      </c>
      <c r="W147" s="249">
        <f t="shared" si="62"/>
        <v>20316.217824669013</v>
      </c>
      <c r="X147" s="249">
        <f t="shared" si="62"/>
        <v>20988.271903027642</v>
      </c>
      <c r="Y147" s="249">
        <f t="shared" si="62"/>
        <v>21669.745151842864</v>
      </c>
      <c r="Z147" s="249">
        <f t="shared" si="62"/>
        <v>22333.406607473167</v>
      </c>
      <c r="AA147" s="249">
        <f t="shared" si="62"/>
        <v>23037.337675855091</v>
      </c>
      <c r="AB147" s="249">
        <f t="shared" si="62"/>
        <v>23760.964201906572</v>
      </c>
      <c r="AC147" s="249">
        <f t="shared" si="62"/>
        <v>24507.517985735445</v>
      </c>
    </row>
    <row r="148" spans="1:29">
      <c r="A148" s="181"/>
      <c r="B148" s="181"/>
      <c r="C148" s="181"/>
      <c r="D148" s="177"/>
      <c r="E148" s="140" t="s">
        <v>651</v>
      </c>
      <c r="F148" s="249">
        <f t="shared" ref="F148:AC148" si="63">F142*$B$145*(1+$B$6)^F$2</f>
        <v>0</v>
      </c>
      <c r="G148" s="249">
        <f t="shared" si="63"/>
        <v>11045.768966385203</v>
      </c>
      <c r="H148" s="249">
        <f t="shared" si="63"/>
        <v>22911.544217812483</v>
      </c>
      <c r="I148" s="249">
        <f t="shared" si="63"/>
        <v>47452.889406858856</v>
      </c>
      <c r="J148" s="249">
        <f t="shared" si="63"/>
        <v>73683.341161109551</v>
      </c>
      <c r="K148" s="249">
        <f t="shared" si="63"/>
        <v>101682.07559901148</v>
      </c>
      <c r="L148" s="249">
        <f t="shared" si="63"/>
        <v>131535.77549426063</v>
      </c>
      <c r="M148" s="249">
        <f t="shared" si="63"/>
        <v>136123.76133149536</v>
      </c>
      <c r="N148" s="249">
        <f t="shared" si="63"/>
        <v>140878.85740389975</v>
      </c>
      <c r="O148" s="249">
        <f t="shared" si="63"/>
        <v>145795.41771770694</v>
      </c>
      <c r="P148" s="249">
        <f t="shared" si="63"/>
        <v>150859.63521767987</v>
      </c>
      <c r="Q148" s="249">
        <f t="shared" si="63"/>
        <v>156082.51256922798</v>
      </c>
      <c r="R148" s="249">
        <f t="shared" si="63"/>
        <v>161471.97616176281</v>
      </c>
      <c r="S148" s="249">
        <f t="shared" si="63"/>
        <v>167028.65043502059</v>
      </c>
      <c r="T148" s="249">
        <f t="shared" si="63"/>
        <v>172751.63422904967</v>
      </c>
      <c r="U148" s="249">
        <f t="shared" si="63"/>
        <v>178648.41641639406</v>
      </c>
      <c r="V148" s="249">
        <f t="shared" si="63"/>
        <v>184720.5290014093</v>
      </c>
      <c r="W148" s="249">
        <f t="shared" si="63"/>
        <v>190978.27040665419</v>
      </c>
      <c r="X148" s="249">
        <f t="shared" si="63"/>
        <v>197439.51010111341</v>
      </c>
      <c r="Y148" s="249">
        <f t="shared" si="63"/>
        <v>204104.34323907905</v>
      </c>
      <c r="Z148" s="249">
        <f t="shared" si="63"/>
        <v>210958.58007823111</v>
      </c>
      <c r="AA148" s="249">
        <f t="shared" si="63"/>
        <v>218018.83240462921</v>
      </c>
      <c r="AB148" s="249">
        <f t="shared" si="63"/>
        <v>225290.5253483761</v>
      </c>
      <c r="AC148" s="249">
        <f t="shared" si="63"/>
        <v>232780.64994785158</v>
      </c>
    </row>
    <row r="149" spans="1:29">
      <c r="A149" s="181"/>
      <c r="B149" s="181"/>
      <c r="C149" s="249"/>
      <c r="D149" s="228"/>
      <c r="E149" s="192" t="s">
        <v>652</v>
      </c>
      <c r="F149" s="224">
        <f t="shared" ref="F149:AC149" si="64">$B$146*F141*(1+$B$6)^F140</f>
        <v>0</v>
      </c>
      <c r="G149" s="224">
        <f t="shared" si="64"/>
        <v>-19552.742825874873</v>
      </c>
      <c r="H149" s="224">
        <f t="shared" si="64"/>
        <v>-38602.76058235659</v>
      </c>
      <c r="I149" s="224">
        <f t="shared" si="64"/>
        <v>-76098.99705497465</v>
      </c>
      <c r="J149" s="224">
        <f t="shared" si="64"/>
        <v>-112470.29937315977</v>
      </c>
      <c r="K149" s="224">
        <f t="shared" si="64"/>
        <v>-147728.81441048082</v>
      </c>
      <c r="L149" s="224">
        <f t="shared" si="64"/>
        <v>-181893.41153751762</v>
      </c>
      <c r="M149" s="224">
        <f t="shared" si="64"/>
        <v>-179167.52276647786</v>
      </c>
      <c r="N149" s="224">
        <f t="shared" si="64"/>
        <v>-176491.35524440496</v>
      </c>
      <c r="O149" s="224">
        <f t="shared" si="64"/>
        <v>-173849.62614511646</v>
      </c>
      <c r="P149" s="224">
        <f t="shared" si="64"/>
        <v>-171220.28240748518</v>
      </c>
      <c r="Q149" s="224">
        <f t="shared" si="64"/>
        <v>-168612.0748372669</v>
      </c>
      <c r="R149" s="224">
        <f t="shared" si="64"/>
        <v>-166028.96271414805</v>
      </c>
      <c r="S149" s="224">
        <f t="shared" si="64"/>
        <v>-163466.94096234845</v>
      </c>
      <c r="T149" s="224">
        <f t="shared" si="64"/>
        <v>-160921.24989830022</v>
      </c>
      <c r="U149" s="224">
        <f t="shared" si="64"/>
        <v>-158395.43929740382</v>
      </c>
      <c r="V149" s="224">
        <f t="shared" si="64"/>
        <v>-155887.37167428696</v>
      </c>
      <c r="W149" s="224">
        <f t="shared" si="64"/>
        <v>-153402.34414859448</v>
      </c>
      <c r="X149" s="224">
        <f t="shared" si="64"/>
        <v>-150950.43687312631</v>
      </c>
      <c r="Y149" s="224">
        <f t="shared" si="64"/>
        <v>-148526.80027800577</v>
      </c>
      <c r="Z149" s="224">
        <f t="shared" si="64"/>
        <v>-146117.4355898842</v>
      </c>
      <c r="AA149" s="224">
        <f t="shared" si="64"/>
        <v>-143731.22486894584</v>
      </c>
      <c r="AB149" s="224">
        <f t="shared" si="64"/>
        <v>-141368.39069656673</v>
      </c>
      <c r="AC149" s="224">
        <f t="shared" si="64"/>
        <v>-139030.00297300375</v>
      </c>
    </row>
    <row r="150" spans="1:29">
      <c r="A150" s="181"/>
      <c r="B150" s="181"/>
      <c r="C150" s="249"/>
      <c r="D150" s="228"/>
      <c r="E150" s="181" t="s">
        <v>216</v>
      </c>
      <c r="F150" s="259">
        <f>SUM(F144:F149)</f>
        <v>84712.110305343856</v>
      </c>
      <c r="G150" s="259">
        <f>SUM(G144:G149)</f>
        <v>135029.8870773791</v>
      </c>
      <c r="H150" s="259">
        <f>SUM(H144:H149)</f>
        <v>146175.31310564958</v>
      </c>
      <c r="I150" s="259">
        <f>SUM(I144:I149)</f>
        <v>306179.70871244604</v>
      </c>
      <c r="J150" s="259">
        <f>SUM(J144:J149)</f>
        <v>335038.13011926739</v>
      </c>
      <c r="K150" s="259">
        <f t="shared" ref="K150:AC150" si="65">SUM(K144:K149)</f>
        <v>368979.9788750906</v>
      </c>
      <c r="L150" s="259">
        <f t="shared" si="65"/>
        <v>408225.62195905665</v>
      </c>
      <c r="M150" s="259">
        <f t="shared" si="65"/>
        <v>107958.65644593854</v>
      </c>
      <c r="N150" s="259">
        <f t="shared" si="65"/>
        <v>120748.91636225188</v>
      </c>
      <c r="O150" s="259">
        <f t="shared" si="65"/>
        <v>133708.93153103662</v>
      </c>
      <c r="P150" s="259">
        <f t="shared" si="65"/>
        <v>146736.97463214473</v>
      </c>
      <c r="Q150" s="259">
        <f t="shared" si="65"/>
        <v>160148.1010462032</v>
      </c>
      <c r="R150" s="259">
        <f t="shared" si="65"/>
        <v>173913.94644291274</v>
      </c>
      <c r="S150" s="259">
        <f t="shared" si="65"/>
        <v>187949.76017807311</v>
      </c>
      <c r="T150" s="259">
        <f t="shared" si="65"/>
        <v>202240.00983012066</v>
      </c>
      <c r="U150" s="259">
        <f t="shared" si="65"/>
        <v>216897.03469155761</v>
      </c>
      <c r="V150" s="259">
        <f t="shared" si="65"/>
        <v>231852.29911326309</v>
      </c>
      <c r="W150" s="259">
        <f t="shared" si="65"/>
        <v>247225.78603561566</v>
      </c>
      <c r="X150" s="259">
        <f t="shared" si="65"/>
        <v>263130.82322429353</v>
      </c>
      <c r="Y150" s="259">
        <f t="shared" si="65"/>
        <v>279353.79743993672</v>
      </c>
      <c r="Z150" s="259">
        <f t="shared" si="65"/>
        <v>295708.95534847816</v>
      </c>
      <c r="AA150" s="259">
        <f t="shared" si="65"/>
        <v>312594.42629464914</v>
      </c>
      <c r="AB150" s="259">
        <f t="shared" si="65"/>
        <v>329881.58599666308</v>
      </c>
      <c r="AC150" s="259">
        <f t="shared" si="65"/>
        <v>347600.47319637728</v>
      </c>
    </row>
    <row r="151" spans="1:29">
      <c r="A151" s="181"/>
      <c r="B151" s="181"/>
      <c r="C151" s="249"/>
      <c r="D151" s="228"/>
      <c r="E151" s="177" t="s">
        <v>641</v>
      </c>
      <c r="F151" s="249"/>
      <c r="G151" s="249">
        <v>0</v>
      </c>
      <c r="H151" s="249">
        <v>0</v>
      </c>
      <c r="I151" s="249">
        <v>0</v>
      </c>
      <c r="J151" s="249">
        <v>0</v>
      </c>
      <c r="K151" s="249">
        <v>0</v>
      </c>
      <c r="L151" s="249">
        <v>0</v>
      </c>
      <c r="M151" s="249">
        <v>0</v>
      </c>
      <c r="N151" s="249">
        <v>0</v>
      </c>
      <c r="O151" s="249">
        <v>0</v>
      </c>
      <c r="P151" s="249">
        <v>0</v>
      </c>
      <c r="Q151" s="249">
        <v>0</v>
      </c>
      <c r="R151" s="249">
        <v>0</v>
      </c>
      <c r="S151" s="249">
        <v>0</v>
      </c>
      <c r="T151" s="249">
        <v>0</v>
      </c>
      <c r="U151" s="249">
        <v>0</v>
      </c>
      <c r="V151" s="249">
        <v>0</v>
      </c>
      <c r="W151" s="249">
        <v>0</v>
      </c>
      <c r="X151" s="249">
        <v>0</v>
      </c>
      <c r="Y151" s="249">
        <v>0</v>
      </c>
      <c r="Z151" s="249">
        <v>0</v>
      </c>
      <c r="AA151" s="249">
        <v>0</v>
      </c>
      <c r="AB151" s="249">
        <v>0</v>
      </c>
      <c r="AC151" s="249">
        <v>0</v>
      </c>
    </row>
    <row r="152" spans="1:29">
      <c r="A152" s="215"/>
      <c r="B152" s="177"/>
      <c r="C152" s="228"/>
      <c r="D152" s="228"/>
      <c r="E152" s="185" t="s">
        <v>642</v>
      </c>
      <c r="F152" s="265">
        <v>0</v>
      </c>
      <c r="G152" s="224">
        <v>0</v>
      </c>
      <c r="H152" s="224">
        <v>0</v>
      </c>
      <c r="I152" s="251">
        <f>F150*(1+0.025)^I2</f>
        <v>91225.677411790675</v>
      </c>
      <c r="J152" s="168">
        <v>147421.6613769531</v>
      </c>
      <c r="K152" s="168">
        <v>161485.2294921875</v>
      </c>
      <c r="L152" s="168">
        <v>334892.91381835938</v>
      </c>
      <c r="M152" s="168">
        <v>364504.73022460938</v>
      </c>
      <c r="N152" s="168">
        <v>397863.95263671881</v>
      </c>
      <c r="O152" s="168">
        <v>436061.279296875</v>
      </c>
      <c r="P152" s="168">
        <v>106818.7713623047</v>
      </c>
      <c r="Q152" s="168">
        <v>116018.17321777339</v>
      </c>
      <c r="R152" s="168">
        <v>124618.50738525391</v>
      </c>
      <c r="S152" s="168">
        <v>134178.4362792969</v>
      </c>
      <c r="T152" s="168">
        <v>144176.6662597656</v>
      </c>
      <c r="U152" s="168">
        <v>153675.1403808594</v>
      </c>
      <c r="V152" s="168">
        <v>164273.91052246091</v>
      </c>
      <c r="W152" s="168">
        <v>175051.34582519531</v>
      </c>
      <c r="X152" s="168">
        <v>187217.46826171881</v>
      </c>
      <c r="Y152" s="168">
        <v>197918.74694824219</v>
      </c>
      <c r="Z152" s="168">
        <v>209733.32214355469</v>
      </c>
      <c r="AA152" s="168">
        <v>222457.1533203125</v>
      </c>
      <c r="AB152" s="168">
        <v>235322.89123535159</v>
      </c>
      <c r="AC152" s="168">
        <v>248597.7783203125</v>
      </c>
    </row>
    <row r="153" spans="1:29">
      <c r="C153" s="249"/>
      <c r="D153" s="228"/>
      <c r="E153" s="177" t="s">
        <v>643</v>
      </c>
      <c r="F153" s="267">
        <f>F152-F151</f>
        <v>0</v>
      </c>
      <c r="G153" s="267">
        <f t="shared" ref="G153:AC153" si="66">G152-G151</f>
        <v>0</v>
      </c>
      <c r="H153" s="267">
        <f t="shared" si="66"/>
        <v>0</v>
      </c>
      <c r="I153" s="267">
        <f>I152-I151</f>
        <v>91225.677411790675</v>
      </c>
      <c r="J153" s="267">
        <f t="shared" si="66"/>
        <v>147421.6613769531</v>
      </c>
      <c r="K153" s="267">
        <f t="shared" si="66"/>
        <v>161485.2294921875</v>
      </c>
      <c r="L153" s="267">
        <f t="shared" si="66"/>
        <v>334892.91381835938</v>
      </c>
      <c r="M153" s="267">
        <f t="shared" si="66"/>
        <v>364504.73022460938</v>
      </c>
      <c r="N153" s="267">
        <f t="shared" si="66"/>
        <v>397863.95263671881</v>
      </c>
      <c r="O153" s="267">
        <f t="shared" si="66"/>
        <v>436061.279296875</v>
      </c>
      <c r="P153" s="267">
        <f t="shared" si="66"/>
        <v>106818.7713623047</v>
      </c>
      <c r="Q153" s="267">
        <f t="shared" si="66"/>
        <v>116018.17321777339</v>
      </c>
      <c r="R153" s="267">
        <f t="shared" si="66"/>
        <v>124618.50738525391</v>
      </c>
      <c r="S153" s="267">
        <f t="shared" si="66"/>
        <v>134178.4362792969</v>
      </c>
      <c r="T153" s="267">
        <f t="shared" si="66"/>
        <v>144176.6662597656</v>
      </c>
      <c r="U153" s="267">
        <f t="shared" si="66"/>
        <v>153675.1403808594</v>
      </c>
      <c r="V153" s="267">
        <f t="shared" si="66"/>
        <v>164273.91052246091</v>
      </c>
      <c r="W153" s="267">
        <f t="shared" si="66"/>
        <v>175051.34582519531</v>
      </c>
      <c r="X153" s="267">
        <f t="shared" si="66"/>
        <v>187217.46826171881</v>
      </c>
      <c r="Y153" s="267">
        <f t="shared" si="66"/>
        <v>197918.74694824219</v>
      </c>
      <c r="Z153" s="267">
        <f t="shared" si="66"/>
        <v>209733.32214355469</v>
      </c>
      <c r="AA153" s="267">
        <f t="shared" si="66"/>
        <v>222457.1533203125</v>
      </c>
      <c r="AB153" s="267">
        <f t="shared" si="66"/>
        <v>235322.89123535159</v>
      </c>
      <c r="AC153" s="267">
        <f t="shared" si="66"/>
        <v>248597.7783203125</v>
      </c>
    </row>
    <row r="154" spans="1:29">
      <c r="C154" s="249"/>
      <c r="D154" s="228"/>
      <c r="E154" s="177" t="s">
        <v>721</v>
      </c>
      <c r="F154" s="253"/>
      <c r="G154" s="253"/>
      <c r="H154" s="253"/>
      <c r="I154" s="253"/>
      <c r="J154" s="253"/>
      <c r="K154" s="253"/>
      <c r="L154" s="253"/>
      <c r="M154" s="253"/>
      <c r="N154" s="253"/>
      <c r="O154" s="253"/>
      <c r="P154" s="253"/>
      <c r="Q154" s="253"/>
      <c r="R154" s="253"/>
      <c r="S154" s="253"/>
      <c r="T154" s="253"/>
      <c r="U154" s="253"/>
      <c r="V154" s="253"/>
      <c r="W154" s="253"/>
      <c r="X154" s="253"/>
      <c r="Y154" s="253"/>
      <c r="Z154" s="253"/>
      <c r="AA154" s="253"/>
      <c r="AB154" s="253"/>
      <c r="AC154" s="253"/>
    </row>
    <row r="155" spans="1:29">
      <c r="C155" s="249"/>
      <c r="D155" s="228"/>
      <c r="E155" s="177" t="s">
        <v>722</v>
      </c>
      <c r="F155" s="252"/>
      <c r="G155" s="252"/>
      <c r="H155" s="252"/>
      <c r="I155" s="252"/>
      <c r="J155" s="253">
        <v>0.54000002145767212</v>
      </c>
      <c r="K155" s="253">
        <v>1.1000000238418579</v>
      </c>
      <c r="L155" s="253">
        <v>2.2100000381469731</v>
      </c>
      <c r="M155" s="253">
        <v>3.3499999046325679</v>
      </c>
      <c r="N155" s="253">
        <v>4.5100002288818359</v>
      </c>
      <c r="O155" s="253">
        <v>5.6999998092651367</v>
      </c>
      <c r="P155" s="253">
        <v>5.75</v>
      </c>
      <c r="Q155" s="253">
        <v>5.809999942779541</v>
      </c>
      <c r="R155" s="253">
        <v>5.8600001335144043</v>
      </c>
      <c r="S155" s="253">
        <v>5.9200000762939453</v>
      </c>
      <c r="T155" s="253">
        <v>5.9800000190734863</v>
      </c>
      <c r="U155" s="253">
        <v>6.0300002098083496</v>
      </c>
      <c r="V155" s="253">
        <v>6.0900001525878906</v>
      </c>
      <c r="W155" s="253">
        <v>6.1399998664855957</v>
      </c>
      <c r="X155" s="253">
        <v>6.1999998092651367</v>
      </c>
      <c r="Y155" s="253">
        <v>6.25</v>
      </c>
      <c r="Z155" s="253">
        <v>6.3000001907348633</v>
      </c>
      <c r="AA155" s="253">
        <v>6.3600001335144043</v>
      </c>
      <c r="AB155" s="253">
        <v>6.4099998474121094</v>
      </c>
      <c r="AC155" s="253">
        <v>6.4699997901916504</v>
      </c>
    </row>
    <row r="156" spans="1:29" ht="13.5" thickBot="1">
      <c r="A156" s="260"/>
      <c r="P156" s="140"/>
    </row>
    <row r="157" spans="1:29" ht="13.5" thickBot="1">
      <c r="A157" s="260">
        <v>10</v>
      </c>
      <c r="C157" s="212" t="s">
        <v>628</v>
      </c>
      <c r="D157" s="211"/>
      <c r="P157" s="140"/>
    </row>
    <row r="158" spans="1:29">
      <c r="C158" s="214" t="s">
        <v>153</v>
      </c>
      <c r="F158" s="247">
        <v>0</v>
      </c>
      <c r="G158" s="247">
        <f>F158-1</f>
        <v>-1</v>
      </c>
      <c r="H158" s="247">
        <f t="shared" ref="H158:AC158" si="67">G158-1</f>
        <v>-2</v>
      </c>
      <c r="I158" s="247">
        <f t="shared" si="67"/>
        <v>-3</v>
      </c>
      <c r="J158" s="247">
        <f t="shared" si="67"/>
        <v>-4</v>
      </c>
      <c r="K158" s="247">
        <f t="shared" si="67"/>
        <v>-5</v>
      </c>
      <c r="L158" s="247">
        <f t="shared" si="67"/>
        <v>-6</v>
      </c>
      <c r="M158" s="247">
        <f t="shared" si="67"/>
        <v>-7</v>
      </c>
      <c r="N158" s="247">
        <f t="shared" si="67"/>
        <v>-8</v>
      </c>
      <c r="O158" s="247">
        <f t="shared" si="67"/>
        <v>-9</v>
      </c>
      <c r="P158" s="247">
        <f t="shared" si="67"/>
        <v>-10</v>
      </c>
      <c r="Q158" s="247">
        <f t="shared" si="67"/>
        <v>-11</v>
      </c>
      <c r="R158" s="247">
        <f t="shared" si="67"/>
        <v>-12</v>
      </c>
      <c r="S158" s="247">
        <f t="shared" si="67"/>
        <v>-13</v>
      </c>
      <c r="T158" s="247">
        <f t="shared" si="67"/>
        <v>-14</v>
      </c>
      <c r="U158" s="247">
        <f t="shared" si="67"/>
        <v>-15</v>
      </c>
      <c r="V158" s="247">
        <f t="shared" si="67"/>
        <v>-16</v>
      </c>
      <c r="W158" s="247">
        <f t="shared" si="67"/>
        <v>-17</v>
      </c>
      <c r="X158" s="247">
        <f t="shared" si="67"/>
        <v>-18</v>
      </c>
      <c r="Y158" s="247">
        <f t="shared" si="67"/>
        <v>-19</v>
      </c>
      <c r="Z158" s="247">
        <f t="shared" si="67"/>
        <v>-20</v>
      </c>
      <c r="AA158" s="247">
        <f t="shared" si="67"/>
        <v>-21</v>
      </c>
      <c r="AB158" s="247">
        <f t="shared" si="67"/>
        <v>-22</v>
      </c>
      <c r="AC158" s="247">
        <f t="shared" si="67"/>
        <v>-23</v>
      </c>
    </row>
    <row r="159" spans="1:29">
      <c r="A159" s="140" t="s">
        <v>630</v>
      </c>
      <c r="B159" s="244">
        <v>65287.889694656151</v>
      </c>
      <c r="C159" s="181" t="s">
        <v>577</v>
      </c>
      <c r="D159" s="177"/>
      <c r="E159" s="217" t="s">
        <v>631</v>
      </c>
      <c r="F159" s="248">
        <v>0</v>
      </c>
      <c r="G159" s="248">
        <v>0.41719813765633945</v>
      </c>
      <c r="H159" s="248">
        <v>0.84426133795875336</v>
      </c>
      <c r="I159" s="248">
        <v>1.7059305112967587</v>
      </c>
      <c r="J159" s="248">
        <v>2.5843070974531552</v>
      </c>
      <c r="K159" s="248">
        <v>3.4793277989817031</v>
      </c>
      <c r="L159" s="248">
        <v>4.3910761477581781</v>
      </c>
      <c r="M159" s="248">
        <v>4.4334024236952105</v>
      </c>
      <c r="N159" s="248">
        <v>4.476361674094651</v>
      </c>
      <c r="O159" s="248">
        <v>4.5195933110455391</v>
      </c>
      <c r="P159" s="248">
        <v>4.5625188373957535</v>
      </c>
      <c r="Q159" s="248">
        <v>4.6053431915982888</v>
      </c>
      <c r="R159" s="248">
        <v>4.6481597633279241</v>
      </c>
      <c r="S159" s="248">
        <v>4.6908440330182861</v>
      </c>
      <c r="T159" s="248">
        <v>4.7332377570537734</v>
      </c>
      <c r="U159" s="248">
        <v>4.7754187601633706</v>
      </c>
      <c r="V159" s="248">
        <v>4.8172988409875597</v>
      </c>
      <c r="W159" s="248">
        <v>4.8590180840385147</v>
      </c>
      <c r="X159" s="248">
        <v>4.9008877882321729</v>
      </c>
      <c r="Y159" s="248">
        <v>4.9427548982681984</v>
      </c>
      <c r="Z159" s="248">
        <v>4.9841391308556826</v>
      </c>
      <c r="AA159" s="248">
        <v>5.0253128915495662</v>
      </c>
      <c r="AB159" s="248">
        <v>5.0662680067929218</v>
      </c>
      <c r="AC159" s="248">
        <v>5.1070280554954968</v>
      </c>
    </row>
    <row r="160" spans="1:29">
      <c r="A160" s="140" t="s">
        <v>632</v>
      </c>
      <c r="B160" s="244">
        <v>15</v>
      </c>
      <c r="C160" s="181" t="s">
        <v>644</v>
      </c>
      <c r="D160" s="177"/>
      <c r="E160" s="217" t="s">
        <v>645</v>
      </c>
      <c r="F160" s="150">
        <v>0</v>
      </c>
      <c r="G160" s="150">
        <v>44.700000985719583</v>
      </c>
      <c r="H160" s="150">
        <v>90.456977710786646</v>
      </c>
      <c r="I160" s="150">
        <v>182.77908900769867</v>
      </c>
      <c r="J160" s="150">
        <v>276.89128827970632</v>
      </c>
      <c r="K160" s="150">
        <v>372.78679362714644</v>
      </c>
      <c r="L160" s="150">
        <v>470.47455493400059</v>
      </c>
      <c r="M160" s="150">
        <v>475.00953341385593</v>
      </c>
      <c r="N160" s="150">
        <v>479.61233089034556</v>
      </c>
      <c r="O160" s="150">
        <v>484.24431277112461</v>
      </c>
      <c r="P160" s="150">
        <v>488.84349694041663</v>
      </c>
      <c r="Q160" s="150">
        <v>493.43184118811547</v>
      </c>
      <c r="R160" s="150">
        <v>498.0193515956916</v>
      </c>
      <c r="S160" s="150">
        <v>502.59268672118441</v>
      </c>
      <c r="T160" s="150">
        <v>507.13489181543525</v>
      </c>
      <c r="U160" s="150">
        <v>511.65430527966976</v>
      </c>
      <c r="V160" s="150">
        <v>516.14147692583208</v>
      </c>
      <c r="W160" s="150">
        <v>520.61141587612849</v>
      </c>
      <c r="X160" s="150">
        <v>525.09747573546076</v>
      </c>
      <c r="Y160" s="150">
        <v>529.58325764808558</v>
      </c>
      <c r="Z160" s="150">
        <v>534.01730245913313</v>
      </c>
      <c r="AA160" s="150">
        <v>538.42879660899064</v>
      </c>
      <c r="AB160" s="150">
        <v>542.81686435548727</v>
      </c>
      <c r="AC160" s="150">
        <v>547.18403202171464</v>
      </c>
    </row>
    <row r="161" spans="1:29">
      <c r="A161" s="181" t="s">
        <v>646</v>
      </c>
      <c r="B161" s="220">
        <v>1128</v>
      </c>
      <c r="C161" s="140" t="s">
        <v>636</v>
      </c>
      <c r="E161" s="217" t="s">
        <v>634</v>
      </c>
      <c r="F161" s="150">
        <v>0</v>
      </c>
      <c r="G161" s="150">
        <v>46.935001035005563</v>
      </c>
      <c r="H161" s="150">
        <v>50.279825610606395</v>
      </c>
      <c r="I161" s="150">
        <v>101.46106574729696</v>
      </c>
      <c r="J161" s="150">
        <v>107.95676368599297</v>
      </c>
      <c r="K161" s="150">
        <v>114.53484502879745</v>
      </c>
      <c r="L161" s="150">
        <v>121.21148905355419</v>
      </c>
      <c r="M161" s="150">
        <v>28.285455150548138</v>
      </c>
      <c r="N161" s="150">
        <v>28.583414021006906</v>
      </c>
      <c r="O161" s="150">
        <v>28.844197519335282</v>
      </c>
      <c r="P161" s="150">
        <v>29.04135901631285</v>
      </c>
      <c r="Q161" s="150">
        <v>29.259936307104617</v>
      </c>
      <c r="R161" s="150">
        <v>29.488477987360714</v>
      </c>
      <c r="S161" s="150">
        <v>29.702969461552026</v>
      </c>
      <c r="T161" s="150">
        <v>29.898949685022611</v>
      </c>
      <c r="U161" s="150">
        <v>30.102128728217991</v>
      </c>
      <c r="V161" s="150">
        <v>30.294245492453928</v>
      </c>
      <c r="W161" s="150">
        <v>30.500509744102835</v>
      </c>
      <c r="X161" s="150">
        <v>30.740933646105312</v>
      </c>
      <c r="Y161" s="150">
        <v>30.964944795029098</v>
      </c>
      <c r="Z161" s="150">
        <v>31.134909934004213</v>
      </c>
      <c r="AA161" s="150">
        <v>31.332933980307036</v>
      </c>
      <c r="AB161" s="150">
        <v>31.528910964270995</v>
      </c>
      <c r="AC161" s="150">
        <v>31.726369267313107</v>
      </c>
    </row>
    <row r="162" spans="1:29">
      <c r="A162" s="181" t="s">
        <v>635</v>
      </c>
      <c r="B162" s="220">
        <v>83</v>
      </c>
      <c r="C162" s="140" t="s">
        <v>636</v>
      </c>
      <c r="E162" s="140" t="s">
        <v>630</v>
      </c>
      <c r="F162" s="222">
        <f>B159</f>
        <v>65287.889694656151</v>
      </c>
      <c r="P162" s="140"/>
    </row>
    <row r="163" spans="1:29">
      <c r="A163" s="181" t="s">
        <v>647</v>
      </c>
      <c r="B163" s="220">
        <v>128</v>
      </c>
      <c r="C163" s="181" t="s">
        <v>644</v>
      </c>
      <c r="D163" s="177"/>
      <c r="E163" s="181" t="s">
        <v>638</v>
      </c>
      <c r="F163" s="249">
        <f t="shared" ref="F163:AC164" si="68">F160*$B160*(1+$B$6)^F$2</f>
        <v>0</v>
      </c>
      <c r="G163" s="249">
        <f t="shared" si="68"/>
        <v>687.26251515543856</v>
      </c>
      <c r="H163" s="249">
        <f t="shared" si="68"/>
        <v>1425.5454331109281</v>
      </c>
      <c r="I163" s="249">
        <f t="shared" si="68"/>
        <v>2952.4963109764685</v>
      </c>
      <c r="J163" s="249">
        <f t="shared" si="68"/>
        <v>4584.5425995735404</v>
      </c>
      <c r="K163" s="249">
        <f t="shared" si="68"/>
        <v>6326.6105995037369</v>
      </c>
      <c r="L163" s="249">
        <f t="shared" si="68"/>
        <v>8184.0936719039901</v>
      </c>
      <c r="M163" s="249">
        <f t="shared" si="68"/>
        <v>8469.5559783845292</v>
      </c>
      <c r="N163" s="249">
        <f t="shared" si="68"/>
        <v>8765.415804574237</v>
      </c>
      <c r="O163" s="249">
        <f t="shared" si="68"/>
        <v>9071.3218594141927</v>
      </c>
      <c r="P163" s="249">
        <f t="shared" si="68"/>
        <v>9386.4150744648978</v>
      </c>
      <c r="Q163" s="249">
        <f t="shared" si="68"/>
        <v>9711.3800303585922</v>
      </c>
      <c r="R163" s="249">
        <f t="shared" si="68"/>
        <v>10046.709903291498</v>
      </c>
      <c r="S163" s="249">
        <f t="shared" si="68"/>
        <v>10392.443545608336</v>
      </c>
      <c r="T163" s="249">
        <f t="shared" si="68"/>
        <v>10748.524887563595</v>
      </c>
      <c r="U163" s="249">
        <f t="shared" si="68"/>
        <v>11115.419883261153</v>
      </c>
      <c r="V163" s="249">
        <f t="shared" si="68"/>
        <v>11493.223853286632</v>
      </c>
      <c r="W163" s="249">
        <f t="shared" si="68"/>
        <v>11882.57756061556</v>
      </c>
      <c r="X163" s="249">
        <f t="shared" si="68"/>
        <v>12284.592835147363</v>
      </c>
      <c r="Y163" s="249">
        <f t="shared" si="68"/>
        <v>12699.275597337037</v>
      </c>
      <c r="Z163" s="249">
        <f t="shared" si="68"/>
        <v>13125.742968135963</v>
      </c>
      <c r="AA163" s="249">
        <f t="shared" si="68"/>
        <v>13565.028525007458</v>
      </c>
      <c r="AB163" s="249">
        <f t="shared" si="68"/>
        <v>14017.469816977829</v>
      </c>
      <c r="AC163" s="249">
        <f t="shared" si="68"/>
        <v>14483.501823144961</v>
      </c>
    </row>
    <row r="164" spans="1:29">
      <c r="A164" s="181" t="s">
        <v>648</v>
      </c>
      <c r="B164" s="220">
        <v>-37023.402005835385</v>
      </c>
      <c r="C164" s="181" t="s">
        <v>649</v>
      </c>
      <c r="D164" s="177"/>
      <c r="E164" s="140" t="s">
        <v>654</v>
      </c>
      <c r="F164" s="249">
        <f t="shared" si="68"/>
        <v>0</v>
      </c>
      <c r="G164" s="249">
        <f t="shared" si="68"/>
        <v>54266.248196673427</v>
      </c>
      <c r="H164" s="249">
        <f t="shared" si="68"/>
        <v>59586.872730257688</v>
      </c>
      <c r="I164" s="249">
        <f t="shared" si="68"/>
        <v>123248.06673051161</v>
      </c>
      <c r="J164" s="249">
        <f t="shared" si="68"/>
        <v>134417.06801226066</v>
      </c>
      <c r="K164" s="249">
        <f t="shared" si="68"/>
        <v>146172.62936168662</v>
      </c>
      <c r="L164" s="249">
        <f t="shared" si="68"/>
        <v>158560.89132379097</v>
      </c>
      <c r="M164" s="249">
        <f t="shared" si="68"/>
        <v>37926.199822882889</v>
      </c>
      <c r="N164" s="249">
        <f t="shared" si="68"/>
        <v>39283.857115302235</v>
      </c>
      <c r="O164" s="249">
        <f t="shared" si="68"/>
        <v>40633.323802762672</v>
      </c>
      <c r="P164" s="249">
        <f t="shared" si="68"/>
        <v>41933.845356102269</v>
      </c>
      <c r="Q164" s="249">
        <f t="shared" si="68"/>
        <v>43305.693257360166</v>
      </c>
      <c r="R164" s="249">
        <f t="shared" si="68"/>
        <v>44735.04122385638</v>
      </c>
      <c r="S164" s="249">
        <f t="shared" si="68"/>
        <v>46186.943015525714</v>
      </c>
      <c r="T164" s="249">
        <f t="shared" si="68"/>
        <v>47653.976626531025</v>
      </c>
      <c r="U164" s="249">
        <f t="shared" si="68"/>
        <v>49177.25564889855</v>
      </c>
      <c r="V164" s="249">
        <f t="shared" si="68"/>
        <v>50728.390853742792</v>
      </c>
      <c r="W164" s="249">
        <f t="shared" si="68"/>
        <v>52350.629574871287</v>
      </c>
      <c r="X164" s="249">
        <f t="shared" si="68"/>
        <v>54082.371890988252</v>
      </c>
      <c r="Y164" s="249">
        <f t="shared" si="68"/>
        <v>55838.385432573705</v>
      </c>
      <c r="Z164" s="249">
        <f t="shared" si="68"/>
        <v>57548.501721277033</v>
      </c>
      <c r="AA164" s="249">
        <f t="shared" si="68"/>
        <v>59362.384350668908</v>
      </c>
      <c r="AB164" s="249">
        <f t="shared" si="68"/>
        <v>61227.018040994575</v>
      </c>
      <c r="AC164" s="249">
        <f t="shared" si="68"/>
        <v>63150.730462874977</v>
      </c>
    </row>
    <row r="165" spans="1:29">
      <c r="A165" s="181"/>
      <c r="B165" s="181"/>
      <c r="E165" s="181" t="s">
        <v>639</v>
      </c>
      <c r="F165" s="249">
        <f t="shared" ref="F165:AC165" si="69">F161*$B162*(1+$B$6)^F$2</f>
        <v>0</v>
      </c>
      <c r="G165" s="249">
        <f t="shared" si="69"/>
        <v>3992.9952130530978</v>
      </c>
      <c r="H165" s="249">
        <f t="shared" si="69"/>
        <v>4384.4950679178974</v>
      </c>
      <c r="I165" s="249">
        <f t="shared" si="69"/>
        <v>9068.7850519791355</v>
      </c>
      <c r="J165" s="249">
        <f t="shared" si="69"/>
        <v>9890.6175931007383</v>
      </c>
      <c r="K165" s="249">
        <f t="shared" si="69"/>
        <v>10755.610139202119</v>
      </c>
      <c r="L165" s="249">
        <f t="shared" si="69"/>
        <v>11667.157783576818</v>
      </c>
      <c r="M165" s="249">
        <f t="shared" si="69"/>
        <v>2790.6689585986524</v>
      </c>
      <c r="N165" s="249">
        <f t="shared" si="69"/>
        <v>2890.5675005053949</v>
      </c>
      <c r="O165" s="249">
        <f t="shared" si="69"/>
        <v>2989.863364919594</v>
      </c>
      <c r="P165" s="249">
        <f t="shared" si="69"/>
        <v>3085.5577699968867</v>
      </c>
      <c r="Q165" s="249">
        <f t="shared" si="69"/>
        <v>3186.5004790433459</v>
      </c>
      <c r="R165" s="249">
        <f t="shared" si="69"/>
        <v>3291.6741326064534</v>
      </c>
      <c r="S165" s="249">
        <f t="shared" si="69"/>
        <v>3398.5073318161653</v>
      </c>
      <c r="T165" s="249">
        <f t="shared" si="69"/>
        <v>3506.4539539025486</v>
      </c>
      <c r="U165" s="249">
        <f t="shared" si="69"/>
        <v>3618.5392011157619</v>
      </c>
      <c r="V165" s="249">
        <f t="shared" si="69"/>
        <v>3732.6741496991594</v>
      </c>
      <c r="W165" s="249">
        <f t="shared" si="69"/>
        <v>3852.0410059524088</v>
      </c>
      <c r="X165" s="249">
        <f t="shared" si="69"/>
        <v>3979.4653075815831</v>
      </c>
      <c r="Y165" s="249">
        <f t="shared" si="69"/>
        <v>4108.6755238507258</v>
      </c>
      <c r="Z165" s="249">
        <f t="shared" si="69"/>
        <v>4234.5085486400649</v>
      </c>
      <c r="AA165" s="249">
        <f t="shared" si="69"/>
        <v>4367.9768626821979</v>
      </c>
      <c r="AB165" s="249">
        <f t="shared" si="69"/>
        <v>4505.1795189738914</v>
      </c>
      <c r="AC165" s="249">
        <f t="shared" si="69"/>
        <v>4646.7292805129637</v>
      </c>
    </row>
    <row r="166" spans="1:29">
      <c r="A166" s="181"/>
      <c r="B166" s="181"/>
      <c r="C166" s="181"/>
      <c r="D166" s="177"/>
      <c r="E166" s="140" t="s">
        <v>651</v>
      </c>
      <c r="F166" s="249">
        <f t="shared" ref="F166:AC166" si="70">F160*$B163*(1+$B$6)^F$2</f>
        <v>0</v>
      </c>
      <c r="G166" s="249">
        <f t="shared" si="70"/>
        <v>5864.6401293264089</v>
      </c>
      <c r="H166" s="249">
        <f t="shared" si="70"/>
        <v>12164.654362546587</v>
      </c>
      <c r="I166" s="249">
        <f t="shared" si="70"/>
        <v>25194.635186999196</v>
      </c>
      <c r="J166" s="249">
        <f t="shared" si="70"/>
        <v>39121.430183027551</v>
      </c>
      <c r="K166" s="249">
        <f t="shared" si="70"/>
        <v>53987.077115765227</v>
      </c>
      <c r="L166" s="249">
        <f t="shared" si="70"/>
        <v>69837.599333580714</v>
      </c>
      <c r="M166" s="249">
        <f t="shared" si="70"/>
        <v>72273.544348881318</v>
      </c>
      <c r="N166" s="249">
        <f t="shared" si="70"/>
        <v>74798.214865700153</v>
      </c>
      <c r="O166" s="249">
        <f t="shared" si="70"/>
        <v>77408.613200334454</v>
      </c>
      <c r="P166" s="249">
        <f t="shared" si="70"/>
        <v>80097.408635433792</v>
      </c>
      <c r="Q166" s="249">
        <f t="shared" si="70"/>
        <v>82870.44292572666</v>
      </c>
      <c r="R166" s="249">
        <f t="shared" si="70"/>
        <v>85731.924508087439</v>
      </c>
      <c r="S166" s="249">
        <f t="shared" si="70"/>
        <v>88682.18492252448</v>
      </c>
      <c r="T166" s="249">
        <f t="shared" si="70"/>
        <v>91720.745707209353</v>
      </c>
      <c r="U166" s="249">
        <f t="shared" si="70"/>
        <v>94851.583003828506</v>
      </c>
      <c r="V166" s="249">
        <f t="shared" si="70"/>
        <v>98075.510214712587</v>
      </c>
      <c r="W166" s="249">
        <f t="shared" si="70"/>
        <v>101397.99518391945</v>
      </c>
      <c r="X166" s="249">
        <f t="shared" si="70"/>
        <v>104828.52552659082</v>
      </c>
      <c r="Y166" s="249">
        <f t="shared" si="70"/>
        <v>108367.15176394272</v>
      </c>
      <c r="Z166" s="249">
        <f t="shared" si="70"/>
        <v>112006.33999476022</v>
      </c>
      <c r="AA166" s="249">
        <f t="shared" si="70"/>
        <v>115754.91008006364</v>
      </c>
      <c r="AB166" s="249">
        <f t="shared" si="70"/>
        <v>119615.7424382108</v>
      </c>
      <c r="AC166" s="249">
        <f t="shared" si="70"/>
        <v>123592.548890837</v>
      </c>
    </row>
    <row r="167" spans="1:29">
      <c r="A167" s="177"/>
      <c r="B167" s="181"/>
      <c r="C167" s="249"/>
      <c r="D167" s="228"/>
      <c r="E167" s="192" t="s">
        <v>652</v>
      </c>
      <c r="F167" s="224">
        <f t="shared" ref="F167:AC167" si="71">$B164*F159*(1+$B$6)^F158</f>
        <v>0</v>
      </c>
      <c r="G167" s="224">
        <f t="shared" si="71"/>
        <v>-15069.360357596592</v>
      </c>
      <c r="H167" s="224">
        <f t="shared" si="71"/>
        <v>-29751.268923956097</v>
      </c>
      <c r="I167" s="224">
        <f t="shared" si="71"/>
        <v>-58649.7362383113</v>
      </c>
      <c r="J167" s="224">
        <f t="shared" si="71"/>
        <v>-86681.213263749843</v>
      </c>
      <c r="K167" s="224">
        <f t="shared" si="71"/>
        <v>-113855.0616339135</v>
      </c>
      <c r="L167" s="224">
        <f t="shared" si="71"/>
        <v>-140185.82403202174</v>
      </c>
      <c r="M167" s="224">
        <f t="shared" si="71"/>
        <v>-138084.97298767796</v>
      </c>
      <c r="N167" s="224">
        <f t="shared" si="71"/>
        <v>-136022.4422662057</v>
      </c>
      <c r="O167" s="224">
        <f t="shared" si="71"/>
        <v>-133986.45334542647</v>
      </c>
      <c r="P167" s="224">
        <f t="shared" si="71"/>
        <v>-131960.0098618083</v>
      </c>
      <c r="Q167" s="224">
        <f t="shared" si="71"/>
        <v>-129949.85608885436</v>
      </c>
      <c r="R167" s="224">
        <f t="shared" si="71"/>
        <v>-127959.04345586443</v>
      </c>
      <c r="S167" s="224">
        <f t="shared" si="71"/>
        <v>-125984.48523834537</v>
      </c>
      <c r="T167" s="224">
        <f t="shared" si="71"/>
        <v>-124022.51313320975</v>
      </c>
      <c r="U167" s="224">
        <f t="shared" si="71"/>
        <v>-122075.86296351714</v>
      </c>
      <c r="V167" s="224">
        <f t="shared" si="71"/>
        <v>-120142.88736257215</v>
      </c>
      <c r="W167" s="224">
        <f t="shared" si="71"/>
        <v>-118227.66883713585</v>
      </c>
      <c r="X167" s="224">
        <f t="shared" si="71"/>
        <v>-116337.97619265698</v>
      </c>
      <c r="Y167" s="224">
        <f t="shared" si="71"/>
        <v>-114470.07185038754</v>
      </c>
      <c r="Z167" s="224">
        <f t="shared" si="71"/>
        <v>-112613.1669117042</v>
      </c>
      <c r="AA167" s="224">
        <f t="shared" si="71"/>
        <v>-110774.10680831067</v>
      </c>
      <c r="AB167" s="224">
        <f t="shared" si="71"/>
        <v>-108953.06308437313</v>
      </c>
      <c r="AC167" s="224">
        <f t="shared" si="71"/>
        <v>-107150.86031538263</v>
      </c>
    </row>
    <row r="168" spans="1:29">
      <c r="A168" s="181"/>
      <c r="B168" s="181"/>
      <c r="C168" s="249"/>
      <c r="D168" s="228"/>
      <c r="E168" s="181" t="s">
        <v>216</v>
      </c>
      <c r="F168" s="259">
        <f>SUM(F162:F167)</f>
        <v>65287.889694656151</v>
      </c>
      <c r="G168" s="259">
        <f>SUM(G162:G167)</f>
        <v>49741.785696611776</v>
      </c>
      <c r="H168" s="259">
        <f>SUM(H162:H167)</f>
        <v>47810.298669876996</v>
      </c>
      <c r="I168" s="259">
        <f>SUM(I162:I167)</f>
        <v>101814.2470421551</v>
      </c>
      <c r="J168" s="259">
        <f>SUM(J162:J167)</f>
        <v>101332.44512421262</v>
      </c>
      <c r="K168" s="259">
        <f t="shared" ref="K168:AC168" si="72">SUM(K162:K167)</f>
        <v>103386.86558224419</v>
      </c>
      <c r="L168" s="259">
        <f t="shared" si="72"/>
        <v>108063.91808083077</v>
      </c>
      <c r="M168" s="259">
        <f t="shared" si="72"/>
        <v>-16625.003878930569</v>
      </c>
      <c r="N168" s="259">
        <f t="shared" si="72"/>
        <v>-10284.386980123687</v>
      </c>
      <c r="O168" s="259">
        <f t="shared" si="72"/>
        <v>-3883.3311179955635</v>
      </c>
      <c r="P168" s="259">
        <f t="shared" si="72"/>
        <v>2543.2169741895341</v>
      </c>
      <c r="Q168" s="259">
        <f t="shared" si="72"/>
        <v>9124.1606036343874</v>
      </c>
      <c r="R168" s="259">
        <f t="shared" si="72"/>
        <v>15846.306311977343</v>
      </c>
      <c r="S168" s="259">
        <f t="shared" si="72"/>
        <v>22675.59357712933</v>
      </c>
      <c r="T168" s="259">
        <f t="shared" si="72"/>
        <v>29607.188041996764</v>
      </c>
      <c r="U168" s="259">
        <f t="shared" si="72"/>
        <v>36686.934773586836</v>
      </c>
      <c r="V168" s="259">
        <f t="shared" si="72"/>
        <v>43886.911708869025</v>
      </c>
      <c r="W168" s="259">
        <f t="shared" si="72"/>
        <v>51255.574488222876</v>
      </c>
      <c r="X168" s="259">
        <f t="shared" si="72"/>
        <v>58836.979367651031</v>
      </c>
      <c r="Y168" s="259">
        <f t="shared" si="72"/>
        <v>66543.416467316638</v>
      </c>
      <c r="Z168" s="259">
        <f t="shared" si="72"/>
        <v>74301.926321109087</v>
      </c>
      <c r="AA168" s="259">
        <f t="shared" si="72"/>
        <v>82276.193010111543</v>
      </c>
      <c r="AB168" s="259">
        <f t="shared" si="72"/>
        <v>90412.34673078396</v>
      </c>
      <c r="AC168" s="259">
        <f t="shared" si="72"/>
        <v>98722.65014198728</v>
      </c>
    </row>
    <row r="169" spans="1:29">
      <c r="A169" s="181"/>
      <c r="B169" s="181"/>
      <c r="C169" s="249"/>
      <c r="D169" s="228"/>
      <c r="E169" s="177" t="s">
        <v>641</v>
      </c>
      <c r="F169" s="261">
        <f>F168</f>
        <v>65287.889694656151</v>
      </c>
      <c r="G169" s="249">
        <v>50598.640441894531</v>
      </c>
      <c r="H169" s="249">
        <v>47824.016571044922</v>
      </c>
      <c r="I169" s="249">
        <v>100815.2542114258</v>
      </c>
      <c r="J169" s="249">
        <v>96975.845336914063</v>
      </c>
      <c r="K169" s="249">
        <v>94888.031005859375</v>
      </c>
      <c r="L169" s="249">
        <v>93830.9326171875</v>
      </c>
      <c r="M169" s="249">
        <v>-34708.942413330078</v>
      </c>
      <c r="N169" s="249">
        <v>-32302.055358886719</v>
      </c>
      <c r="O169" s="249">
        <v>-29283.26416015625</v>
      </c>
      <c r="P169" s="249">
        <v>-26574.298858642582</v>
      </c>
      <c r="Q169" s="249">
        <v>-23109.819412231449</v>
      </c>
      <c r="R169" s="249">
        <v>-20207.281112670898</v>
      </c>
      <c r="S169" s="249">
        <v>-16665.90309143066</v>
      </c>
      <c r="T169" s="249">
        <v>-13374.82643127441</v>
      </c>
      <c r="U169" s="249">
        <v>-9768.4202194213867</v>
      </c>
      <c r="V169" s="249">
        <v>-5931.765079498291</v>
      </c>
      <c r="W169" s="249">
        <v>-1791.76926612854</v>
      </c>
      <c r="X169" s="249">
        <v>2639.350414276123</v>
      </c>
      <c r="Y169" s="249">
        <v>6826.2729644775391</v>
      </c>
      <c r="Z169" s="249">
        <v>11296.628952026371</v>
      </c>
      <c r="AA169" s="249">
        <v>16093.72520446777</v>
      </c>
      <c r="AB169" s="249">
        <v>20639.459609985352</v>
      </c>
      <c r="AC169" s="249">
        <v>25952.669143676761</v>
      </c>
    </row>
    <row r="170" spans="1:29">
      <c r="A170" s="181"/>
      <c r="B170" s="181"/>
      <c r="C170" s="249"/>
      <c r="D170" s="228"/>
      <c r="E170" s="185" t="s">
        <v>642</v>
      </c>
      <c r="F170" s="251">
        <f>F168</f>
        <v>65287.889694656151</v>
      </c>
      <c r="G170" s="224">
        <v>50598.640441894531</v>
      </c>
      <c r="H170" s="224">
        <v>47824.016571044922</v>
      </c>
      <c r="I170" s="224">
        <v>100815.2542114258</v>
      </c>
      <c r="J170" s="168">
        <v>96975.845336914063</v>
      </c>
      <c r="K170" s="168">
        <v>94888.031005859375</v>
      </c>
      <c r="L170" s="168">
        <v>93830.9326171875</v>
      </c>
      <c r="M170" s="168">
        <v>-34708.942413330078</v>
      </c>
      <c r="N170" s="168">
        <v>-32302.055358886719</v>
      </c>
      <c r="O170" s="168">
        <v>-29283.26416015625</v>
      </c>
      <c r="P170" s="168">
        <v>-26574.298858642582</v>
      </c>
      <c r="Q170" s="168">
        <v>-23109.819412231449</v>
      </c>
      <c r="R170" s="168">
        <v>-20207.281112670898</v>
      </c>
      <c r="S170" s="168">
        <v>-16665.90309143066</v>
      </c>
      <c r="T170" s="168">
        <v>-13374.82643127441</v>
      </c>
      <c r="U170" s="168">
        <v>-9768.4202194213867</v>
      </c>
      <c r="V170" s="168">
        <v>-5931.765079498291</v>
      </c>
      <c r="W170" s="168">
        <v>-1791.76926612854</v>
      </c>
      <c r="X170" s="168">
        <v>2639.350414276123</v>
      </c>
      <c r="Y170" s="168">
        <v>6826.2729644775391</v>
      </c>
      <c r="Z170" s="168">
        <v>11296.628952026371</v>
      </c>
      <c r="AA170" s="168">
        <v>16093.72520446777</v>
      </c>
      <c r="AB170" s="168">
        <v>20639.459609985352</v>
      </c>
      <c r="AC170" s="168">
        <v>25952.669143676761</v>
      </c>
    </row>
    <row r="171" spans="1:29">
      <c r="B171" s="181"/>
      <c r="C171" s="249"/>
      <c r="D171" s="228"/>
      <c r="E171" s="177" t="s">
        <v>643</v>
      </c>
      <c r="F171" s="267">
        <f>F170-F169</f>
        <v>0</v>
      </c>
      <c r="G171" s="267">
        <f t="shared" ref="G171:AC171" si="73">G170-G169</f>
        <v>0</v>
      </c>
      <c r="H171" s="267">
        <f t="shared" si="73"/>
        <v>0</v>
      </c>
      <c r="I171" s="267">
        <f t="shared" si="73"/>
        <v>0</v>
      </c>
      <c r="J171" s="267">
        <f t="shared" si="73"/>
        <v>0</v>
      </c>
      <c r="K171" s="267">
        <f t="shared" si="73"/>
        <v>0</v>
      </c>
      <c r="L171" s="267">
        <f t="shared" si="73"/>
        <v>0</v>
      </c>
      <c r="M171" s="267">
        <f t="shared" si="73"/>
        <v>0</v>
      </c>
      <c r="N171" s="267">
        <f t="shared" si="73"/>
        <v>0</v>
      </c>
      <c r="O171" s="267">
        <f t="shared" si="73"/>
        <v>0</v>
      </c>
      <c r="P171" s="267">
        <f t="shared" si="73"/>
        <v>0</v>
      </c>
      <c r="Q171" s="267">
        <f t="shared" si="73"/>
        <v>0</v>
      </c>
      <c r="R171" s="267">
        <f t="shared" si="73"/>
        <v>0</v>
      </c>
      <c r="S171" s="267">
        <f t="shared" si="73"/>
        <v>0</v>
      </c>
      <c r="T171" s="267">
        <f t="shared" si="73"/>
        <v>0</v>
      </c>
      <c r="U171" s="267">
        <f t="shared" si="73"/>
        <v>0</v>
      </c>
      <c r="V171" s="267">
        <f t="shared" si="73"/>
        <v>0</v>
      </c>
      <c r="W171" s="267">
        <f t="shared" si="73"/>
        <v>0</v>
      </c>
      <c r="X171" s="267">
        <f t="shared" si="73"/>
        <v>0</v>
      </c>
      <c r="Y171" s="267">
        <f t="shared" si="73"/>
        <v>0</v>
      </c>
      <c r="Z171" s="267">
        <f t="shared" si="73"/>
        <v>0</v>
      </c>
      <c r="AA171" s="267">
        <f t="shared" si="73"/>
        <v>0</v>
      </c>
      <c r="AB171" s="267">
        <f t="shared" si="73"/>
        <v>0</v>
      </c>
      <c r="AC171" s="267">
        <f t="shared" si="73"/>
        <v>0</v>
      </c>
    </row>
    <row r="172" spans="1:29">
      <c r="B172" s="181"/>
      <c r="C172" s="249"/>
      <c r="D172" s="228"/>
      <c r="E172" s="177" t="s">
        <v>721</v>
      </c>
      <c r="F172" s="253"/>
      <c r="G172" s="253">
        <v>0.41999998688697809</v>
      </c>
      <c r="H172" s="253">
        <v>0.8399999737739563</v>
      </c>
      <c r="I172" s="253">
        <v>1.7100000381469731</v>
      </c>
      <c r="J172" s="253">
        <v>2.5799999237060551</v>
      </c>
      <c r="K172" s="253">
        <v>3.4800000190734859</v>
      </c>
      <c r="L172" s="253">
        <v>4.3899998664855957</v>
      </c>
      <c r="M172" s="253">
        <v>4.429999828338623</v>
      </c>
      <c r="N172" s="253">
        <v>4.4800000190734863</v>
      </c>
      <c r="O172" s="253">
        <v>4.5199999809265137</v>
      </c>
      <c r="P172" s="253">
        <v>4.559999942779541</v>
      </c>
      <c r="Q172" s="253">
        <v>4.6100001335144043</v>
      </c>
      <c r="R172" s="253">
        <v>4.6500000953674316</v>
      </c>
      <c r="S172" s="253">
        <v>4.690000057220459</v>
      </c>
      <c r="T172" s="253">
        <v>4.7300000190734863</v>
      </c>
      <c r="U172" s="253">
        <v>4.7800002098083496</v>
      </c>
      <c r="V172" s="253">
        <v>4.820000171661377</v>
      </c>
      <c r="W172" s="253">
        <v>4.8600001335144043</v>
      </c>
      <c r="X172" s="253">
        <v>4.9000000953674316</v>
      </c>
      <c r="Y172" s="253">
        <v>4.940000057220459</v>
      </c>
      <c r="Z172" s="253">
        <v>4.9800000190734863</v>
      </c>
      <c r="AA172" s="253">
        <v>5.0300002098083496</v>
      </c>
      <c r="AB172" s="253">
        <v>5.070000171661377</v>
      </c>
      <c r="AC172" s="253">
        <v>5.1100001335144043</v>
      </c>
    </row>
    <row r="173" spans="1:29">
      <c r="B173" s="181"/>
      <c r="C173" s="249"/>
      <c r="D173" s="228"/>
      <c r="E173" s="177" t="s">
        <v>722</v>
      </c>
      <c r="F173" s="252"/>
      <c r="G173" s="253">
        <v>0.41999998688697809</v>
      </c>
      <c r="H173" s="253">
        <v>0.8399999737739563</v>
      </c>
      <c r="I173" s="253">
        <v>1.7100000381469731</v>
      </c>
      <c r="J173" s="253">
        <v>2.5799999237060551</v>
      </c>
      <c r="K173" s="253">
        <v>3.4800000190734859</v>
      </c>
      <c r="L173" s="253">
        <v>4.3899998664855957</v>
      </c>
      <c r="M173" s="253">
        <v>4.429999828338623</v>
      </c>
      <c r="N173" s="253">
        <v>4.4800000190734863</v>
      </c>
      <c r="O173" s="253">
        <v>4.5199999809265137</v>
      </c>
      <c r="P173" s="253">
        <v>4.559999942779541</v>
      </c>
      <c r="Q173" s="253">
        <v>4.6100001335144043</v>
      </c>
      <c r="R173" s="253">
        <v>4.6500000953674316</v>
      </c>
      <c r="S173" s="253">
        <v>4.690000057220459</v>
      </c>
      <c r="T173" s="253">
        <v>4.7300000190734863</v>
      </c>
      <c r="U173" s="253">
        <v>4.7800002098083496</v>
      </c>
      <c r="V173" s="253">
        <v>4.820000171661377</v>
      </c>
      <c r="W173" s="253">
        <v>4.8600001335144043</v>
      </c>
      <c r="X173" s="253">
        <v>4.9000000953674316</v>
      </c>
      <c r="Y173" s="253">
        <v>4.940000057220459</v>
      </c>
      <c r="Z173" s="253">
        <v>4.9800000190734863</v>
      </c>
      <c r="AA173" s="253">
        <v>5.0300002098083496</v>
      </c>
      <c r="AB173" s="253">
        <v>5.070000171661377</v>
      </c>
      <c r="AC173" s="253">
        <v>5.1100001335144043</v>
      </c>
    </row>
    <row r="174" spans="1:29" ht="13.5" thickBot="1">
      <c r="A174" s="260"/>
      <c r="C174" s="215"/>
      <c r="P174" s="140"/>
    </row>
    <row r="175" spans="1:29" ht="13.5" thickBot="1">
      <c r="A175" s="260">
        <v>11</v>
      </c>
      <c r="C175" s="212" t="s">
        <v>628</v>
      </c>
      <c r="D175" s="211"/>
      <c r="P175" s="140"/>
    </row>
    <row r="176" spans="1:29">
      <c r="C176" s="214" t="s">
        <v>154</v>
      </c>
      <c r="F176" s="247">
        <v>0</v>
      </c>
      <c r="G176" s="247">
        <f>F176-1</f>
        <v>-1</v>
      </c>
      <c r="H176" s="247">
        <f t="shared" ref="H176:AC176" si="74">G176-1</f>
        <v>-2</v>
      </c>
      <c r="I176" s="247">
        <f t="shared" si="74"/>
        <v>-3</v>
      </c>
      <c r="J176" s="247">
        <f t="shared" si="74"/>
        <v>-4</v>
      </c>
      <c r="K176" s="247">
        <f t="shared" si="74"/>
        <v>-5</v>
      </c>
      <c r="L176" s="247">
        <f t="shared" si="74"/>
        <v>-6</v>
      </c>
      <c r="M176" s="247">
        <f t="shared" si="74"/>
        <v>-7</v>
      </c>
      <c r="N176" s="247">
        <f t="shared" si="74"/>
        <v>-8</v>
      </c>
      <c r="O176" s="247">
        <f t="shared" si="74"/>
        <v>-9</v>
      </c>
      <c r="P176" s="247">
        <f t="shared" si="74"/>
        <v>-10</v>
      </c>
      <c r="Q176" s="247">
        <f t="shared" si="74"/>
        <v>-11</v>
      </c>
      <c r="R176" s="247">
        <f t="shared" si="74"/>
        <v>-12</v>
      </c>
      <c r="S176" s="247">
        <f t="shared" si="74"/>
        <v>-13</v>
      </c>
      <c r="T176" s="247">
        <f t="shared" si="74"/>
        <v>-14</v>
      </c>
      <c r="U176" s="247">
        <f t="shared" si="74"/>
        <v>-15</v>
      </c>
      <c r="V176" s="247">
        <f t="shared" si="74"/>
        <v>-16</v>
      </c>
      <c r="W176" s="247">
        <f t="shared" si="74"/>
        <v>-17</v>
      </c>
      <c r="X176" s="247">
        <f t="shared" si="74"/>
        <v>-18</v>
      </c>
      <c r="Y176" s="247">
        <f t="shared" si="74"/>
        <v>-19</v>
      </c>
      <c r="Z176" s="247">
        <f t="shared" si="74"/>
        <v>-20</v>
      </c>
      <c r="AA176" s="247">
        <f t="shared" si="74"/>
        <v>-21</v>
      </c>
      <c r="AB176" s="247">
        <f t="shared" si="74"/>
        <v>-22</v>
      </c>
      <c r="AC176" s="247">
        <f t="shared" si="74"/>
        <v>-23</v>
      </c>
    </row>
    <row r="177" spans="1:29">
      <c r="A177" s="140" t="s">
        <v>630</v>
      </c>
      <c r="B177" s="244">
        <v>74025.974025974021</v>
      </c>
      <c r="C177" s="181" t="s">
        <v>577</v>
      </c>
      <c r="D177" s="177"/>
      <c r="E177" s="217" t="s">
        <v>631</v>
      </c>
      <c r="F177" s="248">
        <v>0</v>
      </c>
      <c r="G177" s="248">
        <v>0.23054486523201809</v>
      </c>
      <c r="H177" s="248">
        <v>0.4658830342237994</v>
      </c>
      <c r="I177" s="248">
        <v>0.93861095086319646</v>
      </c>
      <c r="J177" s="248">
        <v>1.4172658757239236</v>
      </c>
      <c r="K177" s="248">
        <v>1.9068020550748017</v>
      </c>
      <c r="L177" s="248">
        <v>2.4071075435469975</v>
      </c>
      <c r="M177" s="248">
        <v>2.4273821021765398</v>
      </c>
      <c r="N177" s="248">
        <v>2.457074856204756</v>
      </c>
      <c r="O177" s="248">
        <v>2.494879612866491</v>
      </c>
      <c r="P177" s="248">
        <v>2.5146504993002701</v>
      </c>
      <c r="Q177" s="248">
        <v>2.5274107616570554</v>
      </c>
      <c r="R177" s="248">
        <v>2.5625710929425711</v>
      </c>
      <c r="S177" s="248">
        <v>2.6076245315089683</v>
      </c>
      <c r="T177" s="248">
        <v>2.6371597200085577</v>
      </c>
      <c r="U177" s="248">
        <v>2.6644407303226236</v>
      </c>
      <c r="V177" s="248">
        <v>2.6955804443188489</v>
      </c>
      <c r="W177" s="248">
        <v>2.732271376217021</v>
      </c>
      <c r="X177" s="248">
        <v>2.7646129484255679</v>
      </c>
      <c r="Y177" s="248">
        <v>2.8006771230500225</v>
      </c>
      <c r="Z177" s="248">
        <v>2.8364222661326361</v>
      </c>
      <c r="AA177" s="248">
        <v>2.8733006377498365</v>
      </c>
      <c r="AB177" s="248">
        <v>2.9104330768804481</v>
      </c>
      <c r="AC177" s="248">
        <v>2.9520369205285091</v>
      </c>
    </row>
    <row r="178" spans="1:29">
      <c r="A178" s="140" t="s">
        <v>632</v>
      </c>
      <c r="B178" s="244">
        <v>60</v>
      </c>
      <c r="C178" s="181" t="s">
        <v>658</v>
      </c>
      <c r="D178" s="177"/>
      <c r="E178" s="217" t="s">
        <v>645</v>
      </c>
      <c r="F178" s="150">
        <v>0</v>
      </c>
      <c r="G178" s="150">
        <v>57.00403137051557</v>
      </c>
      <c r="H178" s="150">
        <v>115.18514326412956</v>
      </c>
      <c r="I178" s="150">
        <v>232.44348941444071</v>
      </c>
      <c r="J178" s="150">
        <v>351.69294999214941</v>
      </c>
      <c r="K178" s="150">
        <v>472.92768420209325</v>
      </c>
      <c r="L178" s="150">
        <v>596.15810161241188</v>
      </c>
      <c r="M178" s="150">
        <v>601.20770645678112</v>
      </c>
      <c r="N178" s="150">
        <v>606.33371226623387</v>
      </c>
      <c r="O178" s="150">
        <v>611.4930044722928</v>
      </c>
      <c r="P178" s="150">
        <v>616.61534867064745</v>
      </c>
      <c r="Q178" s="150">
        <v>621.7279348320809</v>
      </c>
      <c r="R178" s="150">
        <v>626.83958163738544</v>
      </c>
      <c r="S178" s="150">
        <v>631.93566832063743</v>
      </c>
      <c r="T178" s="150">
        <v>636.99913930118419</v>
      </c>
      <c r="U178" s="150">
        <v>642.03857027605852</v>
      </c>
      <c r="V178" s="150">
        <v>647.04454200551481</v>
      </c>
      <c r="W178" s="150">
        <v>652.03314503561035</v>
      </c>
      <c r="X178" s="150">
        <v>657.04154467934416</v>
      </c>
      <c r="Y178" s="150">
        <v>662.05126693286343</v>
      </c>
      <c r="Z178" s="150">
        <v>667.00147835917505</v>
      </c>
      <c r="AA178" s="150">
        <v>671.92751230925489</v>
      </c>
      <c r="AB178" s="150">
        <v>676.83206261166197</v>
      </c>
      <c r="AC178" s="150">
        <v>681.71306809061014</v>
      </c>
    </row>
    <row r="179" spans="1:29">
      <c r="A179" s="181" t="s">
        <v>646</v>
      </c>
      <c r="B179" s="220">
        <v>0</v>
      </c>
      <c r="E179" s="217" t="s">
        <v>634</v>
      </c>
      <c r="F179" s="150">
        <v>0</v>
      </c>
      <c r="G179" s="150">
        <v>57.00403137051557</v>
      </c>
      <c r="H179" s="150">
        <v>58.181111893613995</v>
      </c>
      <c r="I179" s="150">
        <v>117.25834615031114</v>
      </c>
      <c r="J179" s="150">
        <v>119.2494605777087</v>
      </c>
      <c r="K179" s="150">
        <v>121.23473420994384</v>
      </c>
      <c r="L179" s="150">
        <v>123.23041741031864</v>
      </c>
      <c r="M179" s="150">
        <v>5.0496048443692416</v>
      </c>
      <c r="N179" s="150">
        <v>5.1260058094527494</v>
      </c>
      <c r="O179" s="150">
        <v>5.1592922060589217</v>
      </c>
      <c r="P179" s="150">
        <v>5.1223441983546536</v>
      </c>
      <c r="Q179" s="150">
        <v>5.1125861614334553</v>
      </c>
      <c r="R179" s="150">
        <v>5.111646805304531</v>
      </c>
      <c r="S179" s="150">
        <v>5.0960866832519969</v>
      </c>
      <c r="T179" s="150">
        <v>5.0634709805467537</v>
      </c>
      <c r="U179" s="150">
        <v>5.0394309748743353</v>
      </c>
      <c r="V179" s="150">
        <v>5.0059717294562915</v>
      </c>
      <c r="W179" s="150">
        <v>4.9886030300955326</v>
      </c>
      <c r="X179" s="150">
        <v>5.0083996437338101</v>
      </c>
      <c r="Y179" s="150">
        <v>5.0097222535192714</v>
      </c>
      <c r="Z179" s="150">
        <v>4.9502114263116255</v>
      </c>
      <c r="AA179" s="150">
        <v>4.9260339500798409</v>
      </c>
      <c r="AB179" s="150">
        <v>4.904550302407074</v>
      </c>
      <c r="AC179" s="150">
        <v>4.8810054789481683</v>
      </c>
    </row>
    <row r="180" spans="1:29">
      <c r="A180" s="181" t="s">
        <v>635</v>
      </c>
      <c r="B180" s="220">
        <v>0</v>
      </c>
      <c r="E180" s="140" t="s">
        <v>630</v>
      </c>
      <c r="F180" s="222">
        <f>B177</f>
        <v>74025.974025974021</v>
      </c>
      <c r="P180" s="140"/>
    </row>
    <row r="181" spans="1:29">
      <c r="A181" s="181" t="s">
        <v>647</v>
      </c>
      <c r="B181" s="220">
        <v>20</v>
      </c>
      <c r="C181" s="181" t="s">
        <v>658</v>
      </c>
      <c r="D181" s="177"/>
      <c r="E181" s="181" t="s">
        <v>638</v>
      </c>
      <c r="F181" s="249">
        <f t="shared" ref="F181:AC181" si="75">F177*$B178*1000*(1+$B$6)^F$2</f>
        <v>0</v>
      </c>
      <c r="G181" s="249">
        <f t="shared" si="75"/>
        <v>14178.509211769111</v>
      </c>
      <c r="H181" s="249">
        <f t="shared" si="75"/>
        <v>29368.101769882753</v>
      </c>
      <c r="I181" s="249">
        <f t="shared" si="75"/>
        <v>60646.880010414709</v>
      </c>
      <c r="J181" s="249">
        <f t="shared" si="75"/>
        <v>93863.78058401974</v>
      </c>
      <c r="K181" s="249">
        <f t="shared" si="75"/>
        <v>129442.29032810109</v>
      </c>
      <c r="L181" s="249">
        <f t="shared" si="75"/>
        <v>167490.40651092306</v>
      </c>
      <c r="M181" s="249">
        <f t="shared" si="75"/>
        <v>173123.671413987</v>
      </c>
      <c r="N181" s="249">
        <f t="shared" si="75"/>
        <v>179622.42745191834</v>
      </c>
      <c r="O181" s="249">
        <f t="shared" si="75"/>
        <v>186945.76577917964</v>
      </c>
      <c r="P181" s="249">
        <f t="shared" si="75"/>
        <v>193137.91429259564</v>
      </c>
      <c r="Q181" s="249">
        <f t="shared" si="75"/>
        <v>198970.91634921348</v>
      </c>
      <c r="R181" s="249">
        <f t="shared" si="75"/>
        <v>206782.39345410507</v>
      </c>
      <c r="S181" s="249">
        <f t="shared" si="75"/>
        <v>215678.35305079928</v>
      </c>
      <c r="T181" s="249">
        <f t="shared" si="75"/>
        <v>223574.25876591596</v>
      </c>
      <c r="U181" s="249">
        <f t="shared" si="75"/>
        <v>231534.2774681485</v>
      </c>
      <c r="V181" s="249">
        <f t="shared" si="75"/>
        <v>240096.25923204175</v>
      </c>
      <c r="W181" s="249">
        <f t="shared" si="75"/>
        <v>249448.44123259454</v>
      </c>
      <c r="X181" s="249">
        <f t="shared" si="75"/>
        <v>258711.16116577314</v>
      </c>
      <c r="Y181" s="249">
        <f t="shared" si="75"/>
        <v>268638.18016243755</v>
      </c>
      <c r="Z181" s="249">
        <f t="shared" si="75"/>
        <v>278868.48941344063</v>
      </c>
      <c r="AA181" s="249">
        <f t="shared" si="75"/>
        <v>289556.61626919627</v>
      </c>
      <c r="AB181" s="249">
        <f t="shared" si="75"/>
        <v>300631.10038370482</v>
      </c>
      <c r="AC181" s="249">
        <f t="shared" si="75"/>
        <v>312551.75310941209</v>
      </c>
    </row>
    <row r="182" spans="1:29">
      <c r="A182" s="181"/>
      <c r="B182" s="220"/>
      <c r="C182" s="181"/>
      <c r="D182" s="177"/>
      <c r="E182" s="140" t="s">
        <v>654</v>
      </c>
      <c r="F182" s="249">
        <f t="shared" ref="F182:AC182" si="76">F179*$B179*(1+$B$6)^F$2</f>
        <v>0</v>
      </c>
      <c r="G182" s="249">
        <f t="shared" si="76"/>
        <v>0</v>
      </c>
      <c r="H182" s="249">
        <f t="shared" si="76"/>
        <v>0</v>
      </c>
      <c r="I182" s="249">
        <f t="shared" si="76"/>
        <v>0</v>
      </c>
      <c r="J182" s="249">
        <f t="shared" si="76"/>
        <v>0</v>
      </c>
      <c r="K182" s="249">
        <f t="shared" si="76"/>
        <v>0</v>
      </c>
      <c r="L182" s="249">
        <f t="shared" si="76"/>
        <v>0</v>
      </c>
      <c r="M182" s="249">
        <f t="shared" si="76"/>
        <v>0</v>
      </c>
      <c r="N182" s="249">
        <f t="shared" si="76"/>
        <v>0</v>
      </c>
      <c r="O182" s="249">
        <f t="shared" si="76"/>
        <v>0</v>
      </c>
      <c r="P182" s="249">
        <f t="shared" si="76"/>
        <v>0</v>
      </c>
      <c r="Q182" s="249">
        <f t="shared" si="76"/>
        <v>0</v>
      </c>
      <c r="R182" s="249">
        <f t="shared" si="76"/>
        <v>0</v>
      </c>
      <c r="S182" s="249">
        <f t="shared" si="76"/>
        <v>0</v>
      </c>
      <c r="T182" s="249">
        <f t="shared" si="76"/>
        <v>0</v>
      </c>
      <c r="U182" s="249">
        <f t="shared" si="76"/>
        <v>0</v>
      </c>
      <c r="V182" s="249">
        <f t="shared" si="76"/>
        <v>0</v>
      </c>
      <c r="W182" s="249">
        <f t="shared" si="76"/>
        <v>0</v>
      </c>
      <c r="X182" s="249">
        <f t="shared" si="76"/>
        <v>0</v>
      </c>
      <c r="Y182" s="249">
        <f t="shared" si="76"/>
        <v>0</v>
      </c>
      <c r="Z182" s="249">
        <f t="shared" si="76"/>
        <v>0</v>
      </c>
      <c r="AA182" s="249">
        <f t="shared" si="76"/>
        <v>0</v>
      </c>
      <c r="AB182" s="249">
        <f t="shared" si="76"/>
        <v>0</v>
      </c>
      <c r="AC182" s="249">
        <f t="shared" si="76"/>
        <v>0</v>
      </c>
    </row>
    <row r="183" spans="1:29">
      <c r="A183" s="181"/>
      <c r="B183" s="181"/>
      <c r="E183" s="181" t="s">
        <v>639</v>
      </c>
      <c r="F183" s="249">
        <f t="shared" ref="F183:AC183" si="77">F179*$B180*(1+$B$6)^F$2</f>
        <v>0</v>
      </c>
      <c r="G183" s="249">
        <f t="shared" si="77"/>
        <v>0</v>
      </c>
      <c r="H183" s="249">
        <f t="shared" si="77"/>
        <v>0</v>
      </c>
      <c r="I183" s="249">
        <f t="shared" si="77"/>
        <v>0</v>
      </c>
      <c r="J183" s="249">
        <f t="shared" si="77"/>
        <v>0</v>
      </c>
      <c r="K183" s="249">
        <f t="shared" si="77"/>
        <v>0</v>
      </c>
      <c r="L183" s="249">
        <f t="shared" si="77"/>
        <v>0</v>
      </c>
      <c r="M183" s="249">
        <f t="shared" si="77"/>
        <v>0</v>
      </c>
      <c r="N183" s="249">
        <f t="shared" si="77"/>
        <v>0</v>
      </c>
      <c r="O183" s="249">
        <f t="shared" si="77"/>
        <v>0</v>
      </c>
      <c r="P183" s="249">
        <f t="shared" si="77"/>
        <v>0</v>
      </c>
      <c r="Q183" s="249">
        <f t="shared" si="77"/>
        <v>0</v>
      </c>
      <c r="R183" s="249">
        <f t="shared" si="77"/>
        <v>0</v>
      </c>
      <c r="S183" s="249">
        <f t="shared" si="77"/>
        <v>0</v>
      </c>
      <c r="T183" s="249">
        <f t="shared" si="77"/>
        <v>0</v>
      </c>
      <c r="U183" s="249">
        <f t="shared" si="77"/>
        <v>0</v>
      </c>
      <c r="V183" s="249">
        <f t="shared" si="77"/>
        <v>0</v>
      </c>
      <c r="W183" s="249">
        <f t="shared" si="77"/>
        <v>0</v>
      </c>
      <c r="X183" s="249">
        <f t="shared" si="77"/>
        <v>0</v>
      </c>
      <c r="Y183" s="249">
        <f t="shared" si="77"/>
        <v>0</v>
      </c>
      <c r="Z183" s="249">
        <f t="shared" si="77"/>
        <v>0</v>
      </c>
      <c r="AA183" s="249">
        <f t="shared" si="77"/>
        <v>0</v>
      </c>
      <c r="AB183" s="249">
        <f t="shared" si="77"/>
        <v>0</v>
      </c>
      <c r="AC183" s="249">
        <f t="shared" si="77"/>
        <v>0</v>
      </c>
    </row>
    <row r="184" spans="1:29">
      <c r="A184" s="181"/>
      <c r="B184" s="181"/>
      <c r="C184" s="181"/>
      <c r="D184" s="177"/>
      <c r="E184" s="140" t="s">
        <v>651</v>
      </c>
      <c r="F184" s="249">
        <f t="shared" ref="F184:AC184" si="78">F177*$B181*1000*(1+$B$6)^F$2</f>
        <v>0</v>
      </c>
      <c r="G184" s="249">
        <f>G177*$B181*1000*(1+$B$6)^G$2</f>
        <v>4726.1697372563704</v>
      </c>
      <c r="H184" s="249">
        <f>H177*$B181*1000*(1+$B$6)^H$2</f>
        <v>9789.3672566275836</v>
      </c>
      <c r="I184" s="249">
        <f t="shared" si="78"/>
        <v>20215.626670138234</v>
      </c>
      <c r="J184" s="249">
        <f t="shared" si="78"/>
        <v>31287.926861339918</v>
      </c>
      <c r="K184" s="249">
        <f t="shared" si="78"/>
        <v>43147.430109367036</v>
      </c>
      <c r="L184" s="249">
        <f t="shared" si="78"/>
        <v>55830.135503641017</v>
      </c>
      <c r="M184" s="249">
        <f t="shared" si="78"/>
        <v>57707.89047132901</v>
      </c>
      <c r="N184" s="249">
        <f t="shared" si="78"/>
        <v>59874.142483972784</v>
      </c>
      <c r="O184" s="249">
        <f t="shared" si="78"/>
        <v>62315.255259726546</v>
      </c>
      <c r="P184" s="249">
        <f t="shared" si="78"/>
        <v>64379.304764198561</v>
      </c>
      <c r="Q184" s="249">
        <f t="shared" si="78"/>
        <v>66323.638783071161</v>
      </c>
      <c r="R184" s="249">
        <f t="shared" si="78"/>
        <v>68927.464484701675</v>
      </c>
      <c r="S184" s="249">
        <f t="shared" si="78"/>
        <v>71892.784350266418</v>
      </c>
      <c r="T184" s="249">
        <f t="shared" si="78"/>
        <v>74524.752921971973</v>
      </c>
      <c r="U184" s="249">
        <f t="shared" si="78"/>
        <v>77178.092489382849</v>
      </c>
      <c r="V184" s="249">
        <f t="shared" si="78"/>
        <v>80032.086410680597</v>
      </c>
      <c r="W184" s="249">
        <f t="shared" si="78"/>
        <v>83149.480410864853</v>
      </c>
      <c r="X184" s="249">
        <f t="shared" si="78"/>
        <v>86237.053721924385</v>
      </c>
      <c r="Y184" s="249">
        <f t="shared" si="78"/>
        <v>89546.060054145841</v>
      </c>
      <c r="Z184" s="249">
        <f t="shared" si="78"/>
        <v>92956.16313781355</v>
      </c>
      <c r="AA184" s="249">
        <f t="shared" si="78"/>
        <v>96518.872089732075</v>
      </c>
      <c r="AB184" s="249">
        <f t="shared" si="78"/>
        <v>100210.36679456827</v>
      </c>
      <c r="AC184" s="249">
        <f t="shared" si="78"/>
        <v>104183.91770313737</v>
      </c>
    </row>
    <row r="185" spans="1:29">
      <c r="A185" s="181"/>
      <c r="B185" s="181"/>
      <c r="C185" s="249"/>
      <c r="D185" s="228"/>
      <c r="E185" s="192" t="s">
        <v>652</v>
      </c>
      <c r="F185" s="224">
        <v>0</v>
      </c>
      <c r="G185" s="224">
        <v>0</v>
      </c>
      <c r="H185" s="224">
        <v>0</v>
      </c>
      <c r="I185" s="224">
        <v>0</v>
      </c>
      <c r="J185" s="224">
        <v>0</v>
      </c>
      <c r="K185" s="224">
        <v>0</v>
      </c>
      <c r="L185" s="224">
        <v>0</v>
      </c>
      <c r="M185" s="224">
        <v>0</v>
      </c>
      <c r="N185" s="224">
        <v>0</v>
      </c>
      <c r="O185" s="224">
        <v>0</v>
      </c>
      <c r="P185" s="224">
        <v>0</v>
      </c>
      <c r="Q185" s="224">
        <v>0</v>
      </c>
      <c r="R185" s="224">
        <v>0</v>
      </c>
      <c r="S185" s="224">
        <v>0</v>
      </c>
      <c r="T185" s="224">
        <v>0</v>
      </c>
      <c r="U185" s="224">
        <v>0</v>
      </c>
      <c r="V185" s="224">
        <v>0</v>
      </c>
      <c r="W185" s="224">
        <v>0</v>
      </c>
      <c r="X185" s="224">
        <v>0</v>
      </c>
      <c r="Y185" s="224">
        <v>0</v>
      </c>
      <c r="Z185" s="224">
        <v>0</v>
      </c>
      <c r="AA185" s="224">
        <v>0</v>
      </c>
      <c r="AB185" s="224">
        <v>0</v>
      </c>
      <c r="AC185" s="224">
        <v>0</v>
      </c>
    </row>
    <row r="186" spans="1:29">
      <c r="A186" s="181"/>
      <c r="B186" s="181"/>
      <c r="C186" s="249"/>
      <c r="D186" s="228"/>
      <c r="E186" s="181" t="s">
        <v>216</v>
      </c>
      <c r="F186" s="259">
        <f>SUM(F180:F185)</f>
        <v>74025.974025974021</v>
      </c>
      <c r="G186" s="259">
        <f>SUM(G180:G185)</f>
        <v>18904.678949025481</v>
      </c>
      <c r="H186" s="259">
        <f>SUM(H180:H185)</f>
        <v>39157.469026510335</v>
      </c>
      <c r="I186" s="259">
        <f>SUM(I180:I185)</f>
        <v>80862.506680552935</v>
      </c>
      <c r="J186" s="259">
        <f>SUM(J180:J185)</f>
        <v>125151.70744535966</v>
      </c>
      <c r="K186" s="259">
        <f t="shared" ref="K186:AC186" si="79">SUM(K180:K185)</f>
        <v>172589.72043746815</v>
      </c>
      <c r="L186" s="259">
        <f t="shared" si="79"/>
        <v>223320.54201456407</v>
      </c>
      <c r="M186" s="259">
        <f t="shared" si="79"/>
        <v>230831.56188531601</v>
      </c>
      <c r="N186" s="259">
        <f t="shared" si="79"/>
        <v>239496.56993589114</v>
      </c>
      <c r="O186" s="259">
        <f t="shared" si="79"/>
        <v>249261.02103890618</v>
      </c>
      <c r="P186" s="259">
        <f t="shared" si="79"/>
        <v>257517.21905679419</v>
      </c>
      <c r="Q186" s="259">
        <f t="shared" si="79"/>
        <v>265294.55513228464</v>
      </c>
      <c r="R186" s="259">
        <f t="shared" si="79"/>
        <v>275709.85793880676</v>
      </c>
      <c r="S186" s="259">
        <f t="shared" si="79"/>
        <v>287571.13740106567</v>
      </c>
      <c r="T186" s="259">
        <f t="shared" si="79"/>
        <v>298099.01168788795</v>
      </c>
      <c r="U186" s="259">
        <f t="shared" si="79"/>
        <v>308712.36995753134</v>
      </c>
      <c r="V186" s="259">
        <f t="shared" si="79"/>
        <v>320128.34564272233</v>
      </c>
      <c r="W186" s="259">
        <f t="shared" si="79"/>
        <v>332597.92164345941</v>
      </c>
      <c r="X186" s="259">
        <f t="shared" si="79"/>
        <v>344948.21488769754</v>
      </c>
      <c r="Y186" s="259">
        <f t="shared" si="79"/>
        <v>358184.24021658336</v>
      </c>
      <c r="Z186" s="259">
        <f t="shared" si="79"/>
        <v>371824.6525512542</v>
      </c>
      <c r="AA186" s="259">
        <f t="shared" si="79"/>
        <v>386075.48835892836</v>
      </c>
      <c r="AB186" s="259">
        <f t="shared" si="79"/>
        <v>400841.46717827307</v>
      </c>
      <c r="AC186" s="259">
        <f t="shared" si="79"/>
        <v>416735.67081254948</v>
      </c>
    </row>
    <row r="187" spans="1:29">
      <c r="A187" s="181"/>
      <c r="B187" s="181"/>
      <c r="C187" s="249"/>
      <c r="D187" s="228"/>
      <c r="E187" s="177" t="s">
        <v>641</v>
      </c>
      <c r="F187" s="249">
        <v>0</v>
      </c>
      <c r="G187" s="249">
        <v>0</v>
      </c>
      <c r="H187" s="249">
        <v>0</v>
      </c>
      <c r="I187" s="249">
        <v>0</v>
      </c>
      <c r="J187" s="249">
        <v>0</v>
      </c>
      <c r="K187" s="249">
        <v>0</v>
      </c>
      <c r="L187" s="249">
        <v>0</v>
      </c>
      <c r="M187" s="249">
        <v>0</v>
      </c>
      <c r="N187" s="249">
        <v>0</v>
      </c>
      <c r="O187" s="249">
        <v>0</v>
      </c>
      <c r="P187" s="249">
        <v>0</v>
      </c>
      <c r="Q187" s="249">
        <v>0</v>
      </c>
      <c r="R187" s="249">
        <v>0</v>
      </c>
      <c r="S187" s="249">
        <v>0</v>
      </c>
      <c r="T187" s="249">
        <v>0</v>
      </c>
      <c r="U187" s="249">
        <v>0</v>
      </c>
      <c r="V187" s="249">
        <v>0</v>
      </c>
      <c r="W187" s="249">
        <v>0</v>
      </c>
      <c r="X187" s="249">
        <v>0</v>
      </c>
      <c r="Y187" s="249">
        <v>0</v>
      </c>
      <c r="Z187" s="249">
        <v>0</v>
      </c>
      <c r="AA187" s="249">
        <v>0</v>
      </c>
      <c r="AB187" s="249">
        <v>0</v>
      </c>
      <c r="AC187" s="249">
        <v>0</v>
      </c>
    </row>
    <row r="188" spans="1:29">
      <c r="A188" s="215"/>
      <c r="B188" s="177"/>
      <c r="C188" s="228"/>
      <c r="D188" s="228"/>
      <c r="E188" s="185" t="s">
        <v>642</v>
      </c>
      <c r="F188" s="265">
        <v>0</v>
      </c>
      <c r="G188" s="224">
        <v>0</v>
      </c>
      <c r="H188" s="224">
        <v>0</v>
      </c>
      <c r="I188" s="251">
        <f>F186*(1+0.025)^I2</f>
        <v>79717.877435064918</v>
      </c>
      <c r="J188" s="168">
        <v>20365.89241027832</v>
      </c>
      <c r="K188" s="168">
        <v>42657.688140869141</v>
      </c>
      <c r="L188" s="168">
        <v>87687.843322753906</v>
      </c>
      <c r="M188" s="168">
        <v>135405.25817871091</v>
      </c>
      <c r="N188" s="168">
        <v>186682.84606933591</v>
      </c>
      <c r="O188" s="168">
        <v>241441.5283203125</v>
      </c>
      <c r="P188" s="168">
        <v>250214.9658203125</v>
      </c>
      <c r="Q188" s="168">
        <v>258927.24609375</v>
      </c>
      <c r="R188" s="168">
        <v>268637.02392578119</v>
      </c>
      <c r="S188" s="168">
        <v>277564.60571289063</v>
      </c>
      <c r="T188" s="168">
        <v>287556.36596679688</v>
      </c>
      <c r="U188" s="168">
        <v>297425.4150390625</v>
      </c>
      <c r="V188" s="168">
        <v>310815.36865234381</v>
      </c>
      <c r="W188" s="168">
        <v>322247.65014648438</v>
      </c>
      <c r="X188" s="168">
        <v>333717.95654296881</v>
      </c>
      <c r="Y188" s="168">
        <v>346256.01196289063</v>
      </c>
      <c r="Z188" s="168">
        <v>358855.89599609381</v>
      </c>
      <c r="AA188" s="168">
        <v>371869.35424804688</v>
      </c>
      <c r="AB188" s="168">
        <v>387749.66430664063</v>
      </c>
      <c r="AC188" s="168">
        <v>402019.74487304688</v>
      </c>
    </row>
    <row r="189" spans="1:29">
      <c r="B189" s="181"/>
      <c r="C189" s="249"/>
      <c r="D189" s="228"/>
      <c r="E189" s="177" t="s">
        <v>643</v>
      </c>
      <c r="F189" s="267">
        <f>F188-F187</f>
        <v>0</v>
      </c>
      <c r="G189" s="267">
        <f t="shared" ref="G189:AC189" si="80">G188-G187</f>
        <v>0</v>
      </c>
      <c r="H189" s="267">
        <f t="shared" si="80"/>
        <v>0</v>
      </c>
      <c r="I189" s="267">
        <f t="shared" si="80"/>
        <v>79717.877435064918</v>
      </c>
      <c r="J189" s="267">
        <f t="shared" si="80"/>
        <v>20365.89241027832</v>
      </c>
      <c r="K189" s="267">
        <f t="shared" si="80"/>
        <v>42657.688140869141</v>
      </c>
      <c r="L189" s="267">
        <f t="shared" si="80"/>
        <v>87687.843322753906</v>
      </c>
      <c r="M189" s="267">
        <f t="shared" si="80"/>
        <v>135405.25817871091</v>
      </c>
      <c r="N189" s="267">
        <f t="shared" si="80"/>
        <v>186682.84606933591</v>
      </c>
      <c r="O189" s="267">
        <f t="shared" si="80"/>
        <v>241441.5283203125</v>
      </c>
      <c r="P189" s="267">
        <f t="shared" si="80"/>
        <v>250214.9658203125</v>
      </c>
      <c r="Q189" s="267">
        <f t="shared" si="80"/>
        <v>258927.24609375</v>
      </c>
      <c r="R189" s="267">
        <f t="shared" si="80"/>
        <v>268637.02392578119</v>
      </c>
      <c r="S189" s="267">
        <f t="shared" si="80"/>
        <v>277564.60571289063</v>
      </c>
      <c r="T189" s="267">
        <f t="shared" si="80"/>
        <v>287556.36596679688</v>
      </c>
      <c r="U189" s="267">
        <f t="shared" si="80"/>
        <v>297425.4150390625</v>
      </c>
      <c r="V189" s="267">
        <f t="shared" si="80"/>
        <v>310815.36865234381</v>
      </c>
      <c r="W189" s="267">
        <f t="shared" si="80"/>
        <v>322247.65014648438</v>
      </c>
      <c r="X189" s="267">
        <f t="shared" si="80"/>
        <v>333717.95654296881</v>
      </c>
      <c r="Y189" s="267">
        <f t="shared" si="80"/>
        <v>346256.01196289063</v>
      </c>
      <c r="Z189" s="267">
        <f t="shared" si="80"/>
        <v>358855.89599609381</v>
      </c>
      <c r="AA189" s="267">
        <f t="shared" si="80"/>
        <v>371869.35424804688</v>
      </c>
      <c r="AB189" s="267">
        <f t="shared" si="80"/>
        <v>387749.66430664063</v>
      </c>
      <c r="AC189" s="267">
        <f t="shared" si="80"/>
        <v>402019.74487304688</v>
      </c>
    </row>
    <row r="190" spans="1:29">
      <c r="B190" s="181"/>
      <c r="C190" s="249"/>
      <c r="D190" s="228"/>
      <c r="E190" s="177" t="s">
        <v>721</v>
      </c>
      <c r="F190" s="252"/>
      <c r="G190" s="252"/>
      <c r="H190" s="252"/>
      <c r="I190" s="252"/>
      <c r="J190" s="252"/>
      <c r="K190" s="252"/>
      <c r="L190" s="252"/>
      <c r="M190" s="252"/>
      <c r="N190" s="252"/>
      <c r="O190" s="252"/>
      <c r="P190" s="252"/>
      <c r="Q190" s="252"/>
      <c r="R190" s="252"/>
      <c r="S190" s="252"/>
      <c r="T190" s="252"/>
      <c r="U190" s="252"/>
      <c r="V190" s="252"/>
      <c r="W190" s="252"/>
      <c r="X190" s="252"/>
      <c r="Y190" s="252"/>
      <c r="Z190" s="252"/>
      <c r="AA190" s="252"/>
      <c r="AB190" s="252"/>
      <c r="AC190" s="252"/>
    </row>
    <row r="191" spans="1:29">
      <c r="B191" s="181"/>
      <c r="C191" s="249"/>
      <c r="D191" s="228"/>
      <c r="E191" s="177" t="s">
        <v>722</v>
      </c>
      <c r="F191" s="252"/>
      <c r="G191" s="252"/>
      <c r="H191" s="252"/>
      <c r="I191" s="252"/>
      <c r="J191" s="253">
        <v>0.23000000417232511</v>
      </c>
      <c r="K191" s="253">
        <v>0.4699999988079071</v>
      </c>
      <c r="L191" s="253">
        <v>0.93999999761581421</v>
      </c>
      <c r="M191" s="253">
        <v>1.419999957084656</v>
      </c>
      <c r="N191" s="253">
        <v>1.9099999666213989</v>
      </c>
      <c r="O191" s="253">
        <v>2.410000085830688</v>
      </c>
      <c r="P191" s="253">
        <v>2.4300000667572021</v>
      </c>
      <c r="Q191" s="253">
        <v>2.4600000381469731</v>
      </c>
      <c r="R191" s="253">
        <v>2.4900000095367432</v>
      </c>
      <c r="S191" s="253">
        <v>2.5099999904632568</v>
      </c>
      <c r="T191" s="253">
        <v>2.529999971389771</v>
      </c>
      <c r="U191" s="253">
        <v>2.559999942779541</v>
      </c>
      <c r="V191" s="253">
        <v>2.6099998950958252</v>
      </c>
      <c r="W191" s="253">
        <v>2.6400001049041748</v>
      </c>
      <c r="X191" s="253">
        <v>2.660000085830688</v>
      </c>
      <c r="Y191" s="253">
        <v>2.7000000476837158</v>
      </c>
      <c r="Z191" s="253">
        <v>2.7300000190734859</v>
      </c>
      <c r="AA191" s="253">
        <v>2.7599999904632568</v>
      </c>
      <c r="AB191" s="253">
        <v>2.7999999523162842</v>
      </c>
      <c r="AC191" s="253">
        <v>2.839999914169312</v>
      </c>
    </row>
    <row r="192" spans="1:29" ht="13.5" thickBot="1">
      <c r="P192" s="140"/>
    </row>
    <row r="193" spans="1:29" ht="13.5" thickBot="1">
      <c r="A193" s="260">
        <v>12</v>
      </c>
      <c r="C193" s="212" t="s">
        <v>628</v>
      </c>
      <c r="D193" s="211"/>
      <c r="P193" s="140"/>
    </row>
    <row r="194" spans="1:29">
      <c r="C194" s="214" t="s">
        <v>155</v>
      </c>
      <c r="F194" s="247">
        <v>0</v>
      </c>
      <c r="G194" s="247">
        <f>F194-1</f>
        <v>-1</v>
      </c>
      <c r="H194" s="247">
        <f t="shared" ref="H194:AC194" si="81">G194-1</f>
        <v>-2</v>
      </c>
      <c r="I194" s="247">
        <f t="shared" si="81"/>
        <v>-3</v>
      </c>
      <c r="J194" s="247">
        <f t="shared" si="81"/>
        <v>-4</v>
      </c>
      <c r="K194" s="247">
        <f t="shared" si="81"/>
        <v>-5</v>
      </c>
      <c r="L194" s="247">
        <f t="shared" si="81"/>
        <v>-6</v>
      </c>
      <c r="M194" s="247">
        <f t="shared" si="81"/>
        <v>-7</v>
      </c>
      <c r="N194" s="247">
        <f t="shared" si="81"/>
        <v>-8</v>
      </c>
      <c r="O194" s="247">
        <f t="shared" si="81"/>
        <v>-9</v>
      </c>
      <c r="P194" s="247">
        <f t="shared" si="81"/>
        <v>-10</v>
      </c>
      <c r="Q194" s="247">
        <f t="shared" si="81"/>
        <v>-11</v>
      </c>
      <c r="R194" s="247">
        <f t="shared" si="81"/>
        <v>-12</v>
      </c>
      <c r="S194" s="247">
        <f t="shared" si="81"/>
        <v>-13</v>
      </c>
      <c r="T194" s="247">
        <f t="shared" si="81"/>
        <v>-14</v>
      </c>
      <c r="U194" s="247">
        <f t="shared" si="81"/>
        <v>-15</v>
      </c>
      <c r="V194" s="247">
        <f t="shared" si="81"/>
        <v>-16</v>
      </c>
      <c r="W194" s="247">
        <f t="shared" si="81"/>
        <v>-17</v>
      </c>
      <c r="X194" s="247">
        <f t="shared" si="81"/>
        <v>-18</v>
      </c>
      <c r="Y194" s="247">
        <f t="shared" si="81"/>
        <v>-19</v>
      </c>
      <c r="Z194" s="247">
        <f t="shared" si="81"/>
        <v>-20</v>
      </c>
      <c r="AA194" s="247">
        <f t="shared" si="81"/>
        <v>-21</v>
      </c>
      <c r="AB194" s="247">
        <f t="shared" si="81"/>
        <v>-22</v>
      </c>
      <c r="AC194" s="247">
        <f t="shared" si="81"/>
        <v>-23</v>
      </c>
    </row>
    <row r="195" spans="1:29">
      <c r="A195" s="140" t="s">
        <v>630</v>
      </c>
      <c r="B195" s="244">
        <v>75974.025974025964</v>
      </c>
      <c r="C195" s="181" t="s">
        <v>577</v>
      </c>
      <c r="D195" s="177"/>
      <c r="E195" s="217" t="s">
        <v>631</v>
      </c>
      <c r="F195" s="248">
        <v>0</v>
      </c>
      <c r="G195" s="248">
        <v>0.23661183536970279</v>
      </c>
      <c r="H195" s="248">
        <v>0.47814311407179394</v>
      </c>
      <c r="I195" s="248">
        <v>0.96331123904380689</v>
      </c>
      <c r="J195" s="248">
        <v>1.4545623461377113</v>
      </c>
      <c r="K195" s="248">
        <v>1.9569810565241366</v>
      </c>
      <c r="L195" s="248">
        <v>2.4704524789034989</v>
      </c>
      <c r="M195" s="248">
        <v>2.4912605785496047</v>
      </c>
      <c r="N195" s="248">
        <v>2.5217347208417218</v>
      </c>
      <c r="O195" s="248">
        <v>2.5605343395208711</v>
      </c>
      <c r="P195" s="248">
        <v>2.5808255124397501</v>
      </c>
      <c r="Q195" s="248">
        <v>2.5939215711743464</v>
      </c>
      <c r="R195" s="248">
        <v>2.6300071743357978</v>
      </c>
      <c r="S195" s="248">
        <v>2.6762462297065714</v>
      </c>
      <c r="T195" s="248">
        <v>2.706558660008783</v>
      </c>
      <c r="U195" s="248">
        <v>2.7345575916469023</v>
      </c>
      <c r="V195" s="248">
        <v>2.7665167718009251</v>
      </c>
      <c r="W195" s="248">
        <v>2.8041732545385205</v>
      </c>
      <c r="X195" s="248">
        <v>2.8373659207525566</v>
      </c>
      <c r="Y195" s="248">
        <v>2.8743791526039701</v>
      </c>
      <c r="Z195" s="248">
        <v>2.9110649573466501</v>
      </c>
      <c r="AA195" s="248">
        <v>2.9489138124274632</v>
      </c>
      <c r="AB195" s="248">
        <v>2.9870234210088809</v>
      </c>
      <c r="AC195" s="248">
        <v>3.0297221026476802</v>
      </c>
    </row>
    <row r="196" spans="1:29">
      <c r="A196" s="140" t="s">
        <v>632</v>
      </c>
      <c r="B196" s="244">
        <v>60</v>
      </c>
      <c r="C196" s="181" t="s">
        <v>658</v>
      </c>
      <c r="D196" s="177"/>
      <c r="E196" s="217" t="s">
        <v>653</v>
      </c>
      <c r="F196" s="248">
        <v>0</v>
      </c>
      <c r="G196" s="248">
        <f>G195-F195</f>
        <v>0.23661183536970279</v>
      </c>
      <c r="H196" s="248">
        <f>H195-G195</f>
        <v>0.24153127870209115</v>
      </c>
      <c r="I196" s="248">
        <f t="shared" ref="I196:AC196" si="82">I195-H195</f>
        <v>0.48516812497201295</v>
      </c>
      <c r="J196" s="248">
        <f t="shared" si="82"/>
        <v>0.4912511070939044</v>
      </c>
      <c r="K196" s="248">
        <f t="shared" si="82"/>
        <v>0.50241871038642527</v>
      </c>
      <c r="L196" s="248">
        <f t="shared" si="82"/>
        <v>0.51347142237936239</v>
      </c>
      <c r="M196" s="248">
        <f t="shared" si="82"/>
        <v>2.0808099646105749E-2</v>
      </c>
      <c r="N196" s="248">
        <f t="shared" si="82"/>
        <v>3.047414229211709E-2</v>
      </c>
      <c r="O196" s="248">
        <f t="shared" si="82"/>
        <v>3.8799618679149273E-2</v>
      </c>
      <c r="P196" s="248">
        <f t="shared" si="82"/>
        <v>2.0291172918879052E-2</v>
      </c>
      <c r="Q196" s="248">
        <f t="shared" si="82"/>
        <v>1.3096058734596294E-2</v>
      </c>
      <c r="R196" s="248">
        <f t="shared" si="82"/>
        <v>3.6085603161451374E-2</v>
      </c>
      <c r="S196" s="248">
        <f t="shared" si="82"/>
        <v>4.6239055370773663E-2</v>
      </c>
      <c r="T196" s="248">
        <f t="shared" si="82"/>
        <v>3.0312430302211535E-2</v>
      </c>
      <c r="U196" s="248">
        <f t="shared" si="82"/>
        <v>2.7998931638119284E-2</v>
      </c>
      <c r="V196" s="248">
        <f t="shared" si="82"/>
        <v>3.1959180154022881E-2</v>
      </c>
      <c r="W196" s="248">
        <f t="shared" si="82"/>
        <v>3.7656482737595365E-2</v>
      </c>
      <c r="X196" s="248">
        <f t="shared" si="82"/>
        <v>3.3192666214036048E-2</v>
      </c>
      <c r="Y196" s="248">
        <f t="shared" si="82"/>
        <v>3.7013231851413586E-2</v>
      </c>
      <c r="Z196" s="248">
        <f t="shared" si="82"/>
        <v>3.6685804742679906E-2</v>
      </c>
      <c r="AA196" s="248">
        <f t="shared" si="82"/>
        <v>3.7848855080813149E-2</v>
      </c>
      <c r="AB196" s="248">
        <f t="shared" si="82"/>
        <v>3.8109608581417653E-2</v>
      </c>
      <c r="AC196" s="248">
        <f t="shared" si="82"/>
        <v>4.2698681638799307E-2</v>
      </c>
    </row>
    <row r="197" spans="1:29">
      <c r="A197" s="181" t="s">
        <v>646</v>
      </c>
      <c r="B197" s="220">
        <v>310</v>
      </c>
      <c r="C197" s="181" t="s">
        <v>658</v>
      </c>
      <c r="D197" s="177"/>
      <c r="E197" s="217" t="s">
        <v>645</v>
      </c>
      <c r="F197" s="150">
        <v>0</v>
      </c>
      <c r="G197" s="150">
        <v>57.00403137051557</v>
      </c>
      <c r="H197" s="150">
        <v>115.18514326412956</v>
      </c>
      <c r="I197" s="150">
        <v>232.44348941444071</v>
      </c>
      <c r="J197" s="150">
        <v>351.69294999214941</v>
      </c>
      <c r="K197" s="150">
        <v>472.92768420209325</v>
      </c>
      <c r="L197" s="150">
        <v>596.15810161241188</v>
      </c>
      <c r="M197" s="150">
        <v>601.20770645678112</v>
      </c>
      <c r="N197" s="150">
        <v>606.33371226623387</v>
      </c>
      <c r="O197" s="150">
        <v>611.4930044722928</v>
      </c>
      <c r="P197" s="150">
        <v>616.61534867064745</v>
      </c>
      <c r="Q197" s="150">
        <v>621.7279348320809</v>
      </c>
      <c r="R197" s="150">
        <v>626.83958163738544</v>
      </c>
      <c r="S197" s="150">
        <v>631.93566832063743</v>
      </c>
      <c r="T197" s="150">
        <v>636.99913930118419</v>
      </c>
      <c r="U197" s="150">
        <v>642.03857027605852</v>
      </c>
      <c r="V197" s="150">
        <v>647.04454200551481</v>
      </c>
      <c r="W197" s="150">
        <v>652.03314503561035</v>
      </c>
      <c r="X197" s="150">
        <v>657.04154467934416</v>
      </c>
      <c r="Y197" s="150">
        <v>662.05126693286343</v>
      </c>
      <c r="Z197" s="150">
        <v>667.00147835917505</v>
      </c>
      <c r="AA197" s="150">
        <v>671.92751230925489</v>
      </c>
      <c r="AB197" s="150">
        <v>676.83206261166197</v>
      </c>
      <c r="AC197" s="150">
        <v>681.71306809061014</v>
      </c>
    </row>
    <row r="198" spans="1:29">
      <c r="A198" s="181" t="s">
        <v>635</v>
      </c>
      <c r="B198" s="220">
        <v>0</v>
      </c>
      <c r="E198" s="217" t="s">
        <v>634</v>
      </c>
      <c r="F198" s="150">
        <v>0</v>
      </c>
      <c r="G198" s="150">
        <v>57.00403137051557</v>
      </c>
      <c r="H198" s="150">
        <v>58.181111893613995</v>
      </c>
      <c r="I198" s="150">
        <v>117.25834615031114</v>
      </c>
      <c r="J198" s="150">
        <v>119.2494605777087</v>
      </c>
      <c r="K198" s="150">
        <v>121.23473420994384</v>
      </c>
      <c r="L198" s="150">
        <v>123.23041741031864</v>
      </c>
      <c r="M198" s="150">
        <v>5.0496048443692416</v>
      </c>
      <c r="N198" s="150">
        <v>5.1260058094527494</v>
      </c>
      <c r="O198" s="150">
        <v>5.1592922060589217</v>
      </c>
      <c r="P198" s="150">
        <v>5.1223441983546536</v>
      </c>
      <c r="Q198" s="150">
        <v>5.1125861614334553</v>
      </c>
      <c r="R198" s="150">
        <v>5.111646805304531</v>
      </c>
      <c r="S198" s="150">
        <v>5.0960866832519969</v>
      </c>
      <c r="T198" s="150">
        <v>5.0634709805467537</v>
      </c>
      <c r="U198" s="150">
        <v>5.0394309748743353</v>
      </c>
      <c r="V198" s="150">
        <v>5.0059717294562915</v>
      </c>
      <c r="W198" s="150">
        <v>4.9886030300955326</v>
      </c>
      <c r="X198" s="150">
        <v>5.0083996437338101</v>
      </c>
      <c r="Y198" s="150">
        <v>5.0097222535192714</v>
      </c>
      <c r="Z198" s="150">
        <v>4.9502114263116255</v>
      </c>
      <c r="AA198" s="150">
        <v>4.9260339500798409</v>
      </c>
      <c r="AB198" s="150">
        <v>4.904550302407074</v>
      </c>
      <c r="AC198" s="150">
        <v>4.8810054789481683</v>
      </c>
    </row>
    <row r="199" spans="1:29">
      <c r="A199" s="181" t="s">
        <v>647</v>
      </c>
      <c r="B199" s="220">
        <v>20</v>
      </c>
      <c r="C199" s="181" t="s">
        <v>658</v>
      </c>
      <c r="D199" s="177"/>
      <c r="E199" s="140" t="s">
        <v>630</v>
      </c>
      <c r="F199" s="222">
        <f>B195</f>
        <v>75974.025974025964</v>
      </c>
      <c r="P199" s="140"/>
    </row>
    <row r="200" spans="1:29">
      <c r="A200" s="181" t="s">
        <v>648</v>
      </c>
      <c r="B200" s="220">
        <v>-37023.402005835385</v>
      </c>
      <c r="C200" s="177" t="s">
        <v>649</v>
      </c>
      <c r="D200" s="177"/>
      <c r="E200" s="181" t="s">
        <v>638</v>
      </c>
      <c r="F200" s="249">
        <f t="shared" ref="F200:AC201" si="83">F195*$B196*1000*(1+$B$6)^F$2</f>
        <v>0</v>
      </c>
      <c r="G200" s="249">
        <f t="shared" si="83"/>
        <v>14551.627875236722</v>
      </c>
      <c r="H200" s="249">
        <f t="shared" si="83"/>
        <v>30140.94655330071</v>
      </c>
      <c r="I200" s="249">
        <f t="shared" si="83"/>
        <v>62242.850537004575</v>
      </c>
      <c r="J200" s="249">
        <f t="shared" si="83"/>
        <v>96333.880073072913</v>
      </c>
      <c r="K200" s="249">
        <f t="shared" si="83"/>
        <v>132848.66638936682</v>
      </c>
      <c r="L200" s="249">
        <f t="shared" si="83"/>
        <v>171898.04878752641</v>
      </c>
      <c r="M200" s="249">
        <f t="shared" si="83"/>
        <v>177679.55750382863</v>
      </c>
      <c r="N200" s="249">
        <f t="shared" si="83"/>
        <v>184349.33343749505</v>
      </c>
      <c r="O200" s="249">
        <f t="shared" si="83"/>
        <v>191865.39119442116</v>
      </c>
      <c r="P200" s="249">
        <f t="shared" si="83"/>
        <v>198220.490984506</v>
      </c>
      <c r="Q200" s="249">
        <f t="shared" si="83"/>
        <v>204206.99309524542</v>
      </c>
      <c r="R200" s="249">
        <f t="shared" si="83"/>
        <v>212224.03538710793</v>
      </c>
      <c r="S200" s="249">
        <f t="shared" si="83"/>
        <v>221354.09918371495</v>
      </c>
      <c r="T200" s="249">
        <f t="shared" si="83"/>
        <v>229457.79189133478</v>
      </c>
      <c r="U200" s="249">
        <f t="shared" si="83"/>
        <v>237627.28476994182</v>
      </c>
      <c r="V200" s="249">
        <f t="shared" si="83"/>
        <v>246414.5818434114</v>
      </c>
      <c r="W200" s="249">
        <f t="shared" si="83"/>
        <v>256012.87389661011</v>
      </c>
      <c r="X200" s="249">
        <f t="shared" si="83"/>
        <v>265519.34961750399</v>
      </c>
      <c r="Y200" s="249">
        <f t="shared" si="83"/>
        <v>275707.60595618584</v>
      </c>
      <c r="Z200" s="249">
        <f t="shared" si="83"/>
        <v>286207.13387168874</v>
      </c>
      <c r="AA200" s="249">
        <f t="shared" si="83"/>
        <v>297176.52722364874</v>
      </c>
      <c r="AB200" s="249">
        <f t="shared" si="83"/>
        <v>308542.44513064442</v>
      </c>
      <c r="AC200" s="249">
        <f t="shared" si="83"/>
        <v>320776.79924387025</v>
      </c>
    </row>
    <row r="201" spans="1:29">
      <c r="A201" s="181"/>
      <c r="B201" s="181"/>
      <c r="E201" s="140" t="s">
        <v>654</v>
      </c>
      <c r="F201" s="249">
        <f>F195*$B197*1000*(1+$B$6)^F$2</f>
        <v>0</v>
      </c>
      <c r="G201" s="249">
        <f t="shared" si="83"/>
        <v>75183.410688723045</v>
      </c>
      <c r="H201" s="249">
        <f t="shared" si="83"/>
        <v>78665.227902779181</v>
      </c>
      <c r="I201" s="249">
        <f t="shared" si="83"/>
        <v>161966.63165266861</v>
      </c>
      <c r="J201" s="249">
        <f t="shared" si="83"/>
        <v>168097.28440865671</v>
      </c>
      <c r="K201" s="249">
        <f t="shared" si="83"/>
        <v>176216.6031247465</v>
      </c>
      <c r="L201" s="249">
        <f t="shared" si="83"/>
        <v>184595.52298186481</v>
      </c>
      <c r="M201" s="249">
        <f t="shared" si="83"/>
        <v>7667.6303991726882</v>
      </c>
      <c r="N201" s="249">
        <f t="shared" si="83"/>
        <v>11510.232813031946</v>
      </c>
      <c r="O201" s="249">
        <f t="shared" si="83"/>
        <v>15021.176175108574</v>
      </c>
      <c r="P201" s="249">
        <f t="shared" si="83"/>
        <v>8052.069219492555</v>
      </c>
      <c r="Q201" s="249">
        <f t="shared" si="83"/>
        <v>5326.7808199881138</v>
      </c>
      <c r="R201" s="249">
        <f t="shared" si="83"/>
        <v>15044.648566487074</v>
      </c>
      <c r="S201" s="249">
        <f t="shared" si="83"/>
        <v>19759.725044968272</v>
      </c>
      <c r="T201" s="249">
        <f t="shared" si="83"/>
        <v>13277.507844806209</v>
      </c>
      <c r="U201" s="249">
        <f t="shared" si="83"/>
        <v>12570.748420172169</v>
      </c>
      <c r="V201" s="249">
        <f t="shared" si="83"/>
        <v>14707.510596808654</v>
      </c>
      <c r="W201" s="249">
        <f t="shared" si="83"/>
        <v>17762.625453419587</v>
      </c>
      <c r="X201" s="249">
        <f t="shared" si="83"/>
        <v>16048.461679639473</v>
      </c>
      <c r="Y201" s="249">
        <f t="shared" si="83"/>
        <v>18343.075090928774</v>
      </c>
      <c r="Z201" s="249">
        <f t="shared" si="83"/>
        <v>18635.328460757984</v>
      </c>
      <c r="AA201" s="249">
        <f t="shared" si="83"/>
        <v>19706.777526699931</v>
      </c>
      <c r="AB201" s="249">
        <f t="shared" si="83"/>
        <v>20338.607753089906</v>
      </c>
      <c r="AC201" s="249">
        <f t="shared" si="83"/>
        <v>23357.430422291905</v>
      </c>
    </row>
    <row r="202" spans="1:29">
      <c r="A202" s="181"/>
      <c r="B202" s="181"/>
      <c r="C202" s="181"/>
      <c r="D202" s="177"/>
      <c r="E202" s="181" t="s">
        <v>639</v>
      </c>
      <c r="F202" s="249">
        <f t="shared" ref="F202:AC202" si="84">F198*$B198*(1+$B$6)^F$2</f>
        <v>0</v>
      </c>
      <c r="G202" s="249">
        <f t="shared" si="84"/>
        <v>0</v>
      </c>
      <c r="H202" s="249">
        <f t="shared" si="84"/>
        <v>0</v>
      </c>
      <c r="I202" s="249">
        <f t="shared" si="84"/>
        <v>0</v>
      </c>
      <c r="J202" s="249">
        <f t="shared" si="84"/>
        <v>0</v>
      </c>
      <c r="K202" s="249">
        <f t="shared" si="84"/>
        <v>0</v>
      </c>
      <c r="L202" s="249">
        <f t="shared" si="84"/>
        <v>0</v>
      </c>
      <c r="M202" s="249">
        <f t="shared" si="84"/>
        <v>0</v>
      </c>
      <c r="N202" s="249">
        <f t="shared" si="84"/>
        <v>0</v>
      </c>
      <c r="O202" s="249">
        <f t="shared" si="84"/>
        <v>0</v>
      </c>
      <c r="P202" s="249">
        <f t="shared" si="84"/>
        <v>0</v>
      </c>
      <c r="Q202" s="249">
        <f t="shared" si="84"/>
        <v>0</v>
      </c>
      <c r="R202" s="249">
        <f t="shared" si="84"/>
        <v>0</v>
      </c>
      <c r="S202" s="249">
        <f t="shared" si="84"/>
        <v>0</v>
      </c>
      <c r="T202" s="249">
        <f t="shared" si="84"/>
        <v>0</v>
      </c>
      <c r="U202" s="249">
        <f t="shared" si="84"/>
        <v>0</v>
      </c>
      <c r="V202" s="249">
        <f t="shared" si="84"/>
        <v>0</v>
      </c>
      <c r="W202" s="249">
        <f t="shared" si="84"/>
        <v>0</v>
      </c>
      <c r="X202" s="249">
        <f t="shared" si="84"/>
        <v>0</v>
      </c>
      <c r="Y202" s="249">
        <f t="shared" si="84"/>
        <v>0</v>
      </c>
      <c r="Z202" s="249">
        <f t="shared" si="84"/>
        <v>0</v>
      </c>
      <c r="AA202" s="249">
        <f t="shared" si="84"/>
        <v>0</v>
      </c>
      <c r="AB202" s="249">
        <f t="shared" si="84"/>
        <v>0</v>
      </c>
      <c r="AC202" s="249">
        <f t="shared" si="84"/>
        <v>0</v>
      </c>
    </row>
    <row r="203" spans="1:29">
      <c r="A203" s="181"/>
      <c r="B203" s="181"/>
      <c r="C203" s="249"/>
      <c r="D203" s="228"/>
      <c r="E203" s="140" t="s">
        <v>651</v>
      </c>
      <c r="F203" s="249">
        <f t="shared" ref="F203:AC203" si="85">F195*$B199*1000*(1+$B$6)^F$2</f>
        <v>0</v>
      </c>
      <c r="G203" s="249">
        <f t="shared" si="85"/>
        <v>4850.5426250789069</v>
      </c>
      <c r="H203" s="249">
        <f t="shared" si="85"/>
        <v>10046.982184433569</v>
      </c>
      <c r="I203" s="249">
        <f t="shared" si="85"/>
        <v>20747.616845668188</v>
      </c>
      <c r="J203" s="249">
        <f t="shared" si="85"/>
        <v>32111.293357690975</v>
      </c>
      <c r="K203" s="249">
        <f t="shared" si="85"/>
        <v>44282.888796455598</v>
      </c>
      <c r="L203" s="249">
        <f t="shared" si="85"/>
        <v>57299.349595842141</v>
      </c>
      <c r="M203" s="249">
        <f t="shared" si="85"/>
        <v>59226.519167942883</v>
      </c>
      <c r="N203" s="249">
        <f t="shared" si="85"/>
        <v>61449.777812498345</v>
      </c>
      <c r="O203" s="249">
        <f t="shared" si="85"/>
        <v>63955.130398140376</v>
      </c>
      <c r="P203" s="249">
        <f t="shared" si="85"/>
        <v>66073.496994835339</v>
      </c>
      <c r="Q203" s="249">
        <f t="shared" si="85"/>
        <v>68068.997698415144</v>
      </c>
      <c r="R203" s="249">
        <f t="shared" si="85"/>
        <v>70741.345129035966</v>
      </c>
      <c r="S203" s="249">
        <f t="shared" si="85"/>
        <v>73784.699727904983</v>
      </c>
      <c r="T203" s="249">
        <f t="shared" si="85"/>
        <v>76485.930630444927</v>
      </c>
      <c r="U203" s="249">
        <f t="shared" si="85"/>
        <v>79209.094923313954</v>
      </c>
      <c r="V203" s="249">
        <f t="shared" si="85"/>
        <v>82138.193947803797</v>
      </c>
      <c r="W203" s="249">
        <f t="shared" si="85"/>
        <v>85337.624632203369</v>
      </c>
      <c r="X203" s="249">
        <f t="shared" si="85"/>
        <v>88506.449872501325</v>
      </c>
      <c r="Y203" s="249">
        <f t="shared" si="85"/>
        <v>91902.535318728624</v>
      </c>
      <c r="Z203" s="249">
        <f t="shared" si="85"/>
        <v>95402.37795722959</v>
      </c>
      <c r="AA203" s="249">
        <f t="shared" si="85"/>
        <v>99058.842407882898</v>
      </c>
      <c r="AB203" s="249">
        <f t="shared" si="85"/>
        <v>102847.48171021481</v>
      </c>
      <c r="AC203" s="249">
        <f t="shared" si="85"/>
        <v>106925.59974795674</v>
      </c>
    </row>
    <row r="204" spans="1:29">
      <c r="A204" s="181"/>
      <c r="B204" s="181"/>
      <c r="C204" s="249"/>
      <c r="D204" s="228"/>
      <c r="E204" s="192" t="s">
        <v>652</v>
      </c>
      <c r="F204" s="224">
        <f t="shared" ref="F204:AC204" si="86">$B200*F195*(1+$B$6)^F194</f>
        <v>0</v>
      </c>
      <c r="G204" s="224">
        <f t="shared" si="86"/>
        <v>-8546.5122929083391</v>
      </c>
      <c r="H204" s="224">
        <f t="shared" si="86"/>
        <v>-16849.479813065587</v>
      </c>
      <c r="I204" s="224">
        <f t="shared" si="86"/>
        <v>-33118.553019122308</v>
      </c>
      <c r="J204" s="224">
        <f t="shared" si="86"/>
        <v>-48788.020996126499</v>
      </c>
      <c r="K204" s="224">
        <f t="shared" si="86"/>
        <v>-64038.863734588987</v>
      </c>
      <c r="L204" s="224">
        <f t="shared" si="86"/>
        <v>-78869.599349546566</v>
      </c>
      <c r="M204" s="224">
        <f t="shared" si="86"/>
        <v>-77594.050081193112</v>
      </c>
      <c r="N204" s="224">
        <f t="shared" si="86"/>
        <v>-76627.524862756793</v>
      </c>
      <c r="O204" s="224">
        <f t="shared" si="86"/>
        <v>-75908.802232962407</v>
      </c>
      <c r="P204" s="224">
        <f t="shared" si="86"/>
        <v>-74644.24196603382</v>
      </c>
      <c r="Q204" s="224">
        <f t="shared" si="86"/>
        <v>-73193.184710930844</v>
      </c>
      <c r="R204" s="224">
        <f t="shared" si="86"/>
        <v>-72401.384514615565</v>
      </c>
      <c r="S204" s="224">
        <f t="shared" si="86"/>
        <v>-71877.363913056513</v>
      </c>
      <c r="T204" s="224">
        <f t="shared" si="86"/>
        <v>-70918.517975670824</v>
      </c>
      <c r="U204" s="224">
        <f t="shared" si="86"/>
        <v>-69904.545462796726</v>
      </c>
      <c r="V204" s="224">
        <f t="shared" si="86"/>
        <v>-68996.614881589325</v>
      </c>
      <c r="W204" s="224">
        <f t="shared" si="86"/>
        <v>-68230.012970848169</v>
      </c>
      <c r="X204" s="224">
        <f t="shared" si="86"/>
        <v>-67353.798577264926</v>
      </c>
      <c r="Y204" s="224">
        <f t="shared" si="86"/>
        <v>-66568.218512942141</v>
      </c>
      <c r="Z204" s="224">
        <f t="shared" si="86"/>
        <v>-65773.493741979502</v>
      </c>
      <c r="AA204" s="224">
        <f t="shared" si="86"/>
        <v>-65003.573046297432</v>
      </c>
      <c r="AB204" s="224">
        <f t="shared" si="86"/>
        <v>-64237.689515698548</v>
      </c>
      <c r="AC204" s="224">
        <f t="shared" si="86"/>
        <v>-63566.780187529599</v>
      </c>
    </row>
    <row r="205" spans="1:29">
      <c r="A205" s="181"/>
      <c r="B205" s="181"/>
      <c r="C205" s="249"/>
      <c r="D205" s="228"/>
      <c r="E205" s="181" t="s">
        <v>216</v>
      </c>
      <c r="F205" s="259">
        <f>SUM(F199:F204)</f>
        <v>75974.025974025964</v>
      </c>
      <c r="G205" s="259">
        <f>SUM(G199:G204)</f>
        <v>86039.068896130324</v>
      </c>
      <c r="H205" s="259">
        <f>SUM(H199:H204)</f>
        <v>102003.67682744788</v>
      </c>
      <c r="I205" s="259">
        <f>SUM(I199:I204)</f>
        <v>211838.54601621904</v>
      </c>
      <c r="J205" s="259">
        <f>SUM(J199:J204)</f>
        <v>247754.4368432941</v>
      </c>
      <c r="K205" s="259">
        <f t="shared" ref="K205:AC205" si="87">SUM(K199:K204)</f>
        <v>289309.29457597993</v>
      </c>
      <c r="L205" s="259">
        <f t="shared" si="87"/>
        <v>334923.32201568678</v>
      </c>
      <c r="M205" s="259">
        <f t="shared" si="87"/>
        <v>166979.65698975109</v>
      </c>
      <c r="N205" s="259">
        <f t="shared" si="87"/>
        <v>180681.81920026854</v>
      </c>
      <c r="O205" s="259">
        <f t="shared" si="87"/>
        <v>194932.89553470776</v>
      </c>
      <c r="P205" s="259">
        <f t="shared" si="87"/>
        <v>197701.81523280009</v>
      </c>
      <c r="Q205" s="259">
        <f t="shared" si="87"/>
        <v>204409.58690271783</v>
      </c>
      <c r="R205" s="259">
        <f t="shared" si="87"/>
        <v>225608.64456801541</v>
      </c>
      <c r="S205" s="259">
        <f t="shared" si="87"/>
        <v>243021.16004353174</v>
      </c>
      <c r="T205" s="259">
        <f t="shared" si="87"/>
        <v>248302.71239091508</v>
      </c>
      <c r="U205" s="259">
        <f t="shared" si="87"/>
        <v>259502.58265063123</v>
      </c>
      <c r="V205" s="259">
        <f t="shared" si="87"/>
        <v>274263.67150643456</v>
      </c>
      <c r="W205" s="259">
        <f t="shared" si="87"/>
        <v>290883.11101138487</v>
      </c>
      <c r="X205" s="259">
        <f t="shared" si="87"/>
        <v>302720.46259237983</v>
      </c>
      <c r="Y205" s="259">
        <f t="shared" si="87"/>
        <v>319384.99785290106</v>
      </c>
      <c r="Z205" s="259">
        <f t="shared" si="87"/>
        <v>334471.34654769686</v>
      </c>
      <c r="AA205" s="259">
        <f t="shared" si="87"/>
        <v>350938.57411193417</v>
      </c>
      <c r="AB205" s="259">
        <f t="shared" si="87"/>
        <v>367490.84507825063</v>
      </c>
      <c r="AC205" s="259">
        <f t="shared" si="87"/>
        <v>387493.04922658927</v>
      </c>
    </row>
    <row r="206" spans="1:29">
      <c r="A206" s="181"/>
      <c r="B206" s="177"/>
      <c r="C206" s="228"/>
      <c r="D206" s="228"/>
      <c r="E206" s="177" t="s">
        <v>641</v>
      </c>
      <c r="F206" s="249">
        <v>0</v>
      </c>
      <c r="G206" s="249">
        <v>0</v>
      </c>
      <c r="H206" s="249">
        <v>0</v>
      </c>
      <c r="I206" s="249">
        <v>0</v>
      </c>
      <c r="J206" s="249">
        <v>0</v>
      </c>
      <c r="K206" s="249">
        <v>0</v>
      </c>
      <c r="L206" s="249">
        <v>0</v>
      </c>
      <c r="M206" s="249">
        <v>0</v>
      </c>
      <c r="N206" s="249">
        <v>0</v>
      </c>
      <c r="O206" s="249">
        <v>0</v>
      </c>
      <c r="P206" s="249">
        <v>0</v>
      </c>
      <c r="Q206" s="249">
        <v>0</v>
      </c>
      <c r="R206" s="249">
        <v>0</v>
      </c>
      <c r="S206" s="249">
        <v>0</v>
      </c>
      <c r="T206" s="249">
        <v>0</v>
      </c>
      <c r="U206" s="249">
        <v>0</v>
      </c>
      <c r="V206" s="249">
        <v>0</v>
      </c>
      <c r="W206" s="249">
        <v>0</v>
      </c>
      <c r="X206" s="249">
        <v>0</v>
      </c>
      <c r="Y206" s="249">
        <v>0</v>
      </c>
      <c r="Z206" s="249">
        <v>0</v>
      </c>
      <c r="AA206" s="249">
        <v>0</v>
      </c>
      <c r="AB206" s="249">
        <v>0</v>
      </c>
      <c r="AC206" s="249">
        <v>0</v>
      </c>
    </row>
    <row r="207" spans="1:29">
      <c r="A207" s="215"/>
      <c r="B207" s="177"/>
      <c r="C207" s="228"/>
      <c r="D207" s="228"/>
      <c r="E207" s="185" t="s">
        <v>642</v>
      </c>
      <c r="F207" s="265">
        <v>0</v>
      </c>
      <c r="G207" s="224">
        <v>0</v>
      </c>
      <c r="H207" s="224">
        <v>0</v>
      </c>
      <c r="I207" s="251">
        <f>F205*(1+0.025)^I2</f>
        <v>81815.716314935053</v>
      </c>
      <c r="J207" s="168">
        <v>95113.227844238281</v>
      </c>
      <c r="K207" s="168">
        <v>111877.311706543</v>
      </c>
      <c r="L207" s="168">
        <v>230277.1301269531</v>
      </c>
      <c r="M207" s="168">
        <v>268021.97265625</v>
      </c>
      <c r="N207" s="168">
        <v>312813.65966796881</v>
      </c>
      <c r="O207" s="168">
        <v>359453.06396484381</v>
      </c>
      <c r="P207" s="168">
        <v>176371.59729003909</v>
      </c>
      <c r="Q207" s="168">
        <v>188722.47314453119</v>
      </c>
      <c r="R207" s="168">
        <v>201863.17443847659</v>
      </c>
      <c r="S207" s="168">
        <v>202840.7287597656</v>
      </c>
      <c r="T207" s="168">
        <v>208285.20202636719</v>
      </c>
      <c r="U207" s="168">
        <v>228751.64794921881</v>
      </c>
      <c r="V207" s="168">
        <v>245718.2312011719</v>
      </c>
      <c r="W207" s="168">
        <v>249365.67687988281</v>
      </c>
      <c r="X207" s="168">
        <v>259482.57446289063</v>
      </c>
      <c r="Y207" s="168">
        <v>273299.83520507813</v>
      </c>
      <c r="Z207" s="168">
        <v>288292.78564453119</v>
      </c>
      <c r="AA207" s="168">
        <v>305070.40405273438</v>
      </c>
      <c r="AB207" s="168">
        <v>322114.19677734381</v>
      </c>
      <c r="AC207" s="168">
        <v>339653.3203125</v>
      </c>
    </row>
    <row r="208" spans="1:29">
      <c r="E208" s="177" t="s">
        <v>643</v>
      </c>
      <c r="F208" s="267">
        <f>F207-F206</f>
        <v>0</v>
      </c>
      <c r="G208" s="267">
        <f t="shared" ref="G208:AC208" si="88">G207-G206</f>
        <v>0</v>
      </c>
      <c r="H208" s="267">
        <f t="shared" si="88"/>
        <v>0</v>
      </c>
      <c r="I208" s="267">
        <f t="shared" si="88"/>
        <v>81815.716314935053</v>
      </c>
      <c r="J208" s="267">
        <f t="shared" si="88"/>
        <v>95113.227844238281</v>
      </c>
      <c r="K208" s="267">
        <f t="shared" si="88"/>
        <v>111877.311706543</v>
      </c>
      <c r="L208" s="267">
        <f t="shared" si="88"/>
        <v>230277.1301269531</v>
      </c>
      <c r="M208" s="267">
        <f t="shared" si="88"/>
        <v>268021.97265625</v>
      </c>
      <c r="N208" s="267">
        <f t="shared" si="88"/>
        <v>312813.65966796881</v>
      </c>
      <c r="O208" s="267">
        <f t="shared" si="88"/>
        <v>359453.06396484381</v>
      </c>
      <c r="P208" s="267">
        <f t="shared" si="88"/>
        <v>176371.59729003909</v>
      </c>
      <c r="Q208" s="267">
        <f t="shared" si="88"/>
        <v>188722.47314453119</v>
      </c>
      <c r="R208" s="267">
        <f t="shared" si="88"/>
        <v>201863.17443847659</v>
      </c>
      <c r="S208" s="267">
        <f t="shared" si="88"/>
        <v>202840.7287597656</v>
      </c>
      <c r="T208" s="267">
        <f t="shared" si="88"/>
        <v>208285.20202636719</v>
      </c>
      <c r="U208" s="267">
        <f t="shared" si="88"/>
        <v>228751.64794921881</v>
      </c>
      <c r="V208" s="267">
        <f t="shared" si="88"/>
        <v>245718.2312011719</v>
      </c>
      <c r="W208" s="267">
        <f t="shared" si="88"/>
        <v>249365.67687988281</v>
      </c>
      <c r="X208" s="267">
        <f t="shared" si="88"/>
        <v>259482.57446289063</v>
      </c>
      <c r="Y208" s="267">
        <f t="shared" si="88"/>
        <v>273299.83520507813</v>
      </c>
      <c r="Z208" s="267">
        <f t="shared" si="88"/>
        <v>288292.78564453119</v>
      </c>
      <c r="AA208" s="267">
        <f t="shared" si="88"/>
        <v>305070.40405273438</v>
      </c>
      <c r="AB208" s="267">
        <f t="shared" si="88"/>
        <v>322114.19677734381</v>
      </c>
      <c r="AC208" s="267">
        <f t="shared" si="88"/>
        <v>339653.3203125</v>
      </c>
    </row>
    <row r="209" spans="1:29">
      <c r="E209" s="177" t="s">
        <v>721</v>
      </c>
      <c r="F209" s="252"/>
      <c r="G209" s="252"/>
      <c r="H209" s="252"/>
      <c r="I209" s="252"/>
      <c r="J209" s="252"/>
      <c r="K209" s="252"/>
      <c r="L209" s="252"/>
      <c r="M209" s="252"/>
      <c r="N209" s="252"/>
      <c r="O209" s="252"/>
      <c r="P209" s="252"/>
      <c r="Q209" s="252"/>
      <c r="R209" s="252"/>
      <c r="S209" s="252"/>
      <c r="T209" s="252"/>
      <c r="U209" s="252"/>
      <c r="V209" s="252"/>
      <c r="W209" s="252"/>
      <c r="X209" s="252"/>
      <c r="Y209" s="252"/>
      <c r="Z209" s="252"/>
      <c r="AA209" s="252"/>
      <c r="AB209" s="252"/>
      <c r="AC209" s="252"/>
    </row>
    <row r="210" spans="1:29">
      <c r="E210" s="177" t="s">
        <v>722</v>
      </c>
      <c r="F210" s="252"/>
      <c r="G210" s="252"/>
      <c r="H210" s="252"/>
      <c r="I210" s="252"/>
      <c r="J210" s="253">
        <v>0.239999994635582</v>
      </c>
      <c r="K210" s="253">
        <v>0.47999998927116388</v>
      </c>
      <c r="L210" s="253">
        <v>0.95999997854232788</v>
      </c>
      <c r="M210" s="253">
        <v>1.450000047683716</v>
      </c>
      <c r="N210" s="253">
        <v>1.9600000381469731</v>
      </c>
      <c r="O210" s="253">
        <v>2.470000028610229</v>
      </c>
      <c r="P210" s="253">
        <v>2.4900000095367432</v>
      </c>
      <c r="Q210" s="253">
        <v>2.5199999809265141</v>
      </c>
      <c r="R210" s="253">
        <v>2.559999942779541</v>
      </c>
      <c r="S210" s="253">
        <v>2.5799999237060551</v>
      </c>
      <c r="T210" s="253">
        <v>2.589999914169312</v>
      </c>
      <c r="U210" s="253">
        <v>2.630000114440918</v>
      </c>
      <c r="V210" s="253">
        <v>2.6800000667572021</v>
      </c>
      <c r="W210" s="253">
        <v>2.7100000381469731</v>
      </c>
      <c r="X210" s="253">
        <v>2.7300000190734859</v>
      </c>
      <c r="Y210" s="253">
        <v>2.7699999809265141</v>
      </c>
      <c r="Z210" s="253">
        <v>2.7999999523162842</v>
      </c>
      <c r="AA210" s="253">
        <v>2.839999914169312</v>
      </c>
      <c r="AB210" s="253">
        <v>2.869999885559082</v>
      </c>
      <c r="AC210" s="253">
        <v>2.910000085830688</v>
      </c>
    </row>
    <row r="211" spans="1:29" ht="13.5" thickBot="1">
      <c r="P211" s="140"/>
    </row>
    <row r="212" spans="1:29" ht="13.5" thickBot="1">
      <c r="A212" s="260">
        <v>13</v>
      </c>
      <c r="C212" s="212" t="s">
        <v>628</v>
      </c>
      <c r="D212" s="211"/>
      <c r="P212" s="140"/>
    </row>
    <row r="213" spans="1:29">
      <c r="C213" s="214" t="s">
        <v>156</v>
      </c>
      <c r="F213" s="247">
        <v>0</v>
      </c>
      <c r="G213" s="247">
        <f>F213-1</f>
        <v>-1</v>
      </c>
      <c r="H213" s="247">
        <f t="shared" ref="H213:AC213" si="89">G213-1</f>
        <v>-2</v>
      </c>
      <c r="I213" s="247">
        <f t="shared" si="89"/>
        <v>-3</v>
      </c>
      <c r="J213" s="247">
        <f t="shared" si="89"/>
        <v>-4</v>
      </c>
      <c r="K213" s="247">
        <f t="shared" si="89"/>
        <v>-5</v>
      </c>
      <c r="L213" s="247">
        <f t="shared" si="89"/>
        <v>-6</v>
      </c>
      <c r="M213" s="247">
        <f t="shared" si="89"/>
        <v>-7</v>
      </c>
      <c r="N213" s="247">
        <f t="shared" si="89"/>
        <v>-8</v>
      </c>
      <c r="O213" s="247">
        <f t="shared" si="89"/>
        <v>-9</v>
      </c>
      <c r="P213" s="247">
        <f t="shared" si="89"/>
        <v>-10</v>
      </c>
      <c r="Q213" s="247">
        <f t="shared" si="89"/>
        <v>-11</v>
      </c>
      <c r="R213" s="247">
        <f t="shared" si="89"/>
        <v>-12</v>
      </c>
      <c r="S213" s="247">
        <f t="shared" si="89"/>
        <v>-13</v>
      </c>
      <c r="T213" s="247">
        <f t="shared" si="89"/>
        <v>-14</v>
      </c>
      <c r="U213" s="247">
        <f t="shared" si="89"/>
        <v>-15</v>
      </c>
      <c r="V213" s="247">
        <f t="shared" si="89"/>
        <v>-16</v>
      </c>
      <c r="W213" s="247">
        <f t="shared" si="89"/>
        <v>-17</v>
      </c>
      <c r="X213" s="247">
        <f t="shared" si="89"/>
        <v>-18</v>
      </c>
      <c r="Y213" s="247">
        <f t="shared" si="89"/>
        <v>-19</v>
      </c>
      <c r="Z213" s="247">
        <f t="shared" si="89"/>
        <v>-20</v>
      </c>
      <c r="AA213" s="247">
        <f t="shared" si="89"/>
        <v>-21</v>
      </c>
      <c r="AB213" s="247">
        <f t="shared" si="89"/>
        <v>-22</v>
      </c>
      <c r="AC213" s="247">
        <f t="shared" si="89"/>
        <v>-23</v>
      </c>
    </row>
    <row r="214" spans="1:29">
      <c r="A214" s="215" t="s">
        <v>630</v>
      </c>
      <c r="B214" s="243">
        <v>87227.758453120201</v>
      </c>
      <c r="C214" s="177" t="s">
        <v>577</v>
      </c>
      <c r="D214" s="177"/>
      <c r="E214" s="177" t="s">
        <v>631</v>
      </c>
      <c r="F214" s="269">
        <v>0</v>
      </c>
      <c r="G214" s="269">
        <v>0.10356508428370044</v>
      </c>
      <c r="H214" s="269">
        <v>0.20933176296901879</v>
      </c>
      <c r="I214" s="269">
        <v>0.42185729610538775</v>
      </c>
      <c r="J214" s="269">
        <v>0.63714569965087453</v>
      </c>
      <c r="K214" s="269">
        <v>0.85744249874745082</v>
      </c>
      <c r="L214" s="269">
        <v>1.0826912889211702</v>
      </c>
      <c r="M214" s="269">
        <v>1.0920405088749845</v>
      </c>
      <c r="N214" s="269">
        <v>1.1056717286078623</v>
      </c>
      <c r="O214" s="269">
        <v>1.1230443906309457</v>
      </c>
      <c r="P214" s="269">
        <v>1.1322082354732383</v>
      </c>
      <c r="Q214" s="269">
        <v>1.1381479071571023</v>
      </c>
      <c r="R214" s="269">
        <v>1.1542694967925824</v>
      </c>
      <c r="S214" s="269">
        <v>1.1749758849078265</v>
      </c>
      <c r="T214" s="269">
        <v>1.1886038357312054</v>
      </c>
      <c r="U214" s="269">
        <v>1.2011727070395111</v>
      </c>
      <c r="V214" s="269">
        <v>1.2154960446974485</v>
      </c>
      <c r="W214" s="269">
        <v>1.2323516846385676</v>
      </c>
      <c r="X214" s="269">
        <v>1.2472375770806945</v>
      </c>
      <c r="Y214" s="269">
        <v>1.2637918697967556</v>
      </c>
      <c r="Z214" s="269">
        <v>1.2802170685543841</v>
      </c>
      <c r="AA214" s="269">
        <v>1.2971608666786072</v>
      </c>
      <c r="AB214" s="269">
        <v>1.3142178287093196</v>
      </c>
      <c r="AC214" s="269">
        <v>1.3332956398572036</v>
      </c>
    </row>
    <row r="215" spans="1:29">
      <c r="A215" s="215" t="s">
        <v>632</v>
      </c>
      <c r="B215" s="243">
        <v>43613.879226560101</v>
      </c>
      <c r="C215" s="177" t="s">
        <v>633</v>
      </c>
      <c r="D215" s="177"/>
      <c r="E215" s="177" t="s">
        <v>645</v>
      </c>
      <c r="F215" s="215">
        <v>0</v>
      </c>
      <c r="G215" s="215">
        <v>571.65957898549436</v>
      </c>
      <c r="H215" s="215">
        <v>1156.8366141863996</v>
      </c>
      <c r="I215" s="215">
        <v>2337.526057390337</v>
      </c>
      <c r="J215" s="215">
        <v>3541.1085859549908</v>
      </c>
      <c r="K215" s="215">
        <v>4767.4974674906334</v>
      </c>
      <c r="L215" s="215">
        <v>6016.8071603148555</v>
      </c>
      <c r="M215" s="215">
        <v>6074.8041140359664</v>
      </c>
      <c r="N215" s="215">
        <v>6133.6683916543534</v>
      </c>
      <c r="O215" s="215">
        <v>6192.9059029170612</v>
      </c>
      <c r="P215" s="215">
        <v>6251.7239706556766</v>
      </c>
      <c r="Q215" s="215">
        <v>6310.4034087549726</v>
      </c>
      <c r="R215" s="215">
        <v>6369.0721830358589</v>
      </c>
      <c r="S215" s="215">
        <v>6427.5596724037878</v>
      </c>
      <c r="T215" s="215">
        <v>6485.6490458844464</v>
      </c>
      <c r="U215" s="215">
        <v>6543.4469416619213</v>
      </c>
      <c r="V215" s="215">
        <v>6600.8325031275781</v>
      </c>
      <c r="W215" s="215">
        <v>6657.9976790127776</v>
      </c>
      <c r="X215" s="215">
        <v>6715.3690220538856</v>
      </c>
      <c r="Y215" s="215">
        <v>6772.7368104888583</v>
      </c>
      <c r="Z215" s="215">
        <v>6829.4429432403113</v>
      </c>
      <c r="AA215" s="215">
        <v>6885.8606799918207</v>
      </c>
      <c r="AB215" s="215">
        <v>6941.9788210478691</v>
      </c>
      <c r="AC215" s="215">
        <v>6997.8296750608733</v>
      </c>
    </row>
    <row r="216" spans="1:29">
      <c r="A216" s="177" t="s">
        <v>646</v>
      </c>
      <c r="B216" s="216">
        <v>0</v>
      </c>
      <c r="C216" s="215"/>
      <c r="E216" s="177" t="s">
        <v>634</v>
      </c>
      <c r="F216" s="215">
        <v>0</v>
      </c>
      <c r="G216" s="215">
        <v>571.65957898549436</v>
      </c>
      <c r="H216" s="215">
        <v>585.17703520090527</v>
      </c>
      <c r="I216" s="215">
        <v>1180.6894432039373</v>
      </c>
      <c r="J216" s="215">
        <v>1203.5825285646538</v>
      </c>
      <c r="K216" s="215">
        <v>1226.3888815356427</v>
      </c>
      <c r="L216" s="215">
        <v>1249.3096928242221</v>
      </c>
      <c r="M216" s="215">
        <v>57.996953721110913</v>
      </c>
      <c r="N216" s="215">
        <v>58.86427761838695</v>
      </c>
      <c r="O216" s="215">
        <v>59.237511262707812</v>
      </c>
      <c r="P216" s="215">
        <v>58.818067738615355</v>
      </c>
      <c r="Q216" s="215">
        <v>58.679438099296021</v>
      </c>
      <c r="R216" s="215">
        <v>58.668774280886282</v>
      </c>
      <c r="S216" s="215">
        <v>58.487489367928902</v>
      </c>
      <c r="T216" s="215">
        <v>58.089373480658651</v>
      </c>
      <c r="U216" s="215">
        <v>57.797895777474878</v>
      </c>
      <c r="V216" s="215">
        <v>57.385561465656792</v>
      </c>
      <c r="W216" s="215">
        <v>57.16517588519946</v>
      </c>
      <c r="X216" s="215">
        <v>57.371343041108048</v>
      </c>
      <c r="Y216" s="215">
        <v>57.367788434972681</v>
      </c>
      <c r="Z216" s="215">
        <v>56.706132751452969</v>
      </c>
      <c r="AA216" s="215">
        <v>56.417736751509437</v>
      </c>
      <c r="AB216" s="215">
        <v>56.118141056048444</v>
      </c>
      <c r="AC216" s="215">
        <v>55.850854013004209</v>
      </c>
    </row>
    <row r="217" spans="1:29">
      <c r="A217" s="177" t="s">
        <v>635</v>
      </c>
      <c r="B217" s="216">
        <v>50</v>
      </c>
      <c r="C217" s="215" t="s">
        <v>636</v>
      </c>
      <c r="E217" s="215" t="s">
        <v>630</v>
      </c>
      <c r="F217" s="234">
        <f>B214</f>
        <v>87227.758453120201</v>
      </c>
      <c r="G217" s="215"/>
      <c r="H217" s="215"/>
      <c r="I217" s="215"/>
      <c r="J217" s="215"/>
      <c r="K217" s="215"/>
      <c r="L217" s="215"/>
      <c r="M217" s="215"/>
      <c r="N217" s="215"/>
      <c r="O217" s="215"/>
      <c r="P217" s="215"/>
      <c r="Q217" s="215"/>
      <c r="R217" s="215"/>
      <c r="S217" s="215"/>
      <c r="T217" s="215"/>
      <c r="U217" s="215"/>
      <c r="V217" s="215"/>
      <c r="W217" s="215"/>
      <c r="X217" s="215"/>
      <c r="Y217" s="215"/>
      <c r="Z217" s="215"/>
      <c r="AA217" s="215"/>
      <c r="AB217" s="215"/>
      <c r="AC217" s="215"/>
    </row>
    <row r="218" spans="1:29">
      <c r="A218" s="177" t="s">
        <v>647</v>
      </c>
      <c r="B218" s="216">
        <v>0</v>
      </c>
      <c r="C218" s="177"/>
      <c r="D218" s="177"/>
      <c r="E218" s="177" t="s">
        <v>638</v>
      </c>
      <c r="F218" s="228">
        <f>B215</f>
        <v>43613.879226560101</v>
      </c>
      <c r="G218" s="234">
        <f t="shared" ref="G218:AC218" si="90">$F$218*(1+$B$6)^G$2</f>
        <v>44704.226207224099</v>
      </c>
      <c r="H218" s="234">
        <f t="shared" si="90"/>
        <v>45821.831862404702</v>
      </c>
      <c r="I218" s="234">
        <f t="shared" si="90"/>
        <v>46967.377658964819</v>
      </c>
      <c r="J218" s="234">
        <f t="shared" si="90"/>
        <v>48141.562100438932</v>
      </c>
      <c r="K218" s="234">
        <f t="shared" si="90"/>
        <v>49345.101152949901</v>
      </c>
      <c r="L218" s="234">
        <f t="shared" si="90"/>
        <v>50578.728681773646</v>
      </c>
      <c r="M218" s="234">
        <f t="shared" si="90"/>
        <v>51843.196898817987</v>
      </c>
      <c r="N218" s="234">
        <f t="shared" si="90"/>
        <v>53139.276821288433</v>
      </c>
      <c r="O218" s="234">
        <f t="shared" si="90"/>
        <v>54467.758741820639</v>
      </c>
      <c r="P218" s="234">
        <f t="shared" si="90"/>
        <v>55829.452710366153</v>
      </c>
      <c r="Q218" s="234">
        <f t="shared" si="90"/>
        <v>57225.189028125307</v>
      </c>
      <c r="R218" s="234">
        <f t="shared" si="90"/>
        <v>58655.818753828433</v>
      </c>
      <c r="S218" s="234">
        <f t="shared" si="90"/>
        <v>60122.214222674142</v>
      </c>
      <c r="T218" s="234">
        <f t="shared" si="90"/>
        <v>61625.269578240986</v>
      </c>
      <c r="U218" s="234">
        <f t="shared" si="90"/>
        <v>63165.901317697026</v>
      </c>
      <c r="V218" s="234">
        <f t="shared" si="90"/>
        <v>64745.048850639439</v>
      </c>
      <c r="W218" s="234">
        <f t="shared" si="90"/>
        <v>66363.675071905425</v>
      </c>
      <c r="X218" s="234">
        <f t="shared" si="90"/>
        <v>68022.766948703065</v>
      </c>
      <c r="Y218" s="234">
        <f t="shared" si="90"/>
        <v>69723.336122420631</v>
      </c>
      <c r="Z218" s="234">
        <f t="shared" si="90"/>
        <v>71466.419525481135</v>
      </c>
      <c r="AA218" s="234">
        <f t="shared" si="90"/>
        <v>73253.080013618164</v>
      </c>
      <c r="AB218" s="234">
        <f t="shared" si="90"/>
        <v>75084.407013958611</v>
      </c>
      <c r="AC218" s="234">
        <f t="shared" si="90"/>
        <v>76961.517189307589</v>
      </c>
    </row>
    <row r="219" spans="1:29">
      <c r="A219" s="177"/>
      <c r="B219" s="216"/>
      <c r="C219" s="177"/>
      <c r="D219" s="177"/>
      <c r="E219" s="215" t="s">
        <v>654</v>
      </c>
      <c r="F219" s="228">
        <f t="shared" ref="F219:AC219" si="91">F216*$B216*(1+$B$6)^F$2</f>
        <v>0</v>
      </c>
      <c r="G219" s="228">
        <f t="shared" si="91"/>
        <v>0</v>
      </c>
      <c r="H219" s="228">
        <f t="shared" si="91"/>
        <v>0</v>
      </c>
      <c r="I219" s="228">
        <f t="shared" si="91"/>
        <v>0</v>
      </c>
      <c r="J219" s="228">
        <f t="shared" si="91"/>
        <v>0</v>
      </c>
      <c r="K219" s="228">
        <f t="shared" si="91"/>
        <v>0</v>
      </c>
      <c r="L219" s="228">
        <f t="shared" si="91"/>
        <v>0</v>
      </c>
      <c r="M219" s="228">
        <f t="shared" si="91"/>
        <v>0</v>
      </c>
      <c r="N219" s="228">
        <f t="shared" si="91"/>
        <v>0</v>
      </c>
      <c r="O219" s="228">
        <f t="shared" si="91"/>
        <v>0</v>
      </c>
      <c r="P219" s="228">
        <f t="shared" si="91"/>
        <v>0</v>
      </c>
      <c r="Q219" s="228">
        <f t="shared" si="91"/>
        <v>0</v>
      </c>
      <c r="R219" s="228">
        <f t="shared" si="91"/>
        <v>0</v>
      </c>
      <c r="S219" s="228">
        <f t="shared" si="91"/>
        <v>0</v>
      </c>
      <c r="T219" s="228">
        <f t="shared" si="91"/>
        <v>0</v>
      </c>
      <c r="U219" s="228">
        <f t="shared" si="91"/>
        <v>0</v>
      </c>
      <c r="V219" s="228">
        <f t="shared" si="91"/>
        <v>0</v>
      </c>
      <c r="W219" s="228">
        <f t="shared" si="91"/>
        <v>0</v>
      </c>
      <c r="X219" s="228">
        <f t="shared" si="91"/>
        <v>0</v>
      </c>
      <c r="Y219" s="228">
        <f t="shared" si="91"/>
        <v>0</v>
      </c>
      <c r="Z219" s="228">
        <f t="shared" si="91"/>
        <v>0</v>
      </c>
      <c r="AA219" s="228">
        <f t="shared" si="91"/>
        <v>0</v>
      </c>
      <c r="AB219" s="228">
        <f t="shared" si="91"/>
        <v>0</v>
      </c>
      <c r="AC219" s="228">
        <f t="shared" si="91"/>
        <v>0</v>
      </c>
    </row>
    <row r="220" spans="1:29">
      <c r="A220" s="225" t="s">
        <v>720</v>
      </c>
      <c r="B220" s="226"/>
      <c r="C220" s="225"/>
      <c r="E220" s="177" t="s">
        <v>639</v>
      </c>
      <c r="F220" s="228">
        <f t="shared" ref="F220:AC220" si="92">F216*$B217*(1+$B$6)^F$2</f>
        <v>0</v>
      </c>
      <c r="G220" s="228">
        <f t="shared" si="92"/>
        <v>29297.553423006582</v>
      </c>
      <c r="H220" s="228">
        <f t="shared" si="92"/>
        <v>30740.08113039755</v>
      </c>
      <c r="I220" s="228">
        <f t="shared" si="92"/>
        <v>63573.669621139503</v>
      </c>
      <c r="J220" s="228">
        <f t="shared" si="92"/>
        <v>66426.495498034841</v>
      </c>
      <c r="K220" s="228">
        <f t="shared" si="92"/>
        <v>69377.322638358673</v>
      </c>
      <c r="L220" s="228">
        <f t="shared" si="92"/>
        <v>72440.811403890897</v>
      </c>
      <c r="M220" s="228">
        <f t="shared" si="92"/>
        <v>3447.0076322219584</v>
      </c>
      <c r="N220" s="228">
        <f t="shared" si="92"/>
        <v>3586.0203205035427</v>
      </c>
      <c r="O220" s="228">
        <f t="shared" si="92"/>
        <v>3698.9767123926781</v>
      </c>
      <c r="P220" s="228">
        <f t="shared" si="92"/>
        <v>3764.6049715847944</v>
      </c>
      <c r="Q220" s="228">
        <f t="shared" si="92"/>
        <v>3849.6253908680796</v>
      </c>
      <c r="R220" s="228">
        <f t="shared" si="92"/>
        <v>3945.1489431296286</v>
      </c>
      <c r="S220" s="228">
        <f t="shared" si="92"/>
        <v>4031.282503969026</v>
      </c>
      <c r="T220" s="228">
        <f t="shared" si="92"/>
        <v>4103.938200246921</v>
      </c>
      <c r="U220" s="228">
        <f t="shared" si="92"/>
        <v>4185.429324098287</v>
      </c>
      <c r="V220" s="228">
        <f t="shared" si="92"/>
        <v>4259.459427026487</v>
      </c>
      <c r="W220" s="228">
        <f t="shared" si="92"/>
        <v>4349.1787765159488</v>
      </c>
      <c r="X220" s="228">
        <f t="shared" si="92"/>
        <v>4473.9857660297266</v>
      </c>
      <c r="Y220" s="228">
        <f t="shared" si="92"/>
        <v>4585.5512815925595</v>
      </c>
      <c r="Z220" s="228">
        <f t="shared" si="92"/>
        <v>4645.9800695910235</v>
      </c>
      <c r="AA220" s="228">
        <f t="shared" si="92"/>
        <v>4737.910336956199</v>
      </c>
      <c r="AB220" s="228">
        <f t="shared" si="92"/>
        <v>4830.5693263729154</v>
      </c>
      <c r="AC220" s="228">
        <f t="shared" si="92"/>
        <v>4927.7506809594925</v>
      </c>
    </row>
    <row r="221" spans="1:29">
      <c r="A221" s="177"/>
      <c r="B221" s="177"/>
      <c r="C221" s="177"/>
      <c r="D221" s="177"/>
      <c r="E221" s="215" t="s">
        <v>651</v>
      </c>
      <c r="F221" s="228">
        <f t="shared" ref="F221:AC221" si="93">F215*$B218*(1+$B$6)^F$2</f>
        <v>0</v>
      </c>
      <c r="G221" s="228">
        <f t="shared" si="93"/>
        <v>0</v>
      </c>
      <c r="H221" s="228">
        <f t="shared" si="93"/>
        <v>0</v>
      </c>
      <c r="I221" s="228">
        <f t="shared" si="93"/>
        <v>0</v>
      </c>
      <c r="J221" s="228">
        <f t="shared" si="93"/>
        <v>0</v>
      </c>
      <c r="K221" s="228">
        <f t="shared" si="93"/>
        <v>0</v>
      </c>
      <c r="L221" s="228">
        <f t="shared" si="93"/>
        <v>0</v>
      </c>
      <c r="M221" s="228">
        <f t="shared" si="93"/>
        <v>0</v>
      </c>
      <c r="N221" s="228">
        <f t="shared" si="93"/>
        <v>0</v>
      </c>
      <c r="O221" s="228">
        <f t="shared" si="93"/>
        <v>0</v>
      </c>
      <c r="P221" s="228">
        <f t="shared" si="93"/>
        <v>0</v>
      </c>
      <c r="Q221" s="228">
        <f t="shared" si="93"/>
        <v>0</v>
      </c>
      <c r="R221" s="228">
        <f t="shared" si="93"/>
        <v>0</v>
      </c>
      <c r="S221" s="228">
        <f t="shared" si="93"/>
        <v>0</v>
      </c>
      <c r="T221" s="228">
        <f t="shared" si="93"/>
        <v>0</v>
      </c>
      <c r="U221" s="228">
        <f t="shared" si="93"/>
        <v>0</v>
      </c>
      <c r="V221" s="228">
        <f t="shared" si="93"/>
        <v>0</v>
      </c>
      <c r="W221" s="228">
        <f t="shared" si="93"/>
        <v>0</v>
      </c>
      <c r="X221" s="228">
        <f t="shared" si="93"/>
        <v>0</v>
      </c>
      <c r="Y221" s="228">
        <f t="shared" si="93"/>
        <v>0</v>
      </c>
      <c r="Z221" s="228">
        <f t="shared" si="93"/>
        <v>0</v>
      </c>
      <c r="AA221" s="228">
        <f t="shared" si="93"/>
        <v>0</v>
      </c>
      <c r="AB221" s="228">
        <f t="shared" si="93"/>
        <v>0</v>
      </c>
      <c r="AC221" s="228">
        <f t="shared" si="93"/>
        <v>0</v>
      </c>
    </row>
    <row r="222" spans="1:29">
      <c r="A222" s="177"/>
      <c r="B222" s="177"/>
      <c r="C222" s="228"/>
      <c r="D222" s="228"/>
      <c r="E222" s="185" t="s">
        <v>652</v>
      </c>
      <c r="F222" s="270">
        <v>0</v>
      </c>
      <c r="G222" s="270">
        <v>0</v>
      </c>
      <c r="H222" s="270">
        <v>0</v>
      </c>
      <c r="I222" s="270">
        <v>0</v>
      </c>
      <c r="J222" s="270">
        <v>0</v>
      </c>
      <c r="K222" s="270">
        <v>0</v>
      </c>
      <c r="L222" s="270">
        <v>0</v>
      </c>
      <c r="M222" s="270">
        <v>0</v>
      </c>
      <c r="N222" s="270">
        <v>0</v>
      </c>
      <c r="O222" s="270">
        <v>0</v>
      </c>
      <c r="P222" s="270">
        <v>0</v>
      </c>
      <c r="Q222" s="270">
        <v>0</v>
      </c>
      <c r="R222" s="270">
        <v>0</v>
      </c>
      <c r="S222" s="270">
        <v>0</v>
      </c>
      <c r="T222" s="270">
        <v>0</v>
      </c>
      <c r="U222" s="270">
        <v>0</v>
      </c>
      <c r="V222" s="270">
        <v>0</v>
      </c>
      <c r="W222" s="270">
        <v>0</v>
      </c>
      <c r="X222" s="270">
        <v>0</v>
      </c>
      <c r="Y222" s="270">
        <v>0</v>
      </c>
      <c r="Z222" s="270">
        <v>0</v>
      </c>
      <c r="AA222" s="270">
        <v>0</v>
      </c>
      <c r="AB222" s="270">
        <v>0</v>
      </c>
      <c r="AC222" s="270">
        <v>0</v>
      </c>
    </row>
    <row r="223" spans="1:29">
      <c r="A223" s="177"/>
      <c r="B223" s="177"/>
      <c r="C223" s="228"/>
      <c r="D223" s="228"/>
      <c r="E223" s="177" t="s">
        <v>216</v>
      </c>
      <c r="F223" s="271">
        <f>SUM(F217:F222)</f>
        <v>130841.63767968031</v>
      </c>
      <c r="G223" s="271">
        <f>SUM(G217:G222)</f>
        <v>74001.779630230682</v>
      </c>
      <c r="H223" s="271">
        <f>SUM(H217:H222)</f>
        <v>76561.912992802245</v>
      </c>
      <c r="I223" s="271">
        <f>SUM(I217:I222)</f>
        <v>110541.04728010432</v>
      </c>
      <c r="J223" s="271">
        <f>SUM(J217:J222)</f>
        <v>114568.05759847377</v>
      </c>
      <c r="K223" s="271">
        <f t="shared" ref="K223:AC223" si="94">SUM(K217:K222)</f>
        <v>118722.42379130857</v>
      </c>
      <c r="L223" s="271">
        <f t="shared" si="94"/>
        <v>123019.54008566454</v>
      </c>
      <c r="M223" s="271">
        <f t="shared" si="94"/>
        <v>55290.204531039948</v>
      </c>
      <c r="N223" s="271">
        <f t="shared" si="94"/>
        <v>56725.297141791976</v>
      </c>
      <c r="O223" s="271">
        <f t="shared" si="94"/>
        <v>58166.735454213318</v>
      </c>
      <c r="P223" s="271">
        <f t="shared" si="94"/>
        <v>59594.057681950944</v>
      </c>
      <c r="Q223" s="271">
        <f t="shared" si="94"/>
        <v>61074.814418993388</v>
      </c>
      <c r="R223" s="271">
        <f t="shared" si="94"/>
        <v>62600.967696958061</v>
      </c>
      <c r="S223" s="271">
        <f t="shared" si="94"/>
        <v>64153.49672664317</v>
      </c>
      <c r="T223" s="271">
        <f t="shared" si="94"/>
        <v>65729.207778487907</v>
      </c>
      <c r="U223" s="271">
        <f t="shared" si="94"/>
        <v>67351.330641795314</v>
      </c>
      <c r="V223" s="271">
        <f t="shared" si="94"/>
        <v>69004.508277665926</v>
      </c>
      <c r="W223" s="271">
        <f t="shared" si="94"/>
        <v>70712.853848421379</v>
      </c>
      <c r="X223" s="271">
        <f t="shared" si="94"/>
        <v>72496.752714732793</v>
      </c>
      <c r="Y223" s="271">
        <f t="shared" si="94"/>
        <v>74308.887404013192</v>
      </c>
      <c r="Z223" s="271">
        <f t="shared" si="94"/>
        <v>76112.399595072158</v>
      </c>
      <c r="AA223" s="271">
        <f t="shared" si="94"/>
        <v>77990.990350574357</v>
      </c>
      <c r="AB223" s="271">
        <f t="shared" si="94"/>
        <v>79914.97634033153</v>
      </c>
      <c r="AC223" s="271">
        <f t="shared" si="94"/>
        <v>81889.267870267082</v>
      </c>
    </row>
    <row r="224" spans="1:29">
      <c r="A224" s="177"/>
      <c r="B224" s="177"/>
      <c r="C224" s="228"/>
      <c r="D224" s="228"/>
      <c r="E224" s="177" t="s">
        <v>641</v>
      </c>
      <c r="F224" s="228">
        <v>0</v>
      </c>
      <c r="G224" s="228">
        <v>0</v>
      </c>
      <c r="H224" s="228">
        <v>0</v>
      </c>
      <c r="I224" s="228">
        <v>0</v>
      </c>
      <c r="J224" s="228">
        <v>0</v>
      </c>
      <c r="K224" s="228">
        <v>0</v>
      </c>
      <c r="L224" s="228">
        <v>0</v>
      </c>
      <c r="M224" s="228">
        <v>0</v>
      </c>
      <c r="N224" s="228">
        <v>0</v>
      </c>
      <c r="O224" s="228">
        <v>0</v>
      </c>
      <c r="P224" s="228">
        <v>0</v>
      </c>
      <c r="Q224" s="228">
        <v>0</v>
      </c>
      <c r="R224" s="228">
        <v>0</v>
      </c>
      <c r="S224" s="228">
        <v>0</v>
      </c>
      <c r="T224" s="228">
        <v>0</v>
      </c>
      <c r="U224" s="228">
        <v>0</v>
      </c>
      <c r="V224" s="228">
        <v>0</v>
      </c>
      <c r="W224" s="228">
        <v>0</v>
      </c>
      <c r="X224" s="228">
        <v>0</v>
      </c>
      <c r="Y224" s="228">
        <v>0</v>
      </c>
      <c r="Z224" s="228">
        <v>0</v>
      </c>
      <c r="AA224" s="228">
        <v>0</v>
      </c>
      <c r="AB224" s="228">
        <v>0</v>
      </c>
      <c r="AC224" s="228">
        <v>0</v>
      </c>
    </row>
    <row r="225" spans="1:29">
      <c r="A225" s="215"/>
      <c r="B225" s="177"/>
      <c r="C225" s="228"/>
      <c r="D225" s="228"/>
      <c r="E225" s="185" t="s">
        <v>642</v>
      </c>
      <c r="F225" s="272">
        <v>0</v>
      </c>
      <c r="G225" s="270">
        <v>0</v>
      </c>
      <c r="H225" s="270">
        <v>0</v>
      </c>
      <c r="I225" s="232">
        <f>F223*(1+0.025)^I2</f>
        <v>140902.13297689447</v>
      </c>
      <c r="J225" s="273">
        <v>77159.919738769531</v>
      </c>
      <c r="K225" s="273">
        <v>82939.170837402344</v>
      </c>
      <c r="L225" s="273">
        <v>119167.70935058589</v>
      </c>
      <c r="M225" s="273">
        <v>124270.40863037109</v>
      </c>
      <c r="N225" s="273">
        <v>128584.5642089844</v>
      </c>
      <c r="O225" s="273">
        <v>132512.31384277341</v>
      </c>
      <c r="P225" s="273">
        <v>59756.53076171875</v>
      </c>
      <c r="Q225" s="273">
        <v>61494.239807128914</v>
      </c>
      <c r="R225" s="273">
        <v>62641.304016113281</v>
      </c>
      <c r="S225" s="273">
        <v>64227.47802734375</v>
      </c>
      <c r="T225" s="273">
        <v>66239.791870117188</v>
      </c>
      <c r="U225" s="273">
        <v>67349.273681640625</v>
      </c>
      <c r="V225" s="273">
        <v>68982.681274414063</v>
      </c>
      <c r="W225" s="273">
        <v>71061.431884765625</v>
      </c>
      <c r="X225" s="273">
        <v>72857.093811035156</v>
      </c>
      <c r="Y225" s="273">
        <v>74790.138244628906</v>
      </c>
      <c r="Z225" s="273">
        <v>76213.363647460938</v>
      </c>
      <c r="AA225" s="273">
        <v>78284.66796875</v>
      </c>
      <c r="AB225" s="273">
        <v>79977.241516113281</v>
      </c>
      <c r="AC225" s="273">
        <v>81894.004821777344</v>
      </c>
    </row>
    <row r="226" spans="1:29">
      <c r="A226" s="215"/>
      <c r="B226" s="177"/>
      <c r="C226" s="228"/>
      <c r="D226" s="228"/>
      <c r="E226" s="177" t="s">
        <v>643</v>
      </c>
      <c r="F226" s="274">
        <f>F225-F224</f>
        <v>0</v>
      </c>
      <c r="G226" s="274">
        <f t="shared" ref="G226:AC226" si="95">G225-G224</f>
        <v>0</v>
      </c>
      <c r="H226" s="274">
        <f t="shared" si="95"/>
        <v>0</v>
      </c>
      <c r="I226" s="274">
        <f t="shared" si="95"/>
        <v>140902.13297689447</v>
      </c>
      <c r="J226" s="274">
        <f t="shared" si="95"/>
        <v>77159.919738769531</v>
      </c>
      <c r="K226" s="274">
        <f t="shared" si="95"/>
        <v>82939.170837402344</v>
      </c>
      <c r="L226" s="274">
        <f t="shared" si="95"/>
        <v>119167.70935058589</v>
      </c>
      <c r="M226" s="274">
        <f t="shared" si="95"/>
        <v>124270.40863037109</v>
      </c>
      <c r="N226" s="274">
        <f t="shared" si="95"/>
        <v>128584.5642089844</v>
      </c>
      <c r="O226" s="274">
        <f t="shared" si="95"/>
        <v>132512.31384277341</v>
      </c>
      <c r="P226" s="274">
        <f t="shared" si="95"/>
        <v>59756.53076171875</v>
      </c>
      <c r="Q226" s="274">
        <f t="shared" si="95"/>
        <v>61494.239807128914</v>
      </c>
      <c r="R226" s="274">
        <f t="shared" si="95"/>
        <v>62641.304016113281</v>
      </c>
      <c r="S226" s="274">
        <f t="shared" si="95"/>
        <v>64227.47802734375</v>
      </c>
      <c r="T226" s="274">
        <f t="shared" si="95"/>
        <v>66239.791870117188</v>
      </c>
      <c r="U226" s="274">
        <f t="shared" si="95"/>
        <v>67349.273681640625</v>
      </c>
      <c r="V226" s="274">
        <f t="shared" si="95"/>
        <v>68982.681274414063</v>
      </c>
      <c r="W226" s="274">
        <f t="shared" si="95"/>
        <v>71061.431884765625</v>
      </c>
      <c r="X226" s="274">
        <f t="shared" si="95"/>
        <v>72857.093811035156</v>
      </c>
      <c r="Y226" s="274">
        <f t="shared" si="95"/>
        <v>74790.138244628906</v>
      </c>
      <c r="Z226" s="274">
        <f t="shared" si="95"/>
        <v>76213.363647460938</v>
      </c>
      <c r="AA226" s="274">
        <f t="shared" si="95"/>
        <v>78284.66796875</v>
      </c>
      <c r="AB226" s="274">
        <f t="shared" si="95"/>
        <v>79977.241516113281</v>
      </c>
      <c r="AC226" s="274">
        <f t="shared" si="95"/>
        <v>81894.004821777344</v>
      </c>
    </row>
    <row r="227" spans="1:29">
      <c r="A227" s="215"/>
      <c r="B227" s="177"/>
      <c r="C227" s="228"/>
      <c r="D227" s="228"/>
      <c r="E227" s="177" t="s">
        <v>721</v>
      </c>
      <c r="F227" s="256"/>
      <c r="G227" s="256"/>
      <c r="H227" s="256"/>
      <c r="I227" s="256"/>
      <c r="J227" s="256"/>
      <c r="K227" s="256"/>
      <c r="L227" s="256"/>
      <c r="M227" s="256"/>
      <c r="N227" s="256"/>
      <c r="O227" s="256"/>
      <c r="P227" s="256"/>
      <c r="Q227" s="256"/>
      <c r="R227" s="256"/>
      <c r="S227" s="256"/>
      <c r="T227" s="256"/>
      <c r="U227" s="256"/>
      <c r="V227" s="256"/>
      <c r="W227" s="256"/>
      <c r="X227" s="256"/>
      <c r="Y227" s="256"/>
      <c r="Z227" s="256"/>
      <c r="AA227" s="256"/>
      <c r="AB227" s="256"/>
      <c r="AC227" s="256"/>
    </row>
    <row r="228" spans="1:29">
      <c r="A228" s="215"/>
      <c r="B228" s="177"/>
      <c r="C228" s="228"/>
      <c r="D228" s="228"/>
      <c r="E228" s="177" t="s">
        <v>722</v>
      </c>
      <c r="F228" s="256"/>
      <c r="G228" s="256"/>
      <c r="H228" s="256"/>
      <c r="I228" s="256"/>
      <c r="J228" s="275">
        <v>0.10000000149011611</v>
      </c>
      <c r="K228" s="275">
        <v>0.2099999934434891</v>
      </c>
      <c r="L228" s="275">
        <v>0.41999998688697809</v>
      </c>
      <c r="M228" s="275">
        <v>0.63999998569488525</v>
      </c>
      <c r="N228" s="275">
        <v>0.86000001430511475</v>
      </c>
      <c r="O228" s="275">
        <v>1.080000042915344</v>
      </c>
      <c r="P228" s="275">
        <v>1.0900000333786011</v>
      </c>
      <c r="Q228" s="275">
        <v>1.110000014305115</v>
      </c>
      <c r="R228" s="275">
        <v>1.120000004768372</v>
      </c>
      <c r="S228" s="275">
        <v>1.129999995231628</v>
      </c>
      <c r="T228" s="275">
        <v>1.139999985694885</v>
      </c>
      <c r="U228" s="275">
        <v>1.1499999761581421</v>
      </c>
      <c r="V228" s="275">
        <v>1.169999957084656</v>
      </c>
      <c r="W228" s="275">
        <v>1.190000057220459</v>
      </c>
      <c r="X228" s="275">
        <v>1.200000047683716</v>
      </c>
      <c r="Y228" s="275">
        <v>1.220000028610229</v>
      </c>
      <c r="Z228" s="275">
        <v>1.2300000190734861</v>
      </c>
      <c r="AA228" s="275">
        <v>1.25</v>
      </c>
      <c r="AB228" s="275">
        <v>1.2599999904632571</v>
      </c>
      <c r="AC228" s="275">
        <v>1.279999971389771</v>
      </c>
    </row>
    <row r="229" spans="1:29" ht="13.5" thickBot="1">
      <c r="P229" s="140"/>
    </row>
    <row r="230" spans="1:29" ht="13.5" thickBot="1">
      <c r="A230" s="260">
        <v>14</v>
      </c>
      <c r="C230" s="212" t="s">
        <v>628</v>
      </c>
      <c r="D230" s="211"/>
      <c r="P230" s="140"/>
    </row>
    <row r="231" spans="1:29">
      <c r="C231" s="214" t="s">
        <v>157</v>
      </c>
      <c r="F231" s="247">
        <v>0</v>
      </c>
      <c r="G231" s="247">
        <f>F231-1</f>
        <v>-1</v>
      </c>
      <c r="H231" s="247">
        <f t="shared" ref="H231:AC231" si="96">G231-1</f>
        <v>-2</v>
      </c>
      <c r="I231" s="247">
        <f t="shared" si="96"/>
        <v>-3</v>
      </c>
      <c r="J231" s="247">
        <f t="shared" si="96"/>
        <v>-4</v>
      </c>
      <c r="K231" s="247">
        <f t="shared" si="96"/>
        <v>-5</v>
      </c>
      <c r="L231" s="247">
        <f t="shared" si="96"/>
        <v>-6</v>
      </c>
      <c r="M231" s="247">
        <f t="shared" si="96"/>
        <v>-7</v>
      </c>
      <c r="N231" s="247">
        <f t="shared" si="96"/>
        <v>-8</v>
      </c>
      <c r="O231" s="247">
        <f t="shared" si="96"/>
        <v>-9</v>
      </c>
      <c r="P231" s="247">
        <f t="shared" si="96"/>
        <v>-10</v>
      </c>
      <c r="Q231" s="247">
        <f t="shared" si="96"/>
        <v>-11</v>
      </c>
      <c r="R231" s="247">
        <f t="shared" si="96"/>
        <v>-12</v>
      </c>
      <c r="S231" s="247">
        <f t="shared" si="96"/>
        <v>-13</v>
      </c>
      <c r="T231" s="247">
        <f t="shared" si="96"/>
        <v>-14</v>
      </c>
      <c r="U231" s="247">
        <f t="shared" si="96"/>
        <v>-15</v>
      </c>
      <c r="V231" s="247">
        <f t="shared" si="96"/>
        <v>-16</v>
      </c>
      <c r="W231" s="247">
        <f t="shared" si="96"/>
        <v>-17</v>
      </c>
      <c r="X231" s="247">
        <f t="shared" si="96"/>
        <v>-18</v>
      </c>
      <c r="Y231" s="247">
        <f t="shared" si="96"/>
        <v>-19</v>
      </c>
      <c r="Z231" s="247">
        <f t="shared" si="96"/>
        <v>-20</v>
      </c>
      <c r="AA231" s="247">
        <f t="shared" si="96"/>
        <v>-21</v>
      </c>
      <c r="AB231" s="247">
        <f t="shared" si="96"/>
        <v>-22</v>
      </c>
      <c r="AC231" s="247">
        <f t="shared" si="96"/>
        <v>-23</v>
      </c>
    </row>
    <row r="232" spans="1:29">
      <c r="A232" s="215" t="s">
        <v>630</v>
      </c>
      <c r="B232" s="243">
        <v>62772.241546879799</v>
      </c>
      <c r="C232" s="177" t="s">
        <v>577</v>
      </c>
      <c r="D232" s="177"/>
      <c r="E232" s="177" t="s">
        <v>631</v>
      </c>
      <c r="F232" s="269">
        <v>0</v>
      </c>
      <c r="G232" s="269">
        <v>7.4529170550373822E-2</v>
      </c>
      <c r="H232" s="269">
        <v>0.15064268785019311</v>
      </c>
      <c r="I232" s="269">
        <v>0.3035837279215759</v>
      </c>
      <c r="J232" s="269">
        <v>0.4585130292042916</v>
      </c>
      <c r="K232" s="269">
        <v>0.61704655259325691</v>
      </c>
      <c r="L232" s="269">
        <v>0.77914370739434291</v>
      </c>
      <c r="M232" s="269">
        <v>0.78587174332720633</v>
      </c>
      <c r="N232" s="269">
        <v>0.79568126076551915</v>
      </c>
      <c r="O232" s="269">
        <v>0.80818325504078614</v>
      </c>
      <c r="P232" s="269">
        <v>0.81477788835636833</v>
      </c>
      <c r="Q232" s="269">
        <v>0.81905229036165506</v>
      </c>
      <c r="R232" s="269">
        <v>0.83065396781691025</v>
      </c>
      <c r="S232" s="269">
        <v>0.84555503164548618</v>
      </c>
      <c r="T232" s="269">
        <v>0.85536219665860413</v>
      </c>
      <c r="U232" s="269">
        <v>0.86440720984853558</v>
      </c>
      <c r="V232" s="269">
        <v>0.87471480031246784</v>
      </c>
      <c r="W232" s="269">
        <v>0.88684472684703364</v>
      </c>
      <c r="X232" s="269">
        <v>0.89755715202668795</v>
      </c>
      <c r="Y232" s="269">
        <v>0.90947021822761309</v>
      </c>
      <c r="Z232" s="269">
        <v>0.92129038375924832</v>
      </c>
      <c r="AA232" s="269">
        <v>0.93348375210250267</v>
      </c>
      <c r="AB232" s="269">
        <v>0.94575855727502434</v>
      </c>
      <c r="AC232" s="269">
        <v>0.95948763837028572</v>
      </c>
    </row>
    <row r="233" spans="1:29">
      <c r="A233" s="215" t="s">
        <v>632</v>
      </c>
      <c r="B233" s="243">
        <v>31386.120773439899</v>
      </c>
      <c r="C233" s="177" t="s">
        <v>633</v>
      </c>
      <c r="D233" s="177"/>
      <c r="E233" s="177" t="s">
        <v>645</v>
      </c>
      <c r="F233" s="215">
        <v>0</v>
      </c>
      <c r="G233" s="215">
        <v>328.2884211753269</v>
      </c>
      <c r="H233" s="215">
        <v>664.33954680343163</v>
      </c>
      <c r="I233" s="215">
        <v>1342.377119261623</v>
      </c>
      <c r="J233" s="215">
        <v>2033.5615629088516</v>
      </c>
      <c r="K233" s="215">
        <v>2737.8430697119193</v>
      </c>
      <c r="L233" s="215">
        <v>3455.2873699441443</v>
      </c>
      <c r="M233" s="215">
        <v>3488.5934301764792</v>
      </c>
      <c r="N233" s="215">
        <v>3522.3975707408003</v>
      </c>
      <c r="O233" s="215">
        <v>3556.4160491529033</v>
      </c>
      <c r="P233" s="215">
        <v>3590.1936526503569</v>
      </c>
      <c r="Q233" s="215">
        <v>3623.8916449472067</v>
      </c>
      <c r="R233" s="215">
        <v>3657.5835133055466</v>
      </c>
      <c r="S233" s="215">
        <v>3691.1712747092506</v>
      </c>
      <c r="T233" s="215">
        <v>3724.530409075323</v>
      </c>
      <c r="U233" s="215">
        <v>3757.7221557888415</v>
      </c>
      <c r="V233" s="215">
        <v>3790.6771102133835</v>
      </c>
      <c r="W233" s="215">
        <v>3823.5055032420923</v>
      </c>
      <c r="X233" s="215">
        <v>3856.4522924152898</v>
      </c>
      <c r="Y233" s="215">
        <v>3889.3970402756504</v>
      </c>
      <c r="Z233" s="215">
        <v>3921.9618174197162</v>
      </c>
      <c r="AA233" s="215">
        <v>3954.360976648898</v>
      </c>
      <c r="AB233" s="215">
        <v>3986.5880862851591</v>
      </c>
      <c r="AC233" s="215">
        <v>4018.6617003016722</v>
      </c>
    </row>
    <row r="234" spans="1:29">
      <c r="A234" s="177" t="s">
        <v>646</v>
      </c>
      <c r="B234" s="216">
        <v>0</v>
      </c>
      <c r="C234" s="215"/>
      <c r="E234" s="177" t="s">
        <v>634</v>
      </c>
      <c r="F234" s="215">
        <v>0</v>
      </c>
      <c r="G234" s="215">
        <v>328.2884211753269</v>
      </c>
      <c r="H234" s="215">
        <v>336.05112562810473</v>
      </c>
      <c r="I234" s="215">
        <v>678.03757245819133</v>
      </c>
      <c r="J234" s="215">
        <v>691.18444364722859</v>
      </c>
      <c r="K234" s="215">
        <v>704.28150680306771</v>
      </c>
      <c r="L234" s="215">
        <v>717.44430023222503</v>
      </c>
      <c r="M234" s="215">
        <v>33.306060232334858</v>
      </c>
      <c r="N234" s="215">
        <v>33.804140564321187</v>
      </c>
      <c r="O234" s="215">
        <v>34.018478412102922</v>
      </c>
      <c r="P234" s="215">
        <v>33.777603497453583</v>
      </c>
      <c r="Q234" s="215">
        <v>33.697992296849861</v>
      </c>
      <c r="R234" s="215">
        <v>33.691868358339889</v>
      </c>
      <c r="S234" s="215">
        <v>33.587761403704008</v>
      </c>
      <c r="T234" s="215">
        <v>33.35913436607234</v>
      </c>
      <c r="U234" s="215">
        <v>33.191746713518569</v>
      </c>
      <c r="V234" s="215">
        <v>32.954954424541938</v>
      </c>
      <c r="W234" s="215">
        <v>32.828393028708888</v>
      </c>
      <c r="X234" s="215">
        <v>32.946789173197431</v>
      </c>
      <c r="Y234" s="215">
        <v>32.944747860360621</v>
      </c>
      <c r="Z234" s="215">
        <v>32.564777144065829</v>
      </c>
      <c r="AA234" s="215">
        <v>32.399159229181805</v>
      </c>
      <c r="AB234" s="215">
        <v>32.227109636261048</v>
      </c>
      <c r="AC234" s="215">
        <v>32.073614016513147</v>
      </c>
    </row>
    <row r="235" spans="1:29">
      <c r="A235" s="177" t="s">
        <v>635</v>
      </c>
      <c r="B235" s="216">
        <v>50</v>
      </c>
      <c r="C235" s="215" t="s">
        <v>636</v>
      </c>
      <c r="E235" s="215" t="s">
        <v>630</v>
      </c>
      <c r="F235" s="234">
        <f>B232</f>
        <v>62772.241546879799</v>
      </c>
      <c r="G235" s="215"/>
      <c r="H235" s="215"/>
      <c r="I235" s="215"/>
      <c r="J235" s="215"/>
      <c r="K235" s="215"/>
      <c r="L235" s="215"/>
      <c r="M235" s="215"/>
      <c r="N235" s="215"/>
      <c r="O235" s="215"/>
      <c r="P235" s="215"/>
      <c r="Q235" s="215"/>
      <c r="R235" s="215"/>
      <c r="S235" s="215"/>
      <c r="T235" s="215"/>
      <c r="U235" s="215"/>
      <c r="V235" s="215"/>
      <c r="W235" s="215"/>
      <c r="X235" s="215"/>
      <c r="Y235" s="215"/>
      <c r="Z235" s="215"/>
      <c r="AA235" s="215"/>
      <c r="AB235" s="215"/>
      <c r="AC235" s="215"/>
    </row>
    <row r="236" spans="1:29">
      <c r="A236" s="177" t="s">
        <v>647</v>
      </c>
      <c r="B236" s="216">
        <v>0</v>
      </c>
      <c r="C236" s="177"/>
      <c r="D236" s="177"/>
      <c r="E236" s="177" t="s">
        <v>638</v>
      </c>
      <c r="F236" s="228">
        <f>B233</f>
        <v>31386.120773439899</v>
      </c>
      <c r="G236" s="234">
        <f t="shared" ref="G236:AC236" si="97">$F$236*(1+$B$6)^G$2</f>
        <v>32170.773792775894</v>
      </c>
      <c r="H236" s="234">
        <f t="shared" si="97"/>
        <v>32975.04313759529</v>
      </c>
      <c r="I236" s="234">
        <f t="shared" si="97"/>
        <v>33799.419216035174</v>
      </c>
      <c r="J236" s="234">
        <f t="shared" si="97"/>
        <v>34644.404696436046</v>
      </c>
      <c r="K236" s="234">
        <f t="shared" si="97"/>
        <v>35510.514813846945</v>
      </c>
      <c r="L236" s="234">
        <f t="shared" si="97"/>
        <v>36398.277684193119</v>
      </c>
      <c r="M236" s="234">
        <f t="shared" si="97"/>
        <v>37308.234626297948</v>
      </c>
      <c r="N236" s="234">
        <f t="shared" si="97"/>
        <v>38240.940491955393</v>
      </c>
      <c r="O236" s="234">
        <f t="shared" si="97"/>
        <v>39196.964004254274</v>
      </c>
      <c r="P236" s="234">
        <f t="shared" si="97"/>
        <v>40176.888104360631</v>
      </c>
      <c r="Q236" s="234">
        <f t="shared" si="97"/>
        <v>41181.310306969644</v>
      </c>
      <c r="R236" s="234">
        <f t="shared" si="97"/>
        <v>42210.843064643879</v>
      </c>
      <c r="S236" s="234">
        <f t="shared" si="97"/>
        <v>43266.114141259975</v>
      </c>
      <c r="T236" s="234">
        <f t="shared" si="97"/>
        <v>44347.766994791469</v>
      </c>
      <c r="U236" s="234">
        <f t="shared" si="97"/>
        <v>45456.461169661263</v>
      </c>
      <c r="V236" s="234">
        <f t="shared" si="97"/>
        <v>46592.872698902793</v>
      </c>
      <c r="W236" s="234">
        <f t="shared" si="97"/>
        <v>47757.694516375355</v>
      </c>
      <c r="X236" s="234">
        <f t="shared" si="97"/>
        <v>48951.636879284742</v>
      </c>
      <c r="Y236" s="234">
        <f t="shared" si="97"/>
        <v>50175.427801266858</v>
      </c>
      <c r="Z236" s="234">
        <f t="shared" si="97"/>
        <v>51429.813496298528</v>
      </c>
      <c r="AA236" s="234">
        <f t="shared" si="97"/>
        <v>52715.558833705982</v>
      </c>
      <c r="AB236" s="234">
        <f t="shared" si="97"/>
        <v>54033.447804548632</v>
      </c>
      <c r="AC236" s="234">
        <f t="shared" si="97"/>
        <v>55384.283999662344</v>
      </c>
    </row>
    <row r="237" spans="1:29">
      <c r="A237" s="177"/>
      <c r="B237" s="216"/>
      <c r="C237" s="177"/>
      <c r="D237" s="177"/>
      <c r="E237" s="215" t="s">
        <v>654</v>
      </c>
      <c r="F237" s="228">
        <f t="shared" ref="F237:AC237" si="98">F234*$B234*(1+$B$6)^F$2</f>
        <v>0</v>
      </c>
      <c r="G237" s="228">
        <f t="shared" si="98"/>
        <v>0</v>
      </c>
      <c r="H237" s="228">
        <f t="shared" si="98"/>
        <v>0</v>
      </c>
      <c r="I237" s="228">
        <f t="shared" si="98"/>
        <v>0</v>
      </c>
      <c r="J237" s="228">
        <f t="shared" si="98"/>
        <v>0</v>
      </c>
      <c r="K237" s="228">
        <f t="shared" si="98"/>
        <v>0</v>
      </c>
      <c r="L237" s="228">
        <f t="shared" si="98"/>
        <v>0</v>
      </c>
      <c r="M237" s="228">
        <f t="shared" si="98"/>
        <v>0</v>
      </c>
      <c r="N237" s="228">
        <f t="shared" si="98"/>
        <v>0</v>
      </c>
      <c r="O237" s="228">
        <f t="shared" si="98"/>
        <v>0</v>
      </c>
      <c r="P237" s="228">
        <f t="shared" si="98"/>
        <v>0</v>
      </c>
      <c r="Q237" s="228">
        <f t="shared" si="98"/>
        <v>0</v>
      </c>
      <c r="R237" s="228">
        <f t="shared" si="98"/>
        <v>0</v>
      </c>
      <c r="S237" s="228">
        <f t="shared" si="98"/>
        <v>0</v>
      </c>
      <c r="T237" s="228">
        <f t="shared" si="98"/>
        <v>0</v>
      </c>
      <c r="U237" s="228">
        <f t="shared" si="98"/>
        <v>0</v>
      </c>
      <c r="V237" s="228">
        <f t="shared" si="98"/>
        <v>0</v>
      </c>
      <c r="W237" s="228">
        <f t="shared" si="98"/>
        <v>0</v>
      </c>
      <c r="X237" s="228">
        <f t="shared" si="98"/>
        <v>0</v>
      </c>
      <c r="Y237" s="228">
        <f t="shared" si="98"/>
        <v>0</v>
      </c>
      <c r="Z237" s="228">
        <f t="shared" si="98"/>
        <v>0</v>
      </c>
      <c r="AA237" s="228">
        <f t="shared" si="98"/>
        <v>0</v>
      </c>
      <c r="AB237" s="228">
        <f t="shared" si="98"/>
        <v>0</v>
      </c>
      <c r="AC237" s="228">
        <f t="shared" si="98"/>
        <v>0</v>
      </c>
    </row>
    <row r="238" spans="1:29">
      <c r="A238" s="225" t="s">
        <v>720</v>
      </c>
      <c r="B238" s="226"/>
      <c r="C238" s="225"/>
      <c r="E238" s="177" t="s">
        <v>639</v>
      </c>
      <c r="F238" s="228">
        <f t="shared" ref="F238:AC238" si="99">F234*$B235*(1+$B$6)^F$2</f>
        <v>0</v>
      </c>
      <c r="G238" s="228">
        <f t="shared" si="99"/>
        <v>16824.781585235502</v>
      </c>
      <c r="H238" s="228">
        <f t="shared" si="99"/>
        <v>17653.185693151376</v>
      </c>
      <c r="I238" s="228">
        <f t="shared" si="99"/>
        <v>36508.615258899219</v>
      </c>
      <c r="J238" s="228">
        <f t="shared" si="99"/>
        <v>38146.914934863984</v>
      </c>
      <c r="K238" s="228">
        <f t="shared" si="99"/>
        <v>39841.494049198758</v>
      </c>
      <c r="L238" s="228">
        <f t="shared" si="99"/>
        <v>41600.771645683206</v>
      </c>
      <c r="M238" s="228">
        <f t="shared" si="99"/>
        <v>1979.521965449592</v>
      </c>
      <c r="N238" s="228">
        <f t="shared" si="99"/>
        <v>2059.3531405700742</v>
      </c>
      <c r="O238" s="228">
        <f t="shared" si="99"/>
        <v>2124.2208991419698</v>
      </c>
      <c r="P238" s="228">
        <f t="shared" si="99"/>
        <v>2161.9094088541574</v>
      </c>
      <c r="Q238" s="228">
        <f t="shared" si="99"/>
        <v>2210.7343043693272</v>
      </c>
      <c r="R238" s="228">
        <f t="shared" si="99"/>
        <v>2265.5908611554382</v>
      </c>
      <c r="S238" s="228">
        <f t="shared" si="99"/>
        <v>2315.0550033437485</v>
      </c>
      <c r="T238" s="228">
        <f t="shared" si="99"/>
        <v>2356.7791774803254</v>
      </c>
      <c r="U238" s="228">
        <f t="shared" si="99"/>
        <v>2403.5772954029312</v>
      </c>
      <c r="V238" s="228">
        <f t="shared" si="99"/>
        <v>2446.0907535922602</v>
      </c>
      <c r="W238" s="228">
        <f t="shared" si="99"/>
        <v>2497.6141158790847</v>
      </c>
      <c r="X238" s="228">
        <f t="shared" si="99"/>
        <v>2569.2873477207818</v>
      </c>
      <c r="Y238" s="228">
        <f t="shared" si="99"/>
        <v>2633.3563641565247</v>
      </c>
      <c r="Z238" s="228">
        <f t="shared" si="99"/>
        <v>2668.0589601329589</v>
      </c>
      <c r="AA238" s="228">
        <f t="shared" si="99"/>
        <v>2720.8519919318346</v>
      </c>
      <c r="AB238" s="228">
        <f t="shared" si="99"/>
        <v>2774.0635088232466</v>
      </c>
      <c r="AC238" s="228">
        <f t="shared" si="99"/>
        <v>2829.8720960274723</v>
      </c>
    </row>
    <row r="239" spans="1:29">
      <c r="A239" s="177"/>
      <c r="B239" s="177"/>
      <c r="C239" s="177"/>
      <c r="D239" s="177"/>
      <c r="E239" s="215" t="s">
        <v>651</v>
      </c>
      <c r="F239" s="228">
        <f t="shared" ref="F239:AC239" si="100">F233*$B236*(1+$B$6)^F$2</f>
        <v>0</v>
      </c>
      <c r="G239" s="228">
        <f t="shared" si="100"/>
        <v>0</v>
      </c>
      <c r="H239" s="228">
        <f t="shared" si="100"/>
        <v>0</v>
      </c>
      <c r="I239" s="228">
        <f t="shared" si="100"/>
        <v>0</v>
      </c>
      <c r="J239" s="228">
        <f t="shared" si="100"/>
        <v>0</v>
      </c>
      <c r="K239" s="228">
        <f t="shared" si="100"/>
        <v>0</v>
      </c>
      <c r="L239" s="228">
        <f t="shared" si="100"/>
        <v>0</v>
      </c>
      <c r="M239" s="228">
        <f t="shared" si="100"/>
        <v>0</v>
      </c>
      <c r="N239" s="228">
        <f t="shared" si="100"/>
        <v>0</v>
      </c>
      <c r="O239" s="228">
        <f t="shared" si="100"/>
        <v>0</v>
      </c>
      <c r="P239" s="228">
        <f t="shared" si="100"/>
        <v>0</v>
      </c>
      <c r="Q239" s="228">
        <f t="shared" si="100"/>
        <v>0</v>
      </c>
      <c r="R239" s="228">
        <f t="shared" si="100"/>
        <v>0</v>
      </c>
      <c r="S239" s="228">
        <f t="shared" si="100"/>
        <v>0</v>
      </c>
      <c r="T239" s="228">
        <f t="shared" si="100"/>
        <v>0</v>
      </c>
      <c r="U239" s="228">
        <f t="shared" si="100"/>
        <v>0</v>
      </c>
      <c r="V239" s="228">
        <f t="shared" si="100"/>
        <v>0</v>
      </c>
      <c r="W239" s="228">
        <f t="shared" si="100"/>
        <v>0</v>
      </c>
      <c r="X239" s="228">
        <f t="shared" si="100"/>
        <v>0</v>
      </c>
      <c r="Y239" s="228">
        <f t="shared" si="100"/>
        <v>0</v>
      </c>
      <c r="Z239" s="228">
        <f t="shared" si="100"/>
        <v>0</v>
      </c>
      <c r="AA239" s="228">
        <f t="shared" si="100"/>
        <v>0</v>
      </c>
      <c r="AB239" s="228">
        <f t="shared" si="100"/>
        <v>0</v>
      </c>
      <c r="AC239" s="228">
        <f t="shared" si="100"/>
        <v>0</v>
      </c>
    </row>
    <row r="240" spans="1:29">
      <c r="A240" s="177"/>
      <c r="B240" s="177"/>
      <c r="C240" s="228"/>
      <c r="D240" s="228"/>
      <c r="E240" s="185" t="s">
        <v>652</v>
      </c>
      <c r="F240" s="270">
        <v>0</v>
      </c>
      <c r="G240" s="270">
        <v>0</v>
      </c>
      <c r="H240" s="270">
        <v>0</v>
      </c>
      <c r="I240" s="270">
        <v>0</v>
      </c>
      <c r="J240" s="270">
        <v>0</v>
      </c>
      <c r="K240" s="270">
        <v>0</v>
      </c>
      <c r="L240" s="270">
        <v>0</v>
      </c>
      <c r="M240" s="270">
        <v>0</v>
      </c>
      <c r="N240" s="270">
        <v>0</v>
      </c>
      <c r="O240" s="270">
        <v>0</v>
      </c>
      <c r="P240" s="270">
        <v>0</v>
      </c>
      <c r="Q240" s="270">
        <v>0</v>
      </c>
      <c r="R240" s="270">
        <v>0</v>
      </c>
      <c r="S240" s="270">
        <v>0</v>
      </c>
      <c r="T240" s="270">
        <v>0</v>
      </c>
      <c r="U240" s="270">
        <v>0</v>
      </c>
      <c r="V240" s="270">
        <v>0</v>
      </c>
      <c r="W240" s="270">
        <v>0</v>
      </c>
      <c r="X240" s="270">
        <v>0</v>
      </c>
      <c r="Y240" s="270">
        <v>0</v>
      </c>
      <c r="Z240" s="270">
        <v>0</v>
      </c>
      <c r="AA240" s="270">
        <v>0</v>
      </c>
      <c r="AB240" s="270">
        <v>0</v>
      </c>
      <c r="AC240" s="270">
        <v>0</v>
      </c>
    </row>
    <row r="241" spans="1:29">
      <c r="A241" s="177"/>
      <c r="B241" s="177"/>
      <c r="C241" s="228"/>
      <c r="D241" s="228"/>
      <c r="E241" s="177" t="s">
        <v>216</v>
      </c>
      <c r="F241" s="271">
        <f>SUM(F235:F240)</f>
        <v>94158.362320319691</v>
      </c>
      <c r="G241" s="271">
        <f>SUM(G235:G240)</f>
        <v>48995.555378011399</v>
      </c>
      <c r="H241" s="271">
        <f>SUM(H235:H240)</f>
        <v>50628.228830746666</v>
      </c>
      <c r="I241" s="271">
        <f>SUM(I235:I240)</f>
        <v>70308.034474934393</v>
      </c>
      <c r="J241" s="271">
        <f>SUM(J235:J240)</f>
        <v>72791.319631300023</v>
      </c>
      <c r="K241" s="271">
        <f t="shared" ref="K241:AC241" si="101">SUM(K235:K240)</f>
        <v>75352.008863045703</v>
      </c>
      <c r="L241" s="271">
        <f t="shared" si="101"/>
        <v>77999.049329876318</v>
      </c>
      <c r="M241" s="271">
        <f t="shared" si="101"/>
        <v>39287.756591747537</v>
      </c>
      <c r="N241" s="271">
        <f t="shared" si="101"/>
        <v>40300.29363252547</v>
      </c>
      <c r="O241" s="271">
        <f t="shared" si="101"/>
        <v>41321.184903396243</v>
      </c>
      <c r="P241" s="271">
        <f t="shared" si="101"/>
        <v>42338.797513214791</v>
      </c>
      <c r="Q241" s="271">
        <f t="shared" si="101"/>
        <v>43392.04461133897</v>
      </c>
      <c r="R241" s="271">
        <f t="shared" si="101"/>
        <v>44476.43392579932</v>
      </c>
      <c r="S241" s="271">
        <f t="shared" si="101"/>
        <v>45581.169144603722</v>
      </c>
      <c r="T241" s="271">
        <f t="shared" si="101"/>
        <v>46704.546172271796</v>
      </c>
      <c r="U241" s="271">
        <f t="shared" si="101"/>
        <v>47860.038465064194</v>
      </c>
      <c r="V241" s="271">
        <f t="shared" si="101"/>
        <v>49038.963452495052</v>
      </c>
      <c r="W241" s="271">
        <f t="shared" si="101"/>
        <v>50255.30863225444</v>
      </c>
      <c r="X241" s="271">
        <f t="shared" si="101"/>
        <v>51520.924227005526</v>
      </c>
      <c r="Y241" s="271">
        <f t="shared" si="101"/>
        <v>52808.784165423385</v>
      </c>
      <c r="Z241" s="271">
        <f t="shared" si="101"/>
        <v>54097.872456431483</v>
      </c>
      <c r="AA241" s="271">
        <f t="shared" si="101"/>
        <v>55436.410825637817</v>
      </c>
      <c r="AB241" s="271">
        <f t="shared" si="101"/>
        <v>56807.511313371877</v>
      </c>
      <c r="AC241" s="271">
        <f t="shared" si="101"/>
        <v>58214.156095689817</v>
      </c>
    </row>
    <row r="242" spans="1:29">
      <c r="A242" s="177"/>
      <c r="B242" s="177"/>
      <c r="C242" s="228"/>
      <c r="D242" s="228"/>
      <c r="E242" s="177" t="s">
        <v>641</v>
      </c>
      <c r="F242" s="228">
        <v>0</v>
      </c>
      <c r="G242" s="228">
        <v>0</v>
      </c>
      <c r="H242" s="228">
        <v>0</v>
      </c>
      <c r="I242" s="228">
        <v>0</v>
      </c>
      <c r="J242" s="228">
        <v>0</v>
      </c>
      <c r="K242" s="228">
        <v>0</v>
      </c>
      <c r="L242" s="228">
        <v>0</v>
      </c>
      <c r="M242" s="228">
        <v>0</v>
      </c>
      <c r="N242" s="228">
        <v>0</v>
      </c>
      <c r="O242" s="228">
        <v>0</v>
      </c>
      <c r="P242" s="228">
        <v>0</v>
      </c>
      <c r="Q242" s="228">
        <v>0</v>
      </c>
      <c r="R242" s="228">
        <v>0</v>
      </c>
      <c r="S242" s="228">
        <v>0</v>
      </c>
      <c r="T242" s="228">
        <v>0</v>
      </c>
      <c r="U242" s="228">
        <v>0</v>
      </c>
      <c r="V242" s="228">
        <v>0</v>
      </c>
      <c r="W242" s="228">
        <v>0</v>
      </c>
      <c r="X242" s="228">
        <v>0</v>
      </c>
      <c r="Y242" s="228">
        <v>0</v>
      </c>
      <c r="Z242" s="228">
        <v>0</v>
      </c>
      <c r="AA242" s="228">
        <v>0</v>
      </c>
      <c r="AB242" s="228">
        <v>0</v>
      </c>
      <c r="AC242" s="228">
        <v>0</v>
      </c>
    </row>
    <row r="243" spans="1:29">
      <c r="A243" s="215"/>
      <c r="B243" s="177"/>
      <c r="C243" s="228"/>
      <c r="D243" s="228"/>
      <c r="E243" s="185" t="s">
        <v>642</v>
      </c>
      <c r="F243" s="272">
        <v>0</v>
      </c>
      <c r="G243" s="270">
        <v>0</v>
      </c>
      <c r="H243" s="270">
        <v>0</v>
      </c>
      <c r="I243" s="232">
        <f>F241*(1+0.025)^I2</f>
        <v>101398.25764810551</v>
      </c>
      <c r="J243" s="273">
        <v>49692.554473876953</v>
      </c>
      <c r="K243" s="273">
        <v>54437.591552734382</v>
      </c>
      <c r="L243" s="273">
        <v>75231.361389160156</v>
      </c>
      <c r="M243" s="273">
        <v>78858.558654785156</v>
      </c>
      <c r="N243" s="273">
        <v>81758.018493652344</v>
      </c>
      <c r="O243" s="273">
        <v>84319.740295410156</v>
      </c>
      <c r="P243" s="273">
        <v>42764.244079589836</v>
      </c>
      <c r="Q243" s="273">
        <v>43754.768371582031</v>
      </c>
      <c r="R243" s="273">
        <v>44720.664978027336</v>
      </c>
      <c r="S243" s="273">
        <v>45451.126098632813</v>
      </c>
      <c r="T243" s="273">
        <v>47039.741516113281</v>
      </c>
      <c r="U243" s="273">
        <v>47989.986419677727</v>
      </c>
      <c r="V243" s="273">
        <v>49479.732513427727</v>
      </c>
      <c r="W243" s="273">
        <v>50707.218170166023</v>
      </c>
      <c r="X243" s="273">
        <v>51558.902740478523</v>
      </c>
      <c r="Y243" s="273">
        <v>52669.261932373047</v>
      </c>
      <c r="Z243" s="273">
        <v>54460.968017578118</v>
      </c>
      <c r="AA243" s="273">
        <v>55666.751861572273</v>
      </c>
      <c r="AB243" s="273">
        <v>57048.328399658203</v>
      </c>
      <c r="AC243" s="273">
        <v>58138.553619384773</v>
      </c>
    </row>
    <row r="244" spans="1:29">
      <c r="A244" s="215"/>
      <c r="B244" s="177"/>
      <c r="C244" s="228"/>
      <c r="D244" s="228"/>
      <c r="E244" s="276" t="s">
        <v>643</v>
      </c>
      <c r="F244" s="277">
        <f>F243-F242</f>
        <v>0</v>
      </c>
      <c r="G244" s="277">
        <f t="shared" ref="G244:AC244" si="102">G243-G242</f>
        <v>0</v>
      </c>
      <c r="H244" s="277">
        <f t="shared" si="102"/>
        <v>0</v>
      </c>
      <c r="I244" s="277">
        <f t="shared" si="102"/>
        <v>101398.25764810551</v>
      </c>
      <c r="J244" s="277">
        <f t="shared" si="102"/>
        <v>49692.554473876953</v>
      </c>
      <c r="K244" s="277">
        <f t="shared" si="102"/>
        <v>54437.591552734382</v>
      </c>
      <c r="L244" s="277">
        <f t="shared" si="102"/>
        <v>75231.361389160156</v>
      </c>
      <c r="M244" s="277">
        <f t="shared" si="102"/>
        <v>78858.558654785156</v>
      </c>
      <c r="N244" s="277">
        <f t="shared" si="102"/>
        <v>81758.018493652344</v>
      </c>
      <c r="O244" s="277">
        <f t="shared" si="102"/>
        <v>84319.740295410156</v>
      </c>
      <c r="P244" s="277">
        <f t="shared" si="102"/>
        <v>42764.244079589836</v>
      </c>
      <c r="Q244" s="277">
        <f t="shared" si="102"/>
        <v>43754.768371582031</v>
      </c>
      <c r="R244" s="277">
        <f t="shared" si="102"/>
        <v>44720.664978027336</v>
      </c>
      <c r="S244" s="277">
        <f t="shared" si="102"/>
        <v>45451.126098632813</v>
      </c>
      <c r="T244" s="277">
        <f t="shared" si="102"/>
        <v>47039.741516113281</v>
      </c>
      <c r="U244" s="277">
        <f t="shared" si="102"/>
        <v>47989.986419677727</v>
      </c>
      <c r="V244" s="277">
        <f t="shared" si="102"/>
        <v>49479.732513427727</v>
      </c>
      <c r="W244" s="277">
        <f t="shared" si="102"/>
        <v>50707.218170166023</v>
      </c>
      <c r="X244" s="277">
        <f t="shared" si="102"/>
        <v>51558.902740478523</v>
      </c>
      <c r="Y244" s="277">
        <f t="shared" si="102"/>
        <v>52669.261932373047</v>
      </c>
      <c r="Z244" s="277">
        <f t="shared" si="102"/>
        <v>54460.968017578118</v>
      </c>
      <c r="AA244" s="277">
        <f t="shared" si="102"/>
        <v>55666.751861572273</v>
      </c>
      <c r="AB244" s="277">
        <f t="shared" si="102"/>
        <v>57048.328399658203</v>
      </c>
      <c r="AC244" s="277">
        <f t="shared" si="102"/>
        <v>58138.553619384773</v>
      </c>
    </row>
    <row r="245" spans="1:29">
      <c r="A245" s="215"/>
      <c r="B245" s="177"/>
      <c r="C245" s="228"/>
      <c r="D245" s="228"/>
      <c r="E245" s="177" t="s">
        <v>721</v>
      </c>
      <c r="F245" s="256"/>
      <c r="G245" s="256"/>
      <c r="H245" s="256"/>
      <c r="I245" s="256"/>
      <c r="J245" s="256"/>
      <c r="K245" s="256"/>
      <c r="L245" s="256"/>
      <c r="M245" s="256"/>
      <c r="N245" s="256"/>
      <c r="O245" s="256"/>
      <c r="P245" s="256"/>
      <c r="Q245" s="256"/>
      <c r="R245" s="256"/>
      <c r="S245" s="256"/>
      <c r="T245" s="256"/>
      <c r="U245" s="256"/>
      <c r="V245" s="256"/>
      <c r="W245" s="256"/>
      <c r="X245" s="256"/>
      <c r="Y245" s="256"/>
      <c r="Z245" s="256"/>
      <c r="AA245" s="256"/>
      <c r="AB245" s="256"/>
      <c r="AC245" s="256"/>
    </row>
    <row r="246" spans="1:29">
      <c r="A246" s="215"/>
      <c r="B246" s="177"/>
      <c r="C246" s="228"/>
      <c r="D246" s="228"/>
      <c r="E246" s="177" t="s">
        <v>722</v>
      </c>
      <c r="F246" s="256"/>
      <c r="G246" s="256"/>
      <c r="H246" s="256"/>
      <c r="I246" s="256"/>
      <c r="J246" s="275">
        <v>7.0000000298023224E-2</v>
      </c>
      <c r="K246" s="275">
        <v>0.15000000596046451</v>
      </c>
      <c r="L246" s="275">
        <v>0.30000001192092901</v>
      </c>
      <c r="M246" s="275">
        <v>0.46000000834465032</v>
      </c>
      <c r="N246" s="275">
        <v>0.62000000476837158</v>
      </c>
      <c r="O246" s="275">
        <v>0.77999997138977051</v>
      </c>
      <c r="P246" s="275">
        <v>0.79000002145767212</v>
      </c>
      <c r="Q246" s="275">
        <v>0.80000001192092896</v>
      </c>
      <c r="R246" s="275">
        <v>0.81000000238418579</v>
      </c>
      <c r="S246" s="275">
        <v>0.81000000238418579</v>
      </c>
      <c r="T246" s="275">
        <v>0.81999999284744263</v>
      </c>
      <c r="U246" s="275">
        <v>0.82999998331069946</v>
      </c>
      <c r="V246" s="275">
        <v>0.85000002384185791</v>
      </c>
      <c r="W246" s="275">
        <v>0.86000001430511475</v>
      </c>
      <c r="X246" s="275">
        <v>0.86000001430511475</v>
      </c>
      <c r="Y246" s="275">
        <v>0.87000000476837158</v>
      </c>
      <c r="Z246" s="275">
        <v>0.88999998569488525</v>
      </c>
      <c r="AA246" s="275">
        <v>0.89999997615814209</v>
      </c>
      <c r="AB246" s="275">
        <v>0.9100000262260437</v>
      </c>
      <c r="AC246" s="275">
        <v>0.92000001668930054</v>
      </c>
    </row>
    <row r="247" spans="1:29" ht="13.5" thickBot="1">
      <c r="P247" s="140"/>
    </row>
    <row r="248" spans="1:29" ht="13.5" thickBot="1">
      <c r="A248" s="263">
        <v>15</v>
      </c>
      <c r="C248" s="212" t="s">
        <v>628</v>
      </c>
      <c r="D248" s="211"/>
      <c r="P248" s="140"/>
    </row>
    <row r="249" spans="1:29">
      <c r="C249" s="214" t="s">
        <v>158</v>
      </c>
      <c r="F249" s="247">
        <v>0</v>
      </c>
      <c r="G249" s="247">
        <f>F249-1</f>
        <v>-1</v>
      </c>
      <c r="H249" s="247">
        <f t="shared" ref="H249:AC249" si="103">G249-1</f>
        <v>-2</v>
      </c>
      <c r="I249" s="247">
        <f t="shared" si="103"/>
        <v>-3</v>
      </c>
      <c r="J249" s="247">
        <f t="shared" si="103"/>
        <v>-4</v>
      </c>
      <c r="K249" s="247">
        <f t="shared" si="103"/>
        <v>-5</v>
      </c>
      <c r="L249" s="247">
        <f t="shared" si="103"/>
        <v>-6</v>
      </c>
      <c r="M249" s="247">
        <f t="shared" si="103"/>
        <v>-7</v>
      </c>
      <c r="N249" s="247">
        <f t="shared" si="103"/>
        <v>-8</v>
      </c>
      <c r="O249" s="247">
        <f t="shared" si="103"/>
        <v>-9</v>
      </c>
      <c r="P249" s="247">
        <f t="shared" si="103"/>
        <v>-10</v>
      </c>
      <c r="Q249" s="247">
        <f t="shared" si="103"/>
        <v>-11</v>
      </c>
      <c r="R249" s="247">
        <f t="shared" si="103"/>
        <v>-12</v>
      </c>
      <c r="S249" s="247">
        <f t="shared" si="103"/>
        <v>-13</v>
      </c>
      <c r="T249" s="247">
        <f t="shared" si="103"/>
        <v>-14</v>
      </c>
      <c r="U249" s="247">
        <f t="shared" si="103"/>
        <v>-15</v>
      </c>
      <c r="V249" s="247">
        <f t="shared" si="103"/>
        <v>-16</v>
      </c>
      <c r="W249" s="247">
        <f t="shared" si="103"/>
        <v>-17</v>
      </c>
      <c r="X249" s="247">
        <f t="shared" si="103"/>
        <v>-18</v>
      </c>
      <c r="Y249" s="247">
        <f t="shared" si="103"/>
        <v>-19</v>
      </c>
      <c r="Z249" s="247">
        <f t="shared" si="103"/>
        <v>-20</v>
      </c>
      <c r="AA249" s="247">
        <f t="shared" si="103"/>
        <v>-21</v>
      </c>
      <c r="AB249" s="247">
        <f t="shared" si="103"/>
        <v>-22</v>
      </c>
      <c r="AC249" s="247">
        <f t="shared" si="103"/>
        <v>-23</v>
      </c>
    </row>
    <row r="250" spans="1:29">
      <c r="A250" s="140" t="s">
        <v>630</v>
      </c>
      <c r="B250" s="244">
        <v>150000</v>
      </c>
      <c r="C250" s="181" t="s">
        <v>577</v>
      </c>
      <c r="D250" s="177"/>
      <c r="E250" s="217" t="s">
        <v>631</v>
      </c>
      <c r="F250" s="248">
        <v>0</v>
      </c>
      <c r="G250" s="248">
        <v>0.16620764160104035</v>
      </c>
      <c r="H250" s="248">
        <v>0.41110273956615384</v>
      </c>
      <c r="I250" s="248">
        <v>0.75627752508632917</v>
      </c>
      <c r="J250" s="248">
        <v>1.2115642100354902</v>
      </c>
      <c r="K250" s="248">
        <v>1.794701900282309</v>
      </c>
      <c r="L250" s="248">
        <v>2.0890687305427695</v>
      </c>
      <c r="M250" s="248">
        <v>2.3934486563100585</v>
      </c>
      <c r="N250" s="248">
        <v>2.7306633939294853</v>
      </c>
      <c r="O250" s="248">
        <v>3.0726106459592737</v>
      </c>
      <c r="P250" s="248">
        <v>3.4183082398385665</v>
      </c>
      <c r="Q250" s="248">
        <v>3.7675638083857823</v>
      </c>
      <c r="R250" s="248">
        <v>4.1219560676549802</v>
      </c>
      <c r="S250" s="248">
        <v>4.4827747916387368</v>
      </c>
      <c r="T250" s="248">
        <v>4.8514175981182621</v>
      </c>
      <c r="U250" s="248">
        <v>5.2290180082942772</v>
      </c>
      <c r="V250" s="248">
        <v>5.615271626062512</v>
      </c>
      <c r="W250" s="248">
        <v>6.0089808448162829</v>
      </c>
      <c r="X250" s="248">
        <v>6.4326676926631219</v>
      </c>
      <c r="Y250" s="248">
        <v>6.8586449927553694</v>
      </c>
      <c r="Z250" s="248">
        <v>7.2832928991433477</v>
      </c>
      <c r="AA250" s="248">
        <v>7.7033640746590741</v>
      </c>
      <c r="AB250" s="248">
        <v>8.1150080233252293</v>
      </c>
      <c r="AC250" s="248">
        <v>8.515455566362796</v>
      </c>
    </row>
    <row r="251" spans="1:29">
      <c r="A251" s="140" t="s">
        <v>632</v>
      </c>
      <c r="B251" s="244">
        <v>150000</v>
      </c>
      <c r="C251" s="181" t="s">
        <v>633</v>
      </c>
      <c r="D251" s="177"/>
      <c r="E251" s="217" t="s">
        <v>645</v>
      </c>
      <c r="F251" s="150">
        <v>0</v>
      </c>
      <c r="G251" s="150">
        <v>479.58365935656212</v>
      </c>
      <c r="H251" s="150">
        <v>1186.2159544137937</v>
      </c>
      <c r="I251" s="150">
        <v>2182.2001652645781</v>
      </c>
      <c r="J251" s="150">
        <v>3495.9066370064284</v>
      </c>
      <c r="K251" s="150">
        <v>5178.5206534461677</v>
      </c>
      <c r="L251" s="150">
        <v>6027.9011048478678</v>
      </c>
      <c r="M251" s="150">
        <v>6906.173831829642</v>
      </c>
      <c r="N251" s="150">
        <v>7879.1897310906515</v>
      </c>
      <c r="O251" s="150">
        <v>8865.8610589289256</v>
      </c>
      <c r="P251" s="150">
        <v>9863.3538065930134</v>
      </c>
      <c r="Q251" s="150">
        <v>10871.112908407273</v>
      </c>
      <c r="R251" s="150">
        <v>11893.693668899199</v>
      </c>
      <c r="S251" s="150">
        <v>12934.817665038088</v>
      </c>
      <c r="T251" s="150">
        <v>13998.517651536282</v>
      </c>
      <c r="U251" s="150">
        <v>15088.064345914136</v>
      </c>
      <c r="V251" s="150">
        <v>16202.579428762416</v>
      </c>
      <c r="W251" s="150">
        <v>17338.607267395593</v>
      </c>
      <c r="X251" s="150">
        <v>18561.134023411854</v>
      </c>
      <c r="Y251" s="150">
        <v>19790.26976237772</v>
      </c>
      <c r="Z251" s="150">
        <v>21015.569603720123</v>
      </c>
      <c r="AA251" s="150">
        <v>22227.66352192649</v>
      </c>
      <c r="AB251" s="150">
        <v>23415.441107551433</v>
      </c>
      <c r="AC251" s="150">
        <v>24570.912036687696</v>
      </c>
    </row>
    <row r="252" spans="1:29">
      <c r="A252" s="181" t="s">
        <v>646</v>
      </c>
      <c r="B252" s="220">
        <v>300</v>
      </c>
      <c r="C252" s="181" t="s">
        <v>636</v>
      </c>
      <c r="D252" s="177"/>
      <c r="E252" s="217" t="s">
        <v>634</v>
      </c>
      <c r="F252" s="150">
        <v>0</v>
      </c>
      <c r="G252" s="150">
        <v>503.5628423243902</v>
      </c>
      <c r="H252" s="150">
        <v>765.94309277792138</v>
      </c>
      <c r="I252" s="150">
        <v>1105.0942191140134</v>
      </c>
      <c r="J252" s="150">
        <v>1488.5018035921717</v>
      </c>
      <c r="K252" s="150">
        <v>1941.5400491120477</v>
      </c>
      <c r="L252" s="150">
        <v>1150.7755066440936</v>
      </c>
      <c r="M252" s="150">
        <v>1223.5814185732563</v>
      </c>
      <c r="N252" s="150">
        <v>1366.975385815542</v>
      </c>
      <c r="O252" s="150">
        <v>1429.9643807847203</v>
      </c>
      <c r="P252" s="150">
        <v>1490.6604379937385</v>
      </c>
      <c r="Q252" s="150">
        <v>1551.3147472346232</v>
      </c>
      <c r="R252" s="150">
        <v>1617.2654439368864</v>
      </c>
      <c r="S252" s="150">
        <v>1687.8648793907937</v>
      </c>
      <c r="T252" s="150">
        <v>1763.6258690750078</v>
      </c>
      <c r="U252" s="150">
        <v>1843.9499116735606</v>
      </c>
      <c r="V252" s="150">
        <v>1924.6440542864011</v>
      </c>
      <c r="W252" s="150">
        <v>2002.958202002957</v>
      </c>
      <c r="X252" s="150">
        <v>2150.5834571868536</v>
      </c>
      <c r="Y252" s="150">
        <v>2218.6492270847521</v>
      </c>
      <c r="Z252" s="150">
        <v>2276.0783215284091</v>
      </c>
      <c r="AA252" s="150">
        <v>2323.4770943026915</v>
      </c>
      <c r="AB252" s="150">
        <v>2358.5496410025144</v>
      </c>
      <c r="AC252" s="150">
        <v>2384.0165309706481</v>
      </c>
    </row>
    <row r="253" spans="1:29">
      <c r="A253" s="181" t="s">
        <v>635</v>
      </c>
      <c r="B253" s="220">
        <v>30</v>
      </c>
      <c r="C253" s="140" t="s">
        <v>636</v>
      </c>
      <c r="E253" s="140" t="s">
        <v>630</v>
      </c>
      <c r="F253" s="222">
        <f>B250</f>
        <v>150000</v>
      </c>
      <c r="P253" s="140"/>
    </row>
    <row r="254" spans="1:29">
      <c r="A254" s="181" t="s">
        <v>647</v>
      </c>
      <c r="B254" s="220">
        <v>25</v>
      </c>
      <c r="C254" s="181" t="s">
        <v>644</v>
      </c>
      <c r="D254" s="177"/>
      <c r="E254" s="181" t="s">
        <v>638</v>
      </c>
      <c r="F254" s="249">
        <f>B251</f>
        <v>150000</v>
      </c>
      <c r="G254" s="249">
        <f t="shared" ref="G254:AC254" si="104">$F$254*(1+$B$6)^G$2</f>
        <v>153750</v>
      </c>
      <c r="H254" s="249">
        <f t="shared" si="104"/>
        <v>157593.75</v>
      </c>
      <c r="I254" s="249">
        <f t="shared" si="104"/>
        <v>161533.59374999997</v>
      </c>
      <c r="J254" s="249">
        <f t="shared" si="104"/>
        <v>165571.93359374997</v>
      </c>
      <c r="K254" s="249">
        <f t="shared" si="104"/>
        <v>169711.23193359369</v>
      </c>
      <c r="L254" s="249">
        <f t="shared" si="104"/>
        <v>173954.01273193353</v>
      </c>
      <c r="M254" s="249">
        <f t="shared" si="104"/>
        <v>178302.86305023188</v>
      </c>
      <c r="N254" s="249">
        <f t="shared" si="104"/>
        <v>182760.43462648767</v>
      </c>
      <c r="O254" s="249">
        <f t="shared" si="104"/>
        <v>187329.44549214983</v>
      </c>
      <c r="P254" s="249">
        <f t="shared" si="104"/>
        <v>192012.68162945355</v>
      </c>
      <c r="Q254" s="249">
        <f t="shared" si="104"/>
        <v>196812.9986701899</v>
      </c>
      <c r="R254" s="249">
        <f t="shared" si="104"/>
        <v>201733.32363694464</v>
      </c>
      <c r="S254" s="249">
        <f t="shared" si="104"/>
        <v>206776.65672786825</v>
      </c>
      <c r="T254" s="249">
        <f t="shared" si="104"/>
        <v>211946.07314606491</v>
      </c>
      <c r="U254" s="249">
        <f t="shared" si="104"/>
        <v>217244.72497471658</v>
      </c>
      <c r="V254" s="249">
        <f t="shared" si="104"/>
        <v>222675.84309908448</v>
      </c>
      <c r="W254" s="249">
        <f t="shared" si="104"/>
        <v>228242.73917656156</v>
      </c>
      <c r="X254" s="249">
        <f t="shared" si="104"/>
        <v>233948.8076559756</v>
      </c>
      <c r="Y254" s="249">
        <f t="shared" si="104"/>
        <v>239797.52784737499</v>
      </c>
      <c r="Z254" s="249">
        <f t="shared" si="104"/>
        <v>245792.46604355934</v>
      </c>
      <c r="AA254" s="249">
        <f t="shared" si="104"/>
        <v>251937.27769464828</v>
      </c>
      <c r="AB254" s="249">
        <f t="shared" si="104"/>
        <v>258235.70963701449</v>
      </c>
      <c r="AC254" s="249">
        <f t="shared" si="104"/>
        <v>264691.60237793985</v>
      </c>
    </row>
    <row r="255" spans="1:29">
      <c r="A255" s="181"/>
      <c r="B255" s="220"/>
      <c r="C255" s="177"/>
      <c r="D255" s="177"/>
      <c r="E255" s="140" t="s">
        <v>654</v>
      </c>
      <c r="F255" s="249">
        <f t="shared" ref="F255:AC255" si="105">F252*$B252*(1+$B$6)^F$2</f>
        <v>0</v>
      </c>
      <c r="G255" s="249">
        <f t="shared" si="105"/>
        <v>154845.57401474996</v>
      </c>
      <c r="H255" s="249">
        <f t="shared" si="105"/>
        <v>241415.68855494109</v>
      </c>
      <c r="I255" s="249">
        <f t="shared" si="105"/>
        <v>357019.68129167304</v>
      </c>
      <c r="J255" s="249">
        <f t="shared" si="105"/>
        <v>492908.24355708016</v>
      </c>
      <c r="K255" s="249">
        <f t="shared" si="105"/>
        <v>659002.30716643122</v>
      </c>
      <c r="L255" s="249">
        <f t="shared" si="105"/>
        <v>400364.03426872782</v>
      </c>
      <c r="M255" s="249">
        <f t="shared" si="105"/>
        <v>436336.14021335152</v>
      </c>
      <c r="N255" s="249">
        <f t="shared" si="105"/>
        <v>499658.0312707182</v>
      </c>
      <c r="O255" s="249">
        <f t="shared" si="105"/>
        <v>535748.86905185413</v>
      </c>
      <c r="P255" s="249">
        <f t="shared" si="105"/>
        <v>572451.41619622696</v>
      </c>
      <c r="Q255" s="249">
        <f t="shared" si="105"/>
        <v>610637.81456906768</v>
      </c>
      <c r="R255" s="249">
        <f t="shared" si="105"/>
        <v>652512.66641713365</v>
      </c>
      <c r="S255" s="249">
        <f t="shared" si="105"/>
        <v>698022.11353762972</v>
      </c>
      <c r="T255" s="249">
        <f t="shared" si="105"/>
        <v>747587.15489852789</v>
      </c>
      <c r="U255" s="249">
        <f t="shared" si="105"/>
        <v>801176.78285735124</v>
      </c>
      <c r="V255" s="249">
        <f t="shared" si="105"/>
        <v>857143.47490772896</v>
      </c>
      <c r="W255" s="249">
        <f t="shared" si="105"/>
        <v>914321.33296263113</v>
      </c>
      <c r="X255" s="249">
        <f t="shared" si="105"/>
        <v>1006252.8711470604</v>
      </c>
      <c r="Y255" s="249">
        <f t="shared" si="105"/>
        <v>1064053.1996308255</v>
      </c>
      <c r="Z255" s="249">
        <f t="shared" si="105"/>
        <v>1118885.8071135061</v>
      </c>
      <c r="AA255" s="249">
        <f t="shared" si="105"/>
        <v>1170740.9878489834</v>
      </c>
      <c r="AB255" s="249">
        <f t="shared" si="105"/>
        <v>1218123.4805168202</v>
      </c>
      <c r="AC255" s="249">
        <f t="shared" si="105"/>
        <v>1262058.3113562367</v>
      </c>
    </row>
    <row r="256" spans="1:29">
      <c r="A256" s="181"/>
      <c r="B256" s="181"/>
      <c r="E256" s="181" t="s">
        <v>639</v>
      </c>
      <c r="F256" s="249">
        <f t="shared" ref="F256:AC256" si="106">F252*$B253*(1+$B$6)^F$2</f>
        <v>0</v>
      </c>
      <c r="G256" s="249">
        <f t="shared" si="106"/>
        <v>15484.557401474996</v>
      </c>
      <c r="H256" s="249">
        <f t="shared" si="106"/>
        <v>24141.568855494108</v>
      </c>
      <c r="I256" s="249">
        <f t="shared" si="106"/>
        <v>35701.968129167304</v>
      </c>
      <c r="J256" s="249">
        <f t="shared" si="106"/>
        <v>49290.82435570802</v>
      </c>
      <c r="K256" s="249">
        <f t="shared" si="106"/>
        <v>65900.230716643127</v>
      </c>
      <c r="L256" s="249">
        <f t="shared" si="106"/>
        <v>40036.403426872777</v>
      </c>
      <c r="M256" s="249">
        <f t="shared" si="106"/>
        <v>43633.614021335154</v>
      </c>
      <c r="N256" s="249">
        <f t="shared" si="106"/>
        <v>49965.80312707182</v>
      </c>
      <c r="O256" s="249">
        <f t="shared" si="106"/>
        <v>53574.886905185405</v>
      </c>
      <c r="P256" s="249">
        <f t="shared" si="106"/>
        <v>57245.1416196227</v>
      </c>
      <c r="Q256" s="249">
        <f t="shared" si="106"/>
        <v>61063.78145690677</v>
      </c>
      <c r="R256" s="249">
        <f t="shared" si="106"/>
        <v>65251.266641713373</v>
      </c>
      <c r="S256" s="249">
        <f t="shared" si="106"/>
        <v>69802.211353762978</v>
      </c>
      <c r="T256" s="249">
        <f t="shared" si="106"/>
        <v>74758.715489852781</v>
      </c>
      <c r="U256" s="249">
        <f t="shared" si="106"/>
        <v>80117.678285735121</v>
      </c>
      <c r="V256" s="249">
        <f t="shared" si="106"/>
        <v>85714.347490772896</v>
      </c>
      <c r="W256" s="249">
        <f t="shared" si="106"/>
        <v>91432.133296263128</v>
      </c>
      <c r="X256" s="249">
        <f t="shared" si="106"/>
        <v>100625.28711470605</v>
      </c>
      <c r="Y256" s="249">
        <f t="shared" si="106"/>
        <v>106405.31996308257</v>
      </c>
      <c r="Z256" s="249">
        <f t="shared" si="106"/>
        <v>111888.5807113506</v>
      </c>
      <c r="AA256" s="249">
        <f t="shared" si="106"/>
        <v>117074.09878489835</v>
      </c>
      <c r="AB256" s="249">
        <f t="shared" si="106"/>
        <v>121812.34805168201</v>
      </c>
      <c r="AC256" s="249">
        <f t="shared" si="106"/>
        <v>126205.83113562367</v>
      </c>
    </row>
    <row r="257" spans="1:29">
      <c r="A257" s="181"/>
      <c r="B257" s="181"/>
      <c r="C257" s="181"/>
      <c r="D257" s="177"/>
      <c r="E257" s="140" t="s">
        <v>651</v>
      </c>
      <c r="F257" s="249">
        <f t="shared" ref="F257:AC257" si="107">F251*$B254*(1+$B$6)^F$2</f>
        <v>0</v>
      </c>
      <c r="G257" s="249">
        <f t="shared" si="107"/>
        <v>12289.331271011904</v>
      </c>
      <c r="H257" s="249">
        <f t="shared" si="107"/>
        <v>31156.703427649798</v>
      </c>
      <c r="I257" s="249">
        <f t="shared" si="107"/>
        <v>58749.77249617187</v>
      </c>
      <c r="J257" s="249">
        <f t="shared" si="107"/>
        <v>96470.67025872969</v>
      </c>
      <c r="K257" s="249">
        <f t="shared" si="107"/>
        <v>146475.51994831796</v>
      </c>
      <c r="L257" s="249">
        <f t="shared" si="107"/>
        <v>174762.93092325702</v>
      </c>
      <c r="M257" s="249">
        <f t="shared" si="107"/>
        <v>205231.76115630261</v>
      </c>
      <c r="N257" s="249">
        <f t="shared" si="107"/>
        <v>240000.68995978098</v>
      </c>
      <c r="O257" s="249">
        <f t="shared" si="107"/>
        <v>276806.13932993333</v>
      </c>
      <c r="P257" s="249">
        <f t="shared" si="107"/>
        <v>315648.1690440005</v>
      </c>
      <c r="Q257" s="249">
        <f t="shared" si="107"/>
        <v>356596.05506430747</v>
      </c>
      <c r="R257" s="249">
        <f t="shared" si="107"/>
        <v>399892.39235778688</v>
      </c>
      <c r="S257" s="249">
        <f t="shared" si="107"/>
        <v>445769.72536019114</v>
      </c>
      <c r="T257" s="249">
        <f t="shared" si="107"/>
        <v>494488.47435149824</v>
      </c>
      <c r="U257" s="249">
        <f t="shared" si="107"/>
        <v>546300.39820482384</v>
      </c>
      <c r="V257" s="249">
        <f t="shared" si="107"/>
        <v>601320.50577992562</v>
      </c>
      <c r="W257" s="249">
        <f t="shared" si="107"/>
        <v>659568.53603616788</v>
      </c>
      <c r="X257" s="249">
        <f t="shared" si="107"/>
        <v>723725.86225332739</v>
      </c>
      <c r="Y257" s="249">
        <f t="shared" si="107"/>
        <v>790942.96074180573</v>
      </c>
      <c r="Z257" s="249">
        <f t="shared" si="107"/>
        <v>860911.44636807253</v>
      </c>
      <c r="AA257" s="249">
        <f t="shared" si="107"/>
        <v>933329.50620446645</v>
      </c>
      <c r="AB257" s="249">
        <f t="shared" si="107"/>
        <v>1007783.8418120441</v>
      </c>
      <c r="AC257" s="249">
        <f t="shared" si="107"/>
        <v>1083952.3464797125</v>
      </c>
    </row>
    <row r="258" spans="1:29">
      <c r="A258" s="181"/>
      <c r="B258" s="181"/>
      <c r="C258" s="249"/>
      <c r="D258" s="228"/>
      <c r="E258" s="192" t="s">
        <v>652</v>
      </c>
      <c r="F258" s="224">
        <v>0</v>
      </c>
      <c r="G258" s="224">
        <v>0</v>
      </c>
      <c r="H258" s="224">
        <v>0</v>
      </c>
      <c r="I258" s="224">
        <v>0</v>
      </c>
      <c r="J258" s="224">
        <v>0</v>
      </c>
      <c r="K258" s="224">
        <v>0</v>
      </c>
      <c r="L258" s="224">
        <v>0</v>
      </c>
      <c r="M258" s="224">
        <v>0</v>
      </c>
      <c r="N258" s="224">
        <v>0</v>
      </c>
      <c r="O258" s="224">
        <v>0</v>
      </c>
      <c r="P258" s="224">
        <v>0</v>
      </c>
      <c r="Q258" s="224">
        <v>0</v>
      </c>
      <c r="R258" s="224">
        <v>0</v>
      </c>
      <c r="S258" s="224">
        <v>0</v>
      </c>
      <c r="T258" s="224">
        <v>0</v>
      </c>
      <c r="U258" s="224">
        <v>0</v>
      </c>
      <c r="V258" s="224">
        <v>0</v>
      </c>
      <c r="W258" s="224">
        <v>0</v>
      </c>
      <c r="X258" s="224">
        <v>0</v>
      </c>
      <c r="Y258" s="224">
        <v>0</v>
      </c>
      <c r="Z258" s="224">
        <v>0</v>
      </c>
      <c r="AA258" s="224">
        <v>0</v>
      </c>
      <c r="AB258" s="224">
        <v>0</v>
      </c>
      <c r="AC258" s="224">
        <v>0</v>
      </c>
    </row>
    <row r="259" spans="1:29">
      <c r="A259" s="181"/>
      <c r="B259" s="181"/>
      <c r="C259" s="249"/>
      <c r="D259" s="228"/>
      <c r="E259" s="181" t="s">
        <v>216</v>
      </c>
      <c r="F259" s="259">
        <f>SUM(F253:F258)</f>
        <v>300000</v>
      </c>
      <c r="G259" s="259">
        <f>SUM(G253:G258)</f>
        <v>336369.46268723684</v>
      </c>
      <c r="H259" s="259">
        <f>SUM(H253:H258)</f>
        <v>454307.71083808498</v>
      </c>
      <c r="I259" s="259">
        <f>SUM(I253:I258)</f>
        <v>613005.01566701219</v>
      </c>
      <c r="J259" s="259">
        <f>SUM(J253:J258)</f>
        <v>804241.67176526785</v>
      </c>
      <c r="K259" s="259">
        <f t="shared" ref="K259:AC259" si="108">SUM(K253:K258)</f>
        <v>1041089.2897649859</v>
      </c>
      <c r="L259" s="259">
        <f t="shared" si="108"/>
        <v>789117.3813507912</v>
      </c>
      <c r="M259" s="259">
        <f t="shared" si="108"/>
        <v>863504.3784412212</v>
      </c>
      <c r="N259" s="259">
        <f t="shared" si="108"/>
        <v>972384.9589840587</v>
      </c>
      <c r="O259" s="259">
        <f t="shared" si="108"/>
        <v>1053459.3407791227</v>
      </c>
      <c r="P259" s="259">
        <f t="shared" si="108"/>
        <v>1137357.4084893037</v>
      </c>
      <c r="Q259" s="259">
        <f t="shared" si="108"/>
        <v>1225110.6497604719</v>
      </c>
      <c r="R259" s="259">
        <f t="shared" si="108"/>
        <v>1319389.6490535785</v>
      </c>
      <c r="S259" s="259">
        <f t="shared" si="108"/>
        <v>1420370.7069794522</v>
      </c>
      <c r="T259" s="259">
        <f t="shared" si="108"/>
        <v>1528780.4178859438</v>
      </c>
      <c r="U259" s="259">
        <f t="shared" si="108"/>
        <v>1644839.5843226267</v>
      </c>
      <c r="V259" s="259">
        <f t="shared" si="108"/>
        <v>1766854.1712775119</v>
      </c>
      <c r="W259" s="259">
        <f t="shared" si="108"/>
        <v>1893564.7414716235</v>
      </c>
      <c r="X259" s="259">
        <f t="shared" si="108"/>
        <v>2064552.8281710695</v>
      </c>
      <c r="Y259" s="259">
        <f t="shared" si="108"/>
        <v>2201199.0081830891</v>
      </c>
      <c r="Z259" s="259">
        <f t="shared" si="108"/>
        <v>2337478.3002364887</v>
      </c>
      <c r="AA259" s="259">
        <f t="shared" si="108"/>
        <v>2473081.8705329965</v>
      </c>
      <c r="AB259" s="259">
        <f t="shared" si="108"/>
        <v>2605955.3800175609</v>
      </c>
      <c r="AC259" s="259">
        <f t="shared" si="108"/>
        <v>2736908.0913495128</v>
      </c>
    </row>
    <row r="260" spans="1:29">
      <c r="A260" s="278" t="s">
        <v>659</v>
      </c>
      <c r="B260" s="181"/>
      <c r="C260" s="249"/>
      <c r="D260" s="228"/>
      <c r="E260" s="177" t="s">
        <v>641</v>
      </c>
      <c r="F260" s="249"/>
      <c r="G260" s="249"/>
      <c r="H260" s="249"/>
      <c r="I260" s="249"/>
      <c r="J260" s="249"/>
      <c r="K260" s="249"/>
      <c r="L260" s="249"/>
      <c r="M260" s="249"/>
      <c r="N260" s="249"/>
      <c r="O260" s="249"/>
      <c r="P260" s="249"/>
      <c r="Q260" s="249"/>
      <c r="R260" s="249"/>
      <c r="S260" s="249"/>
      <c r="T260" s="249"/>
      <c r="U260" s="249"/>
      <c r="V260" s="249"/>
      <c r="W260" s="249"/>
      <c r="X260" s="249"/>
      <c r="Y260" s="249"/>
      <c r="Z260" s="249"/>
      <c r="AA260" s="249"/>
      <c r="AB260" s="249"/>
      <c r="AC260" s="249"/>
    </row>
    <row r="261" spans="1:29">
      <c r="B261" s="177"/>
      <c r="C261" s="249"/>
      <c r="D261" s="228"/>
      <c r="E261" s="185" t="s">
        <v>642</v>
      </c>
      <c r="F261" s="265"/>
      <c r="G261" s="224"/>
      <c r="H261" s="224"/>
      <c r="I261" s="224"/>
      <c r="J261" s="168"/>
      <c r="K261" s="168"/>
      <c r="L261" s="168"/>
      <c r="M261" s="168"/>
      <c r="N261" s="168"/>
      <c r="O261" s="168"/>
      <c r="P261" s="168"/>
      <c r="Q261" s="168"/>
      <c r="R261" s="168"/>
      <c r="S261" s="168"/>
      <c r="T261" s="168"/>
      <c r="U261" s="168"/>
      <c r="V261" s="168"/>
      <c r="W261" s="168"/>
      <c r="X261" s="168"/>
      <c r="Y261" s="168"/>
      <c r="Z261" s="168"/>
      <c r="AA261" s="168"/>
      <c r="AB261" s="168"/>
      <c r="AC261" s="168"/>
    </row>
    <row r="262" spans="1:29">
      <c r="B262" s="181"/>
      <c r="C262" s="249"/>
      <c r="D262" s="228"/>
      <c r="E262" s="177" t="s">
        <v>643</v>
      </c>
      <c r="F262" s="267">
        <f>F261-F260</f>
        <v>0</v>
      </c>
      <c r="G262" s="267">
        <f t="shared" ref="G262:AC262" si="109">G261-G260</f>
        <v>0</v>
      </c>
      <c r="H262" s="267">
        <f t="shared" si="109"/>
        <v>0</v>
      </c>
      <c r="I262" s="267">
        <f t="shared" si="109"/>
        <v>0</v>
      </c>
      <c r="J262" s="267">
        <f t="shared" si="109"/>
        <v>0</v>
      </c>
      <c r="K262" s="267">
        <f t="shared" si="109"/>
        <v>0</v>
      </c>
      <c r="L262" s="267">
        <f t="shared" si="109"/>
        <v>0</v>
      </c>
      <c r="M262" s="267">
        <f t="shared" si="109"/>
        <v>0</v>
      </c>
      <c r="N262" s="267">
        <f t="shared" si="109"/>
        <v>0</v>
      </c>
      <c r="O262" s="267">
        <f t="shared" si="109"/>
        <v>0</v>
      </c>
      <c r="P262" s="267">
        <f t="shared" si="109"/>
        <v>0</v>
      </c>
      <c r="Q262" s="267">
        <f t="shared" si="109"/>
        <v>0</v>
      </c>
      <c r="R262" s="267">
        <f t="shared" si="109"/>
        <v>0</v>
      </c>
      <c r="S262" s="267">
        <f t="shared" si="109"/>
        <v>0</v>
      </c>
      <c r="T262" s="267">
        <f t="shared" si="109"/>
        <v>0</v>
      </c>
      <c r="U262" s="267">
        <f t="shared" si="109"/>
        <v>0</v>
      </c>
      <c r="V262" s="267">
        <f t="shared" si="109"/>
        <v>0</v>
      </c>
      <c r="W262" s="267">
        <f t="shared" si="109"/>
        <v>0</v>
      </c>
      <c r="X262" s="267">
        <f t="shared" si="109"/>
        <v>0</v>
      </c>
      <c r="Y262" s="267">
        <f t="shared" si="109"/>
        <v>0</v>
      </c>
      <c r="Z262" s="267">
        <f t="shared" si="109"/>
        <v>0</v>
      </c>
      <c r="AA262" s="267">
        <f t="shared" si="109"/>
        <v>0</v>
      </c>
      <c r="AB262" s="267">
        <f t="shared" si="109"/>
        <v>0</v>
      </c>
      <c r="AC262" s="267">
        <f t="shared" si="109"/>
        <v>0</v>
      </c>
    </row>
    <row r="263" spans="1:29">
      <c r="B263" s="181"/>
      <c r="C263" s="249"/>
      <c r="D263" s="228"/>
      <c r="E263" s="177" t="s">
        <v>721</v>
      </c>
      <c r="F263" s="252"/>
      <c r="G263" s="252"/>
      <c r="H263" s="252"/>
      <c r="I263" s="252"/>
      <c r="J263" s="252"/>
      <c r="K263" s="252"/>
      <c r="L263" s="252"/>
      <c r="M263" s="252"/>
      <c r="N263" s="252"/>
      <c r="O263" s="252"/>
      <c r="P263" s="252"/>
      <c r="Q263" s="252"/>
      <c r="R263" s="252"/>
      <c r="S263" s="252"/>
      <c r="T263" s="252"/>
      <c r="U263" s="252"/>
      <c r="V263" s="252"/>
      <c r="W263" s="252"/>
      <c r="X263" s="252"/>
      <c r="Y263" s="252"/>
      <c r="Z263" s="252"/>
      <c r="AA263" s="252"/>
      <c r="AB263" s="252"/>
      <c r="AC263" s="252"/>
    </row>
    <row r="264" spans="1:29">
      <c r="B264" s="181"/>
      <c r="C264" s="249"/>
      <c r="D264" s="228"/>
      <c r="E264" s="177" t="s">
        <v>722</v>
      </c>
      <c r="F264" s="252"/>
      <c r="G264" s="252"/>
      <c r="H264" s="252"/>
      <c r="I264" s="252"/>
      <c r="J264" s="252"/>
      <c r="K264" s="252"/>
      <c r="L264" s="252"/>
      <c r="M264" s="252"/>
      <c r="N264" s="252"/>
      <c r="O264" s="252"/>
      <c r="P264" s="252"/>
      <c r="Q264" s="252"/>
      <c r="R264" s="252"/>
      <c r="S264" s="252"/>
      <c r="T264" s="252"/>
      <c r="U264" s="252"/>
      <c r="V264" s="252"/>
      <c r="W264" s="252"/>
      <c r="X264" s="252"/>
      <c r="Y264" s="252"/>
      <c r="Z264" s="252"/>
      <c r="AA264" s="252"/>
      <c r="AB264" s="252"/>
      <c r="AC264" s="252"/>
    </row>
    <row r="265" spans="1:29" ht="13.5" thickBot="1">
      <c r="P265" s="140"/>
    </row>
    <row r="266" spans="1:29" ht="13.5" thickBot="1">
      <c r="A266" s="260">
        <v>16</v>
      </c>
      <c r="C266" s="212" t="s">
        <v>628</v>
      </c>
      <c r="D266" s="211"/>
      <c r="P266" s="140"/>
    </row>
    <row r="267" spans="1:29">
      <c r="C267" s="214" t="s">
        <v>159</v>
      </c>
      <c r="F267" s="247">
        <v>0</v>
      </c>
      <c r="G267" s="247">
        <f>F267-1</f>
        <v>-1</v>
      </c>
      <c r="H267" s="247">
        <f t="shared" ref="H267:AC267" si="110">G267-1</f>
        <v>-2</v>
      </c>
      <c r="I267" s="247">
        <f t="shared" si="110"/>
        <v>-3</v>
      </c>
      <c r="J267" s="247">
        <f t="shared" si="110"/>
        <v>-4</v>
      </c>
      <c r="K267" s="247">
        <f t="shared" si="110"/>
        <v>-5</v>
      </c>
      <c r="L267" s="247">
        <f t="shared" si="110"/>
        <v>-6</v>
      </c>
      <c r="M267" s="247">
        <f t="shared" si="110"/>
        <v>-7</v>
      </c>
      <c r="N267" s="247">
        <f t="shared" si="110"/>
        <v>-8</v>
      </c>
      <c r="O267" s="247">
        <f t="shared" si="110"/>
        <v>-9</v>
      </c>
      <c r="P267" s="247">
        <f t="shared" si="110"/>
        <v>-10</v>
      </c>
      <c r="Q267" s="247">
        <f t="shared" si="110"/>
        <v>-11</v>
      </c>
      <c r="R267" s="247">
        <f t="shared" si="110"/>
        <v>-12</v>
      </c>
      <c r="S267" s="247">
        <f t="shared" si="110"/>
        <v>-13</v>
      </c>
      <c r="T267" s="247">
        <f t="shared" si="110"/>
        <v>-14</v>
      </c>
      <c r="U267" s="247">
        <f t="shared" si="110"/>
        <v>-15</v>
      </c>
      <c r="V267" s="247">
        <f t="shared" si="110"/>
        <v>-16</v>
      </c>
      <c r="W267" s="247">
        <f t="shared" si="110"/>
        <v>-17</v>
      </c>
      <c r="X267" s="247">
        <f t="shared" si="110"/>
        <v>-18</v>
      </c>
      <c r="Y267" s="247">
        <f t="shared" si="110"/>
        <v>-19</v>
      </c>
      <c r="Z267" s="247">
        <f t="shared" si="110"/>
        <v>-20</v>
      </c>
      <c r="AA267" s="247">
        <f t="shared" si="110"/>
        <v>-21</v>
      </c>
      <c r="AB267" s="247">
        <f t="shared" si="110"/>
        <v>-22</v>
      </c>
      <c r="AC267" s="247">
        <f t="shared" si="110"/>
        <v>-23</v>
      </c>
    </row>
    <row r="268" spans="1:29">
      <c r="A268" s="140" t="s">
        <v>630</v>
      </c>
      <c r="B268" s="244">
        <v>150000</v>
      </c>
      <c r="C268" s="181" t="s">
        <v>577</v>
      </c>
      <c r="D268" s="177"/>
      <c r="E268" s="217" t="s">
        <v>631</v>
      </c>
      <c r="F268" s="248">
        <v>0</v>
      </c>
      <c r="G268" s="248">
        <v>1.2812811880505661</v>
      </c>
      <c r="H268" s="248">
        <v>2.6029009422807499</v>
      </c>
      <c r="I268" s="248">
        <v>3.9716680615377715</v>
      </c>
      <c r="J268" s="248">
        <v>5.3699880590432389</v>
      </c>
      <c r="K268" s="248">
        <v>6.8053045837667634</v>
      </c>
      <c r="L268" s="248">
        <v>6.8958913977011242</v>
      </c>
      <c r="M268" s="248">
        <v>6.9888931809300487</v>
      </c>
      <c r="N268" s="248">
        <v>7.0853081786850121</v>
      </c>
      <c r="O268" s="248">
        <v>7.202553102894913</v>
      </c>
      <c r="P268" s="248">
        <v>7.3063342430513591</v>
      </c>
      <c r="Q268" s="248">
        <v>7.3988016631890536</v>
      </c>
      <c r="R268" s="248">
        <v>7.4962098158772932</v>
      </c>
      <c r="S268" s="248">
        <v>7.6208068332461067</v>
      </c>
      <c r="T268" s="248">
        <v>7.7380079982438996</v>
      </c>
      <c r="U268" s="248">
        <v>7.8612636798592117</v>
      </c>
      <c r="V268" s="248">
        <v>7.9760719799089941</v>
      </c>
      <c r="W268" s="248">
        <v>8.0940830255149105</v>
      </c>
      <c r="X268" s="248">
        <v>8.2061827669078085</v>
      </c>
      <c r="Y268" s="248">
        <v>8.3296012515411952</v>
      </c>
      <c r="Z268" s="248">
        <v>8.4443091108526787</v>
      </c>
      <c r="AA268" s="248">
        <v>8.556064748078958</v>
      </c>
      <c r="AB268" s="248">
        <v>8.6537773524197945</v>
      </c>
      <c r="AC268" s="248">
        <v>8.7619126433919838</v>
      </c>
    </row>
    <row r="269" spans="1:29">
      <c r="A269" s="140" t="s">
        <v>632</v>
      </c>
      <c r="B269" s="244">
        <v>66.75</v>
      </c>
      <c r="C269" s="181" t="s">
        <v>658</v>
      </c>
      <c r="D269" s="177"/>
      <c r="E269" s="217" t="s">
        <v>645</v>
      </c>
      <c r="F269" s="150">
        <v>0</v>
      </c>
      <c r="G269" s="150">
        <v>42901.320062674058</v>
      </c>
      <c r="H269" s="150">
        <v>86799.158818163167</v>
      </c>
      <c r="I269" s="150">
        <v>131753.42991627826</v>
      </c>
      <c r="J269" s="150">
        <v>177729.87664104594</v>
      </c>
      <c r="K269" s="150">
        <v>224718.54624278133</v>
      </c>
      <c r="L269" s="150">
        <v>227260.60726790375</v>
      </c>
      <c r="M269" s="150">
        <v>229799.06221000795</v>
      </c>
      <c r="N269" s="150">
        <v>232345.3671521121</v>
      </c>
      <c r="O269" s="150">
        <v>234901.77474012837</v>
      </c>
      <c r="P269" s="150">
        <v>237452.58232814469</v>
      </c>
      <c r="Q269" s="150">
        <v>239991.15579163368</v>
      </c>
      <c r="R269" s="150">
        <v>242525.44592178933</v>
      </c>
      <c r="S269" s="150">
        <v>245045.78869785715</v>
      </c>
      <c r="T269" s="150">
        <v>247536.64734939756</v>
      </c>
      <c r="U269" s="150">
        <v>249994.99991791986</v>
      </c>
      <c r="V269" s="150">
        <v>252424.65434116029</v>
      </c>
      <c r="W269" s="150">
        <v>254830.92199396124</v>
      </c>
      <c r="X269" s="150">
        <v>257220.63356374405</v>
      </c>
      <c r="Y269" s="150">
        <v>259593.02238384189</v>
      </c>
      <c r="Z269" s="150">
        <v>261951.56993287016</v>
      </c>
      <c r="AA269" s="150">
        <v>264295.54208630143</v>
      </c>
      <c r="AB269" s="150">
        <v>266622.22932401142</v>
      </c>
      <c r="AC269" s="150">
        <v>268938.41656172136</v>
      </c>
    </row>
    <row r="270" spans="1:29">
      <c r="A270" s="181" t="s">
        <v>646</v>
      </c>
      <c r="B270" s="220">
        <v>0</v>
      </c>
      <c r="C270" s="181" t="s">
        <v>636</v>
      </c>
      <c r="D270" s="177"/>
      <c r="E270" s="217" t="s">
        <v>634</v>
      </c>
      <c r="F270" s="150">
        <v>0</v>
      </c>
      <c r="G270" s="150">
        <v>44274.16230467963</v>
      </c>
      <c r="H270" s="150">
        <v>46675.411837670326</v>
      </c>
      <c r="I270" s="150">
        <v>49170.380855435993</v>
      </c>
      <c r="J270" s="150">
        <v>51663.802777281147</v>
      </c>
      <c r="K270" s="150">
        <v>54179.663081504397</v>
      </c>
      <c r="L270" s="150">
        <v>9814.4004576953339</v>
      </c>
      <c r="M270" s="150">
        <v>9892.0249328244572</v>
      </c>
      <c r="N270" s="150">
        <v>9981.3566909717374</v>
      </c>
      <c r="O270" s="150">
        <v>10073.26437970038</v>
      </c>
      <c r="P270" s="150">
        <v>10149.290222516953</v>
      </c>
      <c r="Q270" s="150">
        <v>10218.290448821259</v>
      </c>
      <c r="R270" s="150">
        <v>10295.104399652915</v>
      </c>
      <c r="S270" s="150">
        <v>10361.808014399245</v>
      </c>
      <c r="T270" s="150">
        <v>10412.031366721139</v>
      </c>
      <c r="U270" s="150">
        <v>10458.192565895735</v>
      </c>
      <c r="V270" s="150">
        <v>10507.243362157556</v>
      </c>
      <c r="W270" s="150">
        <v>10560.857156607708</v>
      </c>
      <c r="X270" s="150">
        <v>10620.771843822622</v>
      </c>
      <c r="Y270" s="150">
        <v>10679.365536380781</v>
      </c>
      <c r="Z270" s="150">
        <v>10740.997786880114</v>
      </c>
      <c r="AA270" s="150">
        <v>10801.429500192917</v>
      </c>
      <c r="AB270" s="150">
        <v>10858.598576078359</v>
      </c>
      <c r="AC270" s="150">
        <v>10922.216567685018</v>
      </c>
    </row>
    <row r="271" spans="1:29">
      <c r="A271" s="181" t="s">
        <v>635</v>
      </c>
      <c r="B271" s="220">
        <v>0</v>
      </c>
      <c r="C271" s="140" t="s">
        <v>636</v>
      </c>
      <c r="E271" s="140" t="s">
        <v>630</v>
      </c>
      <c r="F271" s="222">
        <f>B268</f>
        <v>150000</v>
      </c>
      <c r="P271" s="140"/>
    </row>
    <row r="272" spans="1:29">
      <c r="A272" s="181" t="s">
        <v>647</v>
      </c>
      <c r="B272" s="220">
        <v>0</v>
      </c>
      <c r="C272" s="181" t="s">
        <v>644</v>
      </c>
      <c r="D272" s="177"/>
      <c r="E272" s="181" t="s">
        <v>638</v>
      </c>
      <c r="F272" s="249">
        <f t="shared" ref="F272:AC272" si="111">$B$269*1000*F268*(1+$B$6)^F$2</f>
        <v>0</v>
      </c>
      <c r="G272" s="249">
        <f t="shared" si="111"/>
        <v>87663.65728493467</v>
      </c>
      <c r="H272" s="249">
        <f t="shared" si="111"/>
        <v>182539.40956578782</v>
      </c>
      <c r="I272" s="249">
        <f t="shared" si="111"/>
        <v>285493.22774722008</v>
      </c>
      <c r="J272" s="249">
        <f t="shared" si="111"/>
        <v>395658.09130845615</v>
      </c>
      <c r="K272" s="249">
        <f t="shared" si="111"/>
        <v>513946.79794450337</v>
      </c>
      <c r="L272" s="249">
        <f t="shared" si="111"/>
        <v>533807.75109721092</v>
      </c>
      <c r="M272" s="249">
        <f t="shared" si="111"/>
        <v>554532.15035187115</v>
      </c>
      <c r="N272" s="249">
        <f t="shared" si="111"/>
        <v>576236.73097859079</v>
      </c>
      <c r="O272" s="249">
        <f t="shared" si="111"/>
        <v>600416.37410741486</v>
      </c>
      <c r="P272" s="249">
        <f t="shared" si="111"/>
        <v>624294.42974578089</v>
      </c>
      <c r="Q272" s="249">
        <f t="shared" si="111"/>
        <v>648000.25214471063</v>
      </c>
      <c r="R272" s="249">
        <f t="shared" si="111"/>
        <v>672944.71777238278</v>
      </c>
      <c r="S272" s="249">
        <f t="shared" si="111"/>
        <v>701233.20655364764</v>
      </c>
      <c r="T272" s="249">
        <f t="shared" si="111"/>
        <v>729817.98209428345</v>
      </c>
      <c r="U272" s="249">
        <f t="shared" si="111"/>
        <v>759979.03940771043</v>
      </c>
      <c r="V272" s="249">
        <f t="shared" si="111"/>
        <v>790354.95597162261</v>
      </c>
      <c r="W272" s="249">
        <f t="shared" si="111"/>
        <v>822099.97798538511</v>
      </c>
      <c r="X272" s="249">
        <f t="shared" si="111"/>
        <v>854322.86980766791</v>
      </c>
      <c r="Y272" s="249">
        <f t="shared" si="111"/>
        <v>888850.9156929208</v>
      </c>
      <c r="Z272" s="249">
        <f t="shared" si="111"/>
        <v>923618.66437380621</v>
      </c>
      <c r="AA272" s="249">
        <f t="shared" si="111"/>
        <v>959238.28888252086</v>
      </c>
      <c r="AB272" s="249">
        <f t="shared" si="111"/>
        <v>994447.87936106836</v>
      </c>
      <c r="AC272" s="249">
        <f t="shared" si="111"/>
        <v>1032046.090376355</v>
      </c>
    </row>
    <row r="273" spans="1:29">
      <c r="A273" s="181"/>
      <c r="B273" s="220"/>
      <c r="C273" s="177"/>
      <c r="D273" s="177"/>
      <c r="E273" s="140" t="s">
        <v>654</v>
      </c>
      <c r="F273" s="249">
        <f t="shared" ref="F273:AC273" si="112">F270*$B270*(1+$B$6)^F$2</f>
        <v>0</v>
      </c>
      <c r="G273" s="249">
        <f t="shared" si="112"/>
        <v>0</v>
      </c>
      <c r="H273" s="249">
        <f t="shared" si="112"/>
        <v>0</v>
      </c>
      <c r="I273" s="249">
        <f t="shared" si="112"/>
        <v>0</v>
      </c>
      <c r="J273" s="249">
        <f t="shared" si="112"/>
        <v>0</v>
      </c>
      <c r="K273" s="249">
        <f t="shared" si="112"/>
        <v>0</v>
      </c>
      <c r="L273" s="249">
        <f t="shared" si="112"/>
        <v>0</v>
      </c>
      <c r="M273" s="249">
        <f t="shared" si="112"/>
        <v>0</v>
      </c>
      <c r="N273" s="249">
        <f t="shared" si="112"/>
        <v>0</v>
      </c>
      <c r="O273" s="249">
        <f t="shared" si="112"/>
        <v>0</v>
      </c>
      <c r="P273" s="249">
        <f t="shared" si="112"/>
        <v>0</v>
      </c>
      <c r="Q273" s="249">
        <f t="shared" si="112"/>
        <v>0</v>
      </c>
      <c r="R273" s="249">
        <f t="shared" si="112"/>
        <v>0</v>
      </c>
      <c r="S273" s="249">
        <f t="shared" si="112"/>
        <v>0</v>
      </c>
      <c r="T273" s="249">
        <f t="shared" si="112"/>
        <v>0</v>
      </c>
      <c r="U273" s="249">
        <f t="shared" si="112"/>
        <v>0</v>
      </c>
      <c r="V273" s="249">
        <f t="shared" si="112"/>
        <v>0</v>
      </c>
      <c r="W273" s="249">
        <f t="shared" si="112"/>
        <v>0</v>
      </c>
      <c r="X273" s="249">
        <f t="shared" si="112"/>
        <v>0</v>
      </c>
      <c r="Y273" s="249">
        <f t="shared" si="112"/>
        <v>0</v>
      </c>
      <c r="Z273" s="249">
        <f t="shared" si="112"/>
        <v>0</v>
      </c>
      <c r="AA273" s="249">
        <f t="shared" si="112"/>
        <v>0</v>
      </c>
      <c r="AB273" s="249">
        <f t="shared" si="112"/>
        <v>0</v>
      </c>
      <c r="AC273" s="249">
        <f t="shared" si="112"/>
        <v>0</v>
      </c>
    </row>
    <row r="274" spans="1:29">
      <c r="A274" s="181"/>
      <c r="B274" s="181"/>
      <c r="E274" s="181" t="s">
        <v>639</v>
      </c>
      <c r="F274" s="249">
        <f t="shared" ref="F274:AC274" si="113">F270*$B271*(1+$B$6)^F$2</f>
        <v>0</v>
      </c>
      <c r="G274" s="249">
        <f t="shared" si="113"/>
        <v>0</v>
      </c>
      <c r="H274" s="249">
        <f t="shared" si="113"/>
        <v>0</v>
      </c>
      <c r="I274" s="249">
        <f t="shared" si="113"/>
        <v>0</v>
      </c>
      <c r="J274" s="249">
        <f t="shared" si="113"/>
        <v>0</v>
      </c>
      <c r="K274" s="249">
        <f t="shared" si="113"/>
        <v>0</v>
      </c>
      <c r="L274" s="249">
        <f t="shared" si="113"/>
        <v>0</v>
      </c>
      <c r="M274" s="249">
        <f t="shared" si="113"/>
        <v>0</v>
      </c>
      <c r="N274" s="249">
        <f t="shared" si="113"/>
        <v>0</v>
      </c>
      <c r="O274" s="249">
        <f t="shared" si="113"/>
        <v>0</v>
      </c>
      <c r="P274" s="249">
        <f t="shared" si="113"/>
        <v>0</v>
      </c>
      <c r="Q274" s="249">
        <f t="shared" si="113"/>
        <v>0</v>
      </c>
      <c r="R274" s="249">
        <f t="shared" si="113"/>
        <v>0</v>
      </c>
      <c r="S274" s="249">
        <f t="shared" si="113"/>
        <v>0</v>
      </c>
      <c r="T274" s="249">
        <f t="shared" si="113"/>
        <v>0</v>
      </c>
      <c r="U274" s="249">
        <f t="shared" si="113"/>
        <v>0</v>
      </c>
      <c r="V274" s="249">
        <f t="shared" si="113"/>
        <v>0</v>
      </c>
      <c r="W274" s="249">
        <f t="shared" si="113"/>
        <v>0</v>
      </c>
      <c r="X274" s="249">
        <f t="shared" si="113"/>
        <v>0</v>
      </c>
      <c r="Y274" s="249">
        <f t="shared" si="113"/>
        <v>0</v>
      </c>
      <c r="Z274" s="249">
        <f t="shared" si="113"/>
        <v>0</v>
      </c>
      <c r="AA274" s="249">
        <f t="shared" si="113"/>
        <v>0</v>
      </c>
      <c r="AB274" s="249">
        <f t="shared" si="113"/>
        <v>0</v>
      </c>
      <c r="AC274" s="249">
        <f t="shared" si="113"/>
        <v>0</v>
      </c>
    </row>
    <row r="275" spans="1:29">
      <c r="A275" s="181"/>
      <c r="B275" s="181"/>
      <c r="C275" s="181"/>
      <c r="D275" s="177"/>
      <c r="E275" s="140" t="s">
        <v>651</v>
      </c>
      <c r="F275" s="249">
        <f t="shared" ref="F275:AC275" si="114">F269*$B272*(1+$B$6)^F$2</f>
        <v>0</v>
      </c>
      <c r="G275" s="249">
        <f t="shared" si="114"/>
        <v>0</v>
      </c>
      <c r="H275" s="249">
        <f t="shared" si="114"/>
        <v>0</v>
      </c>
      <c r="I275" s="249">
        <f t="shared" si="114"/>
        <v>0</v>
      </c>
      <c r="J275" s="249">
        <f t="shared" si="114"/>
        <v>0</v>
      </c>
      <c r="K275" s="249">
        <f t="shared" si="114"/>
        <v>0</v>
      </c>
      <c r="L275" s="249">
        <f t="shared" si="114"/>
        <v>0</v>
      </c>
      <c r="M275" s="249">
        <f t="shared" si="114"/>
        <v>0</v>
      </c>
      <c r="N275" s="249">
        <f t="shared" si="114"/>
        <v>0</v>
      </c>
      <c r="O275" s="249">
        <f t="shared" si="114"/>
        <v>0</v>
      </c>
      <c r="P275" s="249">
        <f t="shared" si="114"/>
        <v>0</v>
      </c>
      <c r="Q275" s="249">
        <f t="shared" si="114"/>
        <v>0</v>
      </c>
      <c r="R275" s="249">
        <f t="shared" si="114"/>
        <v>0</v>
      </c>
      <c r="S275" s="249">
        <f t="shared" si="114"/>
        <v>0</v>
      </c>
      <c r="T275" s="249">
        <f t="shared" si="114"/>
        <v>0</v>
      </c>
      <c r="U275" s="249">
        <f t="shared" si="114"/>
        <v>0</v>
      </c>
      <c r="V275" s="249">
        <f t="shared" si="114"/>
        <v>0</v>
      </c>
      <c r="W275" s="249">
        <f t="shared" si="114"/>
        <v>0</v>
      </c>
      <c r="X275" s="249">
        <f t="shared" si="114"/>
        <v>0</v>
      </c>
      <c r="Y275" s="249">
        <f t="shared" si="114"/>
        <v>0</v>
      </c>
      <c r="Z275" s="249">
        <f t="shared" si="114"/>
        <v>0</v>
      </c>
      <c r="AA275" s="249">
        <f t="shared" si="114"/>
        <v>0</v>
      </c>
      <c r="AB275" s="249">
        <f t="shared" si="114"/>
        <v>0</v>
      </c>
      <c r="AC275" s="249">
        <f t="shared" si="114"/>
        <v>0</v>
      </c>
    </row>
    <row r="276" spans="1:29">
      <c r="A276" s="181"/>
      <c r="B276" s="181"/>
      <c r="C276" s="249"/>
      <c r="D276" s="228"/>
      <c r="E276" s="192" t="s">
        <v>652</v>
      </c>
      <c r="F276" s="224">
        <v>0</v>
      </c>
      <c r="G276" s="224">
        <v>0</v>
      </c>
      <c r="H276" s="224">
        <v>0</v>
      </c>
      <c r="I276" s="224">
        <v>0</v>
      </c>
      <c r="J276" s="224">
        <v>0</v>
      </c>
      <c r="K276" s="224">
        <v>0</v>
      </c>
      <c r="L276" s="224">
        <v>0</v>
      </c>
      <c r="M276" s="224">
        <v>0</v>
      </c>
      <c r="N276" s="224">
        <v>0</v>
      </c>
      <c r="O276" s="224">
        <v>0</v>
      </c>
      <c r="P276" s="224">
        <v>0</v>
      </c>
      <c r="Q276" s="224">
        <v>0</v>
      </c>
      <c r="R276" s="224">
        <v>0</v>
      </c>
      <c r="S276" s="224">
        <v>0</v>
      </c>
      <c r="T276" s="224">
        <v>0</v>
      </c>
      <c r="U276" s="224">
        <v>0</v>
      </c>
      <c r="V276" s="224">
        <v>0</v>
      </c>
      <c r="W276" s="224">
        <v>0</v>
      </c>
      <c r="X276" s="224">
        <v>0</v>
      </c>
      <c r="Y276" s="224">
        <v>0</v>
      </c>
      <c r="Z276" s="224">
        <v>0</v>
      </c>
      <c r="AA276" s="224">
        <v>0</v>
      </c>
      <c r="AB276" s="224">
        <v>0</v>
      </c>
      <c r="AC276" s="224">
        <v>0</v>
      </c>
    </row>
    <row r="277" spans="1:29">
      <c r="A277" s="181"/>
      <c r="B277" s="181"/>
      <c r="C277" s="249"/>
      <c r="D277" s="228"/>
      <c r="E277" s="181" t="s">
        <v>216</v>
      </c>
      <c r="F277" s="259">
        <f>SUM(F271:F276)</f>
        <v>150000</v>
      </c>
      <c r="G277" s="259">
        <f>SUM(G271:G276)</f>
        <v>87663.65728493467</v>
      </c>
      <c r="H277" s="259">
        <f>SUM(H271:H276)</f>
        <v>182539.40956578782</v>
      </c>
      <c r="I277" s="259">
        <f>SUM(I271:I276)</f>
        <v>285493.22774722008</v>
      </c>
      <c r="J277" s="259">
        <f>SUM(J271:J276)</f>
        <v>395658.09130845615</v>
      </c>
      <c r="K277" s="259">
        <f t="shared" ref="K277:AC277" si="115">SUM(K271:K276)</f>
        <v>513946.79794450337</v>
      </c>
      <c r="L277" s="259">
        <f t="shared" si="115"/>
        <v>533807.75109721092</v>
      </c>
      <c r="M277" s="259">
        <f t="shared" si="115"/>
        <v>554532.15035187115</v>
      </c>
      <c r="N277" s="259">
        <f t="shared" si="115"/>
        <v>576236.73097859079</v>
      </c>
      <c r="O277" s="259">
        <f t="shared" si="115"/>
        <v>600416.37410741486</v>
      </c>
      <c r="P277" s="259">
        <f t="shared" si="115"/>
        <v>624294.42974578089</v>
      </c>
      <c r="Q277" s="259">
        <f t="shared" si="115"/>
        <v>648000.25214471063</v>
      </c>
      <c r="R277" s="259">
        <f t="shared" si="115"/>
        <v>672944.71777238278</v>
      </c>
      <c r="S277" s="259">
        <f t="shared" si="115"/>
        <v>701233.20655364764</v>
      </c>
      <c r="T277" s="259">
        <f t="shared" si="115"/>
        <v>729817.98209428345</v>
      </c>
      <c r="U277" s="259">
        <f t="shared" si="115"/>
        <v>759979.03940771043</v>
      </c>
      <c r="V277" s="259">
        <f t="shared" si="115"/>
        <v>790354.95597162261</v>
      </c>
      <c r="W277" s="259">
        <f t="shared" si="115"/>
        <v>822099.97798538511</v>
      </c>
      <c r="X277" s="259">
        <f t="shared" si="115"/>
        <v>854322.86980766791</v>
      </c>
      <c r="Y277" s="259">
        <f t="shared" si="115"/>
        <v>888850.9156929208</v>
      </c>
      <c r="Z277" s="259">
        <f t="shared" si="115"/>
        <v>923618.66437380621</v>
      </c>
      <c r="AA277" s="259">
        <f t="shared" si="115"/>
        <v>959238.28888252086</v>
      </c>
      <c r="AB277" s="259">
        <f t="shared" si="115"/>
        <v>994447.87936106836</v>
      </c>
      <c r="AC277" s="259">
        <f t="shared" si="115"/>
        <v>1032046.090376355</v>
      </c>
    </row>
    <row r="278" spans="1:29">
      <c r="A278" s="181"/>
      <c r="B278" s="181"/>
      <c r="C278" s="249"/>
      <c r="D278" s="228"/>
      <c r="E278" s="177" t="s">
        <v>641</v>
      </c>
      <c r="F278" s="249"/>
      <c r="G278" s="249"/>
      <c r="H278" s="249"/>
      <c r="I278" s="249"/>
      <c r="J278" s="249"/>
      <c r="K278" s="249"/>
      <c r="L278" s="249"/>
      <c r="M278" s="249"/>
      <c r="N278" s="249"/>
      <c r="O278" s="249"/>
      <c r="P278" s="249"/>
      <c r="Q278" s="249"/>
      <c r="R278" s="249"/>
      <c r="S278" s="249"/>
      <c r="T278" s="249"/>
      <c r="U278" s="249"/>
      <c r="V278" s="249"/>
      <c r="W278" s="249"/>
      <c r="X278" s="249"/>
      <c r="Y278" s="249"/>
      <c r="Z278" s="249"/>
      <c r="AA278" s="249"/>
      <c r="AB278" s="249"/>
      <c r="AC278" s="249"/>
    </row>
    <row r="279" spans="1:29">
      <c r="A279" s="215"/>
      <c r="B279" s="177"/>
      <c r="C279" s="228"/>
      <c r="D279" s="228"/>
      <c r="E279" s="185" t="s">
        <v>642</v>
      </c>
      <c r="F279" s="265">
        <v>0</v>
      </c>
      <c r="G279" s="224">
        <v>0</v>
      </c>
      <c r="H279" s="224">
        <v>0</v>
      </c>
      <c r="I279" s="251">
        <f>F271*(1+0.025)^I2</f>
        <v>161533.59374999997</v>
      </c>
      <c r="J279" s="168">
        <v>94569.023132324219</v>
      </c>
      <c r="K279" s="168">
        <v>196895.6604003906</v>
      </c>
      <c r="L279" s="168">
        <v>309004.91333007813</v>
      </c>
      <c r="M279" s="168">
        <v>427252.685546875</v>
      </c>
      <c r="N279" s="168">
        <v>555368.83544921875</v>
      </c>
      <c r="O279" s="168">
        <v>576776.2451171875</v>
      </c>
      <c r="P279" s="168">
        <v>600547.7294921875</v>
      </c>
      <c r="Q279" s="168">
        <v>622661.80419921875</v>
      </c>
      <c r="R279" s="168">
        <v>648130.37109375</v>
      </c>
      <c r="S279" s="168">
        <v>674483.154296875</v>
      </c>
      <c r="T279" s="168">
        <v>701774.4140625</v>
      </c>
      <c r="U279" s="168">
        <v>727047.36328125</v>
      </c>
      <c r="V279" s="168">
        <v>757147.15576171875</v>
      </c>
      <c r="W279" s="168">
        <v>788297.4853515625</v>
      </c>
      <c r="X279" s="168">
        <v>822780.1513671875</v>
      </c>
      <c r="Y279" s="168">
        <v>853885.80322265625</v>
      </c>
      <c r="Z279" s="168">
        <v>887297.607421875</v>
      </c>
      <c r="AA279" s="168">
        <v>922970.458984375</v>
      </c>
      <c r="AB279" s="168">
        <v>962502.197265625</v>
      </c>
      <c r="AC279" s="168">
        <v>996861.51123046875</v>
      </c>
    </row>
    <row r="280" spans="1:29">
      <c r="B280" s="181"/>
      <c r="C280" s="249"/>
      <c r="D280" s="228"/>
      <c r="E280" s="177" t="s">
        <v>643</v>
      </c>
      <c r="F280" s="267">
        <f>F279-F278</f>
        <v>0</v>
      </c>
      <c r="G280" s="267">
        <f t="shared" ref="G280:AC280" si="116">G279-G278</f>
        <v>0</v>
      </c>
      <c r="H280" s="267">
        <f t="shared" si="116"/>
        <v>0</v>
      </c>
      <c r="I280" s="267">
        <f t="shared" si="116"/>
        <v>161533.59374999997</v>
      </c>
      <c r="J280" s="267">
        <f t="shared" si="116"/>
        <v>94569.023132324219</v>
      </c>
      <c r="K280" s="267">
        <f t="shared" si="116"/>
        <v>196895.6604003906</v>
      </c>
      <c r="L280" s="267">
        <f t="shared" si="116"/>
        <v>309004.91333007813</v>
      </c>
      <c r="M280" s="267">
        <f t="shared" si="116"/>
        <v>427252.685546875</v>
      </c>
      <c r="N280" s="267">
        <f t="shared" si="116"/>
        <v>555368.83544921875</v>
      </c>
      <c r="O280" s="267">
        <f t="shared" si="116"/>
        <v>576776.2451171875</v>
      </c>
      <c r="P280" s="267">
        <f t="shared" si="116"/>
        <v>600547.7294921875</v>
      </c>
      <c r="Q280" s="267">
        <f t="shared" si="116"/>
        <v>622661.80419921875</v>
      </c>
      <c r="R280" s="267">
        <f t="shared" si="116"/>
        <v>648130.37109375</v>
      </c>
      <c r="S280" s="267">
        <f t="shared" si="116"/>
        <v>674483.154296875</v>
      </c>
      <c r="T280" s="267">
        <f t="shared" si="116"/>
        <v>701774.4140625</v>
      </c>
      <c r="U280" s="267">
        <f t="shared" si="116"/>
        <v>727047.36328125</v>
      </c>
      <c r="V280" s="267">
        <f t="shared" si="116"/>
        <v>757147.15576171875</v>
      </c>
      <c r="W280" s="267">
        <f t="shared" si="116"/>
        <v>788297.4853515625</v>
      </c>
      <c r="X280" s="267">
        <f t="shared" si="116"/>
        <v>822780.1513671875</v>
      </c>
      <c r="Y280" s="267">
        <f t="shared" si="116"/>
        <v>853885.80322265625</v>
      </c>
      <c r="Z280" s="267">
        <f t="shared" si="116"/>
        <v>887297.607421875</v>
      </c>
      <c r="AA280" s="267">
        <f t="shared" si="116"/>
        <v>922970.458984375</v>
      </c>
      <c r="AB280" s="267">
        <f t="shared" si="116"/>
        <v>962502.197265625</v>
      </c>
      <c r="AC280" s="267">
        <f t="shared" si="116"/>
        <v>996861.51123046875</v>
      </c>
    </row>
    <row r="281" spans="1:29">
      <c r="B281" s="181"/>
      <c r="C281" s="249"/>
      <c r="D281" s="228"/>
      <c r="E281" s="177" t="s">
        <v>721</v>
      </c>
      <c r="F281" s="252"/>
      <c r="G281" s="252"/>
      <c r="H281" s="252"/>
      <c r="I281" s="252"/>
      <c r="J281" s="252"/>
      <c r="K281" s="252"/>
      <c r="L281" s="252"/>
      <c r="M281" s="252"/>
      <c r="N281" s="252"/>
      <c r="O281" s="252"/>
      <c r="P281" s="252"/>
      <c r="Q281" s="252"/>
      <c r="R281" s="252"/>
      <c r="S281" s="252"/>
      <c r="T281" s="252"/>
      <c r="U281" s="252"/>
      <c r="V281" s="252"/>
      <c r="W281" s="252"/>
      <c r="X281" s="252"/>
      <c r="Y281" s="252"/>
      <c r="Z281" s="252"/>
      <c r="AA281" s="252"/>
      <c r="AB281" s="252"/>
      <c r="AC281" s="252"/>
    </row>
    <row r="282" spans="1:29">
      <c r="B282" s="181"/>
      <c r="C282" s="249"/>
      <c r="D282" s="228"/>
      <c r="E282" s="177" t="s">
        <v>722</v>
      </c>
      <c r="F282" s="253"/>
      <c r="G282" s="253"/>
      <c r="H282" s="253"/>
      <c r="I282" s="253"/>
      <c r="J282" s="253">
        <v>1.279999971389771</v>
      </c>
      <c r="K282" s="253">
        <v>2.5999999046325679</v>
      </c>
      <c r="L282" s="253">
        <v>3.970000028610229</v>
      </c>
      <c r="M282" s="253">
        <v>5.369999885559082</v>
      </c>
      <c r="N282" s="253">
        <v>6.809999942779541</v>
      </c>
      <c r="O282" s="253">
        <v>6.9000000953674316</v>
      </c>
      <c r="P282" s="253">
        <v>6.9899997711181641</v>
      </c>
      <c r="Q282" s="253">
        <v>7.0900001525878906</v>
      </c>
      <c r="R282" s="253">
        <v>7.1999998092651367</v>
      </c>
      <c r="S282" s="253">
        <v>7.309999942779541</v>
      </c>
      <c r="T282" s="253">
        <v>7.4000000953674316</v>
      </c>
      <c r="U282" s="253">
        <v>7.5</v>
      </c>
      <c r="V282" s="253">
        <v>7.619999885559082</v>
      </c>
      <c r="W282" s="253">
        <v>7.7399997711181641</v>
      </c>
      <c r="X282" s="253">
        <v>7.8600001335144043</v>
      </c>
      <c r="Y282" s="253">
        <v>7.9800000190734863</v>
      </c>
      <c r="Z282" s="253">
        <v>8.0900001525878906</v>
      </c>
      <c r="AA282" s="253">
        <v>8.2100000381469727</v>
      </c>
      <c r="AB282" s="253">
        <v>8.3299999237060547</v>
      </c>
      <c r="AC282" s="253">
        <v>8.4399995803833008</v>
      </c>
    </row>
    <row r="283" spans="1:29">
      <c r="P283" s="140"/>
    </row>
    <row r="284" spans="1:29" ht="13.5" thickBot="1">
      <c r="C284" s="140" t="s">
        <v>723</v>
      </c>
      <c r="E284" s="279"/>
      <c r="F284" s="280">
        <f>F43+F60+F80+F98+F135+F153+F171+F189+F208+F280</f>
        <v>150000</v>
      </c>
      <c r="G284" s="280">
        <f t="shared" ref="G284:AC284" si="117">G43+G60+G80+G98+G135+G153+G171+G189+G208+G280</f>
        <v>880635.37883758522</v>
      </c>
      <c r="H284" s="280">
        <f t="shared" si="117"/>
        <v>999292.11378097534</v>
      </c>
      <c r="I284" s="280">
        <f t="shared" si="117"/>
        <v>2520765.6369905737</v>
      </c>
      <c r="J284" s="280">
        <f t="shared" si="117"/>
        <v>6193515.3293609619</v>
      </c>
      <c r="K284" s="280">
        <f t="shared" si="117"/>
        <v>6642357.6583862305</v>
      </c>
      <c r="L284" s="280">
        <f t="shared" si="117"/>
        <v>10625142.147064209</v>
      </c>
      <c r="M284" s="280">
        <f t="shared" si="117"/>
        <v>8782634.2697143555</v>
      </c>
      <c r="N284" s="280">
        <f t="shared" si="117"/>
        <v>8800502.1057128906</v>
      </c>
      <c r="O284" s="280">
        <f t="shared" si="117"/>
        <v>8597506.7291259766</v>
      </c>
      <c r="P284" s="280">
        <f t="shared" si="117"/>
        <v>3636596.4813232422</v>
      </c>
      <c r="Q284" s="280">
        <f t="shared" si="117"/>
        <v>3718369.5969581609</v>
      </c>
      <c r="R284" s="280">
        <f t="shared" si="117"/>
        <v>3787338.5715484619</v>
      </c>
      <c r="S284" s="280">
        <f t="shared" si="117"/>
        <v>3836463.4571075444</v>
      </c>
      <c r="T284" s="280">
        <f t="shared" si="117"/>
        <v>3876524.3835449219</v>
      </c>
      <c r="U284" s="280">
        <f t="shared" si="117"/>
        <v>3896697.4678039551</v>
      </c>
      <c r="V284" s="280">
        <f t="shared" si="117"/>
        <v>3932884.3612670894</v>
      </c>
      <c r="W284" s="280">
        <f t="shared" si="117"/>
        <v>4054277.1224975581</v>
      </c>
      <c r="X284" s="280">
        <f t="shared" si="117"/>
        <v>4789873.9166259766</v>
      </c>
      <c r="Y284" s="280">
        <f t="shared" si="117"/>
        <v>4994073.0361938477</v>
      </c>
      <c r="Z284" s="280">
        <f t="shared" si="117"/>
        <v>5221947.4029541016</v>
      </c>
      <c r="AA284" s="280">
        <f t="shared" si="117"/>
        <v>5463661.5295410156</v>
      </c>
      <c r="AB284" s="280">
        <f t="shared" si="117"/>
        <v>5724079.2999267578</v>
      </c>
      <c r="AC284" s="280">
        <f t="shared" si="117"/>
        <v>5975475.6469726563</v>
      </c>
    </row>
    <row r="285" spans="1:29" ht="13.5" thickTop="1">
      <c r="P285" s="140"/>
    </row>
    <row r="286" spans="1:29">
      <c r="P286" s="140"/>
    </row>
    <row r="287" spans="1:29">
      <c r="C287" s="140" t="s">
        <v>724</v>
      </c>
      <c r="E287" s="140" t="s">
        <v>205</v>
      </c>
      <c r="F287" s="281">
        <f>F44+F61+F81+F99+F136+F154+F172+F190+F209+F281</f>
        <v>0</v>
      </c>
      <c r="G287" s="281">
        <f t="shared" ref="G287:H287" si="118">G44+G61+G81+G99+G136+G154+G172+G190+G209+G281</f>
        <v>1.0300000105053186</v>
      </c>
      <c r="H287" s="281">
        <f t="shared" si="118"/>
        <v>2.7299999874085188</v>
      </c>
      <c r="I287" s="281">
        <f>I44+I61+I81+I99+I136+I154+I172+I190+I209+I281</f>
        <v>6.8899999409914017</v>
      </c>
      <c r="J287" s="281">
        <f t="shared" ref="J287:AC287" si="119">J44+J61+J81+J99+J136+J154+J172+J190+J209+J281</f>
        <v>12.479999929666519</v>
      </c>
      <c r="K287" s="281">
        <f t="shared" si="119"/>
        <v>19.58999989926815</v>
      </c>
      <c r="L287" s="281">
        <f t="shared" si="119"/>
        <v>28.26000010967255</v>
      </c>
      <c r="M287" s="281">
        <f t="shared" si="119"/>
        <v>32.099999815225601</v>
      </c>
      <c r="N287" s="281">
        <f t="shared" si="119"/>
        <v>36.029999703168869</v>
      </c>
      <c r="O287" s="281">
        <f t="shared" si="119"/>
        <v>40.019999086856849</v>
      </c>
      <c r="P287" s="281">
        <f t="shared" si="119"/>
        <v>44.099998593330376</v>
      </c>
      <c r="Q287" s="281">
        <f t="shared" si="119"/>
        <v>48.310001838952303</v>
      </c>
      <c r="R287" s="281">
        <f t="shared" si="119"/>
        <v>52.650000721216202</v>
      </c>
      <c r="S287" s="281">
        <f t="shared" si="119"/>
        <v>57.150001466274269</v>
      </c>
      <c r="T287" s="281">
        <f t="shared" si="119"/>
        <v>59.300001859664917</v>
      </c>
      <c r="U287" s="281">
        <f t="shared" si="119"/>
        <v>60.320000827312469</v>
      </c>
      <c r="V287" s="281">
        <f t="shared" si="119"/>
        <v>61.190001189708703</v>
      </c>
      <c r="W287" s="281">
        <f t="shared" si="119"/>
        <v>62.08000165224076</v>
      </c>
      <c r="X287" s="281">
        <f t="shared" si="119"/>
        <v>62.939999938011169</v>
      </c>
      <c r="Y287" s="281">
        <f t="shared" si="119"/>
        <v>63.779998183250427</v>
      </c>
      <c r="Z287" s="281">
        <f t="shared" si="119"/>
        <v>64.56000030040741</v>
      </c>
      <c r="AA287" s="281">
        <f t="shared" si="119"/>
        <v>65.270000576972961</v>
      </c>
      <c r="AB287" s="281">
        <f t="shared" si="119"/>
        <v>65.940000414848328</v>
      </c>
      <c r="AC287" s="281">
        <f t="shared" si="119"/>
        <v>66.560000538825989</v>
      </c>
    </row>
    <row r="288" spans="1:29">
      <c r="E288" s="181" t="s">
        <v>599</v>
      </c>
      <c r="F288" s="281">
        <f>F45+F62+F82+F100+F137+F155+F173+F191+F210+F282</f>
        <v>0</v>
      </c>
      <c r="G288" s="281">
        <f t="shared" ref="G288:H288" si="120">G45+G62+G82+G100+G137+G155+G173+G191+G210+G282</f>
        <v>5.0900002401322126</v>
      </c>
      <c r="H288" s="281">
        <f t="shared" si="120"/>
        <v>10.999999640509486</v>
      </c>
      <c r="I288" s="281">
        <f>I45+I62+I82+I100+I137+I155+I173+I191+I210+I282</f>
        <v>23.659999802708626</v>
      </c>
      <c r="J288" s="281">
        <f t="shared" ref="J288:AC288" si="121">J45+J62+J82+J100+J137+J155+J173+J191+J210+J282</f>
        <v>45.359999537467957</v>
      </c>
      <c r="K288" s="281">
        <f t="shared" si="121"/>
        <v>68.390001937747002</v>
      </c>
      <c r="L288" s="281">
        <f t="shared" si="121"/>
        <v>97.970001339912415</v>
      </c>
      <c r="M288" s="281">
        <f t="shared" si="121"/>
        <v>113.22000077366829</v>
      </c>
      <c r="N288" s="281">
        <f t="shared" si="121"/>
        <v>127.36999878287315</v>
      </c>
      <c r="O288" s="281">
        <f t="shared" si="121"/>
        <v>138.9300017952919</v>
      </c>
      <c r="P288" s="281">
        <f t="shared" si="121"/>
        <v>140.65999734401703</v>
      </c>
      <c r="Q288" s="281">
        <f t="shared" si="121"/>
        <v>142.36000460386276</v>
      </c>
      <c r="R288" s="281">
        <f t="shared" si="121"/>
        <v>144.03000140190125</v>
      </c>
      <c r="S288" s="281">
        <f t="shared" si="121"/>
        <v>145.61000043153763</v>
      </c>
      <c r="T288" s="281">
        <f t="shared" si="121"/>
        <v>144.60000282526016</v>
      </c>
      <c r="U288" s="281">
        <f t="shared" si="121"/>
        <v>142.27000170946121</v>
      </c>
      <c r="V288" s="281">
        <f t="shared" si="121"/>
        <v>139.90000087022781</v>
      </c>
      <c r="W288" s="281">
        <f t="shared" si="121"/>
        <v>139.9900022149086</v>
      </c>
      <c r="X288" s="281">
        <f t="shared" si="121"/>
        <v>141.35000097751617</v>
      </c>
      <c r="Y288" s="281">
        <f t="shared" si="121"/>
        <v>142.72999799251556</v>
      </c>
      <c r="Z288" s="281">
        <f t="shared" si="121"/>
        <v>144.07999956607819</v>
      </c>
      <c r="AA288" s="281">
        <f t="shared" si="121"/>
        <v>145.44000208377838</v>
      </c>
      <c r="AB288" s="281">
        <f t="shared" si="121"/>
        <v>146.78000104427338</v>
      </c>
      <c r="AC288" s="281">
        <f t="shared" si="121"/>
        <v>148.14999973773956</v>
      </c>
    </row>
    <row r="289" spans="5:17">
      <c r="E289" s="181" t="s">
        <v>727</v>
      </c>
      <c r="F289" s="222"/>
      <c r="G289" s="222"/>
      <c r="H289" s="222"/>
      <c r="I289" s="282">
        <f>(I288-I287)/I288</f>
        <v>0.70879120885695757</v>
      </c>
      <c r="J289" s="222"/>
      <c r="M289" s="282">
        <f>(M288-M287)/M288</f>
        <v>0.7164811906387909</v>
      </c>
      <c r="P289" s="140"/>
      <c r="Q289" s="282">
        <f>(Q288-Q287)/Q288</f>
        <v>0.66064905678120867</v>
      </c>
    </row>
    <row r="290" spans="5:17">
      <c r="F290" s="222"/>
      <c r="G290" s="222"/>
      <c r="H290" s="222"/>
      <c r="I290" s="222"/>
      <c r="J290" s="222"/>
      <c r="P290" s="140"/>
    </row>
    <row r="291" spans="5:17">
      <c r="E291" s="140" t="s">
        <v>736</v>
      </c>
      <c r="F291" s="222">
        <f>SUM(F41,F58,F78,F96,F115,F133,F151,F169,F187,F206,F224,F242,F260,F278,)</f>
        <v>191995.96422881764</v>
      </c>
      <c r="G291" s="222">
        <f t="shared" ref="G291:N291" si="122">SUM(G41,G58,G78,G96,G115,G133,G151,G169,G187,G206,G224,G242,G260,G278,)</f>
        <v>137345.26205062866</v>
      </c>
      <c r="H291" s="222">
        <f t="shared" si="122"/>
        <v>253604.42638397214</v>
      </c>
      <c r="I291" s="222">
        <f t="shared" si="122"/>
        <v>652798.26545715332</v>
      </c>
      <c r="J291" s="222">
        <f t="shared" si="122"/>
        <v>992684.54742431641</v>
      </c>
      <c r="K291" s="222">
        <f t="shared" si="122"/>
        <v>1414427.1202087402</v>
      </c>
      <c r="L291" s="222">
        <f t="shared" si="122"/>
        <v>1933963.3178710938</v>
      </c>
      <c r="M291" s="222">
        <f t="shared" si="122"/>
        <v>1478067.0890808105</v>
      </c>
      <c r="N291" s="222">
        <f t="shared" si="122"/>
        <v>1699280.1895141602</v>
      </c>
      <c r="O291" s="222">
        <f t="shared" ref="O291:Q291" si="123">SUM(O41,O58,O78,O96,O115,O133,O151,O169,O187,O206,O224,O242,O260,O278,)</f>
        <v>1943123.6267089844</v>
      </c>
      <c r="P291" s="222">
        <f t="shared" si="123"/>
        <v>2211279.3388366699</v>
      </c>
      <c r="Q291" s="222">
        <f t="shared" si="123"/>
        <v>2496581.1762809753</v>
      </c>
    </row>
    <row r="292" spans="5:17">
      <c r="E292" s="140" t="s">
        <v>737</v>
      </c>
      <c r="F292" s="222">
        <f>SUM(F42,F59,F79,F97,F116,F134,F152,F170,F188,F207,F225,F243,F261,F279,)</f>
        <v>341995.96422881761</v>
      </c>
      <c r="G292" s="222">
        <f t="shared" ref="G292:N292" si="124">SUM(G42,G59,G79,G97,G116,G134,G152,G170,G188,G207,G225,G243,G261,G279,)</f>
        <v>1017980.6408882139</v>
      </c>
      <c r="H292" s="222">
        <f t="shared" si="124"/>
        <v>1252896.5401649475</v>
      </c>
      <c r="I292" s="222">
        <f t="shared" si="124"/>
        <v>3415864.293072727</v>
      </c>
      <c r="J292" s="222">
        <f t="shared" si="124"/>
        <v>7313052.3509979248</v>
      </c>
      <c r="K292" s="222">
        <f t="shared" si="124"/>
        <v>8194161.5409851074</v>
      </c>
      <c r="L292" s="222">
        <f t="shared" si="124"/>
        <v>12753504.535675049</v>
      </c>
      <c r="M292" s="222">
        <f t="shared" si="124"/>
        <v>10463830.326080322</v>
      </c>
      <c r="N292" s="222">
        <f t="shared" si="124"/>
        <v>10710124.877929688</v>
      </c>
      <c r="O292" s="222">
        <f t="shared" ref="O292:Q292" si="125">SUM(O42,O59,O79,O97,O116,O134,O152,O170,O188,O207,O225,O243,O261,O279,)</f>
        <v>10757462.409973145</v>
      </c>
      <c r="P292" s="222">
        <f t="shared" si="125"/>
        <v>5950396.5950012207</v>
      </c>
      <c r="Q292" s="222">
        <f t="shared" si="125"/>
        <v>6320199.7814178467</v>
      </c>
    </row>
    <row r="293" spans="5:17">
      <c r="E293" s="283" t="s">
        <v>738</v>
      </c>
      <c r="F293" s="284">
        <f>F292-F291</f>
        <v>149999.99999999997</v>
      </c>
      <c r="G293" s="284">
        <f t="shared" ref="G293:Q293" si="126">G292-G291</f>
        <v>880635.37883758522</v>
      </c>
      <c r="H293" s="284">
        <f t="shared" si="126"/>
        <v>999292.11378097534</v>
      </c>
      <c r="I293" s="284">
        <f t="shared" si="126"/>
        <v>2763066.0276155737</v>
      </c>
      <c r="J293" s="284">
        <f t="shared" si="126"/>
        <v>6320367.8035736084</v>
      </c>
      <c r="K293" s="284">
        <f t="shared" si="126"/>
        <v>6779734.4207763672</v>
      </c>
      <c r="L293" s="284">
        <f t="shared" si="126"/>
        <v>10819541.217803955</v>
      </c>
      <c r="M293" s="284">
        <f t="shared" si="126"/>
        <v>8985763.2369995117</v>
      </c>
      <c r="N293" s="284">
        <f t="shared" si="126"/>
        <v>9010844.6884155273</v>
      </c>
      <c r="O293" s="284">
        <f t="shared" si="126"/>
        <v>8814338.7832641602</v>
      </c>
      <c r="P293" s="284">
        <f t="shared" si="126"/>
        <v>3739117.2561645508</v>
      </c>
      <c r="Q293" s="284">
        <f t="shared" si="126"/>
        <v>3823618.6051368713</v>
      </c>
    </row>
    <row r="294" spans="5:17">
      <c r="F294" s="222"/>
      <c r="G294" s="222"/>
      <c r="H294" s="222"/>
      <c r="I294" s="222"/>
      <c r="J294" s="222"/>
      <c r="K294" s="222"/>
      <c r="L294" s="222"/>
      <c r="M294" s="222"/>
      <c r="N294" s="222"/>
      <c r="O294" s="222"/>
      <c r="P294" s="222"/>
      <c r="Q294" s="222"/>
    </row>
    <row r="295" spans="5:17">
      <c r="E295" s="177" t="s">
        <v>739</v>
      </c>
      <c r="F295" s="222">
        <f>F284*$I$289</f>
        <v>106318.68132854364</v>
      </c>
      <c r="G295" s="222">
        <f>G284*$I$289</f>
        <v>624186.61472849676</v>
      </c>
      <c r="H295" s="222">
        <f>H284*$I$289</f>
        <v>708289.46532804193</v>
      </c>
      <c r="I295" s="222">
        <f>I284*$I$289</f>
        <v>1786696.5230876275</v>
      </c>
      <c r="J295" s="222">
        <f>J284*$M$289</f>
        <v>4437537.2374201454</v>
      </c>
      <c r="K295" s="222">
        <f>K284*$M$289</f>
        <v>4759124.3237292571</v>
      </c>
      <c r="L295" s="222">
        <f>L284*$M$289</f>
        <v>7612714.4962349636</v>
      </c>
      <c r="M295" s="222">
        <f>M284*$M$289</f>
        <v>6292592.2585099889</v>
      </c>
      <c r="N295" s="222">
        <f>N284*$Q$289</f>
        <v>5814043.4153402615</v>
      </c>
      <c r="O295" s="222">
        <f>O284*$Q$289</f>
        <v>5679934.7112671705</v>
      </c>
      <c r="P295" s="222">
        <f>P284*$Q$289</f>
        <v>2402514.0352800624</v>
      </c>
      <c r="Q295" s="222">
        <f>Q284*$Q$289</f>
        <v>2456537.3669943321</v>
      </c>
    </row>
    <row r="296" spans="5:17">
      <c r="E296" s="177" t="s">
        <v>740</v>
      </c>
      <c r="F296" s="222">
        <f>F292*(1-$I$289)</f>
        <v>99592.231318873164</v>
      </c>
      <c r="G296" s="222">
        <f>G292*(1-$I$289)</f>
        <v>296444.91184007638</v>
      </c>
      <c r="H296" s="222">
        <f>H292*(1-$I$289)</f>
        <v>364854.48688873468</v>
      </c>
      <c r="I296" s="222">
        <f>I292*(1-$I$289)</f>
        <v>994729.71149439202</v>
      </c>
      <c r="J296" s="222">
        <f>J292*(1-$M$289)</f>
        <v>2073387.8953511226</v>
      </c>
      <c r="K296" s="222">
        <f t="shared" ref="K296:L296" si="127">K292*(1-$M$289)</f>
        <v>2323198.9238135079</v>
      </c>
      <c r="L296" s="222">
        <f t="shared" si="127"/>
        <v>3615858.4211373697</v>
      </c>
      <c r="M296" s="222">
        <f>M292*(1-$M$289)</f>
        <v>2966692.7154080053</v>
      </c>
      <c r="N296" s="222">
        <f>N292*(1-$Q$289)</f>
        <v>3634490.9793164819</v>
      </c>
      <c r="O296" s="222">
        <f t="shared" ref="O296:Q296" si="128">O292*(1-$Q$289)</f>
        <v>3650555.0154650789</v>
      </c>
      <c r="P296" s="222">
        <f t="shared" si="128"/>
        <v>2019272.6970395485</v>
      </c>
      <c r="Q296" s="222">
        <f t="shared" si="128"/>
        <v>2144765.7571553453</v>
      </c>
    </row>
    <row r="297" spans="5:17">
      <c r="E297" s="177" t="s">
        <v>741</v>
      </c>
      <c r="F297" s="222">
        <f t="shared" ref="F297:M297" si="129">F292</f>
        <v>341995.96422881761</v>
      </c>
      <c r="G297" s="222">
        <f t="shared" si="129"/>
        <v>1017980.6408882139</v>
      </c>
      <c r="H297" s="222">
        <f t="shared" si="129"/>
        <v>1252896.5401649475</v>
      </c>
      <c r="I297" s="222">
        <f t="shared" si="129"/>
        <v>3415864.293072727</v>
      </c>
      <c r="J297" s="222">
        <f t="shared" si="129"/>
        <v>7313052.3509979248</v>
      </c>
      <c r="K297" s="222">
        <f t="shared" si="129"/>
        <v>8194161.5409851074</v>
      </c>
      <c r="L297" s="222">
        <f t="shared" si="129"/>
        <v>12753504.535675049</v>
      </c>
      <c r="M297" s="222">
        <f t="shared" si="129"/>
        <v>10463830.326080322</v>
      </c>
      <c r="N297" s="222">
        <f t="shared" ref="N297:Q297" si="130">N292</f>
        <v>10710124.877929688</v>
      </c>
      <c r="O297" s="222">
        <f t="shared" si="130"/>
        <v>10757462.409973145</v>
      </c>
      <c r="P297" s="222">
        <f t="shared" si="130"/>
        <v>5950396.5950012207</v>
      </c>
      <c r="Q297" s="222">
        <f t="shared" si="130"/>
        <v>6320199.7814178467</v>
      </c>
    </row>
    <row r="298" spans="5:17">
      <c r="E298" s="283" t="s">
        <v>739</v>
      </c>
      <c r="F298" s="284">
        <f t="shared" ref="F298:M298" si="131">F297-F296</f>
        <v>242403.73290994443</v>
      </c>
      <c r="G298" s="284">
        <f t="shared" si="131"/>
        <v>721535.72904813755</v>
      </c>
      <c r="H298" s="284">
        <f t="shared" si="131"/>
        <v>888042.05327621289</v>
      </c>
      <c r="I298" s="284">
        <f t="shared" si="131"/>
        <v>2421134.5815783348</v>
      </c>
      <c r="J298" s="284">
        <f t="shared" si="131"/>
        <v>5239664.4556468017</v>
      </c>
      <c r="K298" s="284">
        <f t="shared" si="131"/>
        <v>5870962.6171715995</v>
      </c>
      <c r="L298" s="284">
        <f t="shared" si="131"/>
        <v>9137646.1145376787</v>
      </c>
      <c r="M298" s="284">
        <f t="shared" si="131"/>
        <v>7497137.6106723174</v>
      </c>
      <c r="N298" s="284">
        <f t="shared" ref="N298:Q298" si="132">N297-N296</f>
        <v>7075633.8986132052</v>
      </c>
      <c r="O298" s="284">
        <f t="shared" si="132"/>
        <v>7106907.3945080657</v>
      </c>
      <c r="P298" s="284">
        <f t="shared" si="132"/>
        <v>3931123.8979616724</v>
      </c>
      <c r="Q298" s="284">
        <f t="shared" si="132"/>
        <v>4175434.0242625014</v>
      </c>
    </row>
    <row r="299" spans="5:17">
      <c r="P299" s="140"/>
    </row>
    <row r="300" spans="5:17">
      <c r="P300" s="140"/>
    </row>
    <row r="301" spans="5:17">
      <c r="P301" s="140"/>
    </row>
    <row r="302" spans="5:17">
      <c r="P302" s="140"/>
    </row>
    <row r="303" spans="5:17">
      <c r="P303" s="140"/>
    </row>
    <row r="304" spans="5:17">
      <c r="P304" s="140"/>
    </row>
    <row r="305" spans="16:16">
      <c r="P305" s="140"/>
    </row>
    <row r="306" spans="16:16">
      <c r="P306" s="140"/>
    </row>
    <row r="307" spans="16:16">
      <c r="P307" s="140"/>
    </row>
    <row r="308" spans="16:16">
      <c r="P308" s="140"/>
    </row>
    <row r="309" spans="16:16">
      <c r="P309" s="140"/>
    </row>
    <row r="310" spans="16:16">
      <c r="P310" s="140"/>
    </row>
    <row r="311" spans="16:16">
      <c r="P311" s="140"/>
    </row>
    <row r="312" spans="16:16">
      <c r="P312" s="140"/>
    </row>
    <row r="313" spans="16:16">
      <c r="P313" s="140"/>
    </row>
    <row r="314" spans="16:16">
      <c r="P314" s="140"/>
    </row>
    <row r="315" spans="16:16">
      <c r="P315" s="140"/>
    </row>
    <row r="316" spans="16:16">
      <c r="P316" s="140"/>
    </row>
    <row r="317" spans="16:16">
      <c r="P317" s="140"/>
    </row>
    <row r="318" spans="16:16">
      <c r="P318" s="140"/>
    </row>
    <row r="319" spans="16:16">
      <c r="P319" s="140"/>
    </row>
    <row r="320" spans="16:16">
      <c r="P320" s="140"/>
    </row>
    <row r="321" spans="16:16">
      <c r="P321" s="140"/>
    </row>
    <row r="322" spans="16:16">
      <c r="P322" s="140"/>
    </row>
    <row r="323" spans="16:16">
      <c r="P323" s="140"/>
    </row>
    <row r="324" spans="16:16">
      <c r="P324" s="140"/>
    </row>
    <row r="325" spans="16:16">
      <c r="P325" s="140"/>
    </row>
    <row r="326" spans="16:16">
      <c r="P326" s="140"/>
    </row>
    <row r="327" spans="16:16">
      <c r="P327" s="140"/>
    </row>
    <row r="328" spans="16:16">
      <c r="P328" s="140"/>
    </row>
    <row r="329" spans="16:16">
      <c r="P329" s="140"/>
    </row>
    <row r="330" spans="16:16">
      <c r="P330" s="140"/>
    </row>
    <row r="331" spans="16:16">
      <c r="P331" s="140"/>
    </row>
    <row r="332" spans="16:16">
      <c r="P332" s="140"/>
    </row>
    <row r="333" spans="16:16">
      <c r="P333" s="140"/>
    </row>
    <row r="334" spans="16:16">
      <c r="P334" s="140"/>
    </row>
    <row r="335" spans="16:16">
      <c r="P335" s="140"/>
    </row>
    <row r="336" spans="16:16">
      <c r="P336" s="140"/>
    </row>
    <row r="337" spans="16:16">
      <c r="P337" s="140"/>
    </row>
    <row r="338" spans="16:16">
      <c r="P338" s="140"/>
    </row>
    <row r="339" spans="16:16">
      <c r="P339" s="140"/>
    </row>
    <row r="340" spans="16:16">
      <c r="P340" s="140"/>
    </row>
    <row r="341" spans="16:16">
      <c r="P341" s="140"/>
    </row>
    <row r="342" spans="16:16">
      <c r="P342" s="140"/>
    </row>
    <row r="343" spans="16:16">
      <c r="P343" s="140"/>
    </row>
    <row r="344" spans="16:16">
      <c r="P344" s="140"/>
    </row>
    <row r="345" spans="16:16">
      <c r="P345" s="140"/>
    </row>
    <row r="346" spans="16:16">
      <c r="P346" s="140"/>
    </row>
    <row r="347" spans="16:16">
      <c r="P347" s="140"/>
    </row>
    <row r="348" spans="16:16">
      <c r="P348" s="140"/>
    </row>
    <row r="349" spans="16:16">
      <c r="P349" s="140"/>
    </row>
    <row r="350" spans="16:16">
      <c r="P350" s="140"/>
    </row>
    <row r="351" spans="16:16">
      <c r="P351" s="140"/>
    </row>
    <row r="352" spans="16:16">
      <c r="P352" s="140"/>
    </row>
    <row r="353" spans="16:16">
      <c r="P353" s="140"/>
    </row>
    <row r="354" spans="16:16">
      <c r="P354" s="140"/>
    </row>
    <row r="355" spans="16:16">
      <c r="P355" s="140"/>
    </row>
    <row r="356" spans="16:16">
      <c r="P356" s="140"/>
    </row>
    <row r="357" spans="16:16">
      <c r="P357" s="140"/>
    </row>
    <row r="358" spans="16:16">
      <c r="P358" s="140"/>
    </row>
    <row r="359" spans="16:16">
      <c r="P359" s="140"/>
    </row>
    <row r="360" spans="16:16">
      <c r="P360" s="140"/>
    </row>
    <row r="361" spans="16:16">
      <c r="P361" s="140"/>
    </row>
    <row r="362" spans="16:16">
      <c r="P362" s="140"/>
    </row>
    <row r="363" spans="16:16">
      <c r="P363" s="140"/>
    </row>
    <row r="364" spans="16:16">
      <c r="P364" s="140"/>
    </row>
    <row r="365" spans="16:16">
      <c r="P365" s="140"/>
    </row>
    <row r="366" spans="16:16">
      <c r="P366" s="140"/>
    </row>
    <row r="367" spans="16:16">
      <c r="P367" s="140"/>
    </row>
    <row r="368" spans="16:16">
      <c r="P368" s="140"/>
    </row>
    <row r="369" spans="16:16">
      <c r="P369" s="140"/>
    </row>
    <row r="370" spans="16:16">
      <c r="P370" s="140"/>
    </row>
    <row r="371" spans="16:16">
      <c r="P371" s="140"/>
    </row>
    <row r="372" spans="16:16">
      <c r="P372" s="140"/>
    </row>
    <row r="373" spans="16:16">
      <c r="P373" s="140"/>
    </row>
    <row r="374" spans="16:16">
      <c r="P374" s="140"/>
    </row>
    <row r="375" spans="16:16">
      <c r="P375" s="140"/>
    </row>
    <row r="376" spans="16:16">
      <c r="P376" s="140"/>
    </row>
    <row r="377" spans="16:16">
      <c r="P377" s="140"/>
    </row>
    <row r="378" spans="16:16">
      <c r="P378" s="140"/>
    </row>
    <row r="379" spans="16:16">
      <c r="P379" s="140"/>
    </row>
    <row r="380" spans="16:16">
      <c r="P380" s="140"/>
    </row>
    <row r="381" spans="16:16">
      <c r="P381" s="140"/>
    </row>
    <row r="382" spans="16:16">
      <c r="P382" s="140"/>
    </row>
    <row r="383" spans="16:16">
      <c r="P383" s="140"/>
    </row>
    <row r="384" spans="16:16">
      <c r="P384" s="140"/>
    </row>
    <row r="385" spans="16:16">
      <c r="P385" s="140"/>
    </row>
    <row r="386" spans="16:16">
      <c r="P386" s="140"/>
    </row>
    <row r="387" spans="16:16">
      <c r="P387" s="140"/>
    </row>
    <row r="388" spans="16:16">
      <c r="P388" s="140"/>
    </row>
    <row r="389" spans="16:16">
      <c r="P389" s="140"/>
    </row>
    <row r="390" spans="16:16">
      <c r="P390" s="140"/>
    </row>
    <row r="391" spans="16:16">
      <c r="P391" s="140"/>
    </row>
    <row r="392" spans="16:16">
      <c r="P392" s="140"/>
    </row>
    <row r="393" spans="16:16">
      <c r="P393" s="140"/>
    </row>
    <row r="394" spans="16:16">
      <c r="P394" s="140"/>
    </row>
    <row r="395" spans="16:16">
      <c r="P395" s="140"/>
    </row>
    <row r="396" spans="16:16">
      <c r="P396" s="140"/>
    </row>
    <row r="397" spans="16:16">
      <c r="P397" s="140"/>
    </row>
    <row r="398" spans="16:16">
      <c r="P398" s="140"/>
    </row>
    <row r="399" spans="16:16">
      <c r="P399" s="140"/>
    </row>
    <row r="400" spans="16:16">
      <c r="P400" s="140"/>
    </row>
    <row r="401" spans="16:16">
      <c r="P401" s="140"/>
    </row>
    <row r="402" spans="16:16">
      <c r="P402" s="140"/>
    </row>
    <row r="403" spans="16:16">
      <c r="P403" s="140"/>
    </row>
    <row r="404" spans="16:16">
      <c r="P404" s="140"/>
    </row>
    <row r="405" spans="16:16">
      <c r="P405" s="140"/>
    </row>
    <row r="406" spans="16:16">
      <c r="P406" s="140"/>
    </row>
    <row r="407" spans="16:16">
      <c r="P407" s="140"/>
    </row>
    <row r="408" spans="16:16">
      <c r="P408" s="140"/>
    </row>
    <row r="409" spans="16:16">
      <c r="P409" s="140"/>
    </row>
    <row r="410" spans="16:16">
      <c r="P410" s="140"/>
    </row>
    <row r="411" spans="16:16">
      <c r="P411" s="140"/>
    </row>
    <row r="412" spans="16:16">
      <c r="P412" s="140"/>
    </row>
    <row r="413" spans="16:16">
      <c r="P413" s="140"/>
    </row>
    <row r="414" spans="16:16">
      <c r="P414" s="140"/>
    </row>
    <row r="415" spans="16:16">
      <c r="P415" s="140"/>
    </row>
    <row r="416" spans="16:16">
      <c r="P416" s="140"/>
    </row>
    <row r="417" spans="16:16">
      <c r="P417" s="140"/>
    </row>
    <row r="418" spans="16:16">
      <c r="P418" s="140"/>
    </row>
    <row r="419" spans="16:16">
      <c r="P419" s="140"/>
    </row>
    <row r="420" spans="16:16">
      <c r="P420" s="140"/>
    </row>
    <row r="421" spans="16:16">
      <c r="P421" s="140"/>
    </row>
    <row r="422" spans="16:16">
      <c r="P422" s="140"/>
    </row>
    <row r="423" spans="16:16">
      <c r="P423" s="140"/>
    </row>
    <row r="424" spans="16:16">
      <c r="P424" s="140"/>
    </row>
    <row r="425" spans="16:16">
      <c r="P425" s="140"/>
    </row>
    <row r="426" spans="16:16">
      <c r="P426" s="140"/>
    </row>
    <row r="427" spans="16:16">
      <c r="P427" s="140"/>
    </row>
    <row r="428" spans="16:16">
      <c r="P428" s="140"/>
    </row>
    <row r="429" spans="16:16">
      <c r="P429" s="140"/>
    </row>
    <row r="430" spans="16:16">
      <c r="P430" s="140"/>
    </row>
    <row r="431" spans="16:16">
      <c r="P431" s="140"/>
    </row>
    <row r="432" spans="16:16">
      <c r="P432" s="140"/>
    </row>
    <row r="433" spans="16:16">
      <c r="P433" s="140"/>
    </row>
    <row r="434" spans="16:16">
      <c r="P434" s="140"/>
    </row>
    <row r="435" spans="16:16">
      <c r="P435" s="140"/>
    </row>
    <row r="436" spans="16:16">
      <c r="P436" s="140"/>
    </row>
    <row r="437" spans="16:16">
      <c r="P437" s="140"/>
    </row>
    <row r="438" spans="16:16">
      <c r="P438" s="140"/>
    </row>
    <row r="439" spans="16:16">
      <c r="P439" s="140"/>
    </row>
    <row r="440" spans="16:16">
      <c r="P440" s="140"/>
    </row>
    <row r="441" spans="16:16">
      <c r="P441" s="140"/>
    </row>
    <row r="442" spans="16:16">
      <c r="P442" s="140"/>
    </row>
    <row r="443" spans="16:16">
      <c r="P443" s="140"/>
    </row>
    <row r="444" spans="16:16">
      <c r="P444" s="140"/>
    </row>
    <row r="445" spans="16:16">
      <c r="P445" s="140"/>
    </row>
    <row r="446" spans="16:16">
      <c r="P446" s="140"/>
    </row>
    <row r="447" spans="16:16">
      <c r="P447" s="140"/>
    </row>
    <row r="448" spans="16:16">
      <c r="P448" s="140"/>
    </row>
    <row r="449" spans="16:16">
      <c r="P449" s="140"/>
    </row>
    <row r="450" spans="16:16">
      <c r="P450" s="140"/>
    </row>
    <row r="451" spans="16:16">
      <c r="P451" s="140"/>
    </row>
    <row r="452" spans="16:16">
      <c r="P452" s="140"/>
    </row>
    <row r="453" spans="16:16">
      <c r="P453" s="140"/>
    </row>
    <row r="454" spans="16:16">
      <c r="P454" s="140"/>
    </row>
    <row r="455" spans="16:16">
      <c r="P455" s="140"/>
    </row>
    <row r="456" spans="16:16">
      <c r="P456" s="140"/>
    </row>
    <row r="457" spans="16:16">
      <c r="P457" s="140"/>
    </row>
    <row r="458" spans="16:16">
      <c r="P458" s="140"/>
    </row>
    <row r="459" spans="16:16">
      <c r="P459" s="140"/>
    </row>
    <row r="460" spans="16:16">
      <c r="P460" s="140"/>
    </row>
    <row r="461" spans="16:16">
      <c r="P461" s="140"/>
    </row>
    <row r="462" spans="16:16">
      <c r="P462" s="140"/>
    </row>
    <row r="463" spans="16:16">
      <c r="P463" s="140"/>
    </row>
    <row r="464" spans="16:16">
      <c r="P464" s="140"/>
    </row>
    <row r="465" spans="16:16">
      <c r="P465" s="140"/>
    </row>
    <row r="466" spans="16:16">
      <c r="P466" s="140"/>
    </row>
    <row r="467" spans="16:16">
      <c r="P467" s="140"/>
    </row>
    <row r="468" spans="16:16">
      <c r="P468" s="140"/>
    </row>
    <row r="469" spans="16:16">
      <c r="P469" s="140"/>
    </row>
    <row r="470" spans="16:16">
      <c r="P470" s="140"/>
    </row>
    <row r="471" spans="16:16">
      <c r="P471" s="140"/>
    </row>
    <row r="472" spans="16:16">
      <c r="P472" s="140"/>
    </row>
    <row r="473" spans="16:16">
      <c r="P473" s="140"/>
    </row>
    <row r="474" spans="16:16">
      <c r="P474" s="140"/>
    </row>
    <row r="475" spans="16:16">
      <c r="P475" s="140"/>
    </row>
    <row r="476" spans="16:16">
      <c r="P476" s="140"/>
    </row>
    <row r="477" spans="16:16">
      <c r="P477" s="140"/>
    </row>
    <row r="478" spans="16:16">
      <c r="P478" s="140"/>
    </row>
    <row r="479" spans="16:16">
      <c r="P479" s="140"/>
    </row>
    <row r="480" spans="16:16">
      <c r="P480" s="140"/>
    </row>
    <row r="481" spans="16:16">
      <c r="P481" s="140"/>
    </row>
    <row r="482" spans="16:16">
      <c r="P482" s="140"/>
    </row>
    <row r="483" spans="16:16">
      <c r="P483" s="140"/>
    </row>
    <row r="484" spans="16:16">
      <c r="P484" s="140"/>
    </row>
    <row r="485" spans="16:16">
      <c r="P485" s="140"/>
    </row>
    <row r="486" spans="16:16">
      <c r="P486" s="140"/>
    </row>
    <row r="487" spans="16:16">
      <c r="P487" s="140"/>
    </row>
    <row r="488" spans="16:16">
      <c r="P488" s="140"/>
    </row>
    <row r="489" spans="16:16">
      <c r="P489" s="140"/>
    </row>
    <row r="490" spans="16:16">
      <c r="P490" s="140"/>
    </row>
    <row r="491" spans="16:16">
      <c r="P491" s="140"/>
    </row>
    <row r="492" spans="16:16">
      <c r="P492" s="140"/>
    </row>
    <row r="493" spans="16:16">
      <c r="P493" s="140"/>
    </row>
    <row r="494" spans="16:16">
      <c r="P494" s="140"/>
    </row>
    <row r="495" spans="16:16">
      <c r="P495" s="140"/>
    </row>
    <row r="496" spans="16:16">
      <c r="P496" s="140"/>
    </row>
    <row r="497" spans="16:16">
      <c r="P497" s="140"/>
    </row>
    <row r="498" spans="16:16">
      <c r="P498" s="140"/>
    </row>
    <row r="499" spans="16:16">
      <c r="P499" s="140"/>
    </row>
    <row r="500" spans="16:16">
      <c r="P500" s="140"/>
    </row>
    <row r="501" spans="16:16">
      <c r="P501" s="140"/>
    </row>
    <row r="502" spans="16:16">
      <c r="P502" s="140"/>
    </row>
    <row r="503" spans="16:16">
      <c r="P503" s="140"/>
    </row>
    <row r="504" spans="16:16">
      <c r="P504" s="140"/>
    </row>
    <row r="505" spans="16:16">
      <c r="P505" s="140"/>
    </row>
    <row r="506" spans="16:16">
      <c r="P506" s="140"/>
    </row>
    <row r="507" spans="16:16">
      <c r="P507" s="140"/>
    </row>
    <row r="508" spans="16:16">
      <c r="P508" s="140"/>
    </row>
    <row r="509" spans="16:16">
      <c r="P509" s="140"/>
    </row>
    <row r="510" spans="16:16">
      <c r="P510" s="140"/>
    </row>
    <row r="511" spans="16:16">
      <c r="P511" s="140"/>
    </row>
    <row r="512" spans="16:16">
      <c r="P512" s="140"/>
    </row>
    <row r="513" spans="16:16">
      <c r="P513" s="140"/>
    </row>
    <row r="514" spans="16:16">
      <c r="P514" s="140"/>
    </row>
    <row r="515" spans="16:16">
      <c r="P515" s="140"/>
    </row>
    <row r="516" spans="16:16">
      <c r="P516" s="140"/>
    </row>
    <row r="517" spans="16:16">
      <c r="P517" s="140"/>
    </row>
    <row r="518" spans="16:16">
      <c r="P518" s="140"/>
    </row>
    <row r="519" spans="16:16">
      <c r="P519" s="140"/>
    </row>
    <row r="520" spans="16:16">
      <c r="P520" s="140"/>
    </row>
    <row r="521" spans="16:16">
      <c r="P521" s="140"/>
    </row>
    <row r="522" spans="16:16">
      <c r="P522" s="140"/>
    </row>
    <row r="523" spans="16:16">
      <c r="P523" s="140"/>
    </row>
    <row r="524" spans="16:16">
      <c r="P524" s="140"/>
    </row>
    <row r="525" spans="16:16">
      <c r="P525" s="140"/>
    </row>
    <row r="526" spans="16:16">
      <c r="P526" s="140"/>
    </row>
    <row r="527" spans="16:16">
      <c r="P527" s="140"/>
    </row>
    <row r="528" spans="16:16">
      <c r="P528" s="140"/>
    </row>
    <row r="529" spans="16:16">
      <c r="P529" s="140"/>
    </row>
    <row r="530" spans="16:16">
      <c r="P530" s="140"/>
    </row>
    <row r="531" spans="16:16">
      <c r="P531" s="140"/>
    </row>
    <row r="532" spans="16:16">
      <c r="P532" s="140"/>
    </row>
    <row r="533" spans="16:16">
      <c r="P533" s="140"/>
    </row>
    <row r="534" spans="16:16">
      <c r="P534" s="140"/>
    </row>
    <row r="535" spans="16:16">
      <c r="P535" s="140"/>
    </row>
    <row r="536" spans="16:16">
      <c r="P536" s="140"/>
    </row>
    <row r="537" spans="16:16">
      <c r="P537" s="140"/>
    </row>
    <row r="538" spans="16:16">
      <c r="P538" s="140"/>
    </row>
    <row r="539" spans="16:16">
      <c r="P539" s="140"/>
    </row>
    <row r="540" spans="16:16">
      <c r="P540" s="140"/>
    </row>
    <row r="541" spans="16:16">
      <c r="P541" s="140"/>
    </row>
    <row r="542" spans="16:16">
      <c r="P542" s="140"/>
    </row>
    <row r="543" spans="16:16">
      <c r="P543" s="140"/>
    </row>
    <row r="544" spans="16:16">
      <c r="P544" s="140"/>
    </row>
    <row r="545" spans="16:16">
      <c r="P545" s="140"/>
    </row>
    <row r="546" spans="16:16">
      <c r="P546" s="140"/>
    </row>
    <row r="547" spans="16:16">
      <c r="P547" s="140"/>
    </row>
    <row r="548" spans="16:16">
      <c r="P548" s="140"/>
    </row>
    <row r="549" spans="16:16">
      <c r="P549" s="140"/>
    </row>
    <row r="550" spans="16:16">
      <c r="P550" s="140"/>
    </row>
    <row r="551" spans="16:16">
      <c r="P551" s="140"/>
    </row>
    <row r="552" spans="16:16">
      <c r="P552" s="140"/>
    </row>
    <row r="553" spans="16:16">
      <c r="P553" s="140"/>
    </row>
    <row r="554" spans="16:16">
      <c r="P554" s="140"/>
    </row>
    <row r="555" spans="16:16">
      <c r="P555" s="140"/>
    </row>
    <row r="556" spans="16:16">
      <c r="P556" s="140"/>
    </row>
    <row r="557" spans="16:16">
      <c r="P557" s="140"/>
    </row>
    <row r="558" spans="16:16">
      <c r="P558" s="140"/>
    </row>
    <row r="559" spans="16:16">
      <c r="P559" s="140"/>
    </row>
    <row r="560" spans="16:16">
      <c r="P560" s="140"/>
    </row>
    <row r="561" spans="16:16">
      <c r="P561" s="140"/>
    </row>
    <row r="562" spans="16:16">
      <c r="P562" s="140"/>
    </row>
    <row r="563" spans="16:16">
      <c r="P563" s="140"/>
    </row>
    <row r="564" spans="16:16">
      <c r="P564" s="140"/>
    </row>
    <row r="565" spans="16:16">
      <c r="P565" s="140"/>
    </row>
    <row r="566" spans="16:16">
      <c r="P566" s="140"/>
    </row>
    <row r="567" spans="16:16">
      <c r="P567" s="140"/>
    </row>
    <row r="568" spans="16:16">
      <c r="P568" s="140"/>
    </row>
    <row r="569" spans="16:16">
      <c r="P569" s="140"/>
    </row>
    <row r="570" spans="16:16">
      <c r="P570" s="140"/>
    </row>
    <row r="571" spans="16:16">
      <c r="P571" s="140"/>
    </row>
    <row r="572" spans="16:16">
      <c r="P572" s="140"/>
    </row>
    <row r="573" spans="16:16">
      <c r="P573" s="140"/>
    </row>
    <row r="574" spans="16:16">
      <c r="P574" s="140"/>
    </row>
    <row r="575" spans="16:16">
      <c r="P575" s="140"/>
    </row>
    <row r="576" spans="16:16">
      <c r="P576" s="140"/>
    </row>
    <row r="577" spans="16:16">
      <c r="P577" s="140"/>
    </row>
    <row r="578" spans="16:16">
      <c r="P578" s="140"/>
    </row>
    <row r="579" spans="16:16">
      <c r="P579" s="140"/>
    </row>
    <row r="580" spans="16:16">
      <c r="P580" s="140"/>
    </row>
    <row r="581" spans="16:16">
      <c r="P581" s="140"/>
    </row>
    <row r="582" spans="16:16">
      <c r="P582" s="140"/>
    </row>
    <row r="583" spans="16:16">
      <c r="P583" s="140"/>
    </row>
    <row r="584" spans="16:16">
      <c r="P584" s="140"/>
    </row>
    <row r="585" spans="16:16">
      <c r="P585" s="140"/>
    </row>
    <row r="586" spans="16:16">
      <c r="P586" s="140"/>
    </row>
    <row r="587" spans="16:16">
      <c r="P587" s="140"/>
    </row>
    <row r="588" spans="16:16">
      <c r="P588" s="140"/>
    </row>
    <row r="589" spans="16:16">
      <c r="P589" s="140"/>
    </row>
    <row r="590" spans="16:16">
      <c r="P590" s="140"/>
    </row>
    <row r="591" spans="16:16">
      <c r="P591" s="140"/>
    </row>
    <row r="592" spans="16:16">
      <c r="P592" s="140"/>
    </row>
    <row r="593" spans="16:16">
      <c r="P593" s="140"/>
    </row>
    <row r="594" spans="16:16">
      <c r="P594" s="140"/>
    </row>
    <row r="595" spans="16:16">
      <c r="P595" s="140"/>
    </row>
    <row r="596" spans="16:16">
      <c r="P596" s="140"/>
    </row>
    <row r="597" spans="16:16">
      <c r="P597" s="140"/>
    </row>
    <row r="598" spans="16:16">
      <c r="P598" s="140"/>
    </row>
    <row r="599" spans="16:16">
      <c r="P599" s="140"/>
    </row>
    <row r="600" spans="16:16">
      <c r="P600" s="140"/>
    </row>
    <row r="601" spans="16:16">
      <c r="P601" s="140"/>
    </row>
    <row r="602" spans="16:16">
      <c r="P602" s="140"/>
    </row>
    <row r="603" spans="16:16">
      <c r="P603" s="140"/>
    </row>
    <row r="604" spans="16:16">
      <c r="P604" s="140"/>
    </row>
    <row r="605" spans="16:16">
      <c r="P605" s="140"/>
    </row>
    <row r="606" spans="16:16">
      <c r="P606" s="140"/>
    </row>
    <row r="607" spans="16:16">
      <c r="P607" s="140"/>
    </row>
    <row r="608" spans="16:16">
      <c r="P608" s="140"/>
    </row>
    <row r="609" spans="16:16">
      <c r="P609" s="140"/>
    </row>
    <row r="610" spans="16:16">
      <c r="P610" s="140"/>
    </row>
    <row r="611" spans="16:16">
      <c r="P611" s="140"/>
    </row>
    <row r="612" spans="16:16">
      <c r="P612" s="140"/>
    </row>
    <row r="613" spans="16:16">
      <c r="P613" s="140"/>
    </row>
    <row r="614" spans="16:16">
      <c r="P614" s="140"/>
    </row>
    <row r="615" spans="16:16">
      <c r="P615" s="140"/>
    </row>
    <row r="616" spans="16:16">
      <c r="P616" s="140"/>
    </row>
    <row r="617" spans="16:16">
      <c r="P617" s="140"/>
    </row>
    <row r="618" spans="16:16">
      <c r="P618" s="140"/>
    </row>
    <row r="619" spans="16:16">
      <c r="P619" s="140"/>
    </row>
    <row r="620" spans="16:16">
      <c r="P620" s="140"/>
    </row>
    <row r="621" spans="16:16">
      <c r="P621" s="140"/>
    </row>
    <row r="622" spans="16:16">
      <c r="P622" s="140"/>
    </row>
    <row r="623" spans="16:16">
      <c r="P623" s="140"/>
    </row>
    <row r="624" spans="16:16">
      <c r="P624" s="140"/>
    </row>
    <row r="625" spans="16:16">
      <c r="P625" s="140"/>
    </row>
    <row r="626" spans="16:16">
      <c r="P626" s="140"/>
    </row>
    <row r="627" spans="16:16">
      <c r="P627" s="140"/>
    </row>
    <row r="628" spans="16:16">
      <c r="P628" s="140"/>
    </row>
    <row r="629" spans="16:16">
      <c r="P629" s="140"/>
    </row>
    <row r="630" spans="16:16">
      <c r="P630" s="140"/>
    </row>
    <row r="631" spans="16:16">
      <c r="P631" s="140"/>
    </row>
    <row r="632" spans="16:16">
      <c r="P632" s="140"/>
    </row>
    <row r="633" spans="16:16">
      <c r="P633" s="140"/>
    </row>
    <row r="634" spans="16:16">
      <c r="P634" s="140"/>
    </row>
    <row r="635" spans="16:16">
      <c r="P635" s="140"/>
    </row>
    <row r="636" spans="16:16">
      <c r="P636" s="140"/>
    </row>
    <row r="637" spans="16:16">
      <c r="P637" s="140"/>
    </row>
    <row r="638" spans="16:16">
      <c r="P638" s="140"/>
    </row>
    <row r="639" spans="16:16">
      <c r="P639" s="140"/>
    </row>
    <row r="640" spans="16:16">
      <c r="P640" s="140"/>
    </row>
    <row r="641" spans="16:16">
      <c r="P641" s="140"/>
    </row>
    <row r="642" spans="16:16">
      <c r="P642" s="140"/>
    </row>
    <row r="643" spans="16:16">
      <c r="P643" s="140"/>
    </row>
    <row r="644" spans="16:16">
      <c r="P644" s="140"/>
    </row>
    <row r="645" spans="16:16">
      <c r="P645" s="140"/>
    </row>
    <row r="646" spans="16:16">
      <c r="P646" s="140"/>
    </row>
    <row r="647" spans="16:16">
      <c r="P647" s="140"/>
    </row>
    <row r="648" spans="16:16">
      <c r="P648" s="140"/>
    </row>
    <row r="649" spans="16:16">
      <c r="P649" s="140"/>
    </row>
    <row r="650" spans="16:16">
      <c r="P650" s="140"/>
    </row>
    <row r="651" spans="16:16">
      <c r="P651" s="140"/>
    </row>
    <row r="652" spans="16:16">
      <c r="P652" s="140"/>
    </row>
    <row r="653" spans="16:16">
      <c r="P653" s="140"/>
    </row>
    <row r="654" spans="16:16">
      <c r="P654" s="140"/>
    </row>
    <row r="655" spans="16:16">
      <c r="P655" s="140"/>
    </row>
    <row r="656" spans="16:16">
      <c r="P656" s="140"/>
    </row>
    <row r="657" spans="16:16">
      <c r="P657" s="140"/>
    </row>
    <row r="658" spans="16:16">
      <c r="P658" s="140"/>
    </row>
    <row r="659" spans="16:16">
      <c r="P659" s="140"/>
    </row>
    <row r="660" spans="16:16">
      <c r="P660" s="140"/>
    </row>
    <row r="661" spans="16:16">
      <c r="P661" s="140"/>
    </row>
    <row r="662" spans="16:16">
      <c r="P662" s="140"/>
    </row>
    <row r="663" spans="16:16">
      <c r="P663" s="140"/>
    </row>
    <row r="664" spans="16:16">
      <c r="P664" s="140"/>
    </row>
    <row r="665" spans="16:16">
      <c r="P665" s="140"/>
    </row>
    <row r="666" spans="16:16">
      <c r="P666" s="140"/>
    </row>
    <row r="667" spans="16:16">
      <c r="P667" s="140"/>
    </row>
    <row r="668" spans="16:16">
      <c r="P668" s="140"/>
    </row>
    <row r="669" spans="16:16">
      <c r="P669" s="140"/>
    </row>
    <row r="670" spans="16:16">
      <c r="P670" s="140"/>
    </row>
    <row r="671" spans="16:16">
      <c r="P671" s="140"/>
    </row>
    <row r="672" spans="16:16">
      <c r="P672" s="140"/>
    </row>
    <row r="673" spans="16:16">
      <c r="P673" s="140"/>
    </row>
    <row r="674" spans="16:16">
      <c r="P674" s="140"/>
    </row>
    <row r="675" spans="16:16">
      <c r="P675" s="140"/>
    </row>
    <row r="676" spans="16:16">
      <c r="P676" s="140"/>
    </row>
    <row r="677" spans="16:16">
      <c r="P677" s="140"/>
    </row>
    <row r="678" spans="16:16">
      <c r="P678" s="140"/>
    </row>
    <row r="679" spans="16:16">
      <c r="P679" s="140"/>
    </row>
    <row r="680" spans="16:16">
      <c r="P680" s="140"/>
    </row>
    <row r="681" spans="16:16">
      <c r="P681" s="140"/>
    </row>
    <row r="682" spans="16:16">
      <c r="P682" s="140"/>
    </row>
    <row r="683" spans="16:16">
      <c r="P683" s="140"/>
    </row>
    <row r="684" spans="16:16">
      <c r="P684" s="140"/>
    </row>
    <row r="685" spans="16:16">
      <c r="P685" s="140"/>
    </row>
    <row r="686" spans="16:16">
      <c r="P686" s="140"/>
    </row>
    <row r="687" spans="16:16">
      <c r="P687" s="140"/>
    </row>
    <row r="688" spans="16:16">
      <c r="P688" s="140"/>
    </row>
    <row r="689" spans="16:16">
      <c r="P689" s="140"/>
    </row>
    <row r="690" spans="16:16">
      <c r="P690" s="140"/>
    </row>
    <row r="691" spans="16:16">
      <c r="P691" s="140"/>
    </row>
    <row r="692" spans="16:16">
      <c r="P692" s="140"/>
    </row>
    <row r="693" spans="16:16">
      <c r="P693" s="140"/>
    </row>
    <row r="694" spans="16:16">
      <c r="P694" s="140"/>
    </row>
    <row r="695" spans="16:16">
      <c r="P695" s="140"/>
    </row>
    <row r="696" spans="16:16">
      <c r="P696" s="140"/>
    </row>
    <row r="697" spans="16:16">
      <c r="P697" s="140"/>
    </row>
    <row r="698" spans="16:16">
      <c r="P698" s="140"/>
    </row>
    <row r="699" spans="16:16">
      <c r="P699" s="140"/>
    </row>
    <row r="700" spans="16:16">
      <c r="P700" s="140"/>
    </row>
    <row r="701" spans="16:16">
      <c r="P701" s="140"/>
    </row>
    <row r="702" spans="16:16">
      <c r="P702" s="140"/>
    </row>
    <row r="703" spans="16:16">
      <c r="P703" s="140"/>
    </row>
    <row r="704" spans="16:16">
      <c r="P704" s="140"/>
    </row>
    <row r="705" spans="16:16">
      <c r="P705" s="140"/>
    </row>
    <row r="706" spans="16:16">
      <c r="P706" s="140"/>
    </row>
    <row r="707" spans="16:16">
      <c r="P707" s="140"/>
    </row>
    <row r="708" spans="16:16">
      <c r="P708" s="140"/>
    </row>
    <row r="709" spans="16:16">
      <c r="P709" s="140"/>
    </row>
    <row r="710" spans="16:16">
      <c r="P710" s="140"/>
    </row>
    <row r="711" spans="16:16">
      <c r="P711" s="140"/>
    </row>
    <row r="712" spans="16:16">
      <c r="P712" s="140"/>
    </row>
    <row r="713" spans="16:16">
      <c r="P713" s="140"/>
    </row>
    <row r="714" spans="16:16">
      <c r="P714" s="140"/>
    </row>
    <row r="715" spans="16:16">
      <c r="P715" s="140"/>
    </row>
    <row r="716" spans="16:16">
      <c r="P716" s="140"/>
    </row>
    <row r="717" spans="16:16">
      <c r="P717" s="140"/>
    </row>
    <row r="718" spans="16:16">
      <c r="P718" s="140"/>
    </row>
    <row r="719" spans="16:16">
      <c r="P719" s="140"/>
    </row>
    <row r="720" spans="16:16">
      <c r="P720" s="140"/>
    </row>
    <row r="721" spans="16:16">
      <c r="P721" s="140"/>
    </row>
    <row r="722" spans="16:16">
      <c r="P722" s="140"/>
    </row>
    <row r="723" spans="16:16">
      <c r="P723" s="140"/>
    </row>
    <row r="724" spans="16:16">
      <c r="P724" s="140"/>
    </row>
    <row r="725" spans="16:16">
      <c r="P725" s="140"/>
    </row>
    <row r="726" spans="16:16">
      <c r="P726" s="140"/>
    </row>
    <row r="727" spans="16:16">
      <c r="P727" s="140"/>
    </row>
    <row r="728" spans="16:16">
      <c r="P728" s="140"/>
    </row>
    <row r="729" spans="16:16">
      <c r="P729" s="140"/>
    </row>
    <row r="730" spans="16:16">
      <c r="P730" s="140"/>
    </row>
    <row r="731" spans="16:16">
      <c r="P731" s="140"/>
    </row>
    <row r="732" spans="16:16">
      <c r="P732" s="140"/>
    </row>
    <row r="733" spans="16:16">
      <c r="P733" s="140"/>
    </row>
    <row r="734" spans="16:16">
      <c r="P734" s="140"/>
    </row>
    <row r="735" spans="16:16">
      <c r="P735" s="140"/>
    </row>
    <row r="736" spans="16:16">
      <c r="P736" s="140"/>
    </row>
    <row r="737" spans="16:16">
      <c r="P737" s="140"/>
    </row>
    <row r="738" spans="16:16">
      <c r="P738" s="140"/>
    </row>
    <row r="739" spans="16:16">
      <c r="P739" s="140"/>
    </row>
    <row r="740" spans="16:16">
      <c r="P740" s="140"/>
    </row>
    <row r="741" spans="16:16">
      <c r="P741" s="140"/>
    </row>
    <row r="742" spans="16:16">
      <c r="P742" s="140"/>
    </row>
    <row r="743" spans="16:16">
      <c r="P743" s="140"/>
    </row>
    <row r="744" spans="16:16">
      <c r="P744" s="140"/>
    </row>
    <row r="745" spans="16:16">
      <c r="P745" s="140"/>
    </row>
    <row r="746" spans="16:16">
      <c r="P746" s="140"/>
    </row>
    <row r="747" spans="16:16">
      <c r="P747" s="140"/>
    </row>
    <row r="748" spans="16:16">
      <c r="P748" s="140"/>
    </row>
    <row r="749" spans="16:16">
      <c r="P749" s="140"/>
    </row>
    <row r="750" spans="16:16">
      <c r="P750" s="140"/>
    </row>
    <row r="751" spans="16:16">
      <c r="P751" s="140"/>
    </row>
    <row r="752" spans="16:16">
      <c r="P752" s="140"/>
    </row>
    <row r="753" spans="16:16">
      <c r="P753" s="140"/>
    </row>
    <row r="754" spans="16:16">
      <c r="P754" s="140"/>
    </row>
    <row r="755" spans="16:16">
      <c r="P755" s="140"/>
    </row>
    <row r="756" spans="16:16">
      <c r="P756" s="140"/>
    </row>
    <row r="757" spans="16:16">
      <c r="P757" s="140"/>
    </row>
    <row r="758" spans="16:16">
      <c r="P758" s="140"/>
    </row>
    <row r="759" spans="16:16">
      <c r="P759" s="140"/>
    </row>
    <row r="760" spans="16:16">
      <c r="P760" s="140"/>
    </row>
    <row r="761" spans="16:16">
      <c r="P761" s="140"/>
    </row>
    <row r="762" spans="16:16">
      <c r="P762" s="140"/>
    </row>
    <row r="763" spans="16:16">
      <c r="P763" s="140"/>
    </row>
    <row r="764" spans="16:16">
      <c r="P764" s="140"/>
    </row>
    <row r="765" spans="16:16">
      <c r="P765" s="140"/>
    </row>
    <row r="766" spans="16:16">
      <c r="P766" s="140"/>
    </row>
    <row r="767" spans="16:16">
      <c r="P767" s="140"/>
    </row>
    <row r="768" spans="16:16">
      <c r="P768" s="140"/>
    </row>
    <row r="769" spans="16:16">
      <c r="P769" s="140"/>
    </row>
    <row r="770" spans="16:16">
      <c r="P770" s="140"/>
    </row>
    <row r="771" spans="16:16">
      <c r="P771" s="140"/>
    </row>
    <row r="772" spans="16:16">
      <c r="P772" s="140"/>
    </row>
    <row r="773" spans="16:16">
      <c r="P773" s="140"/>
    </row>
    <row r="774" spans="16:16">
      <c r="P774" s="140"/>
    </row>
    <row r="775" spans="16:16">
      <c r="P775" s="140"/>
    </row>
    <row r="776" spans="16:16">
      <c r="P776" s="140"/>
    </row>
    <row r="777" spans="16:16">
      <c r="P777" s="140"/>
    </row>
    <row r="778" spans="16:16">
      <c r="P778" s="140"/>
    </row>
    <row r="779" spans="16:16">
      <c r="P779" s="140"/>
    </row>
    <row r="780" spans="16:16">
      <c r="P780" s="140"/>
    </row>
    <row r="781" spans="16:16">
      <c r="P781" s="140"/>
    </row>
    <row r="782" spans="16:16">
      <c r="P782" s="140"/>
    </row>
    <row r="783" spans="16:16">
      <c r="P783" s="140"/>
    </row>
    <row r="784" spans="16:16">
      <c r="P784" s="140"/>
    </row>
    <row r="785" spans="16:16">
      <c r="P785" s="140"/>
    </row>
    <row r="786" spans="16:16">
      <c r="P786" s="140"/>
    </row>
    <row r="787" spans="16:16">
      <c r="P787" s="140"/>
    </row>
    <row r="788" spans="16:16">
      <c r="P788" s="140"/>
    </row>
    <row r="789" spans="16:16">
      <c r="P789" s="140"/>
    </row>
    <row r="790" spans="16:16">
      <c r="P790" s="140"/>
    </row>
    <row r="791" spans="16:16">
      <c r="P791" s="140"/>
    </row>
    <row r="792" spans="16:16">
      <c r="P792" s="140"/>
    </row>
    <row r="793" spans="16:16">
      <c r="P793" s="140"/>
    </row>
    <row r="794" spans="16:16">
      <c r="P794" s="140"/>
    </row>
    <row r="795" spans="16:16">
      <c r="P795" s="140"/>
    </row>
    <row r="796" spans="16:16">
      <c r="P796" s="140"/>
    </row>
    <row r="797" spans="16:16">
      <c r="P797" s="140"/>
    </row>
    <row r="798" spans="16:16">
      <c r="P798" s="140"/>
    </row>
    <row r="799" spans="16:16">
      <c r="P799" s="140"/>
    </row>
    <row r="800" spans="16:16">
      <c r="P800" s="140"/>
    </row>
    <row r="801" spans="16:16">
      <c r="P801" s="140"/>
    </row>
    <row r="802" spans="16:16">
      <c r="P802" s="140"/>
    </row>
    <row r="803" spans="16:16">
      <c r="P803" s="140"/>
    </row>
    <row r="804" spans="16:16">
      <c r="P804" s="140"/>
    </row>
    <row r="805" spans="16:16">
      <c r="P805" s="140"/>
    </row>
    <row r="806" spans="16:16">
      <c r="P806" s="140"/>
    </row>
    <row r="807" spans="16:16">
      <c r="P807" s="140"/>
    </row>
    <row r="808" spans="16:16">
      <c r="P808" s="140"/>
    </row>
    <row r="809" spans="16:16">
      <c r="P809" s="140"/>
    </row>
    <row r="810" spans="16:16">
      <c r="P810" s="140"/>
    </row>
    <row r="811" spans="16:16">
      <c r="P811" s="140"/>
    </row>
    <row r="812" spans="16:16">
      <c r="P812" s="140"/>
    </row>
    <row r="813" spans="16:16">
      <c r="P813" s="140"/>
    </row>
    <row r="814" spans="16:16">
      <c r="P814" s="140"/>
    </row>
    <row r="815" spans="16:16">
      <c r="P815" s="140"/>
    </row>
    <row r="816" spans="16:16">
      <c r="P816" s="140"/>
    </row>
    <row r="817" spans="16:16">
      <c r="P817" s="140"/>
    </row>
    <row r="818" spans="16:16">
      <c r="P818" s="140"/>
    </row>
    <row r="819" spans="16:16">
      <c r="P819" s="140"/>
    </row>
    <row r="820" spans="16:16">
      <c r="P820" s="140"/>
    </row>
    <row r="821" spans="16:16">
      <c r="P821" s="140"/>
    </row>
    <row r="822" spans="16:16">
      <c r="P822" s="140"/>
    </row>
    <row r="823" spans="16:16">
      <c r="P823" s="140"/>
    </row>
  </sheetData>
  <pageMargins left="0.7" right="0.7" top="0.75" bottom="0.75" header="0.3" footer="0.3"/>
  <pageSetup paperSize="119" orientation="landscape" horizontalDpi="1200" verticalDpi="1200" r:id="rId1"/>
  <headerFooter>
    <oddHeader>&amp;LAppendix E: Incremental Cost Calculation&amp;RDraft Clean Energy Implementation Plan</oddHeader>
    <oddFooter>&amp;LOCTOBER 15, 2021&amp;C&amp;P of &amp;N&amp;RPuget Sound Energy</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7"/>
  <sheetViews>
    <sheetView workbookViewId="0">
      <pane xSplit="1" ySplit="1" topLeftCell="B2" activePane="bottomRight" state="frozen"/>
      <selection activeCell="B28" sqref="B28"/>
      <selection pane="topRight" activeCell="B28" sqref="B28"/>
      <selection pane="bottomLeft" activeCell="B28" sqref="B28"/>
      <selection pane="bottomRight" activeCell="B28" sqref="B28"/>
    </sheetView>
  </sheetViews>
  <sheetFormatPr defaultColWidth="8.7109375" defaultRowHeight="12.75"/>
  <cols>
    <col min="1" max="1" width="27" style="140" customWidth="1"/>
    <col min="2" max="2" width="16.85546875" style="140" customWidth="1"/>
    <col min="3" max="4" width="15.5703125" style="140" bestFit="1" customWidth="1"/>
    <col min="5" max="6" width="15.85546875" style="140" customWidth="1"/>
    <col min="7" max="7" width="17.140625" style="140" customWidth="1"/>
    <col min="8" max="10" width="15.85546875" style="140" customWidth="1"/>
    <col min="11" max="11" width="15.85546875" style="215" customWidth="1"/>
    <col min="12" max="12" width="1.5703125" style="287" customWidth="1"/>
    <col min="13" max="13" width="15.5703125" style="140" customWidth="1"/>
    <col min="14" max="14" width="15.85546875" style="140" customWidth="1"/>
    <col min="15" max="15" width="15.140625" style="140" customWidth="1"/>
    <col min="16" max="22" width="15.42578125" style="140" customWidth="1"/>
    <col min="23" max="23" width="1.85546875" style="287" customWidth="1"/>
    <col min="24" max="24" width="14.5703125" style="177" bestFit="1" customWidth="1"/>
    <col min="25" max="29" width="13.140625" style="177" bestFit="1" customWidth="1"/>
    <col min="30" max="33" width="14.5703125" style="177" bestFit="1" customWidth="1"/>
    <col min="34" max="16384" width="8.7109375" style="215"/>
  </cols>
  <sheetData>
    <row r="1" spans="1:33" ht="28.7" customHeight="1">
      <c r="B1" s="762" t="s">
        <v>141</v>
      </c>
      <c r="C1" s="762"/>
      <c r="D1" s="762"/>
      <c r="E1" s="762"/>
      <c r="F1" s="286"/>
      <c r="G1" s="286"/>
      <c r="H1" s="286"/>
      <c r="I1" s="286"/>
      <c r="J1" s="286"/>
      <c r="K1" s="286"/>
      <c r="M1" s="762" t="s">
        <v>714</v>
      </c>
      <c r="N1" s="762"/>
      <c r="O1" s="762"/>
      <c r="P1" s="762"/>
      <c r="Q1" s="762"/>
      <c r="R1" s="762"/>
      <c r="S1" s="762"/>
      <c r="T1" s="762"/>
      <c r="U1" s="762"/>
      <c r="V1" s="762"/>
      <c r="X1" s="181"/>
      <c r="Y1" s="181"/>
      <c r="Z1" s="181"/>
      <c r="AA1" s="181"/>
      <c r="AB1" s="181"/>
      <c r="AC1" s="181"/>
      <c r="AD1" s="181"/>
      <c r="AE1" s="181"/>
      <c r="AF1" s="181"/>
      <c r="AG1" s="181"/>
    </row>
    <row r="2" spans="1:33">
      <c r="B2" s="181">
        <v>2022</v>
      </c>
      <c r="C2" s="181">
        <v>2023</v>
      </c>
      <c r="D2" s="181">
        <v>2024</v>
      </c>
      <c r="E2" s="181">
        <v>2025</v>
      </c>
      <c r="F2" s="181">
        <v>2026</v>
      </c>
      <c r="G2" s="181">
        <v>2027</v>
      </c>
      <c r="H2" s="181">
        <v>2028</v>
      </c>
      <c r="I2" s="181">
        <v>2029</v>
      </c>
      <c r="J2" s="181">
        <v>2030</v>
      </c>
      <c r="K2" s="181">
        <v>2031</v>
      </c>
      <c r="M2" s="181">
        <v>2022</v>
      </c>
      <c r="N2" s="181">
        <v>2023</v>
      </c>
      <c r="O2" s="181">
        <v>2024</v>
      </c>
      <c r="P2" s="181">
        <v>2025</v>
      </c>
      <c r="Q2" s="181">
        <v>2026</v>
      </c>
      <c r="R2" s="181">
        <v>2027</v>
      </c>
      <c r="S2" s="181">
        <v>2028</v>
      </c>
      <c r="T2" s="181">
        <v>2029</v>
      </c>
      <c r="U2" s="181">
        <v>2030</v>
      </c>
      <c r="V2" s="181">
        <v>2031</v>
      </c>
      <c r="X2" s="181"/>
      <c r="Y2" s="181"/>
      <c r="Z2" s="181"/>
      <c r="AA2" s="181"/>
      <c r="AB2" s="181"/>
      <c r="AC2" s="181"/>
      <c r="AD2" s="181"/>
      <c r="AE2" s="181"/>
      <c r="AF2" s="181"/>
      <c r="AG2" s="181"/>
    </row>
    <row r="3" spans="1:33">
      <c r="X3" s="181"/>
      <c r="Y3" s="181"/>
      <c r="Z3" s="181"/>
      <c r="AA3" s="181"/>
      <c r="AB3" s="181"/>
      <c r="AC3" s="181"/>
      <c r="AD3" s="181"/>
      <c r="AE3" s="181"/>
      <c r="AF3" s="181"/>
      <c r="AG3" s="181"/>
    </row>
    <row r="4" spans="1:33">
      <c r="A4" s="215" t="s">
        <v>142</v>
      </c>
      <c r="B4" s="228">
        <v>561771911.56005859</v>
      </c>
      <c r="C4" s="228">
        <v>589409562.37792969</v>
      </c>
      <c r="D4" s="228">
        <v>587660583.984375</v>
      </c>
      <c r="E4" s="228">
        <v>609004369.26269531</v>
      </c>
      <c r="F4" s="228">
        <v>482709589.84375</v>
      </c>
      <c r="G4" s="228">
        <v>546577148.68164063</v>
      </c>
      <c r="H4" s="228">
        <v>561197477.41699219</v>
      </c>
      <c r="I4" s="228">
        <v>581859897.33886719</v>
      </c>
      <c r="J4" s="228">
        <v>730290745.23925781</v>
      </c>
      <c r="K4" s="228">
        <v>733506529.41894531</v>
      </c>
      <c r="L4" s="236"/>
      <c r="M4" s="228">
        <v>562276588.52386475</v>
      </c>
      <c r="N4" s="228">
        <v>606707218.83869171</v>
      </c>
      <c r="O4" s="228">
        <v>702467922.58310318</v>
      </c>
      <c r="P4" s="228">
        <v>705443127.60400772</v>
      </c>
      <c r="Q4" s="228">
        <v>614125294.9988842</v>
      </c>
      <c r="R4" s="228">
        <v>863699058.39586258</v>
      </c>
      <c r="S4" s="228">
        <v>944652696.35057449</v>
      </c>
      <c r="T4" s="228">
        <v>1030736804.4760227</v>
      </c>
      <c r="U4" s="228">
        <v>1123594445.9438324</v>
      </c>
      <c r="V4" s="228">
        <v>1170515885.2205276</v>
      </c>
      <c r="W4" s="236"/>
      <c r="X4" s="228"/>
      <c r="Y4" s="228"/>
      <c r="Z4" s="228"/>
      <c r="AA4" s="228"/>
      <c r="AB4" s="228"/>
      <c r="AC4" s="228"/>
      <c r="AD4" s="228"/>
      <c r="AE4" s="228"/>
      <c r="AF4" s="228"/>
      <c r="AG4" s="228"/>
    </row>
    <row r="5" spans="1:33">
      <c r="A5" s="215" t="s">
        <v>143</v>
      </c>
      <c r="B5" s="228">
        <f>'1. Energy Efficiency'!AC51</f>
        <v>65598468.681522951</v>
      </c>
      <c r="C5" s="228">
        <f>'1. Energy Efficiency'!AD51</f>
        <v>65598468.681522951</v>
      </c>
      <c r="D5" s="228">
        <f>'1. Energy Efficiency'!AE51</f>
        <v>65598468.681522951</v>
      </c>
      <c r="E5" s="228">
        <f>'1. Energy Efficiency'!AF51</f>
        <v>65598468.681522951</v>
      </c>
      <c r="F5" s="228">
        <f>'1. Energy Efficiency'!AG51</f>
        <v>67250440.152636275</v>
      </c>
      <c r="G5" s="228">
        <f>'1. Energy Efficiency'!AH51</f>
        <v>70171833.163635954</v>
      </c>
      <c r="H5" s="228">
        <f>'1. Energy Efficiency'!AI51</f>
        <v>74577343.715513423</v>
      </c>
      <c r="I5" s="228">
        <f>'1. Energy Efficiency'!AJ51</f>
        <v>73326110.445205316</v>
      </c>
      <c r="J5" s="228">
        <f>'1. Energy Efficiency'!AK51</f>
        <v>76464334.520252675</v>
      </c>
      <c r="K5" s="228">
        <f>'1. Energy Efficiency'!AL51</f>
        <v>79265766.784740761</v>
      </c>
      <c r="L5" s="236"/>
      <c r="M5" s="234">
        <f>'1. Energy Efficiency'!AN51</f>
        <v>95912933.738762632</v>
      </c>
      <c r="N5" s="234">
        <f>'1. Energy Efficiency'!AO51</f>
        <v>95912933.738762632</v>
      </c>
      <c r="O5" s="234">
        <f>'1. Energy Efficiency'!AP51</f>
        <v>95912933.738762632</v>
      </c>
      <c r="P5" s="234">
        <f>'1. Energy Efficiency'!AQ51</f>
        <v>95912933.738762632</v>
      </c>
      <c r="Q5" s="234">
        <f>'1. Energy Efficiency'!AR51</f>
        <v>97438430.602834895</v>
      </c>
      <c r="R5" s="234">
        <f>'1. Energy Efficiency'!AS51</f>
        <v>103263302.10629809</v>
      </c>
      <c r="S5" s="234">
        <f>'1. Energy Efficiency'!AT51</f>
        <v>111207260.26906425</v>
      </c>
      <c r="T5" s="234">
        <f>'1. Energy Efficiency'!AU51</f>
        <v>110838674.16066337</v>
      </c>
      <c r="U5" s="234">
        <f>'1. Energy Efficiency'!AV51</f>
        <v>116548655.97685353</v>
      </c>
      <c r="V5" s="234">
        <f>'1. Energy Efficiency'!AW51</f>
        <v>122512215.13897064</v>
      </c>
      <c r="W5" s="236"/>
      <c r="X5" s="228"/>
      <c r="Y5" s="228"/>
      <c r="Z5" s="228"/>
      <c r="AA5" s="228"/>
      <c r="AB5" s="228"/>
      <c r="AC5" s="228"/>
      <c r="AD5" s="228"/>
      <c r="AE5" s="228"/>
      <c r="AF5" s="228"/>
      <c r="AG5" s="228"/>
    </row>
    <row r="6" spans="1:33">
      <c r="A6" s="215" t="s">
        <v>9</v>
      </c>
      <c r="B6" s="234">
        <f>'2. Demand Response'!F296</f>
        <v>99592.231318873164</v>
      </c>
      <c r="C6" s="234">
        <f>'2. Demand Response'!G296</f>
        <v>296444.91184007638</v>
      </c>
      <c r="D6" s="234">
        <f>'2. Demand Response'!H296</f>
        <v>364854.48688873468</v>
      </c>
      <c r="E6" s="234">
        <f>'2. Demand Response'!I296</f>
        <v>994729.71149439202</v>
      </c>
      <c r="F6" s="234">
        <f>'2. Demand Response'!J296</f>
        <v>2073387.8953511226</v>
      </c>
      <c r="G6" s="234">
        <f>'2. Demand Response'!K296</f>
        <v>2323198.9238135079</v>
      </c>
      <c r="H6" s="234">
        <f>'2. Demand Response'!L296</f>
        <v>3615858.4211373697</v>
      </c>
      <c r="I6" s="234">
        <f>'2. Demand Response'!M296</f>
        <v>2966692.7154080053</v>
      </c>
      <c r="J6" s="234">
        <f>'2. Demand Response'!N296</f>
        <v>3634490.9793164819</v>
      </c>
      <c r="K6" s="234">
        <f>'2. Demand Response'!O296</f>
        <v>3650555.0154650789</v>
      </c>
      <c r="L6" s="236"/>
      <c r="M6" s="234">
        <f>'2. Demand Response'!F297</f>
        <v>341995.96422881761</v>
      </c>
      <c r="N6" s="234">
        <f>'2. Demand Response'!G297</f>
        <v>1017980.6408882139</v>
      </c>
      <c r="O6" s="234">
        <f>'2. Demand Response'!H297</f>
        <v>1252896.5401649475</v>
      </c>
      <c r="P6" s="234">
        <f>'2. Demand Response'!I297</f>
        <v>3415864.293072727</v>
      </c>
      <c r="Q6" s="234">
        <f>'2. Demand Response'!J297</f>
        <v>7313052.3509979248</v>
      </c>
      <c r="R6" s="234">
        <f>'2. Demand Response'!K297</f>
        <v>8194161.5409851074</v>
      </c>
      <c r="S6" s="234">
        <f>'2. Demand Response'!L297</f>
        <v>12753504.535675049</v>
      </c>
      <c r="T6" s="234">
        <f>'2. Demand Response'!M297</f>
        <v>10463830.326080322</v>
      </c>
      <c r="U6" s="234">
        <f>'2. Demand Response'!N297</f>
        <v>10710124.877929688</v>
      </c>
      <c r="V6" s="234">
        <f>'2. Demand Response'!O297</f>
        <v>10757462.409973145</v>
      </c>
      <c r="W6" s="236"/>
      <c r="X6" s="228"/>
      <c r="Y6" s="228"/>
      <c r="Z6" s="228"/>
      <c r="AA6" s="228"/>
      <c r="AB6" s="228"/>
      <c r="AC6" s="228"/>
      <c r="AD6" s="228"/>
      <c r="AE6" s="228"/>
      <c r="AF6" s="228"/>
      <c r="AG6" s="228"/>
    </row>
    <row r="7" spans="1:33" ht="13.5" thickBot="1">
      <c r="A7" s="288" t="s">
        <v>15</v>
      </c>
      <c r="B7" s="289">
        <f t="shared" ref="B7:W7" si="0">B4+B5+B6</f>
        <v>627469972.47290039</v>
      </c>
      <c r="C7" s="289">
        <f t="shared" si="0"/>
        <v>655304475.97129273</v>
      </c>
      <c r="D7" s="289">
        <f t="shared" si="0"/>
        <v>653623907.15278673</v>
      </c>
      <c r="E7" s="289">
        <f t="shared" si="0"/>
        <v>675597567.65571272</v>
      </c>
      <c r="F7" s="289">
        <f t="shared" si="0"/>
        <v>552033417.89173746</v>
      </c>
      <c r="G7" s="289">
        <f t="shared" si="0"/>
        <v>619072180.76909006</v>
      </c>
      <c r="H7" s="289">
        <f t="shared" si="0"/>
        <v>639390679.55364299</v>
      </c>
      <c r="I7" s="289">
        <f t="shared" si="0"/>
        <v>658152700.49948049</v>
      </c>
      <c r="J7" s="289">
        <f t="shared" si="0"/>
        <v>810389570.73882699</v>
      </c>
      <c r="K7" s="289">
        <f t="shared" si="0"/>
        <v>816422851.21915114</v>
      </c>
      <c r="L7" s="290">
        <f t="shared" si="0"/>
        <v>0</v>
      </c>
      <c r="M7" s="289">
        <f t="shared" si="0"/>
        <v>658531518.22685623</v>
      </c>
      <c r="N7" s="289">
        <f t="shared" si="0"/>
        <v>703638133.21834254</v>
      </c>
      <c r="O7" s="289">
        <f t="shared" si="0"/>
        <v>799633752.86203074</v>
      </c>
      <c r="P7" s="289">
        <f t="shared" si="0"/>
        <v>804771925.63584304</v>
      </c>
      <c r="Q7" s="289">
        <f t="shared" si="0"/>
        <v>718876777.95271707</v>
      </c>
      <c r="R7" s="289">
        <f t="shared" si="0"/>
        <v>975156522.04314578</v>
      </c>
      <c r="S7" s="289">
        <f t="shared" si="0"/>
        <v>1068613461.1553137</v>
      </c>
      <c r="T7" s="289">
        <f t="shared" si="0"/>
        <v>1152039308.9627664</v>
      </c>
      <c r="U7" s="289">
        <f t="shared" si="0"/>
        <v>1250853226.7986157</v>
      </c>
      <c r="V7" s="289">
        <f t="shared" si="0"/>
        <v>1303785562.7694714</v>
      </c>
      <c r="W7" s="290">
        <f t="shared" si="0"/>
        <v>0</v>
      </c>
      <c r="X7" s="249"/>
      <c r="Y7" s="249"/>
      <c r="Z7" s="249"/>
      <c r="AA7" s="249"/>
      <c r="AB7" s="249"/>
      <c r="AC7" s="249"/>
      <c r="AD7" s="249"/>
      <c r="AE7" s="249"/>
      <c r="AF7" s="249"/>
      <c r="AG7" s="249"/>
    </row>
    <row r="8" spans="1:33" ht="13.5" thickTop="1">
      <c r="B8" s="222"/>
      <c r="C8" s="222"/>
      <c r="D8" s="222"/>
      <c r="E8" s="222"/>
      <c r="F8" s="222"/>
      <c r="G8" s="222"/>
      <c r="H8" s="222"/>
      <c r="I8" s="222"/>
      <c r="J8" s="222"/>
      <c r="K8" s="222"/>
      <c r="M8" s="222"/>
      <c r="N8" s="222"/>
      <c r="O8" s="222"/>
      <c r="P8" s="222"/>
      <c r="Q8" s="222"/>
      <c r="R8" s="222"/>
      <c r="S8" s="222"/>
      <c r="T8" s="222"/>
      <c r="U8" s="222"/>
      <c r="V8" s="222"/>
    </row>
    <row r="9" spans="1:33">
      <c r="M9" s="222"/>
      <c r="N9" s="222"/>
      <c r="O9" s="222"/>
      <c r="P9" s="222"/>
      <c r="Q9" s="222"/>
      <c r="R9" s="222"/>
      <c r="S9" s="222"/>
      <c r="T9" s="222"/>
      <c r="U9" s="222"/>
      <c r="V9" s="222"/>
    </row>
    <row r="10" spans="1:33">
      <c r="M10" s="222"/>
      <c r="N10" s="222"/>
      <c r="O10" s="222"/>
      <c r="P10" s="222"/>
      <c r="Q10" s="222"/>
      <c r="R10" s="222"/>
      <c r="S10" s="222"/>
      <c r="T10" s="222"/>
      <c r="U10" s="222"/>
      <c r="V10" s="222"/>
    </row>
    <row r="11" spans="1:33">
      <c r="M11" s="242"/>
      <c r="N11" s="242"/>
      <c r="O11" s="242"/>
      <c r="P11" s="242"/>
      <c r="Q11" s="222"/>
      <c r="R11" s="222"/>
      <c r="S11" s="222"/>
      <c r="T11" s="222"/>
      <c r="U11" s="222"/>
      <c r="V11" s="222"/>
    </row>
    <row r="12" spans="1:33">
      <c r="A12" s="760" t="s">
        <v>715</v>
      </c>
      <c r="B12" s="761"/>
      <c r="C12" s="761"/>
      <c r="D12" s="761"/>
      <c r="E12" s="761"/>
      <c r="F12" s="761"/>
      <c r="G12" s="761"/>
      <c r="H12" s="761"/>
      <c r="I12" s="761"/>
      <c r="J12" s="761"/>
      <c r="K12" s="761"/>
      <c r="M12" s="291"/>
      <c r="N12" s="291"/>
      <c r="O12" s="291"/>
      <c r="P12" s="291"/>
      <c r="Q12" s="291"/>
      <c r="R12" s="291"/>
      <c r="S12" s="291"/>
      <c r="T12" s="291"/>
      <c r="U12" s="291"/>
      <c r="V12" s="291"/>
    </row>
    <row r="13" spans="1:33">
      <c r="A13" s="215" t="s">
        <v>142</v>
      </c>
      <c r="B13" s="222">
        <f t="shared" ref="B13:K15" si="1">M4-B4</f>
        <v>504676.96380615234</v>
      </c>
      <c r="C13" s="222">
        <f t="shared" si="1"/>
        <v>17297656.460762024</v>
      </c>
      <c r="D13" s="222">
        <f t="shared" si="1"/>
        <v>114807338.59872818</v>
      </c>
      <c r="E13" s="222">
        <f t="shared" si="1"/>
        <v>96438758.341312408</v>
      </c>
      <c r="F13" s="222">
        <f t="shared" si="1"/>
        <v>131415705.1551342</v>
      </c>
      <c r="G13" s="222">
        <f t="shared" si="1"/>
        <v>317121909.71422195</v>
      </c>
      <c r="H13" s="222">
        <f t="shared" si="1"/>
        <v>383455218.93358231</v>
      </c>
      <c r="I13" s="222">
        <f t="shared" si="1"/>
        <v>448876907.13715553</v>
      </c>
      <c r="J13" s="222">
        <f t="shared" si="1"/>
        <v>393303700.70457458</v>
      </c>
      <c r="K13" s="222">
        <f t="shared" si="1"/>
        <v>437009355.80158234</v>
      </c>
      <c r="M13" s="234"/>
      <c r="N13" s="234"/>
      <c r="O13" s="234"/>
      <c r="P13" s="234"/>
      <c r="Q13" s="234"/>
      <c r="R13" s="234"/>
      <c r="S13" s="234"/>
      <c r="T13" s="234"/>
      <c r="U13" s="234"/>
      <c r="V13" s="234"/>
    </row>
    <row r="14" spans="1:33">
      <c r="A14" s="215" t="s">
        <v>143</v>
      </c>
      <c r="B14" s="222">
        <f t="shared" si="1"/>
        <v>30314465.057239681</v>
      </c>
      <c r="C14" s="222">
        <f t="shared" si="1"/>
        <v>30314465.057239681</v>
      </c>
      <c r="D14" s="222">
        <f t="shared" si="1"/>
        <v>30314465.057239681</v>
      </c>
      <c r="E14" s="222">
        <f t="shared" si="1"/>
        <v>30314465.057239681</v>
      </c>
      <c r="F14" s="222">
        <f t="shared" si="1"/>
        <v>30187990.450198621</v>
      </c>
      <c r="G14" s="222">
        <f t="shared" si="1"/>
        <v>33091468.942662135</v>
      </c>
      <c r="H14" s="222">
        <f t="shared" si="1"/>
        <v>36629916.553550825</v>
      </c>
      <c r="I14" s="222">
        <f t="shared" si="1"/>
        <v>37512563.71545805</v>
      </c>
      <c r="J14" s="222">
        <f t="shared" si="1"/>
        <v>40084321.45660086</v>
      </c>
      <c r="K14" s="222">
        <f t="shared" si="1"/>
        <v>43246448.354229882</v>
      </c>
      <c r="M14" s="234"/>
      <c r="N14" s="234"/>
      <c r="O14" s="234"/>
      <c r="P14" s="234"/>
      <c r="Q14" s="234"/>
      <c r="R14" s="234"/>
      <c r="S14" s="234"/>
      <c r="T14" s="234"/>
      <c r="U14" s="234"/>
      <c r="V14" s="234"/>
    </row>
    <row r="15" spans="1:33">
      <c r="A15" s="215" t="s">
        <v>9</v>
      </c>
      <c r="B15" s="222">
        <f t="shared" si="1"/>
        <v>242403.73290994443</v>
      </c>
      <c r="C15" s="222">
        <f t="shared" si="1"/>
        <v>721535.72904813755</v>
      </c>
      <c r="D15" s="222">
        <f t="shared" si="1"/>
        <v>888042.05327621289</v>
      </c>
      <c r="E15" s="222">
        <f t="shared" si="1"/>
        <v>2421134.5815783348</v>
      </c>
      <c r="F15" s="222">
        <f t="shared" si="1"/>
        <v>5239664.4556468017</v>
      </c>
      <c r="G15" s="222">
        <f t="shared" si="1"/>
        <v>5870962.6171715995</v>
      </c>
      <c r="H15" s="222">
        <f t="shared" si="1"/>
        <v>9137646.1145376787</v>
      </c>
      <c r="I15" s="222">
        <f t="shared" si="1"/>
        <v>7497137.6106723174</v>
      </c>
      <c r="J15" s="222">
        <f t="shared" si="1"/>
        <v>7075633.8986132052</v>
      </c>
      <c r="K15" s="222">
        <f t="shared" si="1"/>
        <v>7106907.3945080657</v>
      </c>
      <c r="M15" s="234"/>
      <c r="N15" s="234"/>
      <c r="O15" s="234"/>
      <c r="P15" s="234"/>
      <c r="Q15" s="234"/>
      <c r="R15" s="234"/>
      <c r="S15" s="234"/>
      <c r="T15" s="234"/>
      <c r="U15" s="234"/>
      <c r="V15" s="234"/>
    </row>
    <row r="16" spans="1:33" s="177" customFormat="1" ht="13.5" thickBot="1">
      <c r="A16" s="288" t="s">
        <v>15</v>
      </c>
      <c r="B16" s="289">
        <f>SUM(B13:B15)</f>
        <v>31061545.753955778</v>
      </c>
      <c r="C16" s="289">
        <f t="shared" ref="C16:K16" si="2">SUM(C13:C15)</f>
        <v>48333657.247049846</v>
      </c>
      <c r="D16" s="289">
        <f t="shared" si="2"/>
        <v>146009845.70924407</v>
      </c>
      <c r="E16" s="289">
        <f t="shared" si="2"/>
        <v>129174357.98013042</v>
      </c>
      <c r="F16" s="289">
        <f t="shared" si="2"/>
        <v>166843360.06097963</v>
      </c>
      <c r="G16" s="289">
        <f t="shared" si="2"/>
        <v>356084341.27405566</v>
      </c>
      <c r="H16" s="289">
        <f t="shared" si="2"/>
        <v>429222781.6016708</v>
      </c>
      <c r="I16" s="289">
        <f t="shared" si="2"/>
        <v>493886608.46328586</v>
      </c>
      <c r="J16" s="289">
        <f t="shared" si="2"/>
        <v>440463656.05978864</v>
      </c>
      <c r="K16" s="289">
        <f t="shared" si="2"/>
        <v>487362711.55032027</v>
      </c>
      <c r="L16" s="287"/>
      <c r="M16" s="222"/>
      <c r="N16" s="222"/>
      <c r="O16" s="222"/>
      <c r="P16" s="222"/>
      <c r="Q16" s="222"/>
      <c r="R16" s="222"/>
      <c r="S16" s="222"/>
      <c r="T16" s="222"/>
      <c r="U16" s="222"/>
      <c r="V16" s="222"/>
      <c r="W16" s="287"/>
    </row>
    <row r="17" spans="1:22" ht="13.5" thickTop="1">
      <c r="M17" s="222"/>
      <c r="N17" s="222"/>
      <c r="O17" s="222"/>
      <c r="P17" s="222"/>
      <c r="Q17" s="222"/>
      <c r="R17" s="222"/>
      <c r="S17" s="222"/>
      <c r="T17" s="222"/>
      <c r="U17" s="222"/>
      <c r="V17" s="222"/>
    </row>
    <row r="18" spans="1:22">
      <c r="M18" s="222"/>
      <c r="N18" s="222"/>
      <c r="O18" s="222"/>
      <c r="P18" s="222"/>
      <c r="Q18" s="222"/>
      <c r="R18" s="222"/>
      <c r="S18" s="222"/>
      <c r="T18" s="222"/>
      <c r="U18" s="222"/>
      <c r="V18" s="222"/>
    </row>
    <row r="19" spans="1:22">
      <c r="M19" s="242"/>
      <c r="N19" s="242"/>
      <c r="O19" s="242"/>
      <c r="P19" s="242"/>
      <c r="Q19" s="242"/>
      <c r="R19" s="242"/>
      <c r="S19" s="242"/>
      <c r="T19" s="242"/>
      <c r="U19" s="242"/>
      <c r="V19" s="242"/>
    </row>
    <row r="20" spans="1:22">
      <c r="M20" s="242"/>
      <c r="N20" s="242"/>
      <c r="O20" s="242"/>
      <c r="P20" s="242"/>
      <c r="Q20" s="242"/>
      <c r="R20" s="242"/>
      <c r="S20" s="242"/>
      <c r="T20" s="242"/>
      <c r="U20" s="242"/>
      <c r="V20" s="242"/>
    </row>
    <row r="21" spans="1:22">
      <c r="B21" s="181"/>
      <c r="C21" s="181"/>
      <c r="D21" s="181"/>
      <c r="E21" s="181"/>
      <c r="F21" s="181"/>
      <c r="G21" s="181"/>
      <c r="H21" s="181"/>
      <c r="I21" s="181"/>
      <c r="J21" s="181"/>
      <c r="K21" s="181"/>
      <c r="M21" s="242"/>
      <c r="N21" s="242"/>
      <c r="O21" s="242"/>
      <c r="P21" s="242"/>
      <c r="Q21" s="242"/>
      <c r="R21" s="242"/>
      <c r="S21" s="242"/>
      <c r="T21" s="242"/>
      <c r="U21" s="242"/>
      <c r="V21" s="242"/>
    </row>
    <row r="22" spans="1:22">
      <c r="A22" s="215"/>
      <c r="B22" s="234"/>
      <c r="C22" s="234"/>
      <c r="D22" s="234"/>
      <c r="E22" s="234"/>
      <c r="F22" s="234"/>
      <c r="G22" s="234"/>
      <c r="H22" s="234"/>
      <c r="I22" s="234"/>
      <c r="J22" s="234"/>
      <c r="K22" s="234"/>
      <c r="M22" s="234"/>
      <c r="N22" s="234"/>
      <c r="O22" s="215"/>
      <c r="P22" s="215"/>
      <c r="Q22" s="215"/>
      <c r="R22" s="215"/>
      <c r="S22" s="215"/>
      <c r="T22" s="215"/>
      <c r="U22" s="215"/>
      <c r="V22" s="215"/>
    </row>
    <row r="23" spans="1:22">
      <c r="A23" s="215"/>
      <c r="B23" s="234"/>
      <c r="C23" s="234"/>
      <c r="D23" s="234"/>
      <c r="E23" s="234"/>
      <c r="F23" s="234"/>
      <c r="G23" s="234"/>
      <c r="H23" s="234"/>
      <c r="I23" s="234"/>
      <c r="J23" s="234"/>
      <c r="K23" s="234"/>
      <c r="M23" s="234"/>
      <c r="N23" s="234"/>
      <c r="O23" s="215"/>
      <c r="P23" s="215"/>
      <c r="Q23" s="215"/>
      <c r="R23" s="215"/>
      <c r="S23" s="215"/>
      <c r="T23" s="215"/>
      <c r="U23" s="215"/>
      <c r="V23" s="215"/>
    </row>
    <row r="24" spans="1:22">
      <c r="B24" s="222"/>
      <c r="C24" s="222"/>
      <c r="D24" s="222"/>
      <c r="E24" s="222"/>
      <c r="F24" s="222"/>
      <c r="G24" s="222"/>
      <c r="H24" s="222"/>
      <c r="I24" s="222"/>
      <c r="J24" s="222"/>
      <c r="K24" s="222"/>
    </row>
    <row r="25" spans="1:22">
      <c r="B25" s="222"/>
      <c r="H25" s="234"/>
      <c r="I25" s="222"/>
      <c r="J25" s="250"/>
      <c r="M25" s="222"/>
    </row>
    <row r="26" spans="1:22">
      <c r="G26" s="292"/>
      <c r="H26" s="234"/>
      <c r="I26" s="293"/>
      <c r="J26" s="250"/>
      <c r="M26" s="222"/>
    </row>
    <row r="27" spans="1:22">
      <c r="H27" s="222"/>
      <c r="I27" s="222"/>
    </row>
  </sheetData>
  <mergeCells count="3">
    <mergeCell ref="A12:K12"/>
    <mergeCell ref="B1:E1"/>
    <mergeCell ref="M1:V1"/>
  </mergeCells>
  <pageMargins left="0.7" right="0.7" top="0.75" bottom="0.75" header="0.3" footer="0.3"/>
  <pageSetup paperSize="119" orientation="landscape" horizontalDpi="1200" verticalDpi="1200" r:id="rId1"/>
  <headerFooter>
    <oddHeader>&amp;LAppendix E: Incremental Cost Calculation&amp;RDraft Clean Energy Implementation Plan</oddHeader>
    <oddFooter>&amp;LOCTOBER 15, 2021&amp;C&amp;P of &amp;N&amp;RPuget Sound Energy</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Q107"/>
  <sheetViews>
    <sheetView topLeftCell="A40" workbookViewId="0">
      <selection activeCell="K123" sqref="K123"/>
    </sheetView>
  </sheetViews>
  <sheetFormatPr defaultColWidth="9.140625" defaultRowHeight="15"/>
  <cols>
    <col min="1" max="1" width="18.5703125" style="54" customWidth="1"/>
    <col min="2" max="2" width="66.140625" style="54" bestFit="1" customWidth="1"/>
    <col min="3" max="4" width="11.5703125" style="54" bestFit="1" customWidth="1"/>
    <col min="5" max="5" width="16" style="54" bestFit="1" customWidth="1"/>
    <col min="6" max="6" width="15.28515625" style="54" bestFit="1" customWidth="1"/>
    <col min="7" max="13" width="16.28515625" style="54" bestFit="1" customWidth="1"/>
    <col min="14" max="14" width="36.5703125" style="54" customWidth="1"/>
    <col min="15" max="15" width="17.85546875" style="54" customWidth="1"/>
    <col min="16" max="16" width="16.85546875" style="54" customWidth="1"/>
    <col min="17" max="17" width="18.42578125" style="54" customWidth="1"/>
    <col min="18" max="16384" width="9.140625" style="54"/>
  </cols>
  <sheetData>
    <row r="3" spans="1:17" s="88" customFormat="1">
      <c r="A3" s="104" t="s">
        <v>0</v>
      </c>
    </row>
    <row r="5" spans="1:17">
      <c r="A5" s="54">
        <v>2019</v>
      </c>
      <c r="C5" s="54">
        <v>2020</v>
      </c>
      <c r="D5" s="54">
        <f>C5+1</f>
        <v>2021</v>
      </c>
      <c r="E5" s="54">
        <f t="shared" ref="E5:M5" si="0">D5+1</f>
        <v>2022</v>
      </c>
      <c r="F5" s="54">
        <f t="shared" si="0"/>
        <v>2023</v>
      </c>
      <c r="G5" s="54">
        <f t="shared" si="0"/>
        <v>2024</v>
      </c>
      <c r="H5" s="54">
        <f t="shared" si="0"/>
        <v>2025</v>
      </c>
      <c r="I5" s="54">
        <f t="shared" si="0"/>
        <v>2026</v>
      </c>
      <c r="J5" s="54">
        <f t="shared" si="0"/>
        <v>2027</v>
      </c>
      <c r="K5" s="54">
        <f t="shared" si="0"/>
        <v>2028</v>
      </c>
      <c r="L5" s="54">
        <f t="shared" si="0"/>
        <v>2029</v>
      </c>
      <c r="M5" s="54">
        <f t="shared" si="0"/>
        <v>2030</v>
      </c>
      <c r="O5" s="54" t="s">
        <v>188</v>
      </c>
      <c r="P5" s="54" t="s">
        <v>189</v>
      </c>
      <c r="Q5" s="54" t="s">
        <v>132</v>
      </c>
    </row>
    <row r="6" spans="1:17">
      <c r="A6" s="55">
        <v>2127052953.75</v>
      </c>
      <c r="B6" s="54" t="s">
        <v>133</v>
      </c>
      <c r="C6" s="55">
        <f>A6/1000*1.025</f>
        <v>2180229.2775937496</v>
      </c>
      <c r="D6" s="55">
        <f>C6*1.025</f>
        <v>2234735.009533593</v>
      </c>
      <c r="E6" s="55">
        <f t="shared" ref="E6:M6" si="1">D6*1.025</f>
        <v>2290603.3847719324</v>
      </c>
      <c r="F6" s="55">
        <f t="shared" si="1"/>
        <v>2347868.4693912305</v>
      </c>
      <c r="G6" s="55">
        <f t="shared" si="1"/>
        <v>2406565.1811260111</v>
      </c>
      <c r="H6" s="55">
        <f t="shared" si="1"/>
        <v>2466729.310654161</v>
      </c>
      <c r="I6" s="55">
        <f t="shared" si="1"/>
        <v>2528397.543420515</v>
      </c>
      <c r="J6" s="55">
        <f t="shared" si="1"/>
        <v>2591607.4820060278</v>
      </c>
      <c r="K6" s="55">
        <f t="shared" si="1"/>
        <v>2656397.6690561781</v>
      </c>
      <c r="L6" s="55">
        <f t="shared" si="1"/>
        <v>2722807.6107825823</v>
      </c>
      <c r="M6" s="55">
        <f t="shared" si="1"/>
        <v>2790877.8010521466</v>
      </c>
    </row>
    <row r="7" spans="1:17">
      <c r="A7" s="55"/>
      <c r="B7" s="54" t="s">
        <v>134</v>
      </c>
      <c r="C7" s="86">
        <v>0</v>
      </c>
      <c r="D7" s="86">
        <v>0</v>
      </c>
      <c r="E7" s="86">
        <v>0</v>
      </c>
      <c r="F7" s="86">
        <v>0</v>
      </c>
      <c r="G7" s="86">
        <v>0</v>
      </c>
      <c r="H7" s="86">
        <v>0</v>
      </c>
      <c r="I7" s="86">
        <v>0</v>
      </c>
      <c r="J7" s="86">
        <v>0</v>
      </c>
      <c r="K7" s="86">
        <v>0</v>
      </c>
      <c r="L7" s="86">
        <v>0</v>
      </c>
      <c r="M7" s="86">
        <v>0</v>
      </c>
    </row>
    <row r="8" spans="1:17">
      <c r="A8" s="55"/>
      <c r="B8" s="54" t="s">
        <v>135</v>
      </c>
      <c r="C8" s="55">
        <f>C6*(1+C7)</f>
        <v>2180229.2775937496</v>
      </c>
      <c r="D8" s="55">
        <f t="shared" ref="D8:M8" si="2">D6*(1+D7)</f>
        <v>2234735.009533593</v>
      </c>
      <c r="E8" s="55">
        <f t="shared" si="2"/>
        <v>2290603.3847719324</v>
      </c>
      <c r="F8" s="55">
        <f t="shared" si="2"/>
        <v>2347868.4693912305</v>
      </c>
      <c r="G8" s="55">
        <f t="shared" si="2"/>
        <v>2406565.1811260111</v>
      </c>
      <c r="H8" s="55">
        <f t="shared" si="2"/>
        <v>2466729.310654161</v>
      </c>
      <c r="I8" s="55">
        <f t="shared" si="2"/>
        <v>2528397.543420515</v>
      </c>
      <c r="J8" s="55">
        <f t="shared" si="2"/>
        <v>2591607.4820060278</v>
      </c>
      <c r="K8" s="55">
        <f t="shared" si="2"/>
        <v>2656397.6690561781</v>
      </c>
      <c r="L8" s="55">
        <f t="shared" si="2"/>
        <v>2722807.6107825823</v>
      </c>
      <c r="M8" s="55">
        <f t="shared" si="2"/>
        <v>2790877.8010521466</v>
      </c>
    </row>
    <row r="9" spans="1:17">
      <c r="A9" s="55"/>
      <c r="C9" s="55"/>
      <c r="D9" s="106" t="s">
        <v>199</v>
      </c>
      <c r="E9" s="89">
        <f>E8/1000</f>
        <v>2290.6033847719323</v>
      </c>
      <c r="F9" s="89">
        <f t="shared" ref="F9:M9" si="3">F8/1000</f>
        <v>2347.8684693912305</v>
      </c>
      <c r="G9" s="89">
        <f t="shared" si="3"/>
        <v>2406.5651811260109</v>
      </c>
      <c r="H9" s="89">
        <f t="shared" si="3"/>
        <v>2466.7293106541611</v>
      </c>
      <c r="I9" s="89">
        <f t="shared" si="3"/>
        <v>2528.3975434205149</v>
      </c>
      <c r="J9" s="89">
        <f t="shared" si="3"/>
        <v>2591.607482006028</v>
      </c>
      <c r="K9" s="89">
        <f t="shared" si="3"/>
        <v>2656.3976690561781</v>
      </c>
      <c r="L9" s="89">
        <f t="shared" si="3"/>
        <v>2722.8076107825823</v>
      </c>
      <c r="M9" s="89">
        <f t="shared" si="3"/>
        <v>2790.8778010521464</v>
      </c>
    </row>
    <row r="10" spans="1:17">
      <c r="A10" s="55"/>
      <c r="C10" s="55"/>
      <c r="D10" s="55"/>
      <c r="E10" s="55"/>
      <c r="F10" s="55"/>
      <c r="G10" s="55"/>
      <c r="H10" s="55"/>
      <c r="I10" s="55"/>
      <c r="J10" s="55"/>
      <c r="K10" s="55"/>
      <c r="L10" s="55"/>
      <c r="M10" s="55"/>
    </row>
    <row r="11" spans="1:17">
      <c r="B11" s="54" t="s">
        <v>137</v>
      </c>
      <c r="C11" s="55"/>
      <c r="D11" s="55"/>
      <c r="E11" s="55">
        <f>D8*0.02</f>
        <v>44694.700190671858</v>
      </c>
      <c r="F11" s="55">
        <f>E11+((F8+E11)*0.02)</f>
        <v>92545.963582309894</v>
      </c>
      <c r="G11" s="55">
        <f t="shared" ref="G11:M11" si="4">F11+((G8+F11)*0.02)</f>
        <v>142528.18647647632</v>
      </c>
      <c r="H11" s="55">
        <f t="shared" si="4"/>
        <v>194713.33641908906</v>
      </c>
      <c r="I11" s="55">
        <f t="shared" si="4"/>
        <v>249175.55401588115</v>
      </c>
      <c r="J11" s="55">
        <f t="shared" si="4"/>
        <v>305991.21473631932</v>
      </c>
      <c r="K11" s="55">
        <f t="shared" si="4"/>
        <v>365238.99241216929</v>
      </c>
      <c r="L11" s="55">
        <f t="shared" si="4"/>
        <v>426999.92447606433</v>
      </c>
      <c r="M11" s="55">
        <f t="shared" si="4"/>
        <v>491357.47898662853</v>
      </c>
    </row>
    <row r="12" spans="1:17">
      <c r="B12" s="54" t="s">
        <v>160</v>
      </c>
      <c r="C12" s="55"/>
      <c r="D12" s="55"/>
      <c r="E12" s="91">
        <f>E11*1000</f>
        <v>44694700.190671861</v>
      </c>
      <c r="F12" s="91">
        <f t="shared" ref="F12:M12" si="5">F11*1000</f>
        <v>92545963.582309902</v>
      </c>
      <c r="G12" s="91">
        <f t="shared" si="5"/>
        <v>142528186.47647631</v>
      </c>
      <c r="H12" s="91">
        <f t="shared" si="5"/>
        <v>194713336.41908905</v>
      </c>
      <c r="I12" s="91">
        <f t="shared" si="5"/>
        <v>249175554.01588115</v>
      </c>
      <c r="J12" s="91">
        <f t="shared" si="5"/>
        <v>305991214.7363193</v>
      </c>
      <c r="K12" s="91">
        <f t="shared" si="5"/>
        <v>365238992.41216928</v>
      </c>
      <c r="L12" s="91">
        <f t="shared" si="5"/>
        <v>426999924.47606432</v>
      </c>
      <c r="M12" s="91">
        <f t="shared" si="5"/>
        <v>491357478.98662853</v>
      </c>
      <c r="O12" s="55">
        <f>SUM(E12:H12)</f>
        <v>474482186.66854715</v>
      </c>
      <c r="P12" s="55">
        <f>SUM(I12:L12)</f>
        <v>1347405685.6404343</v>
      </c>
      <c r="Q12" s="55">
        <f>SUM(E12:M12)</f>
        <v>2313245351.29561</v>
      </c>
    </row>
    <row r="13" spans="1:17">
      <c r="D13" s="106" t="s">
        <v>199</v>
      </c>
      <c r="E13" s="89">
        <f>E12/1000</f>
        <v>44694.700190671858</v>
      </c>
      <c r="F13" s="89">
        <f t="shared" ref="F13:M13" si="6">F12/1000</f>
        <v>92545.963582309909</v>
      </c>
      <c r="G13" s="89">
        <f t="shared" si="6"/>
        <v>142528.18647647632</v>
      </c>
      <c r="H13" s="89">
        <f t="shared" si="6"/>
        <v>194713.33641908906</v>
      </c>
      <c r="I13" s="89">
        <f t="shared" si="6"/>
        <v>249175.55401588115</v>
      </c>
      <c r="J13" s="89">
        <f t="shared" si="6"/>
        <v>305991.21473631932</v>
      </c>
      <c r="K13" s="89">
        <f t="shared" si="6"/>
        <v>365238.99241216929</v>
      </c>
      <c r="L13" s="89">
        <f t="shared" si="6"/>
        <v>426999.92447606433</v>
      </c>
      <c r="M13" s="89">
        <f t="shared" si="6"/>
        <v>491357.47898662853</v>
      </c>
    </row>
    <row r="14" spans="1:17">
      <c r="D14" s="106"/>
      <c r="E14" s="89"/>
      <c r="F14" s="89"/>
      <c r="G14" s="89"/>
      <c r="H14" s="89"/>
      <c r="I14" s="89"/>
      <c r="J14" s="89"/>
      <c r="K14" s="89"/>
      <c r="L14" s="89"/>
      <c r="M14" s="89"/>
    </row>
    <row r="15" spans="1:17">
      <c r="B15" s="10" t="s">
        <v>0</v>
      </c>
      <c r="O15" s="55"/>
      <c r="P15" s="55"/>
      <c r="Q15" s="55"/>
    </row>
    <row r="16" spans="1:17">
      <c r="B16" s="54" t="s">
        <v>138</v>
      </c>
      <c r="E16" s="55" t="e">
        <f>#REF!</f>
        <v>#REF!</v>
      </c>
      <c r="F16" s="55" t="e">
        <f>#REF!</f>
        <v>#REF!</v>
      </c>
      <c r="G16" s="55" t="e">
        <f>#REF!</f>
        <v>#REF!</v>
      </c>
      <c r="H16" s="55" t="e">
        <f>#REF!</f>
        <v>#REF!</v>
      </c>
      <c r="I16" s="55" t="e">
        <f>#REF!</f>
        <v>#REF!</v>
      </c>
      <c r="J16" s="55" t="e">
        <f>#REF!</f>
        <v>#REF!</v>
      </c>
      <c r="K16" s="55" t="e">
        <f>#REF!</f>
        <v>#REF!</v>
      </c>
      <c r="L16" s="55" t="e">
        <f>#REF!</f>
        <v>#REF!</v>
      </c>
      <c r="M16" s="55" t="e">
        <f>#REF!</f>
        <v>#REF!</v>
      </c>
      <c r="O16" s="55"/>
      <c r="P16" s="55"/>
      <c r="Q16" s="55"/>
    </row>
    <row r="17" spans="2:17">
      <c r="B17" s="54" t="s">
        <v>139</v>
      </c>
      <c r="E17" s="55" t="e">
        <f>#REF!</f>
        <v>#REF!</v>
      </c>
      <c r="F17" s="55" t="e">
        <f>#REF!</f>
        <v>#REF!</v>
      </c>
      <c r="G17" s="55" t="e">
        <f>#REF!</f>
        <v>#REF!</v>
      </c>
      <c r="H17" s="55" t="e">
        <f>#REF!</f>
        <v>#REF!</v>
      </c>
      <c r="I17" s="55" t="e">
        <f>#REF!</f>
        <v>#REF!</v>
      </c>
      <c r="J17" s="55" t="e">
        <f>#REF!</f>
        <v>#REF!</v>
      </c>
      <c r="K17" s="55" t="e">
        <f>#REF!</f>
        <v>#REF!</v>
      </c>
      <c r="L17" s="55" t="e">
        <f>#REF!</f>
        <v>#REF!</v>
      </c>
      <c r="M17" s="55" t="e">
        <f>#REF!</f>
        <v>#REF!</v>
      </c>
      <c r="O17" s="55"/>
      <c r="P17" s="55"/>
      <c r="Q17" s="55"/>
    </row>
    <row r="18" spans="2:17">
      <c r="B18" s="54" t="s">
        <v>140</v>
      </c>
      <c r="E18" s="55" t="e">
        <f>#REF!</f>
        <v>#REF!</v>
      </c>
      <c r="F18" s="55" t="e">
        <f>#REF!</f>
        <v>#REF!</v>
      </c>
      <c r="G18" s="55" t="e">
        <f>#REF!</f>
        <v>#REF!</v>
      </c>
      <c r="H18" s="55" t="e">
        <f>#REF!</f>
        <v>#REF!</v>
      </c>
      <c r="I18" s="55" t="e">
        <f>#REF!</f>
        <v>#REF!</v>
      </c>
      <c r="J18" s="55" t="e">
        <f>#REF!</f>
        <v>#REF!</v>
      </c>
      <c r="K18" s="55" t="e">
        <f>#REF!</f>
        <v>#REF!</v>
      </c>
      <c r="L18" s="55" t="e">
        <f>#REF!</f>
        <v>#REF!</v>
      </c>
      <c r="M18" s="55" t="e">
        <f>#REF!</f>
        <v>#REF!</v>
      </c>
      <c r="O18" s="55"/>
      <c r="P18" s="55"/>
      <c r="Q18" s="55"/>
    </row>
    <row r="19" spans="2:17">
      <c r="B19" s="54" t="s">
        <v>198</v>
      </c>
      <c r="M19" s="55">
        <v>65674741.433110543</v>
      </c>
      <c r="O19" s="55"/>
      <c r="P19" s="55"/>
      <c r="Q19" s="55"/>
    </row>
    <row r="20" spans="2:17">
      <c r="O20" s="55"/>
      <c r="P20" s="55"/>
      <c r="Q20" s="55"/>
    </row>
    <row r="21" spans="2:17">
      <c r="O21" s="55"/>
      <c r="P21" s="55"/>
      <c r="Q21" s="55"/>
    </row>
    <row r="22" spans="2:17">
      <c r="B22" s="54" t="s">
        <v>161</v>
      </c>
      <c r="E22" s="55" t="e">
        <f>#REF!*1000</f>
        <v>#REF!</v>
      </c>
      <c r="F22" s="55" t="e">
        <f>#REF!*1000</f>
        <v>#REF!</v>
      </c>
      <c r="G22" s="55" t="e">
        <f>#REF!*1000</f>
        <v>#REF!</v>
      </c>
      <c r="H22" s="55" t="e">
        <f>#REF!*1000</f>
        <v>#REF!</v>
      </c>
      <c r="I22" s="92" t="e">
        <f>H22</f>
        <v>#REF!</v>
      </c>
      <c r="J22" s="92" t="e">
        <f t="shared" ref="J22:M22" si="7">I22</f>
        <v>#REF!</v>
      </c>
      <c r="K22" s="92" t="e">
        <f t="shared" si="7"/>
        <v>#REF!</v>
      </c>
      <c r="L22" s="92" t="e">
        <f t="shared" si="7"/>
        <v>#REF!</v>
      </c>
      <c r="M22" s="92" t="e">
        <f t="shared" si="7"/>
        <v>#REF!</v>
      </c>
      <c r="O22" s="55"/>
      <c r="P22" s="55"/>
      <c r="Q22" s="55"/>
    </row>
    <row r="23" spans="2:17">
      <c r="B23" s="54" t="s">
        <v>162</v>
      </c>
      <c r="O23" s="55"/>
      <c r="P23" s="55"/>
      <c r="Q23" s="55"/>
    </row>
    <row r="24" spans="2:17">
      <c r="B24" s="54" t="s">
        <v>163</v>
      </c>
      <c r="E24" s="55">
        <f>'Supporting - Education'!B11</f>
        <v>6392432.5</v>
      </c>
      <c r="F24" s="55">
        <f>'Supporting - Education'!C11</f>
        <v>9541537.5</v>
      </c>
      <c r="G24" s="55">
        <f>'Supporting - Education'!D11</f>
        <v>9779112.5</v>
      </c>
      <c r="H24" s="55">
        <f>'Supporting - Education'!E11</f>
        <v>10195182.5</v>
      </c>
      <c r="I24" s="93">
        <f>H24</f>
        <v>10195182.5</v>
      </c>
      <c r="J24" s="93">
        <f>I24</f>
        <v>10195182.5</v>
      </c>
      <c r="K24" s="93">
        <f>J24</f>
        <v>10195182.5</v>
      </c>
      <c r="L24" s="93">
        <f>K24</f>
        <v>10195182.5</v>
      </c>
      <c r="M24" s="93">
        <f>L24</f>
        <v>10195182.5</v>
      </c>
      <c r="O24" s="55"/>
      <c r="P24" s="55"/>
      <c r="Q24" s="55"/>
    </row>
    <row r="25" spans="2:17">
      <c r="B25" s="54" t="s">
        <v>164</v>
      </c>
      <c r="E25" s="55">
        <f>'Supporting Administration'!H21</f>
        <v>1761850</v>
      </c>
      <c r="F25" s="55">
        <f>'Supporting Administration'!I21</f>
        <v>1798396.25</v>
      </c>
      <c r="G25" s="55">
        <f>'Supporting Administration'!J21</f>
        <v>1835856.15625</v>
      </c>
      <c r="H25" s="55">
        <f>'Supporting Administration'!K21</f>
        <v>1874252.5601562497</v>
      </c>
      <c r="I25" s="93">
        <f>H25</f>
        <v>1874252.5601562497</v>
      </c>
      <c r="J25" s="93">
        <f t="shared" ref="J25:M25" si="8">I25</f>
        <v>1874252.5601562497</v>
      </c>
      <c r="K25" s="93">
        <f t="shared" si="8"/>
        <v>1874252.5601562497</v>
      </c>
      <c r="L25" s="93">
        <f t="shared" si="8"/>
        <v>1874252.5601562497</v>
      </c>
      <c r="M25" s="93">
        <f t="shared" si="8"/>
        <v>1874252.5601562497</v>
      </c>
      <c r="O25" s="55"/>
      <c r="P25" s="55"/>
      <c r="Q25" s="55"/>
    </row>
    <row r="26" spans="2:17">
      <c r="O26" s="55"/>
      <c r="P26" s="55"/>
      <c r="Q26" s="55"/>
    </row>
    <row r="27" spans="2:17">
      <c r="B27" s="54" t="s">
        <v>187</v>
      </c>
      <c r="E27" s="53" t="e">
        <f>SUM(E16:E25)</f>
        <v>#REF!</v>
      </c>
      <c r="F27" s="53" t="e">
        <f t="shared" ref="F27:M27" si="9">SUM(F16:F25)</f>
        <v>#REF!</v>
      </c>
      <c r="G27" s="53" t="e">
        <f t="shared" si="9"/>
        <v>#REF!</v>
      </c>
      <c r="H27" s="53" t="e">
        <f t="shared" si="9"/>
        <v>#REF!</v>
      </c>
      <c r="I27" s="53" t="e">
        <f t="shared" si="9"/>
        <v>#REF!</v>
      </c>
      <c r="J27" s="53" t="e">
        <f t="shared" si="9"/>
        <v>#REF!</v>
      </c>
      <c r="K27" s="53" t="e">
        <f t="shared" si="9"/>
        <v>#REF!</v>
      </c>
      <c r="L27" s="53" t="e">
        <f t="shared" si="9"/>
        <v>#REF!</v>
      </c>
      <c r="M27" s="53" t="e">
        <f t="shared" si="9"/>
        <v>#REF!</v>
      </c>
      <c r="O27" s="55" t="e">
        <f>SUM(E27:H27)</f>
        <v>#REF!</v>
      </c>
      <c r="P27" s="55" t="e">
        <f>SUM(I27:L27)</f>
        <v>#REF!</v>
      </c>
      <c r="Q27" s="55" t="e">
        <f>SUM(E27:M27)</f>
        <v>#REF!</v>
      </c>
    </row>
    <row r="28" spans="2:17">
      <c r="D28" s="106" t="s">
        <v>199</v>
      </c>
      <c r="E28" s="89" t="e">
        <f>E27/1000</f>
        <v>#REF!</v>
      </c>
      <c r="F28" s="89" t="e">
        <f t="shared" ref="F28:M28" si="10">F27/1000</f>
        <v>#REF!</v>
      </c>
      <c r="G28" s="89" t="e">
        <f t="shared" si="10"/>
        <v>#REF!</v>
      </c>
      <c r="H28" s="89" t="e">
        <f t="shared" si="10"/>
        <v>#REF!</v>
      </c>
      <c r="I28" s="89" t="e">
        <f t="shared" si="10"/>
        <v>#REF!</v>
      </c>
      <c r="J28" s="89" t="e">
        <f t="shared" si="10"/>
        <v>#REF!</v>
      </c>
      <c r="K28" s="89" t="e">
        <f t="shared" si="10"/>
        <v>#REF!</v>
      </c>
      <c r="L28" s="89" t="e">
        <f t="shared" si="10"/>
        <v>#REF!</v>
      </c>
      <c r="M28" s="89" t="e">
        <f t="shared" si="10"/>
        <v>#REF!</v>
      </c>
      <c r="O28" s="55"/>
      <c r="P28" s="55"/>
      <c r="Q28" s="55"/>
    </row>
    <row r="29" spans="2:17" ht="6.75" customHeight="1"/>
    <row r="30" spans="2:17">
      <c r="O30" s="53" t="e">
        <f>O27-O12</f>
        <v>#REF!</v>
      </c>
      <c r="P30" s="53" t="e">
        <f>P27-P12</f>
        <v>#REF!</v>
      </c>
      <c r="Q30" s="53" t="e">
        <f>Q27-Q12</f>
        <v>#REF!</v>
      </c>
    </row>
    <row r="31" spans="2:17">
      <c r="O31" s="94" t="e">
        <f>O30/O12</f>
        <v>#REF!</v>
      </c>
      <c r="P31" s="94" t="e">
        <f>P30/P12</f>
        <v>#REF!</v>
      </c>
      <c r="Q31" s="94" t="e">
        <f>Q30/Q12</f>
        <v>#REF!</v>
      </c>
    </row>
    <row r="39" spans="1:17" s="88" customFormat="1">
      <c r="A39" s="104" t="s">
        <v>136</v>
      </c>
    </row>
    <row r="41" spans="1:17">
      <c r="A41" s="54">
        <v>2019</v>
      </c>
      <c r="C41" s="54">
        <v>2020</v>
      </c>
      <c r="D41" s="54">
        <f>C41+1</f>
        <v>2021</v>
      </c>
      <c r="E41" s="54">
        <f t="shared" ref="E41:M41" si="11">D41+1</f>
        <v>2022</v>
      </c>
      <c r="F41" s="54">
        <f t="shared" si="11"/>
        <v>2023</v>
      </c>
      <c r="G41" s="54">
        <f t="shared" si="11"/>
        <v>2024</v>
      </c>
      <c r="H41" s="54">
        <f t="shared" si="11"/>
        <v>2025</v>
      </c>
      <c r="I41" s="54">
        <f t="shared" si="11"/>
        <v>2026</v>
      </c>
      <c r="J41" s="54">
        <f t="shared" si="11"/>
        <v>2027</v>
      </c>
      <c r="K41" s="54">
        <f t="shared" si="11"/>
        <v>2028</v>
      </c>
      <c r="L41" s="54">
        <f t="shared" si="11"/>
        <v>2029</v>
      </c>
      <c r="M41" s="54">
        <f t="shared" si="11"/>
        <v>2030</v>
      </c>
      <c r="O41" s="54" t="s">
        <v>188</v>
      </c>
      <c r="P41" s="54" t="s">
        <v>189</v>
      </c>
      <c r="Q41" s="54" t="s">
        <v>132</v>
      </c>
    </row>
    <row r="42" spans="1:17">
      <c r="A42" s="55">
        <v>2127052953.75</v>
      </c>
      <c r="B42" s="54" t="s">
        <v>133</v>
      </c>
      <c r="C42" s="55">
        <f>A42/1000*1.025</f>
        <v>2180229.2775937496</v>
      </c>
      <c r="D42" s="55">
        <f>C42*1.025</f>
        <v>2234735.009533593</v>
      </c>
      <c r="E42" s="55">
        <f t="shared" ref="E42:M42" si="12">D42*1.025</f>
        <v>2290603.3847719324</v>
      </c>
      <c r="F42" s="55">
        <f t="shared" si="12"/>
        <v>2347868.4693912305</v>
      </c>
      <c r="G42" s="55">
        <f t="shared" si="12"/>
        <v>2406565.1811260111</v>
      </c>
      <c r="H42" s="55">
        <f t="shared" si="12"/>
        <v>2466729.310654161</v>
      </c>
      <c r="I42" s="55">
        <f t="shared" si="12"/>
        <v>2528397.543420515</v>
      </c>
      <c r="J42" s="55">
        <f t="shared" si="12"/>
        <v>2591607.4820060278</v>
      </c>
      <c r="K42" s="55">
        <f t="shared" si="12"/>
        <v>2656397.6690561781</v>
      </c>
      <c r="L42" s="55">
        <f t="shared" si="12"/>
        <v>2722807.6107825823</v>
      </c>
      <c r="M42" s="55">
        <f t="shared" si="12"/>
        <v>2790877.8010521466</v>
      </c>
    </row>
    <row r="43" spans="1:17">
      <c r="A43" s="55"/>
      <c r="B43" s="54" t="s">
        <v>134</v>
      </c>
      <c r="C43" s="86">
        <v>8.3229256498498967E-4</v>
      </c>
      <c r="D43" s="86">
        <v>2.2116414275339838E-3</v>
      </c>
      <c r="E43" s="86">
        <v>3.628302799205005E-3</v>
      </c>
      <c r="F43" s="86">
        <v>5.0027650536231443E-3</v>
      </c>
      <c r="G43" s="86">
        <v>6.3433979592901662E-3</v>
      </c>
      <c r="H43" s="86">
        <v>7.7011821313547049E-3</v>
      </c>
      <c r="I43" s="86">
        <v>9.0295768743427762E-3</v>
      </c>
      <c r="J43" s="86">
        <v>1.0349497908191429E-2</v>
      </c>
      <c r="K43" s="86">
        <v>1.1636283914006925E-2</v>
      </c>
      <c r="L43" s="86">
        <v>1.2827272365579134E-2</v>
      </c>
      <c r="M43" s="86">
        <v>1.2892769118407721E-2</v>
      </c>
    </row>
    <row r="44" spans="1:17">
      <c r="A44" s="55"/>
      <c r="B44" s="54" t="s">
        <v>135</v>
      </c>
      <c r="C44" s="55">
        <f>C42*(1+C43)</f>
        <v>2182043.8662114535</v>
      </c>
      <c r="D44" s="55">
        <f t="shared" ref="D44:M44" si="13">D42*(1+D43)</f>
        <v>2239677.4420602378</v>
      </c>
      <c r="E44" s="55">
        <f t="shared" si="13"/>
        <v>2298914.387444769</v>
      </c>
      <c r="F44" s="55">
        <f t="shared" si="13"/>
        <v>2359614.3037204044</v>
      </c>
      <c r="G44" s="55">
        <f t="shared" si="13"/>
        <v>2421830.9817848648</v>
      </c>
      <c r="H44" s="55">
        <f t="shared" si="13"/>
        <v>2485726.0423442596</v>
      </c>
      <c r="I44" s="55">
        <f t="shared" si="13"/>
        <v>2551227.9034077297</v>
      </c>
      <c r="J44" s="55">
        <f t="shared" si="13"/>
        <v>2618429.3182199025</v>
      </c>
      <c r="K44" s="55">
        <f t="shared" si="13"/>
        <v>2687308.2665218222</v>
      </c>
      <c r="L44" s="55">
        <f t="shared" si="13"/>
        <v>2757733.8056051624</v>
      </c>
      <c r="M44" s="55">
        <f t="shared" si="13"/>
        <v>2826859.9441788015</v>
      </c>
    </row>
    <row r="45" spans="1:17">
      <c r="A45" s="55"/>
      <c r="C45" s="55"/>
      <c r="D45" s="55"/>
      <c r="E45" s="55"/>
      <c r="F45" s="55"/>
      <c r="G45" s="55"/>
      <c r="H45" s="55"/>
      <c r="I45" s="55"/>
      <c r="J45" s="55"/>
      <c r="K45" s="55"/>
      <c r="L45" s="55"/>
      <c r="M45" s="55"/>
    </row>
    <row r="46" spans="1:17">
      <c r="A46" s="55"/>
      <c r="C46" s="55"/>
      <c r="D46" s="55"/>
      <c r="E46" s="55"/>
      <c r="F46" s="55"/>
      <c r="G46" s="55"/>
      <c r="H46" s="55"/>
      <c r="I46" s="55"/>
      <c r="J46" s="55"/>
      <c r="K46" s="55"/>
      <c r="L46" s="55"/>
      <c r="M46" s="55"/>
    </row>
    <row r="47" spans="1:17">
      <c r="B47" s="54" t="s">
        <v>137</v>
      </c>
      <c r="C47" s="55"/>
      <c r="D47" s="55"/>
      <c r="E47" s="55">
        <f>D44*0.02</f>
        <v>44793.548841204756</v>
      </c>
      <c r="F47" s="55">
        <f>E47+((F44+E47)*0.02)</f>
        <v>92881.705892436934</v>
      </c>
      <c r="G47" s="55">
        <f t="shared" ref="G47:M47" si="14">F47+((G44+F47)*0.02)</f>
        <v>143175.95964598298</v>
      </c>
      <c r="H47" s="55">
        <f t="shared" si="14"/>
        <v>195753.99968578783</v>
      </c>
      <c r="I47" s="55">
        <f t="shared" si="14"/>
        <v>250693.63774765818</v>
      </c>
      <c r="J47" s="55">
        <f t="shared" si="14"/>
        <v>308076.09686700942</v>
      </c>
      <c r="K47" s="55">
        <f t="shared" si="14"/>
        <v>367983.78413478605</v>
      </c>
      <c r="L47" s="55">
        <f t="shared" si="14"/>
        <v>430498.13592958503</v>
      </c>
      <c r="M47" s="55">
        <f t="shared" si="14"/>
        <v>495645.29753175273</v>
      </c>
    </row>
    <row r="48" spans="1:17">
      <c r="B48" s="54" t="s">
        <v>160</v>
      </c>
      <c r="C48" s="55"/>
      <c r="D48" s="55"/>
      <c r="E48" s="91">
        <f>E47*1000</f>
        <v>44793548.841204755</v>
      </c>
      <c r="F48" s="91">
        <f t="shared" ref="F48:M48" si="15">F47*1000</f>
        <v>92881705.892436936</v>
      </c>
      <c r="G48" s="91">
        <f t="shared" si="15"/>
        <v>143175959.64598298</v>
      </c>
      <c r="H48" s="91">
        <f t="shared" si="15"/>
        <v>195753999.68578783</v>
      </c>
      <c r="I48" s="91">
        <f t="shared" si="15"/>
        <v>250693637.74765819</v>
      </c>
      <c r="J48" s="91">
        <f t="shared" si="15"/>
        <v>308076096.8670094</v>
      </c>
      <c r="K48" s="91">
        <f t="shared" si="15"/>
        <v>367983784.13478607</v>
      </c>
      <c r="L48" s="91">
        <f t="shared" si="15"/>
        <v>430498135.92958504</v>
      </c>
      <c r="M48" s="91">
        <f t="shared" si="15"/>
        <v>495645297.53175271</v>
      </c>
      <c r="O48" s="55">
        <f>SUM(E48:H48)</f>
        <v>476605214.06541252</v>
      </c>
      <c r="P48" s="55">
        <f>SUM(I48:L48)</f>
        <v>1357251654.6790388</v>
      </c>
      <c r="Q48" s="55">
        <f>SUM(E48:M48)</f>
        <v>2329502166.2762041</v>
      </c>
    </row>
    <row r="49" spans="2:17">
      <c r="O49" s="55"/>
      <c r="P49" s="55"/>
      <c r="Q49" s="55"/>
    </row>
    <row r="50" spans="2:17">
      <c r="B50" s="10" t="s">
        <v>136</v>
      </c>
      <c r="O50" s="55"/>
      <c r="P50" s="55"/>
      <c r="Q50" s="55"/>
    </row>
    <row r="51" spans="2:17">
      <c r="B51" s="54" t="s">
        <v>138</v>
      </c>
      <c r="E51" s="55" t="e">
        <f>#REF!</f>
        <v>#REF!</v>
      </c>
      <c r="F51" s="55" t="e">
        <f>#REF!</f>
        <v>#REF!</v>
      </c>
      <c r="G51" s="55" t="e">
        <f>#REF!</f>
        <v>#REF!</v>
      </c>
      <c r="H51" s="55" t="e">
        <f>#REF!</f>
        <v>#REF!</v>
      </c>
      <c r="I51" s="55" t="e">
        <f>#REF!</f>
        <v>#REF!</v>
      </c>
      <c r="J51" s="55" t="e">
        <f>#REF!</f>
        <v>#REF!</v>
      </c>
      <c r="K51" s="55" t="e">
        <f>#REF!</f>
        <v>#REF!</v>
      </c>
      <c r="L51" s="55" t="e">
        <f>#REF!</f>
        <v>#REF!</v>
      </c>
      <c r="M51" s="55" t="e">
        <f>#REF!</f>
        <v>#REF!</v>
      </c>
      <c r="O51" s="55"/>
      <c r="P51" s="55"/>
      <c r="Q51" s="55"/>
    </row>
    <row r="52" spans="2:17">
      <c r="B52" s="54" t="s">
        <v>139</v>
      </c>
      <c r="E52" s="55" t="e">
        <f>#REF!</f>
        <v>#REF!</v>
      </c>
      <c r="F52" s="55" t="e">
        <f>#REF!</f>
        <v>#REF!</v>
      </c>
      <c r="G52" s="55" t="e">
        <f>#REF!</f>
        <v>#REF!</v>
      </c>
      <c r="H52" s="55" t="e">
        <f>#REF!</f>
        <v>#REF!</v>
      </c>
      <c r="I52" s="55" t="e">
        <f>#REF!</f>
        <v>#REF!</v>
      </c>
      <c r="J52" s="55" t="e">
        <f>#REF!</f>
        <v>#REF!</v>
      </c>
      <c r="K52" s="55" t="e">
        <f>#REF!</f>
        <v>#REF!</v>
      </c>
      <c r="L52" s="55" t="e">
        <f>#REF!</f>
        <v>#REF!</v>
      </c>
      <c r="M52" s="55" t="e">
        <f>#REF!</f>
        <v>#REF!</v>
      </c>
      <c r="O52" s="55"/>
      <c r="P52" s="55"/>
      <c r="Q52" s="55"/>
    </row>
    <row r="53" spans="2:17">
      <c r="B53" s="54" t="s">
        <v>140</v>
      </c>
      <c r="E53" s="55" t="e">
        <f>#REF!</f>
        <v>#REF!</v>
      </c>
      <c r="F53" s="55" t="e">
        <f>#REF!</f>
        <v>#REF!</v>
      </c>
      <c r="G53" s="55" t="e">
        <f>#REF!</f>
        <v>#REF!</v>
      </c>
      <c r="H53" s="55" t="e">
        <f>#REF!</f>
        <v>#REF!</v>
      </c>
      <c r="I53" s="55" t="e">
        <f>#REF!</f>
        <v>#REF!</v>
      </c>
      <c r="J53" s="55" t="e">
        <f>#REF!</f>
        <v>#REF!</v>
      </c>
      <c r="K53" s="55" t="e">
        <f>#REF!</f>
        <v>#REF!</v>
      </c>
      <c r="L53" s="55" t="e">
        <f>#REF!</f>
        <v>#REF!</v>
      </c>
      <c r="M53" s="55" t="e">
        <f>#REF!</f>
        <v>#REF!</v>
      </c>
      <c r="O53" s="55"/>
      <c r="P53" s="55"/>
      <c r="Q53" s="55"/>
    </row>
    <row r="54" spans="2:17">
      <c r="B54" s="54" t="s">
        <v>198</v>
      </c>
      <c r="E54" s="55"/>
      <c r="F54" s="55"/>
      <c r="G54" s="55"/>
      <c r="H54" s="55"/>
      <c r="I54" s="55"/>
      <c r="J54" s="55"/>
      <c r="K54" s="55"/>
      <c r="L54" s="55"/>
      <c r="M54" s="55">
        <f>M19</f>
        <v>65674741.433110543</v>
      </c>
      <c r="O54" s="55"/>
      <c r="P54" s="55"/>
      <c r="Q54" s="55"/>
    </row>
    <row r="55" spans="2:17">
      <c r="O55" s="55"/>
      <c r="P55" s="55"/>
      <c r="Q55" s="55"/>
    </row>
    <row r="56" spans="2:17">
      <c r="B56" s="54" t="s">
        <v>161</v>
      </c>
      <c r="E56" s="55" t="e">
        <f>#REF!*1000</f>
        <v>#REF!</v>
      </c>
      <c r="F56" s="55" t="e">
        <f>#REF!*1000</f>
        <v>#REF!</v>
      </c>
      <c r="G56" s="55" t="e">
        <f>#REF!*1000</f>
        <v>#REF!</v>
      </c>
      <c r="H56" s="55" t="e">
        <f>#REF!*1000</f>
        <v>#REF!</v>
      </c>
      <c r="I56" s="92" t="e">
        <f>H56</f>
        <v>#REF!</v>
      </c>
      <c r="J56" s="92" t="e">
        <f t="shared" ref="J56:M56" si="16">I56</f>
        <v>#REF!</v>
      </c>
      <c r="K56" s="92" t="e">
        <f t="shared" si="16"/>
        <v>#REF!</v>
      </c>
      <c r="L56" s="92" t="e">
        <f t="shared" si="16"/>
        <v>#REF!</v>
      </c>
      <c r="M56" s="92" t="e">
        <f t="shared" si="16"/>
        <v>#REF!</v>
      </c>
      <c r="O56" s="55"/>
      <c r="P56" s="55"/>
      <c r="Q56" s="55"/>
    </row>
    <row r="57" spans="2:17">
      <c r="B57" s="54" t="s">
        <v>162</v>
      </c>
      <c r="O57" s="55"/>
      <c r="P57" s="55"/>
      <c r="Q57" s="55"/>
    </row>
    <row r="58" spans="2:17">
      <c r="B58" s="54" t="s">
        <v>163</v>
      </c>
      <c r="E58" s="55">
        <f>'Supporting - Education'!B11</f>
        <v>6392432.5</v>
      </c>
      <c r="F58" s="55">
        <f>'Supporting - Education'!C11</f>
        <v>9541537.5</v>
      </c>
      <c r="G58" s="55">
        <f>'Supporting - Education'!D11</f>
        <v>9779112.5</v>
      </c>
      <c r="H58" s="55">
        <f>'Supporting - Education'!E11</f>
        <v>10195182.5</v>
      </c>
      <c r="I58" s="93">
        <f>H58</f>
        <v>10195182.5</v>
      </c>
      <c r="J58" s="93">
        <f>I58</f>
        <v>10195182.5</v>
      </c>
      <c r="K58" s="93">
        <f>J58</f>
        <v>10195182.5</v>
      </c>
      <c r="L58" s="93">
        <f>K58</f>
        <v>10195182.5</v>
      </c>
      <c r="M58" s="93">
        <f>L58</f>
        <v>10195182.5</v>
      </c>
      <c r="O58" s="55"/>
      <c r="P58" s="55"/>
      <c r="Q58" s="55"/>
    </row>
    <row r="59" spans="2:17">
      <c r="B59" s="54" t="s">
        <v>164</v>
      </c>
      <c r="E59" s="55">
        <f>'Supporting Administration'!H21</f>
        <v>1761850</v>
      </c>
      <c r="F59" s="55">
        <f>'Supporting Administration'!I21</f>
        <v>1798396.25</v>
      </c>
      <c r="G59" s="55">
        <f>'Supporting Administration'!J21</f>
        <v>1835856.15625</v>
      </c>
      <c r="H59" s="55">
        <f>'Supporting Administration'!K21</f>
        <v>1874252.5601562497</v>
      </c>
      <c r="I59" s="93">
        <f>H59</f>
        <v>1874252.5601562497</v>
      </c>
      <c r="J59" s="93">
        <f t="shared" ref="J59:M59" si="17">I59</f>
        <v>1874252.5601562497</v>
      </c>
      <c r="K59" s="93">
        <f t="shared" si="17"/>
        <v>1874252.5601562497</v>
      </c>
      <c r="L59" s="93">
        <f t="shared" si="17"/>
        <v>1874252.5601562497</v>
      </c>
      <c r="M59" s="93">
        <f t="shared" si="17"/>
        <v>1874252.5601562497</v>
      </c>
      <c r="O59" s="55"/>
      <c r="P59" s="55"/>
      <c r="Q59" s="55"/>
    </row>
    <row r="60" spans="2:17">
      <c r="O60" s="55"/>
      <c r="P60" s="55"/>
      <c r="Q60" s="55"/>
    </row>
    <row r="61" spans="2:17">
      <c r="B61" s="54" t="s">
        <v>187</v>
      </c>
      <c r="E61" s="53" t="e">
        <f>SUM(E51:E59)</f>
        <v>#REF!</v>
      </c>
      <c r="F61" s="53" t="e">
        <f t="shared" ref="F61:M61" si="18">SUM(F51:F59)</f>
        <v>#REF!</v>
      </c>
      <c r="G61" s="53" t="e">
        <f t="shared" si="18"/>
        <v>#REF!</v>
      </c>
      <c r="H61" s="53" t="e">
        <f t="shared" si="18"/>
        <v>#REF!</v>
      </c>
      <c r="I61" s="53" t="e">
        <f t="shared" si="18"/>
        <v>#REF!</v>
      </c>
      <c r="J61" s="53" t="e">
        <f t="shared" si="18"/>
        <v>#REF!</v>
      </c>
      <c r="K61" s="53" t="e">
        <f t="shared" si="18"/>
        <v>#REF!</v>
      </c>
      <c r="L61" s="53" t="e">
        <f t="shared" si="18"/>
        <v>#REF!</v>
      </c>
      <c r="M61" s="53" t="e">
        <f t="shared" si="18"/>
        <v>#REF!</v>
      </c>
      <c r="O61" s="55" t="e">
        <f>SUM(E61:H61)</f>
        <v>#REF!</v>
      </c>
      <c r="P61" s="55" t="e">
        <f>SUM(I61:L61)</f>
        <v>#REF!</v>
      </c>
      <c r="Q61" s="55" t="e">
        <f>SUM(E61:M61)</f>
        <v>#REF!</v>
      </c>
    </row>
    <row r="62" spans="2:17" ht="20.25" customHeight="1">
      <c r="D62" s="106" t="s">
        <v>199</v>
      </c>
      <c r="E62" s="89" t="e">
        <f>E61/1000</f>
        <v>#REF!</v>
      </c>
      <c r="F62" s="89" t="e">
        <f t="shared" ref="F62:M62" si="19">F61/1000</f>
        <v>#REF!</v>
      </c>
      <c r="G62" s="89" t="e">
        <f t="shared" si="19"/>
        <v>#REF!</v>
      </c>
      <c r="H62" s="89" t="e">
        <f t="shared" si="19"/>
        <v>#REF!</v>
      </c>
      <c r="I62" s="89" t="e">
        <f t="shared" si="19"/>
        <v>#REF!</v>
      </c>
      <c r="J62" s="89" t="e">
        <f t="shared" si="19"/>
        <v>#REF!</v>
      </c>
      <c r="K62" s="89" t="e">
        <f t="shared" si="19"/>
        <v>#REF!</v>
      </c>
      <c r="L62" s="89" t="e">
        <f t="shared" si="19"/>
        <v>#REF!</v>
      </c>
      <c r="M62" s="89" t="e">
        <f t="shared" si="19"/>
        <v>#REF!</v>
      </c>
    </row>
    <row r="63" spans="2:17" ht="20.25" customHeight="1">
      <c r="D63" s="54" t="s">
        <v>200</v>
      </c>
      <c r="E63" s="107" t="e">
        <f t="shared" ref="E63:M63" si="20">E62-E47</f>
        <v>#REF!</v>
      </c>
      <c r="F63" s="107" t="e">
        <f t="shared" si="20"/>
        <v>#REF!</v>
      </c>
      <c r="G63" s="107" t="e">
        <f t="shared" si="20"/>
        <v>#REF!</v>
      </c>
      <c r="H63" s="107" t="e">
        <f t="shared" si="20"/>
        <v>#REF!</v>
      </c>
      <c r="I63" s="107" t="e">
        <f t="shared" si="20"/>
        <v>#REF!</v>
      </c>
      <c r="J63" s="107" t="e">
        <f t="shared" si="20"/>
        <v>#REF!</v>
      </c>
      <c r="K63" s="107" t="e">
        <f t="shared" si="20"/>
        <v>#REF!</v>
      </c>
      <c r="L63" s="107" t="e">
        <f t="shared" si="20"/>
        <v>#REF!</v>
      </c>
      <c r="M63" s="107" t="e">
        <f t="shared" si="20"/>
        <v>#REF!</v>
      </c>
      <c r="O63" s="53" t="e">
        <f>O61-O48</f>
        <v>#REF!</v>
      </c>
      <c r="P63" s="53" t="e">
        <f>P61-P48</f>
        <v>#REF!</v>
      </c>
      <c r="Q63" s="53" t="e">
        <f>Q61-Q48</f>
        <v>#REF!</v>
      </c>
    </row>
    <row r="64" spans="2:17">
      <c r="F64" s="53"/>
      <c r="O64" s="94" t="e">
        <f>O63/O48</f>
        <v>#REF!</v>
      </c>
      <c r="P64" s="94" t="e">
        <f>P63/P48</f>
        <v>#REF!</v>
      </c>
      <c r="Q64" s="94" t="e">
        <f>Q63/Q48</f>
        <v>#REF!</v>
      </c>
    </row>
    <row r="65" spans="1:17">
      <c r="F65" s="87"/>
      <c r="O65" s="94"/>
      <c r="P65" s="94"/>
      <c r="Q65" s="94"/>
    </row>
    <row r="66" spans="1:17">
      <c r="O66" s="94"/>
      <c r="P66" s="94"/>
      <c r="Q66" s="94"/>
    </row>
    <row r="68" spans="1:17" s="88" customFormat="1">
      <c r="A68" s="104" t="s">
        <v>1</v>
      </c>
    </row>
    <row r="70" spans="1:17">
      <c r="A70" s="54">
        <v>2019</v>
      </c>
      <c r="C70" s="54">
        <v>2020</v>
      </c>
      <c r="D70" s="54">
        <f>C70+1</f>
        <v>2021</v>
      </c>
      <c r="E70" s="54">
        <f t="shared" ref="E70:M70" si="21">D70+1</f>
        <v>2022</v>
      </c>
      <c r="F70" s="54">
        <f t="shared" si="21"/>
        <v>2023</v>
      </c>
      <c r="G70" s="54">
        <f t="shared" si="21"/>
        <v>2024</v>
      </c>
      <c r="H70" s="54">
        <f t="shared" si="21"/>
        <v>2025</v>
      </c>
      <c r="I70" s="54">
        <f t="shared" si="21"/>
        <v>2026</v>
      </c>
      <c r="J70" s="54">
        <f t="shared" si="21"/>
        <v>2027</v>
      </c>
      <c r="K70" s="54">
        <f t="shared" si="21"/>
        <v>2028</v>
      </c>
      <c r="L70" s="54">
        <f t="shared" si="21"/>
        <v>2029</v>
      </c>
      <c r="M70" s="54">
        <f t="shared" si="21"/>
        <v>2030</v>
      </c>
      <c r="O70" s="54" t="s">
        <v>188</v>
      </c>
      <c r="P70" s="54" t="s">
        <v>189</v>
      </c>
      <c r="Q70" s="54" t="s">
        <v>132</v>
      </c>
    </row>
    <row r="71" spans="1:17">
      <c r="A71" s="55">
        <v>2127052953.75</v>
      </c>
      <c r="B71" s="54" t="s">
        <v>133</v>
      </c>
      <c r="C71" s="55">
        <f>A71/1000*1.025</f>
        <v>2180229.2775937496</v>
      </c>
      <c r="D71" s="55">
        <f>C71*1.025</f>
        <v>2234735.009533593</v>
      </c>
      <c r="E71" s="55">
        <f t="shared" ref="E71:M71" si="22">D71*1.025</f>
        <v>2290603.3847719324</v>
      </c>
      <c r="F71" s="55">
        <f t="shared" si="22"/>
        <v>2347868.4693912305</v>
      </c>
      <c r="G71" s="55">
        <f t="shared" si="22"/>
        <v>2406565.1811260111</v>
      </c>
      <c r="H71" s="55">
        <f t="shared" si="22"/>
        <v>2466729.310654161</v>
      </c>
      <c r="I71" s="55">
        <f t="shared" si="22"/>
        <v>2528397.543420515</v>
      </c>
      <c r="J71" s="55">
        <f t="shared" si="22"/>
        <v>2591607.4820060278</v>
      </c>
      <c r="K71" s="55">
        <f t="shared" si="22"/>
        <v>2656397.6690561781</v>
      </c>
      <c r="L71" s="55">
        <f t="shared" si="22"/>
        <v>2722807.6107825823</v>
      </c>
      <c r="M71" s="55">
        <f t="shared" si="22"/>
        <v>2790877.8010521466</v>
      </c>
    </row>
    <row r="72" spans="1:17">
      <c r="A72" s="55"/>
      <c r="B72" s="54" t="s">
        <v>134</v>
      </c>
      <c r="C72" s="86">
        <v>8.3229256498498967E-4</v>
      </c>
      <c r="D72" s="86">
        <v>2.2116414275339838E-3</v>
      </c>
      <c r="E72" s="86">
        <v>3.628302799205005E-3</v>
      </c>
      <c r="F72" s="86">
        <v>5.0027650536231443E-3</v>
      </c>
      <c r="G72" s="86">
        <v>6.3433979592901662E-3</v>
      </c>
      <c r="H72" s="86">
        <v>7.7011821313547049E-3</v>
      </c>
      <c r="I72" s="86">
        <v>9.0295768743427762E-3</v>
      </c>
      <c r="J72" s="86">
        <v>1.0349497908191429E-2</v>
      </c>
      <c r="K72" s="86">
        <v>1.1636283914006925E-2</v>
      </c>
      <c r="L72" s="86">
        <v>1.2827272365579134E-2</v>
      </c>
      <c r="M72" s="86">
        <v>1.2892769118407721E-2</v>
      </c>
    </row>
    <row r="73" spans="1:17">
      <c r="A73" s="55"/>
      <c r="B73" s="54" t="s">
        <v>135</v>
      </c>
      <c r="C73" s="55">
        <f>C71*(1+C72)</f>
        <v>2182043.8662114535</v>
      </c>
      <c r="D73" s="55">
        <f t="shared" ref="D73:M73" si="23">D71*(1+D72)</f>
        <v>2239677.4420602378</v>
      </c>
      <c r="E73" s="55">
        <f t="shared" si="23"/>
        <v>2298914.387444769</v>
      </c>
      <c r="F73" s="55">
        <f t="shared" si="23"/>
        <v>2359614.3037204044</v>
      </c>
      <c r="G73" s="55">
        <f t="shared" si="23"/>
        <v>2421830.9817848648</v>
      </c>
      <c r="H73" s="55">
        <f t="shared" si="23"/>
        <v>2485726.0423442596</v>
      </c>
      <c r="I73" s="55">
        <f t="shared" si="23"/>
        <v>2551227.9034077297</v>
      </c>
      <c r="J73" s="55">
        <f t="shared" si="23"/>
        <v>2618429.3182199025</v>
      </c>
      <c r="K73" s="55">
        <f t="shared" si="23"/>
        <v>2687308.2665218222</v>
      </c>
      <c r="L73" s="55">
        <f t="shared" si="23"/>
        <v>2757733.8056051624</v>
      </c>
      <c r="M73" s="55">
        <f t="shared" si="23"/>
        <v>2826859.9441788015</v>
      </c>
    </row>
    <row r="74" spans="1:17">
      <c r="A74" s="55"/>
      <c r="C74" s="55"/>
      <c r="D74" s="55"/>
      <c r="E74" s="55"/>
      <c r="F74" s="55"/>
      <c r="G74" s="55"/>
      <c r="H74" s="55"/>
      <c r="I74" s="55"/>
      <c r="J74" s="55"/>
      <c r="K74" s="55"/>
      <c r="L74" s="55"/>
      <c r="M74" s="55"/>
    </row>
    <row r="75" spans="1:17">
      <c r="A75" s="55"/>
      <c r="C75" s="55"/>
      <c r="D75" s="55"/>
      <c r="E75" s="55"/>
      <c r="F75" s="55"/>
      <c r="G75" s="55"/>
      <c r="H75" s="55"/>
      <c r="I75" s="55"/>
      <c r="J75" s="55"/>
      <c r="K75" s="55"/>
      <c r="L75" s="55"/>
      <c r="M75" s="55"/>
    </row>
    <row r="76" spans="1:17">
      <c r="B76" s="54" t="s">
        <v>137</v>
      </c>
      <c r="C76" s="55"/>
      <c r="D76" s="55"/>
      <c r="E76" s="55">
        <f>D73*0.02</f>
        <v>44793.548841204756</v>
      </c>
      <c r="F76" s="55">
        <f>E76+((F73+E76)*0.02)</f>
        <v>92881.705892436934</v>
      </c>
      <c r="G76" s="55">
        <f t="shared" ref="G76:M76" si="24">F76+((G73+F76)*0.02)</f>
        <v>143175.95964598298</v>
      </c>
      <c r="H76" s="55">
        <f t="shared" si="24"/>
        <v>195753.99968578783</v>
      </c>
      <c r="I76" s="55">
        <f t="shared" si="24"/>
        <v>250693.63774765818</v>
      </c>
      <c r="J76" s="55">
        <f t="shared" si="24"/>
        <v>308076.09686700942</v>
      </c>
      <c r="K76" s="55">
        <f t="shared" si="24"/>
        <v>367983.78413478605</v>
      </c>
      <c r="L76" s="55">
        <f t="shared" si="24"/>
        <v>430498.13592958503</v>
      </c>
      <c r="M76" s="55">
        <f t="shared" si="24"/>
        <v>495645.29753175273</v>
      </c>
    </row>
    <row r="77" spans="1:17">
      <c r="B77" s="54" t="s">
        <v>160</v>
      </c>
      <c r="C77" s="55"/>
      <c r="D77" s="55"/>
      <c r="E77" s="91">
        <f>E76*1000</f>
        <v>44793548.841204755</v>
      </c>
      <c r="F77" s="91">
        <f t="shared" ref="F77:M77" si="25">F76*1000</f>
        <v>92881705.892436936</v>
      </c>
      <c r="G77" s="91">
        <f t="shared" si="25"/>
        <v>143175959.64598298</v>
      </c>
      <c r="H77" s="91">
        <f t="shared" si="25"/>
        <v>195753999.68578783</v>
      </c>
      <c r="I77" s="91">
        <f t="shared" si="25"/>
        <v>250693637.74765819</v>
      </c>
      <c r="J77" s="91">
        <f t="shared" si="25"/>
        <v>308076096.8670094</v>
      </c>
      <c r="K77" s="91">
        <f t="shared" si="25"/>
        <v>367983784.13478607</v>
      </c>
      <c r="L77" s="91">
        <f t="shared" si="25"/>
        <v>430498135.92958504</v>
      </c>
      <c r="M77" s="91">
        <f t="shared" si="25"/>
        <v>495645297.53175271</v>
      </c>
      <c r="O77" s="55">
        <f>SUM(E77:H77)</f>
        <v>476605214.06541252</v>
      </c>
      <c r="P77" s="55">
        <f>SUM(I77:L77)</f>
        <v>1357251654.6790388</v>
      </c>
      <c r="Q77" s="55">
        <f>SUM(E77:M77)</f>
        <v>2329502166.2762041</v>
      </c>
    </row>
    <row r="79" spans="1:17">
      <c r="B79" s="10" t="s">
        <v>1</v>
      </c>
      <c r="O79" s="55"/>
      <c r="P79" s="55"/>
      <c r="Q79" s="55"/>
    </row>
    <row r="80" spans="1:17">
      <c r="B80" s="54" t="s">
        <v>138</v>
      </c>
      <c r="E80" s="55" t="e">
        <f>#REF!</f>
        <v>#REF!</v>
      </c>
      <c r="F80" s="55" t="e">
        <f>#REF!</f>
        <v>#REF!</v>
      </c>
      <c r="G80" s="55" t="e">
        <f>#REF!</f>
        <v>#REF!</v>
      </c>
      <c r="H80" s="55" t="e">
        <f>#REF!</f>
        <v>#REF!</v>
      </c>
      <c r="I80" s="55" t="e">
        <f>#REF!</f>
        <v>#REF!</v>
      </c>
      <c r="J80" s="55" t="e">
        <f>#REF!</f>
        <v>#REF!</v>
      </c>
      <c r="K80" s="55" t="e">
        <f>#REF!</f>
        <v>#REF!</v>
      </c>
      <c r="L80" s="55" t="e">
        <f>#REF!</f>
        <v>#REF!</v>
      </c>
      <c r="M80" s="55" t="e">
        <f>#REF!</f>
        <v>#REF!</v>
      </c>
      <c r="O80" s="55"/>
      <c r="P80" s="55"/>
      <c r="Q80" s="55"/>
    </row>
    <row r="81" spans="2:17">
      <c r="B81" s="54" t="s">
        <v>139</v>
      </c>
      <c r="E81" s="55" t="e">
        <f>#REF!</f>
        <v>#REF!</v>
      </c>
      <c r="F81" s="55" t="e">
        <f>#REF!</f>
        <v>#REF!</v>
      </c>
      <c r="G81" s="55" t="e">
        <f>#REF!</f>
        <v>#REF!</v>
      </c>
      <c r="H81" s="55" t="e">
        <f>#REF!</f>
        <v>#REF!</v>
      </c>
      <c r="I81" s="55" t="e">
        <f>#REF!</f>
        <v>#REF!</v>
      </c>
      <c r="J81" s="55" t="e">
        <f>#REF!</f>
        <v>#REF!</v>
      </c>
      <c r="K81" s="55" t="e">
        <f>#REF!</f>
        <v>#REF!</v>
      </c>
      <c r="L81" s="55" t="e">
        <f>#REF!</f>
        <v>#REF!</v>
      </c>
      <c r="M81" s="55" t="e">
        <f>#REF!</f>
        <v>#REF!</v>
      </c>
      <c r="O81" s="55"/>
      <c r="P81" s="55"/>
      <c r="Q81" s="55"/>
    </row>
    <row r="82" spans="2:17">
      <c r="B82" s="54" t="s">
        <v>140</v>
      </c>
      <c r="E82" s="55" t="e">
        <f>#REF!</f>
        <v>#REF!</v>
      </c>
      <c r="F82" s="55" t="e">
        <f>#REF!</f>
        <v>#REF!</v>
      </c>
      <c r="G82" s="55" t="e">
        <f>#REF!</f>
        <v>#REF!</v>
      </c>
      <c r="H82" s="55" t="e">
        <f>#REF!</f>
        <v>#REF!</v>
      </c>
      <c r="I82" s="55" t="e">
        <f>#REF!</f>
        <v>#REF!</v>
      </c>
      <c r="J82" s="55" t="e">
        <f>#REF!</f>
        <v>#REF!</v>
      </c>
      <c r="K82" s="55" t="e">
        <f>#REF!</f>
        <v>#REF!</v>
      </c>
      <c r="L82" s="55" t="e">
        <f>#REF!</f>
        <v>#REF!</v>
      </c>
      <c r="M82" s="55" t="e">
        <f>#REF!</f>
        <v>#REF!</v>
      </c>
      <c r="O82" s="55"/>
      <c r="P82" s="55"/>
      <c r="Q82" s="55"/>
    </row>
    <row r="83" spans="2:17">
      <c r="B83" s="54" t="s">
        <v>198</v>
      </c>
      <c r="E83" s="55"/>
      <c r="F83" s="55"/>
      <c r="G83" s="55"/>
      <c r="H83" s="55"/>
      <c r="I83" s="55"/>
      <c r="J83" s="55"/>
      <c r="K83" s="55"/>
      <c r="L83" s="55"/>
      <c r="M83" s="55">
        <f>M19</f>
        <v>65674741.433110543</v>
      </c>
      <c r="O83" s="55"/>
      <c r="P83" s="55"/>
      <c r="Q83" s="55"/>
    </row>
    <row r="84" spans="2:17">
      <c r="O84" s="55"/>
      <c r="P84" s="55"/>
      <c r="Q84" s="55"/>
    </row>
    <row r="85" spans="2:17">
      <c r="B85" s="54" t="s">
        <v>161</v>
      </c>
      <c r="E85" s="55" t="e">
        <f>#REF!</f>
        <v>#REF!</v>
      </c>
      <c r="F85" s="55" t="e">
        <f>#REF!</f>
        <v>#REF!</v>
      </c>
      <c r="G85" s="55" t="e">
        <f>#REF!</f>
        <v>#REF!</v>
      </c>
      <c r="H85" s="55" t="e">
        <f>#REF!</f>
        <v>#REF!</v>
      </c>
      <c r="I85" s="92" t="e">
        <f>H85</f>
        <v>#REF!</v>
      </c>
      <c r="J85" s="92" t="e">
        <f t="shared" ref="J85:M85" si="26">I85</f>
        <v>#REF!</v>
      </c>
      <c r="K85" s="92" t="e">
        <f t="shared" si="26"/>
        <v>#REF!</v>
      </c>
      <c r="L85" s="92" t="e">
        <f t="shared" si="26"/>
        <v>#REF!</v>
      </c>
      <c r="M85" s="92" t="e">
        <f t="shared" si="26"/>
        <v>#REF!</v>
      </c>
      <c r="O85" s="55"/>
      <c r="P85" s="55"/>
      <c r="Q85" s="55"/>
    </row>
    <row r="86" spans="2:17">
      <c r="B86" s="54" t="s">
        <v>162</v>
      </c>
      <c r="O86" s="55"/>
      <c r="P86" s="55"/>
      <c r="Q86" s="55"/>
    </row>
    <row r="87" spans="2:17">
      <c r="B87" s="54" t="s">
        <v>163</v>
      </c>
      <c r="E87" s="55">
        <f>'Supporting - Education'!B11</f>
        <v>6392432.5</v>
      </c>
      <c r="F87" s="55">
        <f>'Supporting - Education'!C11</f>
        <v>9541537.5</v>
      </c>
      <c r="G87" s="55">
        <f>'Supporting - Education'!D11</f>
        <v>9779112.5</v>
      </c>
      <c r="H87" s="55">
        <f>'Supporting - Education'!E11</f>
        <v>10195182.5</v>
      </c>
      <c r="I87" s="93">
        <f>H87</f>
        <v>10195182.5</v>
      </c>
      <c r="J87" s="93">
        <f>I87</f>
        <v>10195182.5</v>
      </c>
      <c r="K87" s="93">
        <f>J87</f>
        <v>10195182.5</v>
      </c>
      <c r="L87" s="93">
        <f>K87</f>
        <v>10195182.5</v>
      </c>
      <c r="M87" s="93">
        <f>L87</f>
        <v>10195182.5</v>
      </c>
      <c r="O87" s="55"/>
      <c r="P87" s="55"/>
      <c r="Q87" s="55"/>
    </row>
    <row r="88" spans="2:17">
      <c r="B88" s="54" t="s">
        <v>164</v>
      </c>
      <c r="E88" s="55">
        <f>'Supporting Administration'!H21</f>
        <v>1761850</v>
      </c>
      <c r="F88" s="55">
        <f>'Supporting Administration'!I21</f>
        <v>1798396.25</v>
      </c>
      <c r="G88" s="55">
        <f>'Supporting Administration'!J21</f>
        <v>1835856.15625</v>
      </c>
      <c r="H88" s="55">
        <f>'Supporting Administration'!K21</f>
        <v>1874252.5601562497</v>
      </c>
      <c r="I88" s="93">
        <f>H88</f>
        <v>1874252.5601562497</v>
      </c>
      <c r="J88" s="93">
        <f t="shared" ref="J88:M88" si="27">I88</f>
        <v>1874252.5601562497</v>
      </c>
      <c r="K88" s="93">
        <f t="shared" si="27"/>
        <v>1874252.5601562497</v>
      </c>
      <c r="L88" s="93">
        <f t="shared" si="27"/>
        <v>1874252.5601562497</v>
      </c>
      <c r="M88" s="93">
        <f t="shared" si="27"/>
        <v>1874252.5601562497</v>
      </c>
      <c r="O88" s="55"/>
      <c r="P88" s="55"/>
      <c r="Q88" s="55"/>
    </row>
    <row r="89" spans="2:17">
      <c r="O89" s="55"/>
      <c r="P89" s="55"/>
      <c r="Q89" s="55"/>
    </row>
    <row r="90" spans="2:17">
      <c r="B90" s="54" t="s">
        <v>187</v>
      </c>
      <c r="E90" s="53" t="e">
        <f>SUM(E80:E88)</f>
        <v>#REF!</v>
      </c>
      <c r="F90" s="53" t="e">
        <f t="shared" ref="F90:L90" si="28">SUM(F80:F88)</f>
        <v>#REF!</v>
      </c>
      <c r="G90" s="53" t="e">
        <f t="shared" si="28"/>
        <v>#REF!</v>
      </c>
      <c r="H90" s="53" t="e">
        <f t="shared" si="28"/>
        <v>#REF!</v>
      </c>
      <c r="I90" s="53" t="e">
        <f t="shared" si="28"/>
        <v>#REF!</v>
      </c>
      <c r="J90" s="53" t="e">
        <f t="shared" si="28"/>
        <v>#REF!</v>
      </c>
      <c r="K90" s="53" t="e">
        <f t="shared" si="28"/>
        <v>#REF!</v>
      </c>
      <c r="L90" s="53" t="e">
        <f t="shared" si="28"/>
        <v>#REF!</v>
      </c>
      <c r="M90" s="53" t="e">
        <f>SUM(M80:M88)</f>
        <v>#REF!</v>
      </c>
      <c r="O90" s="55" t="e">
        <f>SUM(E90:H90)</f>
        <v>#REF!</v>
      </c>
      <c r="P90" s="55" t="e">
        <f>SUM(I90:L90)</f>
        <v>#REF!</v>
      </c>
      <c r="Q90" s="55" t="e">
        <f>SUM(E90:M90)</f>
        <v>#REF!</v>
      </c>
    </row>
    <row r="91" spans="2:17">
      <c r="D91" s="106" t="s">
        <v>199</v>
      </c>
      <c r="E91" s="89" t="e">
        <f>E90/1000</f>
        <v>#REF!</v>
      </c>
      <c r="F91" s="89" t="e">
        <f t="shared" ref="F91:M91" si="29">F90/1000</f>
        <v>#REF!</v>
      </c>
      <c r="G91" s="89" t="e">
        <f t="shared" si="29"/>
        <v>#REF!</v>
      </c>
      <c r="H91" s="89" t="e">
        <f t="shared" si="29"/>
        <v>#REF!</v>
      </c>
      <c r="I91" s="89" t="e">
        <f t="shared" si="29"/>
        <v>#REF!</v>
      </c>
      <c r="J91" s="89" t="e">
        <f t="shared" si="29"/>
        <v>#REF!</v>
      </c>
      <c r="K91" s="89" t="e">
        <f t="shared" si="29"/>
        <v>#REF!</v>
      </c>
      <c r="L91" s="89" t="e">
        <f t="shared" si="29"/>
        <v>#REF!</v>
      </c>
      <c r="M91" s="89" t="e">
        <f t="shared" si="29"/>
        <v>#REF!</v>
      </c>
    </row>
    <row r="92" spans="2:17">
      <c r="O92" s="53" t="e">
        <f>O90-O77</f>
        <v>#REF!</v>
      </c>
      <c r="P92" s="53" t="e">
        <f>P90-P77</f>
        <v>#REF!</v>
      </c>
      <c r="Q92" s="53" t="e">
        <f>Q90-Q77</f>
        <v>#REF!</v>
      </c>
    </row>
    <row r="93" spans="2:17">
      <c r="O93" s="94" t="e">
        <f>O92/O77</f>
        <v>#REF!</v>
      </c>
      <c r="P93" s="94" t="e">
        <f>P92/P77</f>
        <v>#REF!</v>
      </c>
      <c r="Q93" s="94" t="e">
        <f>Q92/Q77</f>
        <v>#REF!</v>
      </c>
    </row>
    <row r="96" spans="2:17">
      <c r="N96" s="105">
        <v>0</v>
      </c>
    </row>
    <row r="97" spans="14:17" ht="30.75" thickBot="1">
      <c r="O97" s="96" t="s">
        <v>194</v>
      </c>
      <c r="P97" s="96" t="s">
        <v>195</v>
      </c>
      <c r="Q97" s="96" t="s">
        <v>196</v>
      </c>
    </row>
    <row r="98" spans="14:17" ht="15.75" thickBot="1">
      <c r="N98" s="97" t="s">
        <v>190</v>
      </c>
      <c r="O98" s="98">
        <f>O48/1000</f>
        <v>476605.21406541253</v>
      </c>
      <c r="P98" s="98">
        <f>P48/1000</f>
        <v>1357251.6546790388</v>
      </c>
      <c r="Q98" s="98">
        <f>Q48/1000</f>
        <v>2329502.1662762039</v>
      </c>
    </row>
    <row r="99" spans="14:17" ht="3" customHeight="1" thickBot="1">
      <c r="O99" s="53"/>
      <c r="P99" s="53"/>
      <c r="Q99" s="53"/>
    </row>
    <row r="100" spans="14:17">
      <c r="N100" s="99" t="s">
        <v>191</v>
      </c>
      <c r="O100" s="100" t="e">
        <f>O61/1000</f>
        <v>#REF!</v>
      </c>
      <c r="P100" s="100" t="e">
        <f>P61/1000</f>
        <v>#REF!</v>
      </c>
      <c r="Q100" s="100" t="e">
        <f>Q61/1000</f>
        <v>#REF!</v>
      </c>
    </row>
    <row r="101" spans="14:17" ht="15.75" thickBot="1">
      <c r="N101" s="101" t="s">
        <v>193</v>
      </c>
      <c r="O101" s="102" t="e">
        <f>O64</f>
        <v>#REF!</v>
      </c>
      <c r="P101" s="102" t="e">
        <f>P64</f>
        <v>#REF!</v>
      </c>
      <c r="Q101" s="102" t="e">
        <f>Q64</f>
        <v>#REF!</v>
      </c>
    </row>
    <row r="102" spans="14:17" ht="3.75" customHeight="1" thickBot="1">
      <c r="N102" s="95"/>
      <c r="O102" s="94"/>
      <c r="P102" s="94"/>
      <c r="Q102" s="94"/>
    </row>
    <row r="103" spans="14:17">
      <c r="N103" s="99" t="s">
        <v>192</v>
      </c>
      <c r="O103" s="100" t="e">
        <f>O90/1000</f>
        <v>#REF!</v>
      </c>
      <c r="P103" s="100" t="e">
        <f>P90/1000</f>
        <v>#REF!</v>
      </c>
      <c r="Q103" s="100" t="e">
        <f>Q90/1000</f>
        <v>#REF!</v>
      </c>
    </row>
    <row r="104" spans="14:17" ht="15.75" thickBot="1">
      <c r="N104" s="101" t="s">
        <v>193</v>
      </c>
      <c r="O104" s="103" t="e">
        <f>O93</f>
        <v>#REF!</v>
      </c>
      <c r="P104" s="103" t="e">
        <f>P93</f>
        <v>#REF!</v>
      </c>
      <c r="Q104" s="103" t="e">
        <f>Q93</f>
        <v>#REF!</v>
      </c>
    </row>
    <row r="105" spans="14:17" ht="5.25" customHeight="1" thickBot="1"/>
    <row r="106" spans="14:17">
      <c r="N106" s="99" t="s">
        <v>197</v>
      </c>
      <c r="O106" s="100" t="e">
        <f>O27</f>
        <v>#REF!</v>
      </c>
      <c r="P106" s="100" t="e">
        <f>P27</f>
        <v>#REF!</v>
      </c>
      <c r="Q106" s="100" t="e">
        <f>Q27</f>
        <v>#REF!</v>
      </c>
    </row>
    <row r="107" spans="14:17" ht="15.75" thickBot="1">
      <c r="N107" s="101" t="s">
        <v>193</v>
      </c>
      <c r="O107" s="103" t="e">
        <f>O31</f>
        <v>#REF!</v>
      </c>
      <c r="P107" s="103" t="e">
        <f>P31</f>
        <v>#REF!</v>
      </c>
      <c r="Q107" s="103" t="e">
        <f>Q31</f>
        <v>#REF!</v>
      </c>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W53"/>
  <sheetViews>
    <sheetView workbookViewId="0">
      <selection activeCell="J20" sqref="J20"/>
    </sheetView>
  </sheetViews>
  <sheetFormatPr defaultRowHeight="15"/>
  <cols>
    <col min="1" max="1" width="40.5703125" customWidth="1"/>
    <col min="2" max="2" width="15.85546875" customWidth="1"/>
    <col min="3" max="3" width="16.7109375" customWidth="1"/>
    <col min="4" max="5" width="14.85546875" bestFit="1" customWidth="1"/>
    <col min="15" max="15" width="107.5703125" bestFit="1" customWidth="1"/>
  </cols>
  <sheetData>
    <row r="4" spans="1:23">
      <c r="A4" t="s">
        <v>33</v>
      </c>
      <c r="O4" t="s">
        <v>34</v>
      </c>
    </row>
    <row r="5" spans="1:23">
      <c r="A5" s="1" t="s">
        <v>2</v>
      </c>
      <c r="O5" s="1" t="s">
        <v>2</v>
      </c>
    </row>
    <row r="6" spans="1:23">
      <c r="A6" s="2">
        <v>44316</v>
      </c>
      <c r="O6" s="2">
        <v>44316</v>
      </c>
    </row>
    <row r="7" spans="1:23">
      <c r="C7" s="763" t="s">
        <v>3</v>
      </c>
      <c r="D7" s="764"/>
      <c r="E7" s="764"/>
      <c r="F7" s="765"/>
      <c r="Q7" s="763" t="s">
        <v>3</v>
      </c>
      <c r="R7" s="764"/>
      <c r="S7" s="764"/>
      <c r="T7" s="765"/>
    </row>
    <row r="8" spans="1:23">
      <c r="C8" s="3"/>
      <c r="D8" s="4"/>
      <c r="E8" s="4"/>
      <c r="F8" s="5"/>
      <c r="Q8" s="3"/>
      <c r="R8" s="4"/>
      <c r="S8" s="4"/>
      <c r="T8" s="5"/>
    </row>
    <row r="9" spans="1:23">
      <c r="C9" s="6">
        <v>2022</v>
      </c>
      <c r="D9" s="7">
        <v>2023</v>
      </c>
      <c r="E9" s="7">
        <v>2024</v>
      </c>
      <c r="F9" s="8">
        <v>2025</v>
      </c>
      <c r="G9" s="9">
        <v>2026</v>
      </c>
      <c r="I9" s="9" t="s">
        <v>4</v>
      </c>
      <c r="Q9" s="6">
        <v>2022</v>
      </c>
      <c r="R9" s="7">
        <v>2023</v>
      </c>
      <c r="S9" s="7">
        <v>2024</v>
      </c>
      <c r="T9" s="8">
        <v>2025</v>
      </c>
      <c r="U9" s="9">
        <v>2026</v>
      </c>
      <c r="W9" s="9" t="s">
        <v>4</v>
      </c>
    </row>
    <row r="10" spans="1:23">
      <c r="A10" s="10" t="s">
        <v>5</v>
      </c>
      <c r="C10" s="3"/>
      <c r="D10" s="4"/>
      <c r="E10" s="4"/>
      <c r="F10" s="5"/>
      <c r="O10" s="10" t="s">
        <v>5</v>
      </c>
      <c r="Q10" s="3"/>
      <c r="R10" s="4"/>
      <c r="S10" s="4"/>
      <c r="T10" s="5"/>
    </row>
    <row r="11" spans="1:23">
      <c r="A11" t="s">
        <v>6</v>
      </c>
      <c r="C11" s="11">
        <v>0</v>
      </c>
      <c r="D11" s="12">
        <v>4.8</v>
      </c>
      <c r="E11" s="12">
        <v>7.2000000000000011</v>
      </c>
      <c r="F11" s="13">
        <v>13.600000000000001</v>
      </c>
      <c r="G11" s="14">
        <v>25</v>
      </c>
      <c r="I11" t="s">
        <v>7</v>
      </c>
      <c r="O11" t="s">
        <v>6</v>
      </c>
      <c r="Q11" s="11">
        <v>3.4634261957826169</v>
      </c>
      <c r="R11" s="12">
        <v>4.0074549974284253</v>
      </c>
      <c r="S11" s="12">
        <v>8.2032016115206599</v>
      </c>
      <c r="T11" s="13">
        <v>9.460522887022119</v>
      </c>
      <c r="U11" s="14">
        <v>25</v>
      </c>
      <c r="W11" t="s">
        <v>7</v>
      </c>
    </row>
    <row r="12" spans="1:23">
      <c r="A12" t="s">
        <v>8</v>
      </c>
      <c r="C12" s="11">
        <v>0</v>
      </c>
      <c r="D12" s="12">
        <v>25.389999999999997</v>
      </c>
      <c r="E12" s="12">
        <v>27.408999999999999</v>
      </c>
      <c r="F12" s="13">
        <v>26.577999999999996</v>
      </c>
      <c r="G12" s="14">
        <v>30</v>
      </c>
      <c r="I12" t="s">
        <v>7</v>
      </c>
      <c r="O12" t="s">
        <v>8</v>
      </c>
      <c r="Q12" s="11">
        <v>12.089</v>
      </c>
      <c r="R12" s="12">
        <v>17.055</v>
      </c>
      <c r="S12" s="12">
        <v>22.776999999999997</v>
      </c>
      <c r="T12" s="13">
        <v>28.564999999999998</v>
      </c>
      <c r="U12" s="14">
        <v>30</v>
      </c>
      <c r="W12" t="s">
        <v>7</v>
      </c>
    </row>
    <row r="13" spans="1:23">
      <c r="A13" t="s">
        <v>9</v>
      </c>
      <c r="C13" s="3"/>
      <c r="D13" s="4">
        <v>5</v>
      </c>
      <c r="E13" s="4">
        <v>6</v>
      </c>
      <c r="F13" s="5">
        <v>18</v>
      </c>
      <c r="G13">
        <v>27</v>
      </c>
      <c r="I13" t="s">
        <v>10</v>
      </c>
      <c r="O13" t="s">
        <v>9</v>
      </c>
      <c r="Q13" s="3"/>
      <c r="R13" s="4">
        <v>5</v>
      </c>
      <c r="S13" s="4">
        <v>6</v>
      </c>
      <c r="T13" s="5">
        <v>18</v>
      </c>
      <c r="U13">
        <v>27</v>
      </c>
      <c r="W13" t="s">
        <v>10</v>
      </c>
    </row>
    <row r="14" spans="1:23">
      <c r="C14" s="3"/>
      <c r="D14" s="4"/>
      <c r="E14" s="4"/>
      <c r="F14" s="5"/>
      <c r="Q14" s="3"/>
      <c r="R14" s="4"/>
      <c r="S14" s="4"/>
      <c r="T14" s="5"/>
    </row>
    <row r="15" spans="1:23">
      <c r="C15" s="3"/>
      <c r="D15" s="4"/>
      <c r="E15" s="4"/>
      <c r="F15" s="5"/>
      <c r="Q15" s="3"/>
      <c r="R15" s="4"/>
      <c r="S15" s="4"/>
      <c r="T15" s="5"/>
    </row>
    <row r="16" spans="1:23">
      <c r="A16" s="15" t="s">
        <v>11</v>
      </c>
      <c r="B16" s="16"/>
      <c r="C16" s="17"/>
      <c r="D16" s="18"/>
      <c r="E16" s="18"/>
      <c r="F16" s="19"/>
      <c r="G16" s="16"/>
      <c r="H16" s="16"/>
      <c r="I16" s="16"/>
      <c r="O16" s="15" t="s">
        <v>11</v>
      </c>
      <c r="P16" s="16"/>
      <c r="Q16" s="17"/>
      <c r="R16" s="18"/>
      <c r="S16" s="18"/>
      <c r="T16" s="19"/>
      <c r="U16" s="16"/>
      <c r="V16" s="16"/>
      <c r="W16" s="16"/>
    </row>
    <row r="17" spans="1:23">
      <c r="A17" s="10"/>
      <c r="B17" t="s">
        <v>12</v>
      </c>
      <c r="C17" s="3" t="s">
        <v>13</v>
      </c>
      <c r="D17" s="4"/>
      <c r="E17" s="4"/>
      <c r="F17" s="5"/>
      <c r="O17" s="10"/>
      <c r="P17" t="s">
        <v>12</v>
      </c>
      <c r="Q17" s="3" t="s">
        <v>13</v>
      </c>
      <c r="R17" s="4"/>
      <c r="S17" s="4"/>
      <c r="T17" s="5"/>
    </row>
    <row r="18" spans="1:23">
      <c r="A18" t="s">
        <v>6</v>
      </c>
      <c r="B18" s="20">
        <v>1934</v>
      </c>
      <c r="C18" s="21">
        <v>1.1085935595150571E-2</v>
      </c>
      <c r="D18" s="22">
        <v>2.4854730565468555</v>
      </c>
      <c r="E18" s="22">
        <v>7.814465120525167</v>
      </c>
      <c r="F18" s="23">
        <v>20.176999626582898</v>
      </c>
      <c r="G18" s="24">
        <f t="shared" ref="C18:G20" si="0">$B18*1000*G11/1000000</f>
        <v>48.35</v>
      </c>
      <c r="I18" t="s">
        <v>7</v>
      </c>
      <c r="O18" t="s">
        <v>6</v>
      </c>
      <c r="P18" s="20">
        <v>1934</v>
      </c>
      <c r="Q18" s="21">
        <v>2.1319451540892982</v>
      </c>
      <c r="R18" s="22">
        <v>3.5552513985789362</v>
      </c>
      <c r="S18" s="22">
        <v>10.723894894960448</v>
      </c>
      <c r="T18" s="23">
        <v>16.572663190628163</v>
      </c>
      <c r="U18" s="24">
        <f t="shared" ref="Q18:U20" si="1">$B18*1000*U11/1000000</f>
        <v>48.35</v>
      </c>
      <c r="W18" t="s">
        <v>7</v>
      </c>
    </row>
    <row r="19" spans="1:23">
      <c r="A19" t="s">
        <v>8</v>
      </c>
      <c r="B19" s="20">
        <v>3590</v>
      </c>
      <c r="C19" s="21">
        <v>0.10324291549006048</v>
      </c>
      <c r="D19" s="22">
        <v>3.3506553123174343</v>
      </c>
      <c r="E19" s="22">
        <v>6.4663756129360941</v>
      </c>
      <c r="F19" s="23">
        <v>8.1799766538726164</v>
      </c>
      <c r="G19" s="24">
        <f t="shared" si="0"/>
        <v>107.7</v>
      </c>
      <c r="I19" t="s">
        <v>7</v>
      </c>
      <c r="O19" t="s">
        <v>8</v>
      </c>
      <c r="P19" s="20">
        <v>3590</v>
      </c>
      <c r="Q19" s="21">
        <v>3.6923199060381218</v>
      </c>
      <c r="R19" s="22">
        <v>13.088251620089467</v>
      </c>
      <c r="S19" s="22">
        <v>24.165794749877801</v>
      </c>
      <c r="T19" s="23">
        <v>44.876805939070096</v>
      </c>
      <c r="U19" s="24">
        <f t="shared" si="1"/>
        <v>107.7</v>
      </c>
      <c r="W19" t="s">
        <v>7</v>
      </c>
    </row>
    <row r="20" spans="1:23">
      <c r="A20" t="s">
        <v>9</v>
      </c>
      <c r="B20" s="20">
        <v>500</v>
      </c>
      <c r="C20" s="25">
        <f t="shared" si="0"/>
        <v>0</v>
      </c>
      <c r="D20" s="26">
        <f t="shared" si="0"/>
        <v>2.5</v>
      </c>
      <c r="E20" s="26">
        <f t="shared" si="0"/>
        <v>3</v>
      </c>
      <c r="F20" s="27">
        <f t="shared" si="0"/>
        <v>9</v>
      </c>
      <c r="G20" s="20">
        <f t="shared" si="0"/>
        <v>13.5</v>
      </c>
      <c r="I20" t="s">
        <v>14</v>
      </c>
      <c r="O20" t="s">
        <v>9</v>
      </c>
      <c r="P20" s="20">
        <v>500</v>
      </c>
      <c r="Q20" s="25">
        <f t="shared" si="1"/>
        <v>0</v>
      </c>
      <c r="R20" s="26">
        <f t="shared" si="1"/>
        <v>2.5</v>
      </c>
      <c r="S20" s="26">
        <f t="shared" si="1"/>
        <v>3</v>
      </c>
      <c r="T20" s="27">
        <f t="shared" si="1"/>
        <v>9</v>
      </c>
      <c r="U20" s="20">
        <f t="shared" si="1"/>
        <v>13.5</v>
      </c>
      <c r="W20" t="s">
        <v>14</v>
      </c>
    </row>
    <row r="21" spans="1:23">
      <c r="A21" s="28" t="s">
        <v>15</v>
      </c>
      <c r="B21" s="29"/>
      <c r="C21" s="30">
        <f>SUM(C18:C20)</f>
        <v>0.11432885108521106</v>
      </c>
      <c r="D21" s="29">
        <f t="shared" ref="D21:G21" si="2">SUM(D18:D20)</f>
        <v>8.3361283688642906</v>
      </c>
      <c r="E21" s="29">
        <f t="shared" si="2"/>
        <v>17.280840733461261</v>
      </c>
      <c r="F21" s="31">
        <f t="shared" si="2"/>
        <v>37.356976280455513</v>
      </c>
      <c r="G21" s="29">
        <f t="shared" si="2"/>
        <v>169.55</v>
      </c>
      <c r="H21" s="28"/>
      <c r="I21" s="28"/>
      <c r="O21" s="28" t="s">
        <v>15</v>
      </c>
      <c r="P21" s="29"/>
      <c r="Q21" s="30">
        <f>SUM(Q18:Q20)</f>
        <v>5.82426506012742</v>
      </c>
      <c r="R21" s="29">
        <f t="shared" ref="R21:U21" si="3">SUM(R18:R20)</f>
        <v>19.143503018668405</v>
      </c>
      <c r="S21" s="29">
        <f t="shared" si="3"/>
        <v>37.889689644838249</v>
      </c>
      <c r="T21" s="31">
        <f t="shared" si="3"/>
        <v>70.449469129698258</v>
      </c>
      <c r="U21" s="29">
        <f t="shared" si="3"/>
        <v>169.55</v>
      </c>
      <c r="V21" s="28"/>
      <c r="W21" s="28"/>
    </row>
    <row r="22" spans="1:23">
      <c r="A22" s="10"/>
      <c r="C22" s="3"/>
      <c r="D22" s="4"/>
      <c r="E22" s="4"/>
      <c r="F22" s="5"/>
      <c r="O22" s="10"/>
      <c r="Q22" s="3"/>
      <c r="R22" s="4"/>
      <c r="S22" s="4"/>
      <c r="T22" s="5"/>
    </row>
    <row r="23" spans="1:23">
      <c r="A23" s="10" t="s">
        <v>16</v>
      </c>
      <c r="C23" s="3"/>
      <c r="D23" s="4"/>
      <c r="E23" s="4"/>
      <c r="F23" s="5"/>
      <c r="O23" s="10" t="s">
        <v>16</v>
      </c>
      <c r="Q23" s="3"/>
      <c r="R23" s="4"/>
      <c r="S23" s="4"/>
      <c r="T23" s="5"/>
    </row>
    <row r="24" spans="1:23">
      <c r="A24" s="32" t="s">
        <v>6</v>
      </c>
      <c r="B24" s="20"/>
      <c r="C24" s="25">
        <v>2</v>
      </c>
      <c r="D24" s="26">
        <v>2</v>
      </c>
      <c r="E24" s="26">
        <v>1</v>
      </c>
      <c r="F24" s="27"/>
      <c r="G24" s="20"/>
      <c r="I24" t="s">
        <v>17</v>
      </c>
      <c r="O24" s="32" t="s">
        <v>6</v>
      </c>
      <c r="P24" s="20"/>
      <c r="Q24" s="25">
        <v>2</v>
      </c>
      <c r="R24" s="26">
        <v>2</v>
      </c>
      <c r="S24" s="26">
        <v>1</v>
      </c>
      <c r="T24" s="27"/>
      <c r="U24" s="20"/>
      <c r="W24" t="s">
        <v>17</v>
      </c>
    </row>
    <row r="25" spans="1:23">
      <c r="A25" t="s">
        <v>8</v>
      </c>
      <c r="B25" s="20"/>
      <c r="C25" s="25"/>
      <c r="D25" s="26"/>
      <c r="E25" s="26"/>
      <c r="F25" s="27"/>
      <c r="G25" s="20"/>
      <c r="O25" t="s">
        <v>8</v>
      </c>
      <c r="P25" s="20"/>
      <c r="Q25" s="25"/>
      <c r="R25" s="26"/>
      <c r="S25" s="26"/>
      <c r="T25" s="27"/>
      <c r="U25" s="20"/>
    </row>
    <row r="26" spans="1:23">
      <c r="A26" t="s">
        <v>9</v>
      </c>
      <c r="B26" s="20"/>
      <c r="C26" s="25">
        <v>2</v>
      </c>
      <c r="D26" s="26">
        <v>2</v>
      </c>
      <c r="E26" s="26"/>
      <c r="F26" s="27"/>
      <c r="G26" s="20"/>
      <c r="I26" t="s">
        <v>18</v>
      </c>
      <c r="O26" t="s">
        <v>9</v>
      </c>
      <c r="P26" s="20"/>
      <c r="Q26" s="25">
        <v>2</v>
      </c>
      <c r="R26" s="26">
        <v>2</v>
      </c>
      <c r="S26" s="26"/>
      <c r="T26" s="27"/>
      <c r="U26" s="20"/>
      <c r="W26" t="s">
        <v>18</v>
      </c>
    </row>
    <row r="27" spans="1:23">
      <c r="C27" s="3"/>
      <c r="D27" s="4"/>
      <c r="E27" s="4"/>
      <c r="F27" s="5"/>
      <c r="Q27" s="3"/>
      <c r="R27" s="4"/>
      <c r="S27" s="4"/>
      <c r="T27" s="5"/>
    </row>
    <row r="28" spans="1:23" ht="15.75" thickBot="1">
      <c r="A28" s="10" t="s">
        <v>19</v>
      </c>
      <c r="C28" s="33">
        <f>SUM(C21:C26)*0.2</f>
        <v>0.82286577021704232</v>
      </c>
      <c r="D28" s="34">
        <f>SUM(D21:D26)*0.2</f>
        <v>2.4672256737728584</v>
      </c>
      <c r="E28" s="34">
        <f>SUM(E21:E26)*0.2</f>
        <v>3.6561681466922522</v>
      </c>
      <c r="F28" s="35">
        <f>SUM(F21:F26)*0.2</f>
        <v>7.4713952560911032</v>
      </c>
      <c r="G28" s="36">
        <f>SUM(G21:G26)*0.2</f>
        <v>33.910000000000004</v>
      </c>
      <c r="O28" s="10" t="s">
        <v>19</v>
      </c>
      <c r="Q28" s="33">
        <f>SUM(Q21:Q26)*0.2</f>
        <v>1.9648530120254841</v>
      </c>
      <c r="R28" s="34">
        <f>SUM(R21:R26)*0.2</f>
        <v>4.6287006037336811</v>
      </c>
      <c r="S28" s="34">
        <f>SUM(S21:S26)*0.2</f>
        <v>7.77793792896765</v>
      </c>
      <c r="T28" s="35">
        <f>SUM(T21:T26)*0.2</f>
        <v>14.089893825939653</v>
      </c>
      <c r="U28" s="36">
        <f>SUM(U21:U26)*0.2</f>
        <v>33.910000000000004</v>
      </c>
    </row>
    <row r="29" spans="1:23" ht="15.75" thickTop="1">
      <c r="A29" s="37" t="s">
        <v>20</v>
      </c>
      <c r="B29" s="38"/>
      <c r="C29" s="39">
        <f>SUM(C21:C28)</f>
        <v>4.9371946213022539</v>
      </c>
      <c r="D29" s="40">
        <f t="shared" ref="D29:G29" si="4">SUM(D21:D28)</f>
        <v>14.803354042637149</v>
      </c>
      <c r="E29" s="40">
        <f t="shared" si="4"/>
        <v>21.937008880153513</v>
      </c>
      <c r="F29" s="41">
        <f t="shared" si="4"/>
        <v>44.828371536546612</v>
      </c>
      <c r="G29" s="39">
        <f t="shared" si="4"/>
        <v>203.46</v>
      </c>
      <c r="H29" s="38"/>
      <c r="I29" s="38"/>
      <c r="O29" s="37" t="s">
        <v>20</v>
      </c>
      <c r="P29" s="38"/>
      <c r="Q29" s="39">
        <f>SUM(Q21:Q28)</f>
        <v>11.789118072152904</v>
      </c>
      <c r="R29" s="40">
        <f t="shared" ref="R29:U29" si="5">SUM(R21:R28)</f>
        <v>27.772203622402085</v>
      </c>
      <c r="S29" s="40">
        <f t="shared" si="5"/>
        <v>46.667627573805902</v>
      </c>
      <c r="T29" s="41">
        <f t="shared" si="5"/>
        <v>84.539362955637912</v>
      </c>
      <c r="U29" s="39">
        <f t="shared" si="5"/>
        <v>203.46</v>
      </c>
      <c r="V29" s="38"/>
      <c r="W29" s="38"/>
    </row>
    <row r="30" spans="1:23">
      <c r="C30" s="3"/>
      <c r="D30" s="4"/>
      <c r="E30" s="4"/>
      <c r="F30" s="5"/>
      <c r="Q30" s="3"/>
      <c r="R30" s="4"/>
      <c r="S30" s="4"/>
      <c r="T30" s="5"/>
    </row>
    <row r="31" spans="1:23">
      <c r="C31" s="3"/>
      <c r="D31" s="4"/>
      <c r="E31" s="4"/>
      <c r="F31" s="5"/>
      <c r="Q31" s="3"/>
      <c r="R31" s="4"/>
      <c r="S31" s="4"/>
      <c r="T31" s="5"/>
    </row>
    <row r="32" spans="1:23">
      <c r="C32" s="3"/>
      <c r="D32" s="4"/>
      <c r="E32" s="4"/>
      <c r="F32" s="5"/>
      <c r="Q32" s="3"/>
      <c r="R32" s="4"/>
      <c r="S32" s="4"/>
      <c r="T32" s="5"/>
    </row>
    <row r="33" spans="1:23">
      <c r="C33" s="3"/>
      <c r="D33" s="4"/>
      <c r="E33" s="4"/>
      <c r="F33" s="5"/>
      <c r="Q33" s="3"/>
      <c r="R33" s="4"/>
      <c r="S33" s="4"/>
      <c r="T33" s="5"/>
    </row>
    <row r="34" spans="1:23">
      <c r="A34" s="15" t="s">
        <v>21</v>
      </c>
      <c r="B34" s="16"/>
      <c r="C34" s="17"/>
      <c r="D34" s="18"/>
      <c r="E34" s="18"/>
      <c r="F34" s="19"/>
      <c r="G34" s="16"/>
      <c r="H34" s="16"/>
      <c r="I34" s="16"/>
      <c r="O34" s="15" t="s">
        <v>21</v>
      </c>
      <c r="P34" s="16"/>
      <c r="Q34" s="17"/>
      <c r="R34" s="18"/>
      <c r="S34" s="18"/>
      <c r="T34" s="19"/>
      <c r="U34" s="16"/>
      <c r="V34" s="16"/>
      <c r="W34" s="16"/>
    </row>
    <row r="35" spans="1:23">
      <c r="A35" s="10"/>
      <c r="C35" s="3"/>
      <c r="D35" s="4"/>
      <c r="E35" s="4"/>
      <c r="F35" s="5"/>
      <c r="O35" s="10"/>
      <c r="Q35" s="3"/>
      <c r="R35" s="4"/>
      <c r="S35" s="4"/>
      <c r="T35" s="5"/>
    </row>
    <row r="36" spans="1:23">
      <c r="A36" s="10" t="s">
        <v>22</v>
      </c>
      <c r="C36" s="3"/>
      <c r="D36" s="4"/>
      <c r="E36" s="4"/>
      <c r="F36" s="5"/>
      <c r="O36" s="10" t="s">
        <v>22</v>
      </c>
      <c r="Q36" s="3"/>
      <c r="R36" s="4"/>
      <c r="S36" s="4"/>
      <c r="T36" s="5"/>
    </row>
    <row r="37" spans="1:23">
      <c r="B37" t="s">
        <v>23</v>
      </c>
      <c r="C37" s="3" t="s">
        <v>13</v>
      </c>
      <c r="D37" s="4"/>
      <c r="E37" s="4"/>
      <c r="F37" s="5"/>
      <c r="I37" t="s">
        <v>24</v>
      </c>
      <c r="P37" t="s">
        <v>23</v>
      </c>
      <c r="Q37" s="3" t="s">
        <v>13</v>
      </c>
      <c r="R37" s="4"/>
      <c r="S37" s="4"/>
      <c r="T37" s="5"/>
      <c r="W37" t="s">
        <v>24</v>
      </c>
    </row>
    <row r="38" spans="1:23">
      <c r="A38" t="s">
        <v>6</v>
      </c>
      <c r="B38" s="42">
        <v>31.93</v>
      </c>
      <c r="C38" s="43">
        <v>0</v>
      </c>
      <c r="D38" s="44">
        <v>0.14531312249999997</v>
      </c>
      <c r="E38" s="44">
        <v>0.65758302221863918</v>
      </c>
      <c r="F38" s="45">
        <v>2.2573056852988644</v>
      </c>
      <c r="G38" s="43">
        <f t="shared" ref="G38:G40" si="6">G11*1000*$B38/1000000</f>
        <v>0.79825000000000002</v>
      </c>
      <c r="I38" t="s">
        <v>7</v>
      </c>
      <c r="O38" t="s">
        <v>6</v>
      </c>
      <c r="P38" s="42">
        <v>31.93</v>
      </c>
      <c r="Q38" s="43">
        <v>0.11233822162499998</v>
      </c>
      <c r="R38" s="44">
        <v>0.29690520665624992</v>
      </c>
      <c r="S38" s="44">
        <v>0.99698866596266866</v>
      </c>
      <c r="T38" s="45">
        <v>2.1641517550296876</v>
      </c>
      <c r="U38" s="43">
        <f t="shared" ref="U38:U40" si="7">U11*1000*$B38/1000000</f>
        <v>0.79825000000000002</v>
      </c>
      <c r="W38" t="s">
        <v>7</v>
      </c>
    </row>
    <row r="39" spans="1:23">
      <c r="A39" t="s">
        <v>8</v>
      </c>
      <c r="B39" s="42">
        <v>22.23</v>
      </c>
      <c r="C39" s="43">
        <v>0</v>
      </c>
      <c r="D39" s="44">
        <v>7.0526871834527194</v>
      </c>
      <c r="E39" s="44">
        <v>11.589352810362938</v>
      </c>
      <c r="F39" s="45">
        <v>15.890289780272733</v>
      </c>
      <c r="G39" s="43">
        <f t="shared" si="6"/>
        <v>0.66690000000000005</v>
      </c>
      <c r="I39" t="s">
        <v>7</v>
      </c>
      <c r="O39" t="s">
        <v>8</v>
      </c>
      <c r="P39" s="42">
        <v>22.23</v>
      </c>
      <c r="Q39" s="43">
        <v>3.9399940312006274</v>
      </c>
      <c r="R39" s="44">
        <v>7.2504726591134965</v>
      </c>
      <c r="S39" s="44">
        <v>11.105229302442401</v>
      </c>
      <c r="T39" s="45">
        <v>15.658596208005816</v>
      </c>
      <c r="U39" s="43">
        <f t="shared" si="7"/>
        <v>0.66690000000000005</v>
      </c>
      <c r="W39" t="s">
        <v>7</v>
      </c>
    </row>
    <row r="40" spans="1:23">
      <c r="A40" t="s">
        <v>9</v>
      </c>
      <c r="B40" s="42">
        <v>0</v>
      </c>
      <c r="C40" s="46">
        <f t="shared" ref="C40:F40" si="8">C13*1000*$B40/1000000</f>
        <v>0</v>
      </c>
      <c r="D40" s="47">
        <f t="shared" si="8"/>
        <v>0</v>
      </c>
      <c r="E40" s="47">
        <f t="shared" si="8"/>
        <v>0</v>
      </c>
      <c r="F40" s="48">
        <f t="shared" si="8"/>
        <v>0</v>
      </c>
      <c r="G40" s="46">
        <f t="shared" si="6"/>
        <v>0</v>
      </c>
      <c r="I40" t="s">
        <v>25</v>
      </c>
      <c r="O40" t="s">
        <v>9</v>
      </c>
      <c r="P40" s="42">
        <v>0</v>
      </c>
      <c r="Q40" s="46">
        <f t="shared" ref="Q40:T40" si="9">Q13*1000*$B40/1000000</f>
        <v>0</v>
      </c>
      <c r="R40" s="47">
        <f t="shared" si="9"/>
        <v>0</v>
      </c>
      <c r="S40" s="47">
        <f t="shared" si="9"/>
        <v>0</v>
      </c>
      <c r="T40" s="48">
        <f t="shared" si="9"/>
        <v>0</v>
      </c>
      <c r="U40" s="46">
        <f t="shared" si="7"/>
        <v>0</v>
      </c>
      <c r="W40" t="s">
        <v>25</v>
      </c>
    </row>
    <row r="41" spans="1:23">
      <c r="C41" s="3"/>
      <c r="D41" s="4"/>
      <c r="E41" s="4"/>
      <c r="F41" s="5"/>
      <c r="G41" s="3"/>
      <c r="Q41" s="3"/>
      <c r="R41" s="4"/>
      <c r="S41" s="4"/>
      <c r="T41" s="5"/>
      <c r="U41" s="3"/>
    </row>
    <row r="42" spans="1:23">
      <c r="A42" s="10" t="s">
        <v>26</v>
      </c>
      <c r="C42" s="3" t="s">
        <v>13</v>
      </c>
      <c r="D42" s="4"/>
      <c r="E42" s="4"/>
      <c r="F42" s="5"/>
      <c r="G42" s="3"/>
      <c r="I42" t="s">
        <v>27</v>
      </c>
      <c r="O42" s="10" t="s">
        <v>26</v>
      </c>
      <c r="Q42" s="3" t="s">
        <v>13</v>
      </c>
      <c r="R42" s="4"/>
      <c r="S42" s="4"/>
      <c r="T42" s="5"/>
      <c r="U42" s="3"/>
      <c r="W42" t="s">
        <v>27</v>
      </c>
    </row>
    <row r="43" spans="1:23">
      <c r="A43" t="s">
        <v>6</v>
      </c>
      <c r="C43" s="43">
        <v>0.29412153782554779</v>
      </c>
      <c r="D43" s="44">
        <v>0.61605208763952046</v>
      </c>
      <c r="E43" s="44">
        <v>0.21</v>
      </c>
      <c r="F43" s="45">
        <v>0</v>
      </c>
      <c r="G43" s="43"/>
      <c r="I43" t="s">
        <v>28</v>
      </c>
      <c r="O43" t="s">
        <v>6</v>
      </c>
      <c r="Q43" s="43">
        <v>0.42017362546506826</v>
      </c>
      <c r="R43" s="44">
        <v>0.48999999999999994</v>
      </c>
      <c r="S43" s="44">
        <v>0.21</v>
      </c>
      <c r="T43" s="45">
        <v>0</v>
      </c>
      <c r="U43" s="43"/>
      <c r="W43" t="s">
        <v>28</v>
      </c>
    </row>
    <row r="44" spans="1:23">
      <c r="A44" t="s">
        <v>8</v>
      </c>
      <c r="C44" s="43">
        <v>2.5753784823529413</v>
      </c>
      <c r="D44" s="44">
        <v>1.1037336352941176</v>
      </c>
      <c r="E44" s="44">
        <v>0</v>
      </c>
      <c r="F44" s="45">
        <v>0</v>
      </c>
      <c r="G44" s="43"/>
      <c r="I44" t="s">
        <v>28</v>
      </c>
      <c r="O44" t="s">
        <v>8</v>
      </c>
      <c r="Q44" s="43">
        <v>4.1791121176470583</v>
      </c>
      <c r="R44" s="44">
        <v>0</v>
      </c>
      <c r="S44" s="44">
        <v>0</v>
      </c>
      <c r="T44" s="45">
        <v>0</v>
      </c>
      <c r="U44" s="43"/>
      <c r="W44" t="s">
        <v>28</v>
      </c>
    </row>
    <row r="45" spans="1:23">
      <c r="A45" t="s">
        <v>9</v>
      </c>
      <c r="C45" s="46">
        <v>1</v>
      </c>
      <c r="D45" s="47">
        <v>1</v>
      </c>
      <c r="E45" s="47">
        <v>0.5</v>
      </c>
      <c r="F45" s="48">
        <v>0.5</v>
      </c>
      <c r="G45" s="46"/>
      <c r="I45" t="s">
        <v>28</v>
      </c>
      <c r="O45" t="s">
        <v>9</v>
      </c>
      <c r="Q45" s="46">
        <v>1</v>
      </c>
      <c r="R45" s="47">
        <v>1</v>
      </c>
      <c r="S45" s="47">
        <v>0.5</v>
      </c>
      <c r="T45" s="48">
        <v>0.5</v>
      </c>
      <c r="U45" s="46"/>
      <c r="W45" t="s">
        <v>28</v>
      </c>
    </row>
    <row r="46" spans="1:23" ht="15.75" thickBot="1">
      <c r="C46" s="3"/>
      <c r="D46" s="4"/>
      <c r="E46" s="4"/>
      <c r="F46" s="5"/>
      <c r="G46" s="3"/>
      <c r="Q46" s="3"/>
      <c r="R46" s="4"/>
      <c r="S46" s="4"/>
      <c r="T46" s="5"/>
      <c r="U46" s="3"/>
    </row>
    <row r="47" spans="1:23" ht="15.75" thickTop="1">
      <c r="A47" s="37" t="s">
        <v>29</v>
      </c>
      <c r="B47" s="38"/>
      <c r="C47" s="49">
        <f>SUM(C38:C40,C43:C45)</f>
        <v>3.869500020178489</v>
      </c>
      <c r="D47" s="50">
        <f>SUM(D38:D40,D43:D45)</f>
        <v>9.9177860288863577</v>
      </c>
      <c r="E47" s="50">
        <f>SUM(E38:E40,E43:E45)</f>
        <v>12.956935832581578</v>
      </c>
      <c r="F47" s="51">
        <f>SUM(F38:F40,F43:F45)</f>
        <v>18.647595465571598</v>
      </c>
      <c r="G47" s="49">
        <f>SUM(G38:G40,G43:G45)</f>
        <v>1.46515</v>
      </c>
      <c r="H47" s="38"/>
      <c r="I47" s="38"/>
      <c r="O47" s="37" t="s">
        <v>29</v>
      </c>
      <c r="P47" s="38"/>
      <c r="Q47" s="49">
        <f>SUM(Q38:Q40,Q43:Q45)</f>
        <v>9.6516179959377553</v>
      </c>
      <c r="R47" s="50">
        <f>SUM(R38:R40,R43:R45)</f>
        <v>9.0373778657697468</v>
      </c>
      <c r="S47" s="50">
        <f>SUM(S38:S40,S43:S45)</f>
        <v>12.81221796840507</v>
      </c>
      <c r="T47" s="51">
        <f>SUM(T38:T40,T43:T45)</f>
        <v>18.322747963035503</v>
      </c>
      <c r="U47" s="49">
        <f>SUM(U38:U40,U43:U45)</f>
        <v>1.46515</v>
      </c>
      <c r="V47" s="38"/>
      <c r="W47" s="38"/>
    </row>
    <row r="48" spans="1:23">
      <c r="C48" s="3"/>
      <c r="D48" s="4"/>
      <c r="E48" s="4"/>
      <c r="F48" s="5"/>
      <c r="G48" s="3"/>
      <c r="Q48" s="3"/>
      <c r="R48" s="4"/>
      <c r="S48" s="4"/>
      <c r="T48" s="5"/>
      <c r="U48" s="3"/>
    </row>
    <row r="49" spans="3:20">
      <c r="C49" s="3"/>
      <c r="D49" s="4"/>
      <c r="E49" s="4"/>
      <c r="F49" s="5"/>
      <c r="Q49" s="3"/>
      <c r="R49" s="4"/>
      <c r="S49" s="4"/>
      <c r="T49" s="5"/>
    </row>
    <row r="50" spans="3:20">
      <c r="C50" s="3"/>
      <c r="D50" s="4"/>
      <c r="E50" s="4"/>
      <c r="F50" s="5"/>
      <c r="Q50" s="3"/>
      <c r="R50" s="4"/>
      <c r="S50" s="4"/>
      <c r="T50" s="5"/>
    </row>
    <row r="51" spans="3:20">
      <c r="O51" s="10" t="s">
        <v>30</v>
      </c>
    </row>
    <row r="52" spans="3:20">
      <c r="O52" s="52" t="s">
        <v>31</v>
      </c>
    </row>
    <row r="53" spans="3:20">
      <c r="O53" t="s">
        <v>32</v>
      </c>
    </row>
  </sheetData>
  <mergeCells count="2">
    <mergeCell ref="C7:F7"/>
    <mergeCell ref="Q7:T7"/>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workbookViewId="0">
      <selection activeCell="G5" sqref="G5"/>
    </sheetView>
  </sheetViews>
  <sheetFormatPr defaultRowHeight="15"/>
  <cols>
    <col min="1" max="1" width="21.85546875" bestFit="1" customWidth="1"/>
    <col min="3" max="3" width="9.85546875" bestFit="1" customWidth="1"/>
    <col min="4" max="6" width="9.7109375" bestFit="1" customWidth="1"/>
    <col min="7" max="7" width="12.5703125" bestFit="1" customWidth="1"/>
  </cols>
  <sheetData>
    <row r="1" spans="1:7">
      <c r="B1">
        <v>2022</v>
      </c>
      <c r="C1" s="54">
        <v>2023</v>
      </c>
      <c r="D1" s="54">
        <v>2024</v>
      </c>
      <c r="E1" s="54">
        <v>2025</v>
      </c>
      <c r="F1" s="54">
        <v>2026</v>
      </c>
    </row>
    <row r="2" spans="1:7">
      <c r="A2" t="s">
        <v>201</v>
      </c>
      <c r="B2" s="109">
        <v>3692148</v>
      </c>
      <c r="C2" s="109">
        <v>15757803</v>
      </c>
      <c r="D2" s="109">
        <v>17691117</v>
      </c>
      <c r="E2" s="109">
        <v>19154298</v>
      </c>
      <c r="F2" s="109">
        <v>22419612</v>
      </c>
      <c r="G2" s="108">
        <f>SUM(B2:F2)</f>
        <v>78714978</v>
      </c>
    </row>
    <row r="5" spans="1:7">
      <c r="G5" s="90"/>
    </row>
  </sheetData>
  <pageMargins left="0.7" right="0.7" top="0.75" bottom="0.75" header="0.3" footer="0.3"/>
  <pageSetup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workbookViewId="0">
      <pane ySplit="5" topLeftCell="A6" activePane="bottomLeft" state="frozen"/>
      <selection activeCell="B28" sqref="B28"/>
      <selection pane="bottomLeft" activeCell="B28" sqref="B28"/>
    </sheetView>
  </sheetViews>
  <sheetFormatPr defaultColWidth="9.140625" defaultRowHeight="12.75"/>
  <cols>
    <col min="1" max="1" width="26.85546875" style="140" customWidth="1"/>
    <col min="2" max="2" width="15.85546875" style="140" customWidth="1"/>
    <col min="3" max="3" width="7.5703125" style="140" customWidth="1"/>
    <col min="4" max="4" width="5.7109375" style="140" customWidth="1"/>
    <col min="5" max="5" width="30.85546875" style="140" customWidth="1"/>
    <col min="6" max="6" width="10.28515625" style="140" bestFit="1" customWidth="1"/>
    <col min="7" max="7" width="12.28515625" style="140" bestFit="1" customWidth="1"/>
    <col min="8" max="8" width="11.5703125" style="140" bestFit="1" customWidth="1"/>
    <col min="9" max="10" width="11.85546875" style="140" bestFit="1" customWidth="1"/>
    <col min="11" max="12" width="11.85546875" style="215" bestFit="1" customWidth="1"/>
    <col min="13" max="13" width="11.5703125" style="140" bestFit="1" customWidth="1"/>
    <col min="14" max="14" width="13.28515625" style="140" bestFit="1" customWidth="1"/>
    <col min="15" max="16384" width="9.140625" style="140"/>
  </cols>
  <sheetData>
    <row r="1" spans="1:14" ht="14.45" customHeight="1">
      <c r="A1" s="766" t="s">
        <v>592</v>
      </c>
      <c r="B1" s="766"/>
      <c r="C1" s="766"/>
    </row>
    <row r="2" spans="1:14">
      <c r="A2" s="766"/>
      <c r="B2" s="766"/>
      <c r="C2" s="766"/>
    </row>
    <row r="3" spans="1:14">
      <c r="A3" s="766"/>
      <c r="B3" s="766"/>
      <c r="C3" s="766"/>
    </row>
    <row r="5" spans="1:14">
      <c r="A5" s="140">
        <v>2022</v>
      </c>
      <c r="F5" s="268">
        <v>2022</v>
      </c>
      <c r="G5" s="268">
        <v>2023</v>
      </c>
      <c r="H5" s="268">
        <v>2024</v>
      </c>
      <c r="I5" s="268">
        <v>2025</v>
      </c>
      <c r="J5" s="268">
        <v>2026</v>
      </c>
      <c r="K5" s="268">
        <v>2027</v>
      </c>
      <c r="L5" s="268">
        <v>2028</v>
      </c>
      <c r="M5" s="268">
        <v>2029</v>
      </c>
      <c r="N5" s="268">
        <v>2030</v>
      </c>
    </row>
    <row r="6" spans="1:14">
      <c r="A6" s="140" t="s">
        <v>165</v>
      </c>
      <c r="B6" s="244">
        <f>SUM('4C. Enablement and Grid Mod Bud'!I330,'4C. Enablement and Grid Mod Bud'!I334)/1000</f>
        <v>3901.25</v>
      </c>
      <c r="E6" s="140" t="s">
        <v>166</v>
      </c>
      <c r="F6" s="242"/>
      <c r="G6" s="242"/>
      <c r="H6" s="242"/>
      <c r="I6" s="242"/>
      <c r="J6" s="242"/>
      <c r="K6" s="294"/>
      <c r="L6" s="294"/>
    </row>
    <row r="7" spans="1:14">
      <c r="A7" s="140" t="s">
        <v>167</v>
      </c>
      <c r="B7" s="215">
        <v>5</v>
      </c>
      <c r="E7" s="295" t="s">
        <v>168</v>
      </c>
      <c r="F7" s="222">
        <f>B6</f>
        <v>3901.25</v>
      </c>
      <c r="G7" s="222">
        <f>B6+B13</f>
        <v>19057.254999999997</v>
      </c>
      <c r="H7" s="222">
        <f>B6+B13+B20</f>
        <v>27506.254999999997</v>
      </c>
      <c r="I7" s="222">
        <f>B6+B13+B20+B27</f>
        <v>33226.254999999997</v>
      </c>
      <c r="J7" s="222">
        <f>I7</f>
        <v>33226.254999999997</v>
      </c>
      <c r="K7" s="234">
        <f>J7</f>
        <v>33226.254999999997</v>
      </c>
      <c r="L7" s="234">
        <f>K7</f>
        <v>33226.254999999997</v>
      </c>
      <c r="M7" s="222">
        <f>L7</f>
        <v>33226.254999999997</v>
      </c>
      <c r="N7" s="222">
        <f>M7</f>
        <v>33226.254999999997</v>
      </c>
    </row>
    <row r="8" spans="1:14">
      <c r="A8" s="140" t="s">
        <v>169</v>
      </c>
      <c r="B8" s="296">
        <v>6.9696000000000008E-2</v>
      </c>
      <c r="E8" s="295" t="s">
        <v>170</v>
      </c>
      <c r="F8" s="249">
        <f>-F36</f>
        <v>-780.25</v>
      </c>
      <c r="G8" s="250">
        <f>-G36+F8</f>
        <v>-4591.7009999999991</v>
      </c>
      <c r="H8" s="249">
        <f t="shared" ref="H8:N8" si="0">-H36+G8</f>
        <v>-5901.5226666666658</v>
      </c>
      <c r="I8" s="249">
        <f t="shared" si="0"/>
        <v>-12546.773666666664</v>
      </c>
      <c r="J8" s="249">
        <f t="shared" si="0"/>
        <v>-19192.024666666664</v>
      </c>
      <c r="K8" s="249">
        <f t="shared" si="0"/>
        <v>-25837.275666666665</v>
      </c>
      <c r="L8" s="249">
        <f t="shared" si="0"/>
        <v>-32482.526666666665</v>
      </c>
      <c r="M8" s="249">
        <f t="shared" si="0"/>
        <v>-39127.777666666661</v>
      </c>
      <c r="N8" s="249">
        <f t="shared" si="0"/>
        <v>-45773.028666666658</v>
      </c>
    </row>
    <row r="9" spans="1:14">
      <c r="A9" s="140" t="s">
        <v>171</v>
      </c>
      <c r="B9" s="215">
        <v>0.21</v>
      </c>
      <c r="E9" s="295" t="s">
        <v>172</v>
      </c>
      <c r="F9" s="224">
        <v>0</v>
      </c>
      <c r="G9" s="224">
        <v>0</v>
      </c>
      <c r="H9" s="224">
        <v>0</v>
      </c>
      <c r="I9" s="224">
        <v>0</v>
      </c>
      <c r="J9" s="224">
        <v>0</v>
      </c>
      <c r="K9" s="224">
        <v>0</v>
      </c>
      <c r="L9" s="224">
        <v>0</v>
      </c>
      <c r="M9" s="224">
        <v>0</v>
      </c>
      <c r="N9" s="224">
        <v>0</v>
      </c>
    </row>
    <row r="10" spans="1:14">
      <c r="A10" s="140" t="s">
        <v>203</v>
      </c>
      <c r="B10" s="296">
        <v>4.7600000000000003E-2</v>
      </c>
      <c r="E10" s="241" t="s">
        <v>173</v>
      </c>
      <c r="F10" s="222">
        <f t="shared" ref="F10:N10" si="1">SUM(F7:F8)</f>
        <v>3121</v>
      </c>
      <c r="G10" s="222">
        <f t="shared" si="1"/>
        <v>14465.553999999998</v>
      </c>
      <c r="H10" s="222">
        <f t="shared" si="1"/>
        <v>21604.732333333333</v>
      </c>
      <c r="I10" s="222">
        <f t="shared" si="1"/>
        <v>20679.481333333333</v>
      </c>
      <c r="J10" s="222">
        <f t="shared" si="1"/>
        <v>14034.230333333333</v>
      </c>
      <c r="K10" s="222">
        <f t="shared" si="1"/>
        <v>7388.9793333333328</v>
      </c>
      <c r="L10" s="222">
        <f t="shared" si="1"/>
        <v>743.72833333333256</v>
      </c>
      <c r="M10" s="222">
        <f t="shared" si="1"/>
        <v>-5901.522666666664</v>
      </c>
      <c r="N10" s="222">
        <f t="shared" si="1"/>
        <v>-12546.773666666661</v>
      </c>
    </row>
    <row r="11" spans="1:14">
      <c r="D11" s="181"/>
      <c r="E11" s="295"/>
      <c r="F11" s="222"/>
      <c r="G11" s="222"/>
      <c r="H11" s="222"/>
      <c r="I11" s="222"/>
      <c r="J11" s="222"/>
      <c r="K11" s="234"/>
      <c r="L11" s="234"/>
    </row>
    <row r="12" spans="1:14">
      <c r="A12" s="140">
        <v>2023</v>
      </c>
      <c r="D12" s="181"/>
      <c r="E12" s="181" t="s">
        <v>174</v>
      </c>
      <c r="F12" s="222">
        <f>F10</f>
        <v>3121</v>
      </c>
      <c r="G12" s="222">
        <f t="shared" ref="G12:N12" si="2">AVERAGE(F10:G10)</f>
        <v>8793.2769999999982</v>
      </c>
      <c r="H12" s="222">
        <f t="shared" si="2"/>
        <v>18035.143166666665</v>
      </c>
      <c r="I12" s="222">
        <f t="shared" si="2"/>
        <v>21142.106833333331</v>
      </c>
      <c r="J12" s="222">
        <f t="shared" si="2"/>
        <v>17356.855833333335</v>
      </c>
      <c r="K12" s="222">
        <f t="shared" si="2"/>
        <v>10711.604833333333</v>
      </c>
      <c r="L12" s="222">
        <f t="shared" si="2"/>
        <v>4066.3538333333327</v>
      </c>
      <c r="M12" s="222">
        <f t="shared" si="2"/>
        <v>-2578.8971666666657</v>
      </c>
      <c r="N12" s="222">
        <f t="shared" si="2"/>
        <v>-9224.1481666666623</v>
      </c>
    </row>
    <row r="13" spans="1:14">
      <c r="A13" s="140" t="s">
        <v>165</v>
      </c>
      <c r="B13" s="244">
        <f>SUM('4C. Enablement and Grid Mod Bud'!J330,'4C. Enablement and Grid Mod Bud'!J334)/1000</f>
        <v>15156.004999999999</v>
      </c>
      <c r="E13" s="181" t="s">
        <v>175</v>
      </c>
      <c r="F13" s="222">
        <f>F12*$B$8</f>
        <v>217.52121600000004</v>
      </c>
      <c r="G13" s="222">
        <f t="shared" ref="G13:M13" si="3">G12*$B$8</f>
        <v>612.8562337919999</v>
      </c>
      <c r="H13" s="222">
        <f t="shared" si="3"/>
        <v>1256.977338144</v>
      </c>
      <c r="I13" s="222">
        <f t="shared" si="3"/>
        <v>1473.5202778560001</v>
      </c>
      <c r="J13" s="222">
        <f t="shared" si="3"/>
        <v>1209.7034241600002</v>
      </c>
      <c r="K13" s="222">
        <f t="shared" si="3"/>
        <v>746.556010464</v>
      </c>
      <c r="L13" s="222">
        <f t="shared" si="3"/>
        <v>283.408596768</v>
      </c>
      <c r="M13" s="222">
        <f t="shared" si="3"/>
        <v>-179.73881692799995</v>
      </c>
      <c r="N13" s="222">
        <f>N12*$B$8</f>
        <v>-642.88623062399972</v>
      </c>
    </row>
    <row r="14" spans="1:14">
      <c r="A14" s="140" t="s">
        <v>167</v>
      </c>
      <c r="B14" s="215">
        <v>5</v>
      </c>
      <c r="E14" s="181" t="s">
        <v>176</v>
      </c>
      <c r="F14" s="242">
        <f>F13/(1-$B$9)-F13</f>
        <v>57.82209539240506</v>
      </c>
      <c r="G14" s="222">
        <f>G13/(1-$B$9)-G13</f>
        <v>162.91115075483538</v>
      </c>
      <c r="H14" s="222">
        <f>H13/(1-$B$9)-H13</f>
        <v>334.13321646865825</v>
      </c>
      <c r="I14" s="222">
        <f>I13/(1-$B$9)-I13</f>
        <v>391.69526373387339</v>
      </c>
      <c r="J14" s="222">
        <f>J13/(1-$B$9)-J13</f>
        <v>321.56673300455691</v>
      </c>
      <c r="K14" s="222">
        <f t="shared" ref="K14:N14" si="4">K13/(1-$B$9)-K13</f>
        <v>198.45159771827844</v>
      </c>
      <c r="L14" s="222">
        <f t="shared" si="4"/>
        <v>75.336462431999962</v>
      </c>
      <c r="M14" s="242">
        <f>M13/(1-$B$9)-M13</f>
        <v>-47.778672854278454</v>
      </c>
      <c r="N14" s="222">
        <f t="shared" si="4"/>
        <v>-170.89380814055687</v>
      </c>
    </row>
    <row r="15" spans="1:14">
      <c r="A15" s="140" t="s">
        <v>169</v>
      </c>
      <c r="B15" s="296">
        <v>6.9696000000000008E-2</v>
      </c>
      <c r="E15" s="235" t="s">
        <v>177</v>
      </c>
      <c r="F15" s="236">
        <f>F13+F14</f>
        <v>275.3433113924051</v>
      </c>
      <c r="G15" s="236">
        <f>G13+G14</f>
        <v>775.76738454683527</v>
      </c>
      <c r="H15" s="236">
        <f t="shared" ref="H15:N15" si="5">H13+H14</f>
        <v>1591.1105546126582</v>
      </c>
      <c r="I15" s="236">
        <f t="shared" si="5"/>
        <v>1865.2155415898735</v>
      </c>
      <c r="J15" s="236">
        <f t="shared" si="5"/>
        <v>1531.2701571645571</v>
      </c>
      <c r="K15" s="236">
        <f t="shared" si="5"/>
        <v>945.00760818227843</v>
      </c>
      <c r="L15" s="236">
        <f t="shared" si="5"/>
        <v>358.74505919999996</v>
      </c>
      <c r="M15" s="236">
        <f t="shared" si="5"/>
        <v>-227.5174897822784</v>
      </c>
      <c r="N15" s="236">
        <f t="shared" si="5"/>
        <v>-813.78003876455659</v>
      </c>
    </row>
    <row r="16" spans="1:14">
      <c r="A16" s="140" t="s">
        <v>171</v>
      </c>
      <c r="B16" s="215">
        <v>0.21</v>
      </c>
      <c r="F16" s="222"/>
      <c r="G16" s="222"/>
      <c r="H16" s="222"/>
      <c r="I16" s="222"/>
      <c r="J16" s="222"/>
      <c r="K16" s="234"/>
      <c r="L16" s="234"/>
    </row>
    <row r="17" spans="1:14">
      <c r="A17" s="140" t="s">
        <v>203</v>
      </c>
      <c r="B17" s="296">
        <v>4.7600000000000003E-2</v>
      </c>
      <c r="E17" s="140" t="s">
        <v>178</v>
      </c>
      <c r="F17" s="222"/>
      <c r="G17" s="222"/>
      <c r="H17" s="222"/>
      <c r="I17" s="222"/>
      <c r="J17" s="222"/>
      <c r="K17" s="234"/>
      <c r="L17" s="234"/>
    </row>
    <row r="18" spans="1:14">
      <c r="B18" s="296"/>
      <c r="E18" s="295" t="s">
        <v>179</v>
      </c>
      <c r="F18" s="222">
        <f>F36</f>
        <v>780.25</v>
      </c>
      <c r="G18" s="222">
        <f t="shared" ref="G18:N18" si="6">G36</f>
        <v>3811.4509999999996</v>
      </c>
      <c r="H18" s="222">
        <f t="shared" si="6"/>
        <v>1309.8216666666665</v>
      </c>
      <c r="I18" s="222">
        <f t="shared" si="6"/>
        <v>6645.2509999999993</v>
      </c>
      <c r="J18" s="222">
        <f t="shared" si="6"/>
        <v>6645.2509999999993</v>
      </c>
      <c r="K18" s="222">
        <f t="shared" si="6"/>
        <v>6645.2509999999993</v>
      </c>
      <c r="L18" s="222">
        <f t="shared" si="6"/>
        <v>6645.2509999999993</v>
      </c>
      <c r="M18" s="222">
        <f t="shared" si="6"/>
        <v>6645.2509999999993</v>
      </c>
      <c r="N18" s="222">
        <f t="shared" si="6"/>
        <v>6645.2509999999993</v>
      </c>
    </row>
    <row r="19" spans="1:14">
      <c r="A19" s="140">
        <v>2024</v>
      </c>
      <c r="E19" s="295" t="s">
        <v>558</v>
      </c>
      <c r="F19" s="222">
        <f>SUM('4C. Enablement and Grid Mod Bud'!I331,'4C. Enablement and Grid Mod Bud'!I335)/1000</f>
        <v>2500.2849999999999</v>
      </c>
      <c r="G19" s="222">
        <f>SUM('4C. Enablement and Grid Mod Bud'!J331,'4C. Enablement and Grid Mod Bud'!J335)/1000</f>
        <v>3635.0720000000001</v>
      </c>
      <c r="H19" s="222">
        <f>SUM('4C. Enablement and Grid Mod Bud'!K331,'4C. Enablement and Grid Mod Bud'!K335)/1000</f>
        <v>3488.3584999999998</v>
      </c>
      <c r="I19" s="222">
        <f>SUM('4C. Enablement and Grid Mod Bud'!L331,'4C. Enablement and Grid Mod Bud'!L335)/1000</f>
        <v>3688.3584999999998</v>
      </c>
      <c r="J19" s="297">
        <f>I19</f>
        <v>3688.3584999999998</v>
      </c>
      <c r="K19" s="297">
        <f t="shared" ref="K19:N19" si="7">J19</f>
        <v>3688.3584999999998</v>
      </c>
      <c r="L19" s="297">
        <f t="shared" si="7"/>
        <v>3688.3584999999998</v>
      </c>
      <c r="M19" s="297">
        <f t="shared" si="7"/>
        <v>3688.3584999999998</v>
      </c>
      <c r="N19" s="297">
        <f t="shared" si="7"/>
        <v>3688.3584999999998</v>
      </c>
    </row>
    <row r="20" spans="1:14">
      <c r="A20" s="140" t="s">
        <v>165</v>
      </c>
      <c r="B20" s="244">
        <f>SUM('4C. Enablement and Grid Mod Bud'!K330,'4C. Enablement and Grid Mod Bud'!K334)/1000</f>
        <v>8449</v>
      </c>
      <c r="E20" s="295" t="s">
        <v>204</v>
      </c>
      <c r="F20" s="242">
        <f>(F13/(1-$B$10))-F13</f>
        <v>10.871492945821075</v>
      </c>
      <c r="G20" s="242">
        <f t="shared" ref="G20:N20" si="8">(G13/(1-$B$10))-G13</f>
        <v>30.629941966084857</v>
      </c>
      <c r="H20" s="242">
        <f t="shared" si="8"/>
        <v>62.822470911018854</v>
      </c>
      <c r="I20" s="242">
        <f t="shared" si="8"/>
        <v>73.645070585831036</v>
      </c>
      <c r="J20" s="242">
        <f t="shared" si="8"/>
        <v>60.459767944157875</v>
      </c>
      <c r="K20" s="242">
        <f t="shared" si="8"/>
        <v>37.312123160527449</v>
      </c>
      <c r="L20" s="242">
        <f t="shared" si="8"/>
        <v>14.16447837689708</v>
      </c>
      <c r="M20" s="242">
        <f t="shared" si="8"/>
        <v>-8.9831664067332895</v>
      </c>
      <c r="N20" s="242">
        <f t="shared" si="8"/>
        <v>-32.130811190363715</v>
      </c>
    </row>
    <row r="21" spans="1:14">
      <c r="A21" s="140" t="s">
        <v>167</v>
      </c>
      <c r="B21" s="215">
        <v>5</v>
      </c>
      <c r="E21" s="298" t="s">
        <v>180</v>
      </c>
      <c r="F21" s="236">
        <f t="shared" ref="F21:N21" si="9">SUM(F18:F20)</f>
        <v>3291.4064929458209</v>
      </c>
      <c r="G21" s="236">
        <f t="shared" si="9"/>
        <v>7477.1529419660837</v>
      </c>
      <c r="H21" s="236">
        <f t="shared" si="9"/>
        <v>4861.0026375776852</v>
      </c>
      <c r="I21" s="236">
        <f t="shared" si="9"/>
        <v>10407.25457058583</v>
      </c>
      <c r="J21" s="236">
        <f t="shared" si="9"/>
        <v>10394.069267944156</v>
      </c>
      <c r="K21" s="236">
        <f t="shared" si="9"/>
        <v>10370.921623160526</v>
      </c>
      <c r="L21" s="236">
        <f t="shared" si="9"/>
        <v>10347.773978376896</v>
      </c>
      <c r="M21" s="236">
        <f t="shared" si="9"/>
        <v>10324.626333593265</v>
      </c>
      <c r="N21" s="236">
        <f t="shared" si="9"/>
        <v>10301.478688809635</v>
      </c>
    </row>
    <row r="22" spans="1:14">
      <c r="A22" s="140" t="s">
        <v>169</v>
      </c>
      <c r="B22" s="296">
        <v>6.9696000000000008E-2</v>
      </c>
      <c r="F22" s="222"/>
      <c r="G22" s="222"/>
      <c r="H22" s="222"/>
      <c r="I22" s="222"/>
      <c r="J22" s="222"/>
      <c r="K22" s="234"/>
      <c r="L22" s="234"/>
    </row>
    <row r="23" spans="1:14">
      <c r="A23" s="140" t="s">
        <v>171</v>
      </c>
      <c r="B23" s="215">
        <v>0.21</v>
      </c>
      <c r="F23" s="222"/>
      <c r="G23" s="222"/>
      <c r="H23" s="222"/>
      <c r="I23" s="222"/>
      <c r="J23" s="222"/>
      <c r="K23" s="234"/>
      <c r="L23" s="234"/>
    </row>
    <row r="24" spans="1:14">
      <c r="A24" s="140" t="s">
        <v>203</v>
      </c>
      <c r="B24" s="296">
        <v>4.7600000000000003E-2</v>
      </c>
      <c r="E24" s="298" t="s">
        <v>181</v>
      </c>
      <c r="F24" s="299">
        <f>F15+F21</f>
        <v>3566.7498043382261</v>
      </c>
      <c r="G24" s="299">
        <f>G15+G21</f>
        <v>8252.9203265129181</v>
      </c>
      <c r="H24" s="299">
        <f t="shared" ref="H24:N24" si="10">H15+H21</f>
        <v>6452.1131921903434</v>
      </c>
      <c r="I24" s="299">
        <f t="shared" si="10"/>
        <v>12272.470112175704</v>
      </c>
      <c r="J24" s="299">
        <f t="shared" si="10"/>
        <v>11925.339425108714</v>
      </c>
      <c r="K24" s="299">
        <f t="shared" si="10"/>
        <v>11315.929231342805</v>
      </c>
      <c r="L24" s="299">
        <f t="shared" si="10"/>
        <v>10706.519037576896</v>
      </c>
      <c r="M24" s="299">
        <f t="shared" si="10"/>
        <v>10097.108843810987</v>
      </c>
      <c r="N24" s="299">
        <f t="shared" si="10"/>
        <v>9487.6986500450785</v>
      </c>
    </row>
    <row r="25" spans="1:14">
      <c r="F25" s="222"/>
      <c r="G25" s="222"/>
      <c r="H25" s="222"/>
      <c r="I25" s="222"/>
      <c r="J25" s="222"/>
      <c r="K25" s="234"/>
      <c r="L25" s="234"/>
    </row>
    <row r="26" spans="1:14">
      <c r="A26" s="140">
        <v>2025</v>
      </c>
      <c r="F26" s="222"/>
      <c r="G26" s="222"/>
      <c r="H26" s="222"/>
      <c r="I26" s="222"/>
      <c r="J26" s="222"/>
      <c r="K26" s="234"/>
      <c r="L26" s="234"/>
    </row>
    <row r="27" spans="1:14">
      <c r="A27" s="140" t="s">
        <v>165</v>
      </c>
      <c r="B27" s="244">
        <f>SUM('4C. Enablement and Grid Mod Bud'!L330,'4C. Enablement and Grid Mod Bud'!L334)/1000</f>
        <v>5720</v>
      </c>
      <c r="F27" s="222"/>
      <c r="G27" s="222"/>
      <c r="H27" s="222"/>
      <c r="I27" s="222"/>
      <c r="J27" s="222"/>
      <c r="K27" s="234"/>
      <c r="L27" s="234"/>
    </row>
    <row r="28" spans="1:14">
      <c r="A28" s="140" t="s">
        <v>167</v>
      </c>
      <c r="B28" s="215">
        <v>5</v>
      </c>
      <c r="F28" s="222"/>
      <c r="G28" s="222"/>
      <c r="H28" s="222"/>
      <c r="I28" s="222"/>
      <c r="J28" s="222"/>
      <c r="K28" s="234"/>
      <c r="L28" s="234"/>
    </row>
    <row r="29" spans="1:14">
      <c r="A29" s="140" t="s">
        <v>169</v>
      </c>
      <c r="B29" s="296">
        <v>6.9696000000000008E-2</v>
      </c>
    </row>
    <row r="30" spans="1:14">
      <c r="A30" s="140" t="s">
        <v>171</v>
      </c>
      <c r="B30" s="215">
        <v>0.21</v>
      </c>
      <c r="F30" s="222"/>
      <c r="G30" s="222"/>
      <c r="H30" s="222"/>
      <c r="I30" s="222"/>
      <c r="J30" s="222"/>
      <c r="K30" s="234"/>
      <c r="L30" s="234"/>
    </row>
    <row r="31" spans="1:14">
      <c r="A31" s="140" t="s">
        <v>203</v>
      </c>
      <c r="B31" s="296">
        <v>4.7600000000000003E-2</v>
      </c>
      <c r="E31" s="141"/>
      <c r="F31" s="222"/>
      <c r="G31" s="222"/>
      <c r="H31" s="222"/>
      <c r="I31" s="222"/>
      <c r="J31" s="222"/>
      <c r="K31" s="234"/>
      <c r="L31" s="234"/>
    </row>
    <row r="32" spans="1:14">
      <c r="F32" s="222"/>
      <c r="G32" s="300"/>
      <c r="H32" s="300"/>
      <c r="I32" s="300"/>
      <c r="J32" s="300"/>
      <c r="K32" s="301"/>
      <c r="L32" s="301"/>
    </row>
    <row r="33" spans="1:14">
      <c r="A33" s="140">
        <v>2026</v>
      </c>
      <c r="F33" s="222"/>
      <c r="G33" s="222"/>
      <c r="H33" s="222"/>
      <c r="I33" s="222"/>
      <c r="J33" s="222"/>
      <c r="K33" s="234"/>
      <c r="L33" s="234"/>
    </row>
    <row r="34" spans="1:14">
      <c r="A34" s="140" t="s">
        <v>165</v>
      </c>
      <c r="B34" s="244">
        <v>0</v>
      </c>
      <c r="F34" s="222"/>
      <c r="G34" s="222"/>
      <c r="H34" s="222"/>
      <c r="I34" s="222"/>
      <c r="J34" s="222"/>
      <c r="K34" s="234"/>
      <c r="L34" s="234"/>
    </row>
    <row r="35" spans="1:14">
      <c r="A35" s="140" t="s">
        <v>167</v>
      </c>
      <c r="B35" s="215">
        <v>5</v>
      </c>
      <c r="F35" s="222"/>
      <c r="G35" s="222"/>
      <c r="H35" s="222"/>
      <c r="I35" s="222"/>
      <c r="J35" s="222"/>
      <c r="K35" s="234"/>
      <c r="L35" s="234"/>
    </row>
    <row r="36" spans="1:14">
      <c r="A36" s="140" t="s">
        <v>169</v>
      </c>
      <c r="B36" s="296">
        <v>6.9696000000000008E-2</v>
      </c>
      <c r="E36" s="268" t="s">
        <v>184</v>
      </c>
      <c r="F36" s="242">
        <f>F7/B7</f>
        <v>780.25</v>
      </c>
      <c r="G36" s="242">
        <f>G7/B14</f>
        <v>3811.4509999999996</v>
      </c>
      <c r="H36" s="242">
        <f>H7/21</f>
        <v>1309.8216666666665</v>
      </c>
      <c r="I36" s="242">
        <f>I7/B28</f>
        <v>6645.2509999999993</v>
      </c>
      <c r="J36" s="242">
        <f>J7/$B$28</f>
        <v>6645.2509999999993</v>
      </c>
      <c r="K36" s="242">
        <f t="shared" ref="K36:N36" si="11">K7/$B$28</f>
        <v>6645.2509999999993</v>
      </c>
      <c r="L36" s="242">
        <f t="shared" si="11"/>
        <v>6645.2509999999993</v>
      </c>
      <c r="M36" s="242">
        <f t="shared" si="11"/>
        <v>6645.2509999999993</v>
      </c>
      <c r="N36" s="242">
        <f t="shared" si="11"/>
        <v>6645.2509999999993</v>
      </c>
    </row>
    <row r="37" spans="1:14">
      <c r="A37" s="140" t="s">
        <v>171</v>
      </c>
      <c r="B37" s="215">
        <v>0.21</v>
      </c>
      <c r="F37" s="222"/>
      <c r="G37" s="222"/>
      <c r="H37" s="222"/>
      <c r="I37" s="222"/>
      <c r="J37" s="222"/>
      <c r="K37" s="234"/>
      <c r="L37" s="234"/>
    </row>
    <row r="38" spans="1:14">
      <c r="A38" s="140" t="s">
        <v>203</v>
      </c>
      <c r="B38" s="296">
        <v>4.7600000000000003E-2</v>
      </c>
      <c r="E38" s="141" t="s">
        <v>182</v>
      </c>
      <c r="F38" s="222"/>
      <c r="G38" s="222"/>
      <c r="H38" s="222"/>
      <c r="I38" s="222"/>
      <c r="J38" s="222"/>
      <c r="K38" s="222"/>
      <c r="L38" s="222"/>
    </row>
    <row r="39" spans="1:14">
      <c r="E39" s="140" t="s">
        <v>183</v>
      </c>
      <c r="G39" s="300">
        <v>0.2</v>
      </c>
      <c r="H39" s="300">
        <v>0.32</v>
      </c>
      <c r="I39" s="300">
        <v>0.192</v>
      </c>
      <c r="J39" s="300">
        <v>0.11520000000000001</v>
      </c>
      <c r="K39" s="300">
        <v>0.11520000000000001</v>
      </c>
      <c r="L39" s="300">
        <v>5.7600000000000096E-2</v>
      </c>
    </row>
    <row r="40" spans="1:14">
      <c r="E40" s="140" t="s">
        <v>184</v>
      </c>
      <c r="G40" s="242">
        <f t="shared" ref="G40:L40" si="12">G7/$B$7</f>
        <v>3811.4509999999996</v>
      </c>
      <c r="H40" s="242">
        <f t="shared" si="12"/>
        <v>5501.2509999999993</v>
      </c>
      <c r="I40" s="242">
        <f t="shared" si="12"/>
        <v>6645.2509999999993</v>
      </c>
      <c r="J40" s="242">
        <f t="shared" si="12"/>
        <v>6645.2509999999993</v>
      </c>
      <c r="K40" s="242">
        <f t="shared" si="12"/>
        <v>6645.2509999999993</v>
      </c>
      <c r="L40" s="242">
        <f t="shared" si="12"/>
        <v>6645.2509999999993</v>
      </c>
    </row>
    <row r="41" spans="1:14">
      <c r="E41" s="140" t="s">
        <v>182</v>
      </c>
      <c r="G41" s="222">
        <f t="shared" ref="G41:L41" si="13">G7*G39</f>
        <v>3811.4509999999996</v>
      </c>
      <c r="H41" s="222">
        <f t="shared" si="13"/>
        <v>8802.0015999999996</v>
      </c>
      <c r="I41" s="222">
        <f t="shared" si="13"/>
        <v>6379.4409599999999</v>
      </c>
      <c r="J41" s="222">
        <f t="shared" si="13"/>
        <v>3827.6645760000001</v>
      </c>
      <c r="K41" s="222">
        <f t="shared" si="13"/>
        <v>3827.6645760000001</v>
      </c>
      <c r="L41" s="222">
        <f t="shared" si="13"/>
        <v>1913.832288000003</v>
      </c>
    </row>
    <row r="42" spans="1:14">
      <c r="E42" s="140" t="s">
        <v>185</v>
      </c>
      <c r="G42" s="222">
        <f>G40-G41</f>
        <v>0</v>
      </c>
      <c r="H42" s="222">
        <f t="shared" ref="H42:L42" si="14">H40-H41</f>
        <v>-3300.7506000000003</v>
      </c>
      <c r="I42" s="222">
        <f t="shared" si="14"/>
        <v>265.81003999999939</v>
      </c>
      <c r="J42" s="222">
        <f t="shared" si="14"/>
        <v>2817.5864239999992</v>
      </c>
      <c r="K42" s="222">
        <f t="shared" si="14"/>
        <v>2817.5864239999992</v>
      </c>
      <c r="L42" s="222">
        <f t="shared" si="14"/>
        <v>4731.418711999996</v>
      </c>
    </row>
    <row r="43" spans="1:14">
      <c r="E43" s="215" t="s">
        <v>186</v>
      </c>
      <c r="G43" s="222">
        <f t="shared" ref="G43:L43" si="15">G42*$B$9</f>
        <v>0</v>
      </c>
      <c r="H43" s="242">
        <f t="shared" si="15"/>
        <v>-693.15762600000005</v>
      </c>
      <c r="I43" s="222">
        <f t="shared" si="15"/>
        <v>55.820108399999867</v>
      </c>
      <c r="J43" s="222">
        <f t="shared" si="15"/>
        <v>591.69314903999975</v>
      </c>
      <c r="K43" s="222">
        <f t="shared" si="15"/>
        <v>591.69314903999975</v>
      </c>
      <c r="L43" s="222">
        <f t="shared" si="15"/>
        <v>993.59792951999918</v>
      </c>
    </row>
    <row r="44" spans="1:14">
      <c r="E44" s="140" t="s">
        <v>172</v>
      </c>
      <c r="G44" s="222">
        <f>G43</f>
        <v>0</v>
      </c>
      <c r="H44" s="222">
        <f>G44+H43</f>
        <v>-693.15762600000005</v>
      </c>
      <c r="I44" s="222">
        <f t="shared" ref="I44:L44" si="16">H44+I43</f>
        <v>-637.33751760000018</v>
      </c>
      <c r="J44" s="222">
        <f t="shared" si="16"/>
        <v>-45.64436856000043</v>
      </c>
      <c r="K44" s="222">
        <f t="shared" si="16"/>
        <v>546.04878047999932</v>
      </c>
      <c r="L44" s="222">
        <f t="shared" si="16"/>
        <v>1539.6467099999986</v>
      </c>
    </row>
  </sheetData>
  <mergeCells count="1">
    <mergeCell ref="A1:C3"/>
  </mergeCells>
  <pageMargins left="0.7" right="0.7" top="0.75" bottom="0.75" header="0.3" footer="0.3"/>
  <pageSetup paperSize="119" orientation="landscape" horizontalDpi="1200" verticalDpi="1200" r:id="rId1"/>
  <headerFooter>
    <oddHeader>&amp;LAppendix E: Incremental Cost Calculation&amp;RDraft Clean Energy Implementation Plan</oddHeader>
    <oddFooter>&amp;LOCTOBER 15, 2021&amp;C&amp;P of &amp;N&amp;RPuget Sound Energy</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workbookViewId="0">
      <selection activeCell="B28" sqref="B28"/>
    </sheetView>
  </sheetViews>
  <sheetFormatPr defaultColWidth="9.140625" defaultRowHeight="12.75"/>
  <cols>
    <col min="1" max="1" width="26.85546875" style="140" customWidth="1"/>
    <col min="2" max="2" width="15.85546875" style="140" customWidth="1"/>
    <col min="3" max="3" width="7.5703125" style="140" customWidth="1"/>
    <col min="4" max="4" width="9.140625" style="140"/>
    <col min="5" max="5" width="30.85546875" style="140" customWidth="1"/>
    <col min="6" max="6" width="10.140625" style="140" bestFit="1" customWidth="1"/>
    <col min="7" max="8" width="11.140625" style="140" bestFit="1" customWidth="1"/>
    <col min="9" max="10" width="11.7109375" style="140" bestFit="1" customWidth="1"/>
    <col min="11" max="12" width="11.7109375" style="215" bestFit="1" customWidth="1"/>
    <col min="13" max="13" width="10.140625" style="140" bestFit="1" customWidth="1"/>
    <col min="14" max="14" width="13.140625" style="140" bestFit="1" customWidth="1"/>
    <col min="15" max="16384" width="9.140625" style="140"/>
  </cols>
  <sheetData>
    <row r="1" spans="1:14" ht="14.45" customHeight="1">
      <c r="A1" s="766" t="s">
        <v>202</v>
      </c>
      <c r="B1" s="766"/>
      <c r="C1" s="766"/>
    </row>
    <row r="2" spans="1:14">
      <c r="A2" s="766"/>
      <c r="B2" s="766"/>
      <c r="C2" s="766"/>
    </row>
    <row r="3" spans="1:14">
      <c r="A3" s="766"/>
      <c r="B3" s="766"/>
      <c r="C3" s="766"/>
    </row>
    <row r="5" spans="1:14">
      <c r="A5" s="140">
        <v>2022</v>
      </c>
      <c r="F5" s="268">
        <v>2022</v>
      </c>
      <c r="G5" s="268">
        <v>2023</v>
      </c>
      <c r="H5" s="268">
        <v>2024</v>
      </c>
      <c r="I5" s="268">
        <v>2025</v>
      </c>
      <c r="J5" s="268">
        <v>2026</v>
      </c>
      <c r="K5" s="268">
        <v>2027</v>
      </c>
      <c r="L5" s="268">
        <v>2028</v>
      </c>
      <c r="M5" s="268">
        <v>2029</v>
      </c>
      <c r="N5" s="268">
        <v>2030</v>
      </c>
    </row>
    <row r="6" spans="1:14">
      <c r="A6" s="140" t="s">
        <v>165</v>
      </c>
      <c r="B6" s="244">
        <f>'4C. Enablement and Grid Mod Bud'!I338/1000</f>
        <v>5325.5</v>
      </c>
      <c r="E6" s="140" t="s">
        <v>166</v>
      </c>
      <c r="F6" s="242"/>
      <c r="G6" s="242"/>
      <c r="H6" s="242"/>
      <c r="I6" s="242"/>
      <c r="J6" s="242"/>
      <c r="K6" s="294"/>
      <c r="L6" s="294"/>
    </row>
    <row r="7" spans="1:14">
      <c r="A7" s="140" t="s">
        <v>167</v>
      </c>
      <c r="B7" s="215">
        <v>35</v>
      </c>
      <c r="E7" s="295" t="s">
        <v>168</v>
      </c>
      <c r="F7" s="222">
        <f>B6</f>
        <v>5325.5</v>
      </c>
      <c r="G7" s="222">
        <f>B6+B13</f>
        <v>30253</v>
      </c>
      <c r="H7" s="222">
        <f>B6+B13+B20</f>
        <v>63228.5</v>
      </c>
      <c r="I7" s="222">
        <f>B6+B13+B20+B27</f>
        <v>103704</v>
      </c>
      <c r="J7" s="222">
        <f>I7</f>
        <v>103704</v>
      </c>
      <c r="K7" s="234">
        <f>J7</f>
        <v>103704</v>
      </c>
      <c r="L7" s="234">
        <f>K7</f>
        <v>103704</v>
      </c>
      <c r="M7" s="222">
        <f>L7</f>
        <v>103704</v>
      </c>
      <c r="N7" s="222">
        <f>M7</f>
        <v>103704</v>
      </c>
    </row>
    <row r="8" spans="1:14">
      <c r="A8" s="140" t="s">
        <v>169</v>
      </c>
      <c r="B8" s="296">
        <v>6.9696000000000008E-2</v>
      </c>
      <c r="E8" s="295" t="s">
        <v>170</v>
      </c>
      <c r="F8" s="224">
        <f>-F35</f>
        <v>-152.15714285714284</v>
      </c>
      <c r="G8" s="265">
        <f>-G35+F8</f>
        <v>-1016.5285714285715</v>
      </c>
      <c r="H8" s="224">
        <f t="shared" ref="H8:N8" si="0">-H35+G8</f>
        <v>-2823.0571428571429</v>
      </c>
      <c r="I8" s="224">
        <f t="shared" si="0"/>
        <v>-5786.028571428571</v>
      </c>
      <c r="J8" s="224">
        <f t="shared" si="0"/>
        <v>-8749</v>
      </c>
      <c r="K8" s="224">
        <f t="shared" si="0"/>
        <v>-11711.971428571429</v>
      </c>
      <c r="L8" s="224">
        <f t="shared" si="0"/>
        <v>-14674.942857142858</v>
      </c>
      <c r="M8" s="224">
        <f t="shared" si="0"/>
        <v>-17637.914285714287</v>
      </c>
      <c r="N8" s="224">
        <f t="shared" si="0"/>
        <v>-20600.885714285716</v>
      </c>
    </row>
    <row r="9" spans="1:14">
      <c r="A9" s="140" t="s">
        <v>171</v>
      </c>
      <c r="B9" s="215">
        <v>0.21</v>
      </c>
      <c r="E9" s="241" t="s">
        <v>173</v>
      </c>
      <c r="F9" s="222">
        <f>SUM(F7:F8)</f>
        <v>5173.3428571428576</v>
      </c>
      <c r="G9" s="222">
        <f>SUM(G7:G8)</f>
        <v>29236.471428571429</v>
      </c>
      <c r="H9" s="222">
        <f>SUM(H7:H8)</f>
        <v>60405.442857142858</v>
      </c>
      <c r="I9" s="222">
        <f t="shared" ref="I9:L9" si="1">SUM(I7:I8)</f>
        <v>97917.971428571429</v>
      </c>
      <c r="J9" s="222">
        <f t="shared" si="1"/>
        <v>94955</v>
      </c>
      <c r="K9" s="222">
        <f t="shared" si="1"/>
        <v>91992.028571428571</v>
      </c>
      <c r="L9" s="222">
        <f t="shared" si="1"/>
        <v>89029.057142857142</v>
      </c>
      <c r="M9" s="222">
        <f>SUM(M7:M8)</f>
        <v>86066.085714285713</v>
      </c>
      <c r="N9" s="222">
        <f>SUM(N7:N8)</f>
        <v>83103.114285714284</v>
      </c>
    </row>
    <row r="10" spans="1:14">
      <c r="A10" s="140" t="s">
        <v>203</v>
      </c>
      <c r="B10" s="296">
        <v>4.7600000000000003E-2</v>
      </c>
      <c r="E10" s="295"/>
      <c r="F10" s="222"/>
      <c r="G10" s="222"/>
      <c r="H10" s="222"/>
      <c r="I10" s="222"/>
      <c r="J10" s="222"/>
      <c r="K10" s="234"/>
      <c r="L10" s="234"/>
    </row>
    <row r="11" spans="1:14">
      <c r="D11" s="181"/>
      <c r="E11" s="181" t="s">
        <v>174</v>
      </c>
      <c r="F11" s="222">
        <f>F9</f>
        <v>5173.3428571428576</v>
      </c>
      <c r="G11" s="222">
        <f t="shared" ref="G11:N11" si="2">AVERAGE(F9:G9)</f>
        <v>17204.907142857144</v>
      </c>
      <c r="H11" s="222">
        <f t="shared" si="2"/>
        <v>44820.957142857143</v>
      </c>
      <c r="I11" s="222">
        <f t="shared" si="2"/>
        <v>79161.707142857136</v>
      </c>
      <c r="J11" s="222">
        <f t="shared" si="2"/>
        <v>96436.485714285722</v>
      </c>
      <c r="K11" s="222">
        <f t="shared" si="2"/>
        <v>93473.514285714278</v>
      </c>
      <c r="L11" s="222">
        <f t="shared" si="2"/>
        <v>90510.542857142864</v>
      </c>
      <c r="M11" s="222">
        <f t="shared" si="2"/>
        <v>87547.57142857142</v>
      </c>
      <c r="N11" s="222">
        <f t="shared" si="2"/>
        <v>84584.6</v>
      </c>
    </row>
    <row r="12" spans="1:14">
      <c r="A12" s="140">
        <v>2023</v>
      </c>
      <c r="D12" s="181"/>
      <c r="E12" s="181" t="s">
        <v>175</v>
      </c>
      <c r="F12" s="222">
        <f>F11*$B$8</f>
        <v>360.56130377142864</v>
      </c>
      <c r="G12" s="222">
        <f t="shared" ref="G12:M12" si="3">G11*$B$8</f>
        <v>1199.1132082285717</v>
      </c>
      <c r="H12" s="222">
        <f t="shared" si="3"/>
        <v>3123.8414290285718</v>
      </c>
      <c r="I12" s="222">
        <f t="shared" si="3"/>
        <v>5517.2543410285716</v>
      </c>
      <c r="J12" s="222">
        <f t="shared" si="3"/>
        <v>6721.2373083428583</v>
      </c>
      <c r="K12" s="222">
        <f t="shared" si="3"/>
        <v>6514.7300516571431</v>
      </c>
      <c r="L12" s="222">
        <f t="shared" si="3"/>
        <v>6308.2227949714297</v>
      </c>
      <c r="M12" s="222">
        <f t="shared" si="3"/>
        <v>6101.7155382857145</v>
      </c>
      <c r="N12" s="222">
        <f>N11*$B$8</f>
        <v>5895.2082816000011</v>
      </c>
    </row>
    <row r="13" spans="1:14">
      <c r="A13" s="140" t="s">
        <v>165</v>
      </c>
      <c r="B13" s="244">
        <f>'4C. Enablement and Grid Mod Bud'!J338/1000</f>
        <v>24927.5</v>
      </c>
      <c r="E13" s="181" t="s">
        <v>176</v>
      </c>
      <c r="F13" s="222">
        <f>F12/(1-$B$9)-F12</f>
        <v>95.845409863291138</v>
      </c>
      <c r="G13" s="222">
        <f>G12/(1-$B$9)-G12</f>
        <v>318.75161231392394</v>
      </c>
      <c r="H13" s="222">
        <f>H12/(1-$B$9)-H12</f>
        <v>830.3882279696204</v>
      </c>
      <c r="I13" s="222">
        <f>I12/(1-$B$9)-I12</f>
        <v>1466.6119134379742</v>
      </c>
      <c r="J13" s="222">
        <f>J12/(1-$B$9)-J12</f>
        <v>1786.6580186734182</v>
      </c>
      <c r="K13" s="222">
        <f t="shared" ref="K13:N13" si="4">K12/(1-$B$9)-K12</f>
        <v>1731.7636846177211</v>
      </c>
      <c r="L13" s="222">
        <f t="shared" si="4"/>
        <v>1676.8693505620249</v>
      </c>
      <c r="M13" s="242">
        <f>M12/(1-$B$9)-M12</f>
        <v>1621.9750165063288</v>
      </c>
      <c r="N13" s="222">
        <f t="shared" si="4"/>
        <v>1567.0806824506326</v>
      </c>
    </row>
    <row r="14" spans="1:14">
      <c r="A14" s="140" t="s">
        <v>167</v>
      </c>
      <c r="B14" s="215">
        <v>35</v>
      </c>
      <c r="E14" s="235" t="s">
        <v>177</v>
      </c>
      <c r="F14" s="236">
        <f>F12+F13</f>
        <v>456.40671363471978</v>
      </c>
      <c r="G14" s="236">
        <f>G12+G13</f>
        <v>1517.8648205424956</v>
      </c>
      <c r="H14" s="236">
        <f t="shared" ref="H14:J14" si="5">H12+H13</f>
        <v>3954.2296569981922</v>
      </c>
      <c r="I14" s="236">
        <f t="shared" si="5"/>
        <v>6983.8662544665458</v>
      </c>
      <c r="J14" s="236">
        <f t="shared" si="5"/>
        <v>8507.8953270162765</v>
      </c>
      <c r="K14" s="236">
        <f t="shared" ref="K14:N14" si="6">K12+K13</f>
        <v>8246.4937362748642</v>
      </c>
      <c r="L14" s="236">
        <f t="shared" si="6"/>
        <v>7985.0921455334546</v>
      </c>
      <c r="M14" s="236">
        <f t="shared" si="6"/>
        <v>7723.6905547920433</v>
      </c>
      <c r="N14" s="236">
        <f t="shared" si="6"/>
        <v>7462.2889640506337</v>
      </c>
    </row>
    <row r="15" spans="1:14">
      <c r="A15" s="140" t="s">
        <v>169</v>
      </c>
      <c r="B15" s="296">
        <v>6.9696000000000008E-2</v>
      </c>
      <c r="F15" s="222"/>
      <c r="G15" s="222"/>
      <c r="H15" s="222"/>
      <c r="I15" s="222"/>
      <c r="J15" s="222"/>
      <c r="K15" s="234"/>
      <c r="L15" s="234"/>
    </row>
    <row r="16" spans="1:14">
      <c r="A16" s="140" t="s">
        <v>171</v>
      </c>
      <c r="B16" s="215">
        <v>0.21</v>
      </c>
      <c r="E16" s="140" t="s">
        <v>178</v>
      </c>
      <c r="F16" s="222"/>
      <c r="G16" s="222"/>
      <c r="H16" s="222"/>
      <c r="I16" s="222"/>
      <c r="J16" s="222"/>
      <c r="K16" s="234"/>
      <c r="L16" s="234"/>
    </row>
    <row r="17" spans="1:14">
      <c r="A17" s="140" t="s">
        <v>203</v>
      </c>
      <c r="B17" s="296">
        <v>4.7600000000000003E-2</v>
      </c>
      <c r="E17" s="295" t="s">
        <v>179</v>
      </c>
      <c r="F17" s="222">
        <f t="shared" ref="F17:N17" si="7">F35</f>
        <v>152.15714285714284</v>
      </c>
      <c r="G17" s="222">
        <f t="shared" si="7"/>
        <v>864.37142857142862</v>
      </c>
      <c r="H17" s="222">
        <f t="shared" si="7"/>
        <v>1806.5285714285715</v>
      </c>
      <c r="I17" s="222">
        <f t="shared" si="7"/>
        <v>2962.9714285714285</v>
      </c>
      <c r="J17" s="222">
        <f t="shared" si="7"/>
        <v>2962.9714285714285</v>
      </c>
      <c r="K17" s="222">
        <f t="shared" si="7"/>
        <v>2962.9714285714285</v>
      </c>
      <c r="L17" s="222">
        <f t="shared" si="7"/>
        <v>2962.9714285714285</v>
      </c>
      <c r="M17" s="222">
        <f t="shared" si="7"/>
        <v>2962.9714285714285</v>
      </c>
      <c r="N17" s="222">
        <f t="shared" si="7"/>
        <v>2962.9714285714285</v>
      </c>
    </row>
    <row r="18" spans="1:14">
      <c r="B18" s="296"/>
      <c r="E18" s="295" t="s">
        <v>558</v>
      </c>
      <c r="F18" s="222">
        <f>'4C. Enablement and Grid Mod Bud'!I339/1000</f>
        <v>50.225000000000001</v>
      </c>
      <c r="G18" s="222">
        <f>'4C. Enablement and Grid Mod Bud'!J339/1000</f>
        <v>221.72499999999999</v>
      </c>
      <c r="H18" s="222">
        <f>'4C. Enablement and Grid Mod Bud'!K339/1000</f>
        <v>466.72499999999997</v>
      </c>
      <c r="I18" s="222">
        <f>'4C. Enablement and Grid Mod Bud'!L339/1000</f>
        <v>466.72499999999997</v>
      </c>
      <c r="J18" s="297">
        <f>I18</f>
        <v>466.72499999999997</v>
      </c>
      <c r="K18" s="297">
        <f t="shared" ref="K18:N18" si="8">J18</f>
        <v>466.72499999999997</v>
      </c>
      <c r="L18" s="297">
        <f t="shared" si="8"/>
        <v>466.72499999999997</v>
      </c>
      <c r="M18" s="297">
        <f t="shared" si="8"/>
        <v>466.72499999999997</v>
      </c>
      <c r="N18" s="297">
        <f t="shared" si="8"/>
        <v>466.72499999999997</v>
      </c>
    </row>
    <row r="19" spans="1:14">
      <c r="A19" s="140">
        <v>2024</v>
      </c>
      <c r="E19" s="295" t="s">
        <v>204</v>
      </c>
      <c r="F19" s="242">
        <f>(F12/(1-$B$10))-F12</f>
        <v>18.020493552624941</v>
      </c>
      <c r="G19" s="242">
        <f t="shared" ref="G19:N19" si="9">(G12/(1-$B$10))-G12</f>
        <v>59.930479537673136</v>
      </c>
      <c r="H19" s="242">
        <f t="shared" si="9"/>
        <v>156.12647209340594</v>
      </c>
      <c r="I19" s="242">
        <f t="shared" si="9"/>
        <v>275.74685702746774</v>
      </c>
      <c r="J19" s="242">
        <f t="shared" si="9"/>
        <v>335.92072225653101</v>
      </c>
      <c r="K19" s="242">
        <f t="shared" si="9"/>
        <v>325.59969598790394</v>
      </c>
      <c r="L19" s="242">
        <f t="shared" si="9"/>
        <v>315.27866971927779</v>
      </c>
      <c r="M19" s="242">
        <f t="shared" si="9"/>
        <v>304.95764345065072</v>
      </c>
      <c r="N19" s="242">
        <f t="shared" si="9"/>
        <v>294.63661718202457</v>
      </c>
    </row>
    <row r="20" spans="1:14">
      <c r="A20" s="140" t="s">
        <v>165</v>
      </c>
      <c r="B20" s="244">
        <f>'4C. Enablement and Grid Mod Bud'!K338/1000</f>
        <v>32975.5</v>
      </c>
      <c r="E20" s="298" t="s">
        <v>180</v>
      </c>
      <c r="F20" s="236">
        <f t="shared" ref="F20:N20" si="10">SUM(F17:F19)</f>
        <v>220.40263640976778</v>
      </c>
      <c r="G20" s="236">
        <f t="shared" si="10"/>
        <v>1146.0269081091017</v>
      </c>
      <c r="H20" s="236">
        <f t="shared" si="10"/>
        <v>2429.3800435219773</v>
      </c>
      <c r="I20" s="236">
        <f t="shared" si="10"/>
        <v>3705.4432855988962</v>
      </c>
      <c r="J20" s="236">
        <f t="shared" si="10"/>
        <v>3765.6171508279594</v>
      </c>
      <c r="K20" s="236">
        <f t="shared" si="10"/>
        <v>3755.2961245593324</v>
      </c>
      <c r="L20" s="236">
        <f t="shared" si="10"/>
        <v>3744.9750982907062</v>
      </c>
      <c r="M20" s="236">
        <f t="shared" si="10"/>
        <v>3734.6540720220792</v>
      </c>
      <c r="N20" s="236">
        <f t="shared" si="10"/>
        <v>3724.333045753453</v>
      </c>
    </row>
    <row r="21" spans="1:14">
      <c r="A21" s="140" t="s">
        <v>167</v>
      </c>
      <c r="B21" s="215">
        <v>35</v>
      </c>
      <c r="F21" s="222"/>
      <c r="G21" s="222"/>
      <c r="H21" s="222"/>
      <c r="I21" s="222"/>
      <c r="J21" s="222"/>
      <c r="K21" s="234"/>
      <c r="L21" s="234"/>
    </row>
    <row r="22" spans="1:14">
      <c r="A22" s="140" t="s">
        <v>169</v>
      </c>
      <c r="B22" s="296">
        <v>6.9696000000000008E-2</v>
      </c>
      <c r="F22" s="222"/>
      <c r="G22" s="222"/>
      <c r="H22" s="222"/>
      <c r="I22" s="222"/>
      <c r="J22" s="222"/>
      <c r="K22" s="234"/>
      <c r="L22" s="234"/>
    </row>
    <row r="23" spans="1:14">
      <c r="A23" s="140" t="s">
        <v>171</v>
      </c>
      <c r="B23" s="215">
        <v>0.21</v>
      </c>
      <c r="E23" s="298" t="s">
        <v>181</v>
      </c>
      <c r="F23" s="299">
        <f>F14+F20</f>
        <v>676.80935004448759</v>
      </c>
      <c r="G23" s="299">
        <f t="shared" ref="G23:N23" si="11">G14+G20</f>
        <v>2663.8917286515971</v>
      </c>
      <c r="H23" s="299">
        <f t="shared" si="11"/>
        <v>6383.60970052017</v>
      </c>
      <c r="I23" s="299">
        <f t="shared" si="11"/>
        <v>10689.309540065442</v>
      </c>
      <c r="J23" s="299">
        <f t="shared" si="11"/>
        <v>12273.512477844237</v>
      </c>
      <c r="K23" s="299">
        <f t="shared" si="11"/>
        <v>12001.789860834197</v>
      </c>
      <c r="L23" s="299">
        <f t="shared" si="11"/>
        <v>11730.06724382416</v>
      </c>
      <c r="M23" s="299">
        <f t="shared" si="11"/>
        <v>11458.344626814123</v>
      </c>
      <c r="N23" s="299">
        <f t="shared" si="11"/>
        <v>11186.622009804087</v>
      </c>
    </row>
    <row r="24" spans="1:14">
      <c r="A24" s="140" t="s">
        <v>203</v>
      </c>
      <c r="B24" s="296">
        <v>4.7600000000000003E-2</v>
      </c>
      <c r="F24" s="222"/>
      <c r="G24" s="222"/>
      <c r="H24" s="222"/>
      <c r="I24" s="222"/>
      <c r="J24" s="222"/>
      <c r="K24" s="234"/>
      <c r="L24" s="234"/>
    </row>
    <row r="25" spans="1:14">
      <c r="F25" s="222"/>
      <c r="G25" s="222"/>
      <c r="H25" s="222"/>
      <c r="I25" s="222"/>
      <c r="J25" s="222"/>
      <c r="K25" s="234"/>
      <c r="L25" s="234"/>
    </row>
    <row r="26" spans="1:14">
      <c r="A26" s="140">
        <v>2025</v>
      </c>
      <c r="F26" s="222"/>
      <c r="G26" s="222"/>
      <c r="H26" s="222"/>
      <c r="I26" s="222"/>
      <c r="J26" s="222"/>
      <c r="K26" s="234"/>
      <c r="L26" s="234"/>
    </row>
    <row r="27" spans="1:14">
      <c r="A27" s="140" t="s">
        <v>165</v>
      </c>
      <c r="B27" s="244">
        <f>'4C. Enablement and Grid Mod Bud'!L338/1000</f>
        <v>40475.5</v>
      </c>
      <c r="F27" s="222"/>
      <c r="G27" s="222"/>
      <c r="H27" s="222"/>
      <c r="I27" s="222"/>
      <c r="J27" s="222"/>
      <c r="K27" s="234"/>
      <c r="L27" s="234"/>
    </row>
    <row r="28" spans="1:14">
      <c r="A28" s="140" t="s">
        <v>167</v>
      </c>
      <c r="B28" s="215">
        <v>35</v>
      </c>
    </row>
    <row r="29" spans="1:14">
      <c r="A29" s="140" t="s">
        <v>169</v>
      </c>
      <c r="B29" s="296">
        <v>6.9696000000000008E-2</v>
      </c>
      <c r="F29" s="222"/>
      <c r="G29" s="222"/>
      <c r="H29" s="222"/>
      <c r="I29" s="222"/>
      <c r="J29" s="222"/>
      <c r="K29" s="234"/>
      <c r="L29" s="234"/>
    </row>
    <row r="30" spans="1:14">
      <c r="A30" s="140" t="s">
        <v>171</v>
      </c>
      <c r="B30" s="215">
        <v>0.21</v>
      </c>
      <c r="E30" s="141"/>
      <c r="F30" s="222"/>
      <c r="G30" s="222"/>
      <c r="H30" s="222"/>
      <c r="I30" s="222"/>
      <c r="J30" s="222"/>
      <c r="K30" s="234"/>
      <c r="L30" s="234"/>
    </row>
    <row r="31" spans="1:14">
      <c r="A31" s="140" t="s">
        <v>203</v>
      </c>
      <c r="B31" s="296">
        <v>4.7600000000000003E-2</v>
      </c>
      <c r="F31" s="222"/>
      <c r="G31" s="300"/>
      <c r="H31" s="300"/>
      <c r="I31" s="300"/>
      <c r="J31" s="300"/>
      <c r="K31" s="301"/>
      <c r="L31" s="301"/>
    </row>
    <row r="32" spans="1:14">
      <c r="F32" s="222"/>
      <c r="G32" s="222"/>
      <c r="H32" s="222"/>
      <c r="I32" s="222"/>
      <c r="J32" s="222"/>
      <c r="K32" s="234"/>
      <c r="L32" s="234"/>
    </row>
    <row r="33" spans="1:14">
      <c r="A33" s="140">
        <v>2026</v>
      </c>
      <c r="F33" s="222"/>
      <c r="G33" s="222"/>
      <c r="H33" s="222"/>
      <c r="I33" s="222"/>
      <c r="J33" s="222"/>
      <c r="K33" s="234"/>
      <c r="L33" s="234"/>
    </row>
    <row r="34" spans="1:14">
      <c r="A34" s="140" t="s">
        <v>165</v>
      </c>
      <c r="B34" s="244">
        <v>0</v>
      </c>
      <c r="F34" s="222"/>
      <c r="G34" s="222"/>
      <c r="H34" s="222"/>
      <c r="I34" s="222"/>
      <c r="J34" s="222"/>
      <c r="K34" s="234"/>
      <c r="L34" s="234"/>
    </row>
    <row r="35" spans="1:14">
      <c r="A35" s="140" t="s">
        <v>167</v>
      </c>
      <c r="B35" s="215">
        <v>35</v>
      </c>
      <c r="E35" s="268" t="s">
        <v>184</v>
      </c>
      <c r="F35" s="242">
        <f t="shared" ref="F35:N35" si="12">F7/35</f>
        <v>152.15714285714284</v>
      </c>
      <c r="G35" s="242">
        <f t="shared" si="12"/>
        <v>864.37142857142862</v>
      </c>
      <c r="H35" s="242">
        <f t="shared" si="12"/>
        <v>1806.5285714285715</v>
      </c>
      <c r="I35" s="242">
        <f t="shared" si="12"/>
        <v>2962.9714285714285</v>
      </c>
      <c r="J35" s="242">
        <f t="shared" si="12"/>
        <v>2962.9714285714285</v>
      </c>
      <c r="K35" s="242">
        <f t="shared" si="12"/>
        <v>2962.9714285714285</v>
      </c>
      <c r="L35" s="242">
        <f t="shared" si="12"/>
        <v>2962.9714285714285</v>
      </c>
      <c r="M35" s="242">
        <f t="shared" si="12"/>
        <v>2962.9714285714285</v>
      </c>
      <c r="N35" s="242">
        <f t="shared" si="12"/>
        <v>2962.9714285714285</v>
      </c>
    </row>
    <row r="36" spans="1:14">
      <c r="A36" s="140" t="s">
        <v>169</v>
      </c>
      <c r="B36" s="296">
        <v>6.9696000000000008E-2</v>
      </c>
      <c r="F36" s="222"/>
      <c r="G36" s="222"/>
      <c r="H36" s="222"/>
      <c r="I36" s="222"/>
      <c r="J36" s="222"/>
      <c r="K36" s="234"/>
      <c r="L36" s="234"/>
    </row>
    <row r="37" spans="1:14">
      <c r="A37" s="140" t="s">
        <v>171</v>
      </c>
      <c r="B37" s="215">
        <v>0.21</v>
      </c>
    </row>
    <row r="38" spans="1:14">
      <c r="A38" s="140" t="s">
        <v>203</v>
      </c>
      <c r="B38" s="296">
        <v>4.7600000000000003E-2</v>
      </c>
    </row>
  </sheetData>
  <mergeCells count="1">
    <mergeCell ref="A1:C3"/>
  </mergeCells>
  <pageMargins left="0.7" right="0.7" top="0.75" bottom="0.75" header="0.3" footer="0.3"/>
  <pageSetup paperSize="119" orientation="landscape" horizontalDpi="1200" verticalDpi="1200" r:id="rId1"/>
  <headerFooter>
    <oddHeader>&amp;LAppendix E: Incremental Cost Calculation&amp;RDraft Clean Energy Implementation Plan</oddHeader>
    <oddFooter>&amp;LOCTOBER 15, 2021&amp;C&amp;P of &amp;N&amp;RPuget Sound Energy</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073A87C8AAD83640BC679CD5F646EDF9" ma:contentTypeVersion="44" ma:contentTypeDescription="" ma:contentTypeScope="" ma:versionID="14124dfb0ff6b13215e98d2fb75e0b5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Closed</CaseStatus>
    <OpenedDate xmlns="dc463f71-b30c-4ab2-9473-d307f9d35888">2021-10-15T07:00:00+00:00</OpenedDate>
    <SignificantOrder xmlns="dc463f71-b30c-4ab2-9473-d307f9d35888">false</SignificantOrder>
    <Date1 xmlns="dc463f71-b30c-4ab2-9473-d307f9d35888">2021-10-15T07:00:00+00:00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210795</DocketNumber>
    <DelegatedOrder xmlns="dc463f71-b30c-4ab2-9473-d307f9d35888">false</DelegatedOrder>
  </documentManagement>
</p:properties>
</file>

<file path=customXml/itemProps1.xml><?xml version="1.0" encoding="utf-8"?>
<ds:datastoreItem xmlns:ds="http://schemas.openxmlformats.org/officeDocument/2006/customXml" ds:itemID="{E9A581E4-4ADE-4B45-B1EA-B477B5D437CD}"/>
</file>

<file path=customXml/itemProps2.xml><?xml version="1.0" encoding="utf-8"?>
<ds:datastoreItem xmlns:ds="http://schemas.openxmlformats.org/officeDocument/2006/customXml" ds:itemID="{ED54BF64-99A0-4945-B864-A48397A68B1F}"/>
</file>

<file path=customXml/itemProps3.xml><?xml version="1.0" encoding="utf-8"?>
<ds:datastoreItem xmlns:ds="http://schemas.openxmlformats.org/officeDocument/2006/customXml" ds:itemID="{8150E25E-AE7D-417D-A5E3-83306BEED4DE}"/>
</file>

<file path=customXml/itemProps4.xml><?xml version="1.0" encoding="utf-8"?>
<ds:datastoreItem xmlns:ds="http://schemas.openxmlformats.org/officeDocument/2006/customXml" ds:itemID="{25226C95-0A84-4D78-843B-C901599F768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10</vt:i4>
      </vt:variant>
    </vt:vector>
  </HeadingPairs>
  <TitlesOfParts>
    <vt:vector size="31" baseType="lpstr">
      <vt:lpstr>Outline and Notes</vt:lpstr>
      <vt:lpstr>1. Energy Efficiency</vt:lpstr>
      <vt:lpstr>2. Demand Response</vt:lpstr>
      <vt:lpstr>3. Incremental Resource Cost</vt:lpstr>
      <vt:lpstr>Incremental Cost Sum - test v2</vt:lpstr>
      <vt:lpstr>DER Resources</vt:lpstr>
      <vt:lpstr>Supporting - Grid Mod</vt:lpstr>
      <vt:lpstr>4A. Supp-DER Enab+ITGM-RR</vt:lpstr>
      <vt:lpstr>4B. Supp - GridMod RR</vt:lpstr>
      <vt:lpstr>Supporting - DERs</vt:lpstr>
      <vt:lpstr>Supporting - Education</vt:lpstr>
      <vt:lpstr>Supporting Administration</vt:lpstr>
      <vt:lpstr>4C. Enablement and Grid Mod Bud</vt:lpstr>
      <vt:lpstr>5. Comm and Education Costs</vt:lpstr>
      <vt:lpstr>6. Admin</vt:lpstr>
      <vt:lpstr>7. Incremental Cost</vt:lpstr>
      <vt:lpstr>8. 2020 CBR</vt:lpstr>
      <vt:lpstr>9. Bill Impact Estimate</vt:lpstr>
      <vt:lpstr>Chart and Display -&gt;</vt:lpstr>
      <vt:lpstr>Inc Cost Sum for Display</vt:lpstr>
      <vt:lpstr>2% Inc Cost Sum Charts</vt:lpstr>
      <vt:lpstr>BD</vt:lpstr>
      <vt:lpstr>DOCKET</vt:lpstr>
      <vt:lpstr>FF</vt:lpstr>
      <vt:lpstr>FIT</vt:lpstr>
      <vt:lpstr>'4C. Enablement and Grid Mod Bud'!Print_Area</vt:lpstr>
      <vt:lpstr>'7. Incremental Cost'!Print_Area</vt:lpstr>
      <vt:lpstr>PSPL</vt:lpstr>
      <vt:lpstr>TESTYEAR</vt:lpstr>
      <vt:lpstr>UTG</vt:lpstr>
      <vt:lpstr>UTN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2021-10-15T20:35:59Z</dcterms:created>
  <dcterms:modified xsi:type="dcterms:W3CDTF">2021-10-15T20:36:03Z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0x0101006E56B4D1795A2E4DB2F0B01679ED314A00073A87C8AAD83640BC679CD5F646EDF9</vt:lpwstr>
  </property>
  <property fmtid="{D5CDD505-2E9C-101B-9397-08002B2CF9AE}" pid="3" name="_docset_NoMedatataSyncRequired">
    <vt:lpwstr>False</vt:lpwstr>
  </property>
  <property fmtid="{D5CDD505-2E9C-101B-9397-08002B2CF9AE}" pid="4" name="IsEFSEC">
    <vt:bool>false</vt:bool>
  </property>
</Properties>
</file>