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9.xml" ContentType="application/vnd.openxmlformats-officedocument.drawing+xml"/>
  <Override PartName="/xl/embeddings/oleObject6.bin" ContentType="application/vnd.openxmlformats-officedocument.oleObject"/>
  <Override PartName="/xl/drawings/drawing10.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bin" ContentType="application/vnd.ms-office.activeX"/>
  <Override PartName="/xl/activeX/activeX6.xml" ContentType="application/vnd.ms-office.activeX+xml"/>
  <Override PartName="/xl/activeX/activeX6.bin" ContentType="application/vnd.ms-office.activeX"/>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3.xml" ContentType="application/vnd.openxmlformats-officedocument.spreadsheetml.comments+xml"/>
  <Override PartName="/xl/activeX/activeX5.xml" ContentType="application/vnd.ms-office.activeX+xml"/>
  <Override PartName="/xl/comments2.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C:\Client Data\Rubatino Refuse Removal, Inc\2021 Rate Case\"/>
    </mc:Choice>
  </mc:AlternateContent>
  <xr:revisionPtr revIDLastSave="0" documentId="8_{5943E202-37FE-4683-8E9F-BCC1E207CEF5}" xr6:coauthVersionLast="47" xr6:coauthVersionMax="47" xr10:uidLastSave="{00000000-0000-0000-0000-000000000000}"/>
  <bookViews>
    <workbookView xWindow="-57660" yWindow="1125" windowWidth="28035" windowHeight="12165" tabRatio="975" firstSheet="28" activeTab="38" xr2:uid="{00000000-000D-0000-FFFF-FFFF00000000}"/>
  </bookViews>
  <sheets>
    <sheet name="LG Nonpublic Consolidated" sheetId="48" r:id="rId1"/>
    <sheet name="LG Nonpublic Refuse" sheetId="49" r:id="rId2"/>
    <sheet name="LG Nonpublic Recycling" sheetId="50" r:id="rId3"/>
    <sheet name="LG Nonpublic Yardwaste" sheetId="51" r:id="rId4"/>
    <sheet name="Balance Sheet" sheetId="52" r:id="rId5"/>
    <sheet name="12 Month P&amp;L" sheetId="7" r:id="rId6"/>
    <sheet name="Pro Forma" sheetId="9" r:id="rId7"/>
    <sheet name="Restating Entries" sheetId="10" r:id="rId8"/>
    <sheet name="Restating Entries Explanation" sheetId="11" r:id="rId9"/>
    <sheet name="Pro Forma Entries" sheetId="12" r:id="rId10"/>
    <sheet name="Pro Forma Entries Explanation" sheetId="13" r:id="rId11"/>
    <sheet name="Allocations" sheetId="26" r:id="rId12"/>
    <sheet name="Customers" sheetId="45" r:id="rId13"/>
    <sheet name="Regulatory Depreciation" sheetId="14" r:id="rId14"/>
    <sheet name="Disposal Cost" sheetId="30" r:id="rId15"/>
    <sheet name="All Payroll" sheetId="15" r:id="rId16"/>
    <sheet name="Health &amp; Welfare" sheetId="24" r:id="rId17"/>
    <sheet name="Pension Recycle" sheetId="27" r:id="rId18"/>
    <sheet name="Pension Garbage " sheetId="28" r:id="rId19"/>
    <sheet name="Pension Admin" sheetId="29" r:id="rId20"/>
    <sheet name="Rents" sheetId="20" r:id="rId21"/>
    <sheet name="Dues" sheetId="21" r:id="rId22"/>
    <sheet name="Public Relations" sheetId="22" r:id="rId23"/>
    <sheet name="Truck Miles" sheetId="23" r:id="rId24"/>
    <sheet name="Fuel" sheetId="44" r:id="rId25"/>
    <sheet name="Regulatory Fees" sheetId="25" r:id="rId26"/>
    <sheet name="City of Everett " sheetId="31" r:id="rId27"/>
    <sheet name="Washington B&amp;O" sheetId="32" r:id="rId28"/>
    <sheet name="Res Cust Count" sheetId="33" r:id="rId29"/>
    <sheet name="Comm Cust Count" sheetId="34" r:id="rId30"/>
    <sheet name="M-F Cust Count" sheetId="35" r:id="rId31"/>
    <sheet name="Comm Rec Customer" sheetId="36" r:id="rId32"/>
    <sheet name="Rev Recon" sheetId="37" r:id="rId33"/>
    <sheet name="Insurnance" sheetId="40" r:id="rId34"/>
    <sheet name="Legal &amp; accounting " sheetId="41" r:id="rId35"/>
    <sheet name="Rate Case Costs" sheetId="42" r:id="rId36"/>
    <sheet name="Affiliated TruckCare Historical" sheetId="46" r:id="rId37"/>
    <sheet name="Affiliated TruckCare Current" sheetId="47" r:id="rId38"/>
    <sheet name="Affiliated Reclamation, Inc. " sheetId="54" r:id="rId39"/>
  </sheets>
  <externalReferences>
    <externalReference r:id="rId40"/>
    <externalReference r:id="rId41"/>
    <externalReference r:id="rId42"/>
    <externalReference r:id="rId43"/>
    <externalReference r:id="rId44"/>
  </externalReferences>
  <definedNames>
    <definedName name="_xlnm._FilterDatabase" localSheetId="4" hidden="1">'Balance Sheet'!$G$1:$G$90</definedName>
    <definedName name="Debt_Rate" localSheetId="0">'LG Nonpublic Consolidated'!$K$27</definedName>
    <definedName name="Debt_Rate" localSheetId="2">'LG Nonpublic Recycling'!$K$27</definedName>
    <definedName name="Debt_Rate" localSheetId="1">'LG Nonpublic Refuse'!$K$27</definedName>
    <definedName name="Debt_Rate" localSheetId="3">'LG Nonpublic Yardwaste'!$K$27</definedName>
    <definedName name="debtP" localSheetId="0">'LG Nonpublic Consolidated'!$I$27</definedName>
    <definedName name="debtP" localSheetId="2">'LG Nonpublic Recycling'!$I$27</definedName>
    <definedName name="debtP" localSheetId="1">'LG Nonpublic Refuse'!$I$27</definedName>
    <definedName name="debtP" localSheetId="3">'LG Nonpublic Yardwaste'!$I$27</definedName>
    <definedName name="Equity_percent" localSheetId="0">'LG Nonpublic Consolidated'!$S$58</definedName>
    <definedName name="Equity_percent" localSheetId="2">'LG Nonpublic Recycling'!$S$58</definedName>
    <definedName name="Equity_percent" localSheetId="1">'LG Nonpublic Refuse'!$S$58</definedName>
    <definedName name="Equity_percent" localSheetId="3">'LG Nonpublic Yardwaste'!$S$58</definedName>
    <definedName name="equityP" localSheetId="0">'LG Nonpublic Consolidated'!$I$26</definedName>
    <definedName name="equityP" localSheetId="2">'LG Nonpublic Recycling'!$I$26</definedName>
    <definedName name="equityP" localSheetId="1">'LG Nonpublic Refuse'!$I$26</definedName>
    <definedName name="equityP" localSheetId="3">'LG Nonpublic Yardwaste'!$I$26</definedName>
    <definedName name="expenses" localSheetId="0">'LG Nonpublic Consolidated'!$I$8</definedName>
    <definedName name="expenses" localSheetId="2">'LG Nonpublic Recycling'!$I$8</definedName>
    <definedName name="expenses" localSheetId="1">'LG Nonpublic Refuse'!$I$8</definedName>
    <definedName name="expenses" localSheetId="3">'LG Nonpublic Yardwaste'!$I$8</definedName>
    <definedName name="INPUT" localSheetId="36">#REF!</definedName>
    <definedName name="INPUT" localSheetId="0">'LG Nonpublic Consolidated'!#REF!</definedName>
    <definedName name="INPUT" localSheetId="2">'LG Nonpublic Recycling'!#REF!</definedName>
    <definedName name="INPUT" localSheetId="1">'LG Nonpublic Refuse'!#REF!</definedName>
    <definedName name="INPUT" localSheetId="3">'LG Nonpublic Yardwaste'!#REF!</definedName>
    <definedName name="INPUT">#REF!</definedName>
    <definedName name="INPUTc" localSheetId="0">#REF!</definedName>
    <definedName name="INPUTc" localSheetId="2">#REF!</definedName>
    <definedName name="INPUTc" localSheetId="1">#REF!</definedName>
    <definedName name="INPUTc" localSheetId="3">#REF!</definedName>
    <definedName name="INPUTc">#REF!</definedName>
    <definedName name="Investment" localSheetId="0">'LG Nonpublic Consolidated'!$J$28</definedName>
    <definedName name="Investment" localSheetId="2">'LG Nonpublic Recycling'!$J$28</definedName>
    <definedName name="Investment" localSheetId="1">'LG Nonpublic Refuse'!$J$28</definedName>
    <definedName name="Investment" localSheetId="3">'LG Nonpublic Yardwaste'!$J$28</definedName>
    <definedName name="Pfd_weighted" localSheetId="0">'LG Nonpublic Consolidated'!$U$57</definedName>
    <definedName name="Pfd_weighted" localSheetId="2">'LG Nonpublic Recycling'!$U$57</definedName>
    <definedName name="Pfd_weighted" localSheetId="1">'LG Nonpublic Refuse'!$U$57</definedName>
    <definedName name="Pfd_weighted" localSheetId="3">'LG Nonpublic Yardwaste'!$U$57</definedName>
    <definedName name="_xlnm.Print_Area" localSheetId="5">'12 Month P&amp;L'!$A$2:$P$300</definedName>
    <definedName name="_xlnm.Print_Area" localSheetId="36">'Affiliated TruckCare Historical'!$A$1:$C$78</definedName>
    <definedName name="_xlnm.Print_Area" localSheetId="15">'All Payroll'!$A$6:$G$94</definedName>
    <definedName name="_xlnm.Print_Area" localSheetId="11">Allocations!$A$7:$I$72</definedName>
    <definedName name="_xlnm.Print_Area" localSheetId="0">'LG Nonpublic Consolidated'!$B$2:$M$49</definedName>
    <definedName name="_xlnm.Print_Area" localSheetId="2">'LG Nonpublic Recycling'!$B$2:$M$49</definedName>
    <definedName name="_xlnm.Print_Area" localSheetId="1">'LG Nonpublic Refuse'!$B$2:$M$49</definedName>
    <definedName name="_xlnm.Print_Area" localSheetId="3">'LG Nonpublic Yardwaste'!$B$2:$M$49</definedName>
    <definedName name="_xlnm.Print_Area" localSheetId="6">'Pro Forma'!$A$6:$K$78</definedName>
    <definedName name="_xlnm.Print_Area" localSheetId="22">'Public Relations'!$A$2:$Z$65</definedName>
    <definedName name="_xlnm.Print_Area" localSheetId="13">'Regulatory Depreciation'!$A$10:$P$220</definedName>
    <definedName name="_xlnm.Print_Area" localSheetId="8">'Restating Entries Explanation'!$A$6:$H$60</definedName>
    <definedName name="_xlnm.Print_Area" localSheetId="32">'Rev Recon'!$A$1:$N$30</definedName>
    <definedName name="_xlnm.Print_Area">#REF!</definedName>
    <definedName name="Print_Area_MI" localSheetId="0">#REF!</definedName>
    <definedName name="Print_Area_MI" localSheetId="2">#REF!</definedName>
    <definedName name="Print_Area_MI" localSheetId="1">#REF!</definedName>
    <definedName name="Print_Area_MI" localSheetId="3">#REF!</definedName>
    <definedName name="Print_Area_MI">#REF!</definedName>
    <definedName name="Print_Area_MIc" localSheetId="0">#REF!</definedName>
    <definedName name="Print_Area_MIc" localSheetId="2">#REF!</definedName>
    <definedName name="Print_Area_MIc" localSheetId="1">#REF!</definedName>
    <definedName name="Print_Area_MIc" localSheetId="3">#REF!</definedName>
    <definedName name="Print_Area_MIc">#REF!</definedName>
    <definedName name="_xlnm.Print_Titles" localSheetId="5">'12 Month P&amp;L'!$1:$1</definedName>
    <definedName name="_xlnm.Print_Titles" localSheetId="15">'All Payroll'!$5:$5</definedName>
    <definedName name="_xlnm.Print_Titles" localSheetId="11">Allocations!$1:$6</definedName>
    <definedName name="_xlnm.Print_Titles" localSheetId="4">'Balance Sheet'!$A:$F,'Balance Sheet'!$1:$1</definedName>
    <definedName name="_xlnm.Print_Titles" localSheetId="6">'Pro Forma'!$1:$5</definedName>
    <definedName name="_xlnm.Print_Titles" localSheetId="22">'Public Relations'!$1:$1</definedName>
    <definedName name="_xlnm.Print_Titles" localSheetId="13">'Regulatory Depreciation'!$1:$9</definedName>
    <definedName name="_xlnm.Print_Titles" localSheetId="8">'Restating Entries Explanation'!$1:$5</definedName>
    <definedName name="QB_COLUMN_29" localSheetId="4" hidden="1">'Balance Sheet'!$G$1</definedName>
    <definedName name="QB_DATA_0" localSheetId="4" hidden="1">'Balance Sheet'!$6:$6,'Balance Sheet'!$7:$7,'Balance Sheet'!$8:$8,'Balance Sheet'!$9:$9,'Balance Sheet'!$10:$10,'Balance Sheet'!$14:$14,'Balance Sheet'!$17:$17,'Balance Sheet'!$18:$18,'Balance Sheet'!$19:$19,'Balance Sheet'!$20:$20,'Balance Sheet'!$21:$21,'Balance Sheet'!$22:$22,'Balance Sheet'!$23:$23,'Balance Sheet'!$24:$24,'Balance Sheet'!$26:$26,'Balance Sheet'!$27:$27</definedName>
    <definedName name="QB_DATA_1" localSheetId="4" hidden="1">'Balance Sheet'!$33:$33,'Balance Sheet'!$34:$34,'Balance Sheet'!$35:$35,'Balance Sheet'!$36:$36,'Balance Sheet'!$37:$37,'Balance Sheet'!$38:$38,'Balance Sheet'!$39:$39,'Balance Sheet'!$42:$42,'Balance Sheet'!$43:$43,'Balance Sheet'!$44:$44,'Balance Sheet'!$45:$45,'Balance Sheet'!$46:$46,'Balance Sheet'!$47:$47,'Balance Sheet'!$48:$48,'Balance Sheet'!$50:$50,'Balance Sheet'!$51:$51</definedName>
    <definedName name="QB_DATA_2" localSheetId="4" hidden="1">'Balance Sheet'!$54:$54,'Balance Sheet'!$55:$55,'Balance Sheet'!$62:$62,'Balance Sheet'!$66:$66,'Balance Sheet'!$67:$67,'Balance Sheet'!$68:$68,'Balance Sheet'!$73:$73,'Balance Sheet'!$75:$75,'Balance Sheet'!$76:$76,'Balance Sheet'!$77:$77,'Balance Sheet'!$78:$78,'Balance Sheet'!$79:$79,'Balance Sheet'!$84:$84,'Balance Sheet'!$85:$85,'Balance Sheet'!$86:$86,'Balance Sheet'!$87:$87</definedName>
    <definedName name="QB_DATA_3" localSheetId="4" hidden="1">'Balance Sheet'!$88:$88</definedName>
    <definedName name="QB_FORMULA_0" localSheetId="4" hidden="1">'Balance Sheet'!$G$11,'Balance Sheet'!$G$12,'Balance Sheet'!$G$15,'Balance Sheet'!$G$28,'Balance Sheet'!$G$29,'Balance Sheet'!$G$30,'Balance Sheet'!$G$40,'Balance Sheet'!$G$49,'Balance Sheet'!$G$52,'Balance Sheet'!$G$56,'Balance Sheet'!$G$57,'Balance Sheet'!$G$63,'Balance Sheet'!$G$69,'Balance Sheet'!$G$70,'Balance Sheet'!$G$74,'Balance Sheet'!$G$80</definedName>
    <definedName name="QB_FORMULA_1" localSheetId="4" hidden="1">'Balance Sheet'!$G$81,'Balance Sheet'!$G$82,'Balance Sheet'!$G$89,'Balance Sheet'!$G$90</definedName>
    <definedName name="QB_ROW_1" localSheetId="4" hidden="1">'Balance Sheet'!$A$2</definedName>
    <definedName name="QB_ROW_10031" localSheetId="4" hidden="1">'Balance Sheet'!$D$61</definedName>
    <definedName name="QB_ROW_1011" localSheetId="4" hidden="1">'Balance Sheet'!$B$3</definedName>
    <definedName name="QB_ROW_10331" localSheetId="4" hidden="1">'Balance Sheet'!$D$63</definedName>
    <definedName name="QB_ROW_11031" localSheetId="4" hidden="1">'Balance Sheet'!$D$64</definedName>
    <definedName name="QB_ROW_11331" localSheetId="4" hidden="1">'Balance Sheet'!$D$70</definedName>
    <definedName name="QB_ROW_12031" localSheetId="4" hidden="1">'Balance Sheet'!$D$71</definedName>
    <definedName name="QB_ROW_12331" localSheetId="4" hidden="1">'Balance Sheet'!$D$80</definedName>
    <definedName name="QB_ROW_1311" localSheetId="4" hidden="1">'Balance Sheet'!$B$30</definedName>
    <definedName name="QB_ROW_13240" localSheetId="4" hidden="1">'Balance Sheet'!$E$26</definedName>
    <definedName name="QB_ROW_14011" localSheetId="4" hidden="1">'Balance Sheet'!$B$83</definedName>
    <definedName name="QB_ROW_14240" localSheetId="4" hidden="1">'Balance Sheet'!$E$27</definedName>
    <definedName name="QB_ROW_14311" localSheetId="4" hidden="1">'Balance Sheet'!$B$89</definedName>
    <definedName name="QB_ROW_17221" localSheetId="4" hidden="1">'Balance Sheet'!$C$88</definedName>
    <definedName name="QB_ROW_2021" localSheetId="4" hidden="1">'Balance Sheet'!$C$4</definedName>
    <definedName name="QB_ROW_20230" localSheetId="4" hidden="1">'Balance Sheet'!$D$33</definedName>
    <definedName name="QB_ROW_21230" localSheetId="4" hidden="1">'Balance Sheet'!$D$34</definedName>
    <definedName name="QB_ROW_22230" localSheetId="4" hidden="1">'Balance Sheet'!$D$35</definedName>
    <definedName name="QB_ROW_2321" localSheetId="4" hidden="1">'Balance Sheet'!$C$12</definedName>
    <definedName name="QB_ROW_24230" localSheetId="4" hidden="1">'Balance Sheet'!$D$36</definedName>
    <definedName name="QB_ROW_25230" localSheetId="4" hidden="1">'Balance Sheet'!$D$37</definedName>
    <definedName name="QB_ROW_26230" localSheetId="4" hidden="1">'Balance Sheet'!$D$38</definedName>
    <definedName name="QB_ROW_27230" localSheetId="4" hidden="1">'Balance Sheet'!$D$39</definedName>
    <definedName name="QB_ROW_301" localSheetId="4" hidden="1">'Balance Sheet'!$A$57</definedName>
    <definedName name="QB_ROW_3021" localSheetId="4" hidden="1">'Balance Sheet'!$C$13</definedName>
    <definedName name="QB_ROW_30230" localSheetId="4" hidden="1">'Balance Sheet'!$D$42</definedName>
    <definedName name="QB_ROW_31230" localSheetId="4" hidden="1">'Balance Sheet'!$D$43</definedName>
    <definedName name="QB_ROW_32230" localSheetId="4" hidden="1">'Balance Sheet'!$D$44</definedName>
    <definedName name="QB_ROW_3321" localSheetId="4" hidden="1">'Balance Sheet'!$C$15</definedName>
    <definedName name="QB_ROW_34230" localSheetId="4" hidden="1">'Balance Sheet'!$D$45</definedName>
    <definedName name="QB_ROW_35230" localSheetId="4" hidden="1">'Balance Sheet'!$D$46</definedName>
    <definedName name="QB_ROW_36230" localSheetId="4" hidden="1">'Balance Sheet'!$D$47</definedName>
    <definedName name="QB_ROW_369240" localSheetId="4" hidden="1">'Balance Sheet'!$E$8</definedName>
    <definedName name="QB_ROW_370240" localSheetId="4" hidden="1">'Balance Sheet'!$E$7</definedName>
    <definedName name="QB_ROW_371240" localSheetId="4" hidden="1">'Balance Sheet'!$E$9</definedName>
    <definedName name="QB_ROW_372240" localSheetId="4" hidden="1">'Balance Sheet'!$E$10</definedName>
    <definedName name="QB_ROW_37230" localSheetId="4" hidden="1">'Balance Sheet'!$D$48</definedName>
    <definedName name="QB_ROW_373220" localSheetId="4" hidden="1">'Balance Sheet'!$C$51</definedName>
    <definedName name="QB_ROW_374220" localSheetId="4" hidden="1">'Balance Sheet'!$C$50</definedName>
    <definedName name="QB_ROW_377220" localSheetId="4" hidden="1">'Balance Sheet'!$C$85</definedName>
    <definedName name="QB_ROW_381240" localSheetId="4" hidden="1">'Balance Sheet'!$E$79</definedName>
    <definedName name="QB_ROW_38220" localSheetId="4" hidden="1">'Balance Sheet'!$C$54</definedName>
    <definedName name="QB_ROW_385230" localSheetId="4" hidden="1">'Balance Sheet'!$D$17</definedName>
    <definedName name="QB_ROW_39220" localSheetId="4" hidden="1">'Balance Sheet'!$C$55</definedName>
    <definedName name="QB_ROW_4021" localSheetId="4" hidden="1">'Balance Sheet'!$C$16</definedName>
    <definedName name="QB_ROW_4321" localSheetId="4" hidden="1">'Balance Sheet'!$C$29</definedName>
    <definedName name="QB_ROW_44040" localSheetId="4" hidden="1">'Balance Sheet'!$E$72</definedName>
    <definedName name="QB_ROW_44340" localSheetId="4" hidden="1">'Balance Sheet'!$E$74</definedName>
    <definedName name="QB_ROW_453230" localSheetId="4" hidden="1">'Balance Sheet'!$D$19</definedName>
    <definedName name="QB_ROW_454030" localSheetId="4" hidden="1">'Balance Sheet'!$D$5</definedName>
    <definedName name="QB_ROW_454330" localSheetId="4" hidden="1">'Balance Sheet'!$D$11</definedName>
    <definedName name="QB_ROW_456040" localSheetId="4" hidden="1">'Balance Sheet'!$E$65</definedName>
    <definedName name="QB_ROW_456340" localSheetId="4" hidden="1">'Balance Sheet'!$E$69</definedName>
    <definedName name="QB_ROW_457250" localSheetId="4" hidden="1">'Balance Sheet'!$F$66</definedName>
    <definedName name="QB_ROW_458250" localSheetId="4" hidden="1">'Balance Sheet'!$F$67</definedName>
    <definedName name="QB_ROW_459250" localSheetId="4" hidden="1">'Balance Sheet'!$F$68</definedName>
    <definedName name="QB_ROW_47240" localSheetId="4" hidden="1">'Balance Sheet'!$E$75</definedName>
    <definedName name="QB_ROW_477020" localSheetId="4" hidden="1">'Balance Sheet'!$C$32</definedName>
    <definedName name="QB_ROW_477320" localSheetId="4" hidden="1">'Balance Sheet'!$C$40</definedName>
    <definedName name="QB_ROW_478020" localSheetId="4" hidden="1">'Balance Sheet'!$C$41</definedName>
    <definedName name="QB_ROW_478320" localSheetId="4" hidden="1">'Balance Sheet'!$C$49</definedName>
    <definedName name="QB_ROW_488030" localSheetId="4" hidden="1">'Balance Sheet'!$D$25</definedName>
    <definedName name="QB_ROW_488330" localSheetId="4" hidden="1">'Balance Sheet'!$D$28</definedName>
    <definedName name="QB_ROW_5011" localSheetId="4" hidden="1">'Balance Sheet'!$B$31</definedName>
    <definedName name="QB_ROW_50240" localSheetId="4" hidden="1">'Balance Sheet'!$E$76</definedName>
    <definedName name="QB_ROW_508250" localSheetId="4" hidden="1">'Balance Sheet'!$F$73</definedName>
    <definedName name="QB_ROW_524220" localSheetId="4" hidden="1">'Balance Sheet'!$C$87</definedName>
    <definedName name="QB_ROW_528340" localSheetId="4" hidden="1">'Balance Sheet'!$E$62</definedName>
    <definedName name="QB_ROW_5311" localSheetId="4" hidden="1">'Balance Sheet'!$B$52</definedName>
    <definedName name="QB_ROW_53240" localSheetId="4" hidden="1">'Balance Sheet'!$E$77</definedName>
    <definedName name="QB_ROW_533230" localSheetId="4" hidden="1">'Balance Sheet'!$D$14</definedName>
    <definedName name="QB_ROW_537230" localSheetId="4" hidden="1">'Balance Sheet'!$D$18</definedName>
    <definedName name="QB_ROW_538230" localSheetId="4" hidden="1">'Balance Sheet'!$D$20</definedName>
    <definedName name="QB_ROW_539230" localSheetId="4" hidden="1">'Balance Sheet'!$D$21</definedName>
    <definedName name="QB_ROW_540230" localSheetId="4" hidden="1">'Balance Sheet'!$D$22</definedName>
    <definedName name="QB_ROW_541230" localSheetId="4" hidden="1">'Balance Sheet'!$D$23</definedName>
    <definedName name="QB_ROW_544230" localSheetId="4" hidden="1">'Balance Sheet'!$D$24</definedName>
    <definedName name="QB_ROW_547240" localSheetId="4" hidden="1">'Balance Sheet'!$E$6</definedName>
    <definedName name="QB_ROW_551240" localSheetId="4" hidden="1">'Balance Sheet'!$E$78</definedName>
    <definedName name="QB_ROW_55220" localSheetId="4" hidden="1">'Balance Sheet'!$C$84</definedName>
    <definedName name="QB_ROW_57220" localSheetId="4" hidden="1">'Balance Sheet'!$C$86</definedName>
    <definedName name="QB_ROW_6011" localSheetId="4" hidden="1">'Balance Sheet'!$B$53</definedName>
    <definedName name="QB_ROW_6311" localSheetId="4" hidden="1">'Balance Sheet'!$B$56</definedName>
    <definedName name="QB_ROW_7001" localSheetId="4" hidden="1">'Balance Sheet'!$A$58</definedName>
    <definedName name="QB_ROW_7301" localSheetId="4" hidden="1">'Balance Sheet'!$A$90</definedName>
    <definedName name="QB_ROW_8011" localSheetId="4" hidden="1">'Balance Sheet'!$B$59</definedName>
    <definedName name="QB_ROW_8311" localSheetId="4" hidden="1">'Balance Sheet'!$B$82</definedName>
    <definedName name="QB_ROW_9021" localSheetId="4" hidden="1">'Balance Sheet'!$C$60</definedName>
    <definedName name="QB_ROW_9321" localSheetId="4" hidden="1">'Balance Sheet'!$C$81</definedName>
    <definedName name="QBCANSUPPORTUPDATE" localSheetId="4">TRUE</definedName>
    <definedName name="QBCOMPANYFILENAME" localSheetId="4">"Q:\Rubatino Refuse Removal Inc.QBW"</definedName>
    <definedName name="QBENDDATE" localSheetId="4">20210331</definedName>
    <definedName name="QBHEADERSONSCREEN" localSheetId="4">FALSE</definedName>
    <definedName name="QBMETADATASIZE" localSheetId="4">5924</definedName>
    <definedName name="QBPRESERVECOLOR" localSheetId="4">TRUE</definedName>
    <definedName name="QBPRESERVEFONT" localSheetId="4">TRUE</definedName>
    <definedName name="QBPRESERVEROWHEIGHT" localSheetId="4">TRUE</definedName>
    <definedName name="QBPRESERVESPACE" localSheetId="4">TRUE</definedName>
    <definedName name="QBREPORTCOLAXIS" localSheetId="4">0</definedName>
    <definedName name="QBREPORTCOMPANYID" localSheetId="4">"211b31799d1e4328a0c35dba8c23d59f"</definedName>
    <definedName name="QBREPORTCOMPARECOL_ANNUALBUDGET" localSheetId="4">FALSE</definedName>
    <definedName name="QBREPORTCOMPARECOL_AVGCOGS" localSheetId="4">FALSE</definedName>
    <definedName name="QBREPORTCOMPARECOL_AVGPRICE" localSheetId="4">FALSE</definedName>
    <definedName name="QBREPORTCOMPARECOL_BUDDIFF" localSheetId="4">FALSE</definedName>
    <definedName name="QBREPORTCOMPARECOL_BUDGET" localSheetId="4">FALSE</definedName>
    <definedName name="QBREPORTCOMPARECOL_BUDPCT" localSheetId="4">FALSE</definedName>
    <definedName name="QBREPORTCOMPARECOL_COGS" localSheetId="4">FALSE</definedName>
    <definedName name="QBREPORTCOMPARECOL_EXCLUDEAMOUNT" localSheetId="4">FALSE</definedName>
    <definedName name="QBREPORTCOMPARECOL_EXCLUDECURPERIOD" localSheetId="4">FALSE</definedName>
    <definedName name="QBREPORTCOMPARECOL_FORECAST" localSheetId="4">FALSE</definedName>
    <definedName name="QBREPORTCOMPARECOL_GROSSMARGIN" localSheetId="4">FALSE</definedName>
    <definedName name="QBREPORTCOMPARECOL_GROSSMARGINPCT" localSheetId="4">FALSE</definedName>
    <definedName name="QBREPORTCOMPARECOL_HOURS" localSheetId="4">FALSE</definedName>
    <definedName name="QBREPORTCOMPARECOL_PCTCOL" localSheetId="4">FALSE</definedName>
    <definedName name="QBREPORTCOMPARECOL_PCTEXPENSE" localSheetId="4">FALSE</definedName>
    <definedName name="QBREPORTCOMPARECOL_PCTINCOME" localSheetId="4">FALSE</definedName>
    <definedName name="QBREPORTCOMPARECOL_PCTOFSALES" localSheetId="4">FALSE</definedName>
    <definedName name="QBREPORTCOMPARECOL_PCTROW" localSheetId="4">FALSE</definedName>
    <definedName name="QBREPORTCOMPARECOL_PPDIFF" localSheetId="4">FALSE</definedName>
    <definedName name="QBREPORTCOMPARECOL_PPPCT" localSheetId="4">FALSE</definedName>
    <definedName name="QBREPORTCOMPARECOL_PREVPERIOD" localSheetId="4">FALSE</definedName>
    <definedName name="QBREPORTCOMPARECOL_PREVYEAR" localSheetId="4">FALSE</definedName>
    <definedName name="QBREPORTCOMPARECOL_PYDIFF" localSheetId="4">FALSE</definedName>
    <definedName name="QBREPORTCOMPARECOL_PYPCT" localSheetId="4">FALSE</definedName>
    <definedName name="QBREPORTCOMPARECOL_QTY" localSheetId="4">FALSE</definedName>
    <definedName name="QBREPORTCOMPARECOL_RATE" localSheetId="4">FALSE</definedName>
    <definedName name="QBREPORTCOMPARECOL_TRIPBILLEDMILES" localSheetId="4">FALSE</definedName>
    <definedName name="QBREPORTCOMPARECOL_TRIPBILLINGAMOUNT" localSheetId="4">FALSE</definedName>
    <definedName name="QBREPORTCOMPARECOL_TRIPMILES" localSheetId="4">FALSE</definedName>
    <definedName name="QBREPORTCOMPARECOL_TRIPNOTBILLABLEMILES" localSheetId="4">FALSE</definedName>
    <definedName name="QBREPORTCOMPARECOL_TRIPTAXDEDUCTIBLEAMOUNT" localSheetId="4">FALSE</definedName>
    <definedName name="QBREPORTCOMPARECOL_TRIPUNBILLEDMILES" localSheetId="4">FALSE</definedName>
    <definedName name="QBREPORTCOMPARECOL_YTD" localSheetId="4">FALSE</definedName>
    <definedName name="QBREPORTCOMPARECOL_YTDBUDGET" localSheetId="4">FALSE</definedName>
    <definedName name="QBREPORTCOMPARECOL_YTDPCT" localSheetId="4">FALSE</definedName>
    <definedName name="QBREPORTROWAXIS" localSheetId="4">9</definedName>
    <definedName name="QBREPORTSUBCOLAXIS" localSheetId="4">0</definedName>
    <definedName name="QBREPORTTYPE" localSheetId="4">5</definedName>
    <definedName name="QBROWHEADERS" localSheetId="4">6</definedName>
    <definedName name="QBSTARTDATE" localSheetId="4">20210331</definedName>
    <definedName name="regDebt_weighted" localSheetId="0">'LG Nonpublic Consolidated'!$U$56</definedName>
    <definedName name="regDebt_weighted" localSheetId="2">'LG Nonpublic Recycling'!$U$56</definedName>
    <definedName name="regDebt_weighted" localSheetId="1">'LG Nonpublic Refuse'!$U$56</definedName>
    <definedName name="regDebt_weighted" localSheetId="3">'LG Nonpublic Yardwaste'!$U$56</definedName>
    <definedName name="Revenue" localSheetId="0">'LG Nonpublic Consolidated'!$I$7</definedName>
    <definedName name="Revenue" localSheetId="2">'LG Nonpublic Recycling'!$I$7</definedName>
    <definedName name="Revenue" localSheetId="1">'LG Nonpublic Refuse'!$I$7</definedName>
    <definedName name="Revenue" localSheetId="3">'LG Nonpublic Yardwaste'!$I$7</definedName>
    <definedName name="slope" localSheetId="36">'[1]LG Consolidated'!$Y$58</definedName>
    <definedName name="slope" localSheetId="0">'LG Nonpublic Consolidated'!$Y$58</definedName>
    <definedName name="slope" localSheetId="2">'LG Nonpublic Recycling'!$Y$58</definedName>
    <definedName name="slope" localSheetId="1">'LG Nonpublic Refuse'!$Y$58</definedName>
    <definedName name="slope" localSheetId="3">'LG Nonpublic Yardwaste'!$Y$58</definedName>
    <definedName name="slope">#REF!</definedName>
    <definedName name="taxrate" localSheetId="0">'LG Nonpublic Consolidated'!$J$38</definedName>
    <definedName name="taxrate" localSheetId="2">'LG Nonpublic Recycling'!$J$38</definedName>
    <definedName name="taxrate" localSheetId="1">'LG Nonpublic Refuse'!$J$38</definedName>
    <definedName name="taxrate" localSheetId="3">'LG Nonpublic Yardwaste'!$J$38</definedName>
    <definedName name="X_inter4">#REF!</definedName>
    <definedName name="y_inter1" localSheetId="36">'[1]LG Consolidated'!$X$55</definedName>
    <definedName name="y_inter1" localSheetId="0">'LG Nonpublic Consolidated'!$X$55</definedName>
    <definedName name="y_inter1" localSheetId="2">'LG Nonpublic Recycling'!$X$55</definedName>
    <definedName name="y_inter1" localSheetId="1">'LG Nonpublic Refuse'!$X$55</definedName>
    <definedName name="y_inter1" localSheetId="3">'LG Nonpublic Yardwaste'!$X$55</definedName>
    <definedName name="y_inter1">#REF!</definedName>
    <definedName name="y_inter2" localSheetId="36">'[1]LG Consolidated'!$X$56</definedName>
    <definedName name="y_inter2" localSheetId="0">'LG Nonpublic Consolidated'!$X$56</definedName>
    <definedName name="y_inter2" localSheetId="2">'LG Nonpublic Recycling'!$X$56</definedName>
    <definedName name="y_inter2" localSheetId="1">'LG Nonpublic Refuse'!$X$56</definedName>
    <definedName name="y_inter2" localSheetId="3">'LG Nonpublic Yardwaste'!$X$56</definedName>
    <definedName name="y_inter2">#REF!</definedName>
    <definedName name="y_inter3" localSheetId="36">'[1]LG Consolidated'!$Z$55</definedName>
    <definedName name="y_inter3" localSheetId="0">'LG Nonpublic Consolidated'!$Z$55</definedName>
    <definedName name="y_inter3" localSheetId="2">'LG Nonpublic Recycling'!$Z$55</definedName>
    <definedName name="y_inter3" localSheetId="1">'LG Nonpublic Refuse'!$Z$55</definedName>
    <definedName name="y_inter3" localSheetId="3">'LG Nonpublic Yardwaste'!$Z$55</definedName>
    <definedName name="y_inter3">#REF!</definedName>
    <definedName name="y_inter4" localSheetId="36">'[1]LG Consolidated'!$Z$56</definedName>
    <definedName name="y_inter4" localSheetId="0">'LG Nonpublic Consolidated'!$Z$56</definedName>
    <definedName name="y_inter4" localSheetId="2">'LG Nonpublic Recycling'!$Z$56</definedName>
    <definedName name="y_inter4" localSheetId="1">'LG Nonpublic Refuse'!$Z$56</definedName>
    <definedName name="y_inter4" localSheetId="3">'LG Nonpublic Yardwaste'!$Z$56</definedName>
    <definedName name="y_inter4">#REF!</definedName>
  </definedNames>
  <calcPr calcId="181029" iterate="1"/>
</workbook>
</file>

<file path=xl/calcChain.xml><?xml version="1.0" encoding="utf-8"?>
<calcChain xmlns="http://schemas.openxmlformats.org/spreadsheetml/2006/main">
  <c r="D11" i="54" l="1"/>
  <c r="G59" i="11"/>
  <c r="G104" i="15"/>
  <c r="F104" i="15"/>
  <c r="E104" i="15"/>
  <c r="D104" i="15"/>
  <c r="C104" i="15"/>
  <c r="B104" i="15"/>
  <c r="D123" i="15"/>
  <c r="E119" i="15"/>
  <c r="E121" i="15" s="1"/>
  <c r="D119" i="15"/>
  <c r="D121" i="15" s="1"/>
  <c r="C119" i="15"/>
  <c r="D122" i="15" l="1"/>
  <c r="D124" i="15" s="1"/>
  <c r="R78" i="33"/>
  <c r="G29" i="35" l="1"/>
  <c r="F29" i="35"/>
  <c r="F28" i="35"/>
  <c r="F27" i="35"/>
  <c r="F26" i="35"/>
  <c r="F13" i="35"/>
  <c r="F9" i="35"/>
  <c r="F25" i="35"/>
  <c r="F22" i="35"/>
  <c r="F17" i="35"/>
  <c r="F12" i="35"/>
  <c r="F11" i="35"/>
  <c r="F10" i="35"/>
  <c r="L65" i="12" l="1"/>
  <c r="L21" i="12"/>
  <c r="G11" i="12"/>
  <c r="G31" i="13"/>
  <c r="K2" i="35" l="1"/>
  <c r="M1" i="34"/>
  <c r="Q77" i="33"/>
  <c r="K77" i="33"/>
  <c r="K76" i="33"/>
  <c r="K75" i="33"/>
  <c r="K74" i="33"/>
  <c r="C68" i="33"/>
  <c r="C67" i="33"/>
  <c r="C66" i="33"/>
  <c r="C65" i="33"/>
  <c r="C64" i="33"/>
  <c r="C63" i="33"/>
  <c r="C62" i="33"/>
  <c r="C61" i="33"/>
  <c r="C60" i="33"/>
  <c r="C59" i="33"/>
  <c r="C58" i="33"/>
  <c r="C57" i="33"/>
  <c r="C56" i="33"/>
  <c r="C55" i="33"/>
  <c r="C54" i="33"/>
  <c r="C53" i="33"/>
  <c r="C52" i="33"/>
  <c r="C51" i="33"/>
  <c r="C50" i="33"/>
  <c r="C49" i="33"/>
  <c r="C48" i="33"/>
  <c r="C47" i="33"/>
  <c r="C46" i="33"/>
  <c r="C38" i="33"/>
  <c r="C37" i="33"/>
  <c r="C36" i="33"/>
  <c r="N36" i="33" s="1"/>
  <c r="C35"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N77" i="33"/>
  <c r="H77" i="33"/>
  <c r="H76" i="33"/>
  <c r="H75" i="33"/>
  <c r="H74" i="33"/>
  <c r="F103" i="34"/>
  <c r="K8" i="33"/>
  <c r="Q31" i="33"/>
  <c r="K68" i="33"/>
  <c r="K67" i="33"/>
  <c r="K66" i="33"/>
  <c r="K65" i="33"/>
  <c r="K64" i="33"/>
  <c r="K63" i="33"/>
  <c r="K62" i="33"/>
  <c r="K61" i="33"/>
  <c r="K60" i="33"/>
  <c r="K59" i="33"/>
  <c r="K58" i="33"/>
  <c r="K57" i="33"/>
  <c r="K56" i="33"/>
  <c r="K55" i="33"/>
  <c r="K54" i="33"/>
  <c r="K53" i="33"/>
  <c r="K52" i="33"/>
  <c r="K51" i="33"/>
  <c r="K50" i="33"/>
  <c r="K49" i="33"/>
  <c r="K48" i="33"/>
  <c r="K47" i="33"/>
  <c r="K46" i="33"/>
  <c r="K36" i="33"/>
  <c r="M38" i="33"/>
  <c r="L38" i="33"/>
  <c r="K38" i="33"/>
  <c r="M37" i="33"/>
  <c r="L37" i="33"/>
  <c r="K37" i="33"/>
  <c r="M36" i="33"/>
  <c r="L36" i="33"/>
  <c r="M35" i="33"/>
  <c r="L35" i="33"/>
  <c r="K35" i="33"/>
  <c r="M34" i="33"/>
  <c r="L34" i="33"/>
  <c r="M33" i="33"/>
  <c r="L33" i="33"/>
  <c r="K33" i="33"/>
  <c r="M32" i="33"/>
  <c r="L32" i="33"/>
  <c r="K32" i="33"/>
  <c r="M31" i="33"/>
  <c r="L31" i="33"/>
  <c r="K31" i="33"/>
  <c r="M30" i="33"/>
  <c r="L30" i="33"/>
  <c r="K30" i="33"/>
  <c r="M29" i="33"/>
  <c r="L29" i="33"/>
  <c r="K29" i="33"/>
  <c r="M28" i="33"/>
  <c r="L28" i="33"/>
  <c r="K28" i="33"/>
  <c r="M27" i="33"/>
  <c r="L27" i="33"/>
  <c r="K27" i="33"/>
  <c r="M26" i="33"/>
  <c r="L26" i="33"/>
  <c r="K26" i="33"/>
  <c r="M25" i="33"/>
  <c r="L25" i="33"/>
  <c r="K25" i="33"/>
  <c r="M24" i="33"/>
  <c r="L24" i="33"/>
  <c r="K24" i="33"/>
  <c r="M23" i="33"/>
  <c r="L23" i="33"/>
  <c r="K23" i="33"/>
  <c r="M22" i="33"/>
  <c r="L22" i="33"/>
  <c r="K22" i="33"/>
  <c r="M21" i="33"/>
  <c r="L21" i="33"/>
  <c r="K21" i="33"/>
  <c r="M20" i="33"/>
  <c r="L20" i="33"/>
  <c r="K20" i="33"/>
  <c r="M19" i="33"/>
  <c r="L19" i="33"/>
  <c r="K19" i="33"/>
  <c r="M18" i="33"/>
  <c r="L18" i="33"/>
  <c r="K18" i="33"/>
  <c r="M17" i="33"/>
  <c r="L17" i="33"/>
  <c r="K17" i="33"/>
  <c r="M16" i="33"/>
  <c r="L16" i="33"/>
  <c r="M15" i="33"/>
  <c r="L15" i="33"/>
  <c r="K15" i="33"/>
  <c r="M14" i="33"/>
  <c r="L14" i="33"/>
  <c r="K14" i="33"/>
  <c r="M13" i="33"/>
  <c r="L13" i="33"/>
  <c r="K13" i="33"/>
  <c r="M12" i="33"/>
  <c r="L12" i="33"/>
  <c r="K12" i="33"/>
  <c r="M11" i="33"/>
  <c r="L11" i="33"/>
  <c r="K11" i="33"/>
  <c r="M10" i="33"/>
  <c r="L10" i="33"/>
  <c r="K10" i="33"/>
  <c r="M9" i="33"/>
  <c r="L9" i="33"/>
  <c r="K9" i="33"/>
  <c r="M8" i="33"/>
  <c r="L8" i="33"/>
  <c r="O104" i="15"/>
  <c r="P104" i="15" s="1"/>
  <c r="F23" i="12"/>
  <c r="G27" i="13"/>
  <c r="G7" i="47"/>
  <c r="G6" i="47"/>
  <c r="D22" i="47"/>
  <c r="F106" i="34" l="1"/>
  <c r="F11" i="34"/>
  <c r="F12" i="34"/>
  <c r="F13" i="34"/>
  <c r="F16" i="34"/>
  <c r="F17" i="34"/>
  <c r="F14" i="34"/>
  <c r="F15" i="34"/>
  <c r="F18" i="34"/>
  <c r="F25" i="34"/>
  <c r="F52" i="34"/>
  <c r="F83" i="34"/>
  <c r="F20" i="34"/>
  <c r="F91" i="34"/>
  <c r="F28" i="34"/>
  <c r="F111" i="34"/>
  <c r="F35" i="34"/>
  <c r="F40" i="34"/>
  <c r="F60" i="34"/>
  <c r="F22" i="34"/>
  <c r="F30" i="34"/>
  <c r="F44" i="34"/>
  <c r="F67" i="34"/>
  <c r="F95" i="34"/>
  <c r="F23" i="34"/>
  <c r="F31" i="34"/>
  <c r="F47" i="34"/>
  <c r="F68" i="34"/>
  <c r="F99" i="34"/>
  <c r="F24" i="34"/>
  <c r="F32" i="34"/>
  <c r="F51" i="34"/>
  <c r="F79" i="34"/>
  <c r="F100" i="34"/>
  <c r="F26" i="34"/>
  <c r="F36" i="34"/>
  <c r="F55" i="34"/>
  <c r="F84" i="34"/>
  <c r="F107" i="34"/>
  <c r="F19" i="34"/>
  <c r="F27" i="34"/>
  <c r="F39" i="34"/>
  <c r="F59" i="34"/>
  <c r="F87" i="34"/>
  <c r="F108" i="34"/>
  <c r="F21" i="34"/>
  <c r="F29" i="34"/>
  <c r="F43" i="34"/>
  <c r="F63" i="34"/>
  <c r="F92" i="34"/>
  <c r="F37" i="34"/>
  <c r="F45" i="34"/>
  <c r="F53" i="34"/>
  <c r="F61" i="34"/>
  <c r="F69" i="34"/>
  <c r="F85" i="34"/>
  <c r="F93" i="34"/>
  <c r="F101" i="34"/>
  <c r="F38" i="34"/>
  <c r="F46" i="34"/>
  <c r="F54" i="34"/>
  <c r="F62" i="34"/>
  <c r="F70" i="34"/>
  <c r="F86" i="34"/>
  <c r="F94" i="34"/>
  <c r="F102" i="34"/>
  <c r="F110" i="34"/>
  <c r="F48" i="34"/>
  <c r="F56" i="34"/>
  <c r="F64" i="34"/>
  <c r="F80" i="34"/>
  <c r="F88" i="34"/>
  <c r="F96" i="34"/>
  <c r="F104" i="34"/>
  <c r="F33" i="34"/>
  <c r="F41" i="34"/>
  <c r="F49" i="34"/>
  <c r="F57" i="34"/>
  <c r="F65" i="34"/>
  <c r="F81" i="34"/>
  <c r="F89" i="34"/>
  <c r="F97" i="34"/>
  <c r="F105" i="34"/>
  <c r="F34" i="34"/>
  <c r="F42" i="34"/>
  <c r="F50" i="34"/>
  <c r="F58" i="34"/>
  <c r="F66" i="34"/>
  <c r="F82" i="34"/>
  <c r="F90" i="34"/>
  <c r="F98" i="34"/>
  <c r="N38" i="33"/>
  <c r="O16" i="33"/>
  <c r="O28" i="33"/>
  <c r="I90" i="52"/>
  <c r="I57" i="52"/>
  <c r="I56" i="52"/>
  <c r="I55" i="52"/>
  <c r="I54" i="52"/>
  <c r="I52" i="52"/>
  <c r="I51" i="52"/>
  <c r="I50" i="52"/>
  <c r="I49" i="52"/>
  <c r="I48" i="52"/>
  <c r="I47" i="52"/>
  <c r="I46" i="52"/>
  <c r="I45" i="52"/>
  <c r="I44" i="52"/>
  <c r="I43" i="52"/>
  <c r="I42" i="52"/>
  <c r="I41" i="52"/>
  <c r="I40" i="52"/>
  <c r="I39" i="52"/>
  <c r="I38" i="52"/>
  <c r="I37" i="52"/>
  <c r="I36" i="52"/>
  <c r="I35" i="52"/>
  <c r="I34" i="52"/>
  <c r="I33" i="52"/>
  <c r="I32" i="52"/>
  <c r="I31" i="52"/>
  <c r="I30" i="52"/>
  <c r="I29" i="52"/>
  <c r="I28" i="52"/>
  <c r="I27" i="52"/>
  <c r="I26" i="52"/>
  <c r="I25" i="52"/>
  <c r="I24" i="52"/>
  <c r="I23" i="52"/>
  <c r="I22" i="52"/>
  <c r="I21" i="52"/>
  <c r="I20" i="52"/>
  <c r="I19" i="52"/>
  <c r="I18" i="52"/>
  <c r="I17" i="52"/>
  <c r="I16" i="52"/>
  <c r="I15" i="52"/>
  <c r="I14" i="52"/>
  <c r="I13" i="52"/>
  <c r="I12" i="52"/>
  <c r="I11" i="52"/>
  <c r="I10" i="52"/>
  <c r="I9" i="52"/>
  <c r="I8" i="52"/>
  <c r="I7" i="52"/>
  <c r="I6" i="52"/>
  <c r="I82" i="52"/>
  <c r="I81" i="52"/>
  <c r="I80" i="52"/>
  <c r="I79" i="52"/>
  <c r="I78" i="52"/>
  <c r="I77" i="52"/>
  <c r="I76" i="52"/>
  <c r="I75" i="52"/>
  <c r="I74" i="52"/>
  <c r="I73" i="52"/>
  <c r="I70" i="52"/>
  <c r="I69" i="52"/>
  <c r="I68" i="52"/>
  <c r="I67" i="52"/>
  <c r="I66" i="52"/>
  <c r="I63" i="52"/>
  <c r="I62" i="52"/>
  <c r="I88" i="52"/>
  <c r="I87" i="52"/>
  <c r="I86" i="52"/>
  <c r="I85" i="52"/>
  <c r="I84" i="52"/>
  <c r="I89" i="52"/>
  <c r="H90" i="52"/>
  <c r="H89" i="52"/>
  <c r="H87" i="52"/>
  <c r="H82" i="52"/>
  <c r="H81" i="52"/>
  <c r="H80" i="52"/>
  <c r="H78" i="52"/>
  <c r="G89" i="52"/>
  <c r="G74" i="52"/>
  <c r="G80" i="52" s="1"/>
  <c r="G69" i="52"/>
  <c r="G70" i="52" s="1"/>
  <c r="G63" i="52"/>
  <c r="G56" i="52"/>
  <c r="G49" i="52"/>
  <c r="G40" i="52"/>
  <c r="G52" i="52" s="1"/>
  <c r="G29" i="52"/>
  <c r="G28" i="52"/>
  <c r="G15" i="52"/>
  <c r="G12" i="52"/>
  <c r="G30" i="52" s="1"/>
  <c r="G57" i="52" s="1"/>
  <c r="G11" i="52"/>
  <c r="G81" i="52" l="1"/>
  <c r="G82" i="52" s="1"/>
  <c r="G90" i="52" s="1"/>
  <c r="C7" i="51" l="1"/>
  <c r="C5" i="51"/>
  <c r="S59" i="51"/>
  <c r="U57" i="51"/>
  <c r="U56" i="51"/>
  <c r="V34" i="51" s="1"/>
  <c r="J46" i="51"/>
  <c r="J45" i="51"/>
  <c r="J44" i="51"/>
  <c r="J43" i="51"/>
  <c r="V39" i="51"/>
  <c r="K38" i="51"/>
  <c r="Z68" i="51" s="1"/>
  <c r="J38" i="51"/>
  <c r="Y68" i="51" s="1"/>
  <c r="V37" i="51"/>
  <c r="V36" i="51"/>
  <c r="V33" i="51"/>
  <c r="V32" i="51"/>
  <c r="V31" i="51"/>
  <c r="V29" i="51"/>
  <c r="V28" i="51"/>
  <c r="J28" i="51"/>
  <c r="S6" i="51" s="1"/>
  <c r="T6" i="51" s="1"/>
  <c r="V27" i="51"/>
  <c r="K27" i="51"/>
  <c r="I27" i="51"/>
  <c r="AA37" i="51" s="1"/>
  <c r="V26" i="51"/>
  <c r="V24" i="51"/>
  <c r="V23" i="51"/>
  <c r="V22" i="51"/>
  <c r="V21" i="51"/>
  <c r="V19" i="51"/>
  <c r="V18" i="51"/>
  <c r="V17" i="51"/>
  <c r="V16" i="51"/>
  <c r="V14" i="51"/>
  <c r="V13" i="51"/>
  <c r="V12" i="51"/>
  <c r="V11" i="51"/>
  <c r="F10" i="51"/>
  <c r="F11" i="51" s="1"/>
  <c r="F12" i="51" s="1"/>
  <c r="F13" i="51" s="1"/>
  <c r="F14" i="51" s="1"/>
  <c r="F15" i="51" s="1"/>
  <c r="F16" i="51" s="1"/>
  <c r="F17" i="51" s="1"/>
  <c r="F18" i="51" s="1"/>
  <c r="F19" i="51" s="1"/>
  <c r="F20" i="51" s="1"/>
  <c r="F21" i="51" s="1"/>
  <c r="F22" i="51" s="1"/>
  <c r="F23" i="51" s="1"/>
  <c r="F24" i="51" s="1"/>
  <c r="F25" i="51" s="1"/>
  <c r="F26" i="51" s="1"/>
  <c r="F27" i="51" s="1"/>
  <c r="F28" i="51" s="1"/>
  <c r="F29" i="51" s="1"/>
  <c r="F30" i="51" s="1"/>
  <c r="F31" i="51" s="1"/>
  <c r="F32" i="51" s="1"/>
  <c r="F33" i="51" s="1"/>
  <c r="F34" i="51" s="1"/>
  <c r="F35" i="51" s="1"/>
  <c r="F36" i="51" s="1"/>
  <c r="F37" i="51" s="1"/>
  <c r="F38" i="51" s="1"/>
  <c r="F39" i="51" s="1"/>
  <c r="F40" i="51" s="1"/>
  <c r="F41" i="51" s="1"/>
  <c r="F42" i="51" s="1"/>
  <c r="F43" i="51" s="1"/>
  <c r="F44" i="51" s="1"/>
  <c r="F45" i="51" s="1"/>
  <c r="F46" i="51" s="1"/>
  <c r="F47" i="51" s="1"/>
  <c r="F48" i="51" s="1"/>
  <c r="F49" i="51" s="1"/>
  <c r="V9" i="51"/>
  <c r="V8" i="51"/>
  <c r="F8" i="51"/>
  <c r="F9" i="51" s="1"/>
  <c r="V7" i="51"/>
  <c r="I7" i="51"/>
  <c r="V6" i="51"/>
  <c r="C7" i="50"/>
  <c r="J28" i="50" s="1"/>
  <c r="S59" i="50"/>
  <c r="U57" i="50"/>
  <c r="U56" i="50"/>
  <c r="V34" i="50" s="1"/>
  <c r="J46" i="50"/>
  <c r="J45" i="50"/>
  <c r="J44" i="50"/>
  <c r="J43" i="50"/>
  <c r="V39" i="50"/>
  <c r="V38" i="50"/>
  <c r="K38" i="50"/>
  <c r="Z68" i="50" s="1"/>
  <c r="J38" i="50"/>
  <c r="Y68" i="50" s="1"/>
  <c r="V37" i="50"/>
  <c r="V36" i="50"/>
  <c r="V29" i="50"/>
  <c r="V28" i="50"/>
  <c r="V27" i="50"/>
  <c r="K27" i="50"/>
  <c r="I27" i="50"/>
  <c r="AA37" i="50" s="1"/>
  <c r="V26" i="50"/>
  <c r="V24" i="50"/>
  <c r="V23" i="50"/>
  <c r="V22" i="50"/>
  <c r="V21" i="50"/>
  <c r="V19" i="50"/>
  <c r="V18" i="50"/>
  <c r="V17" i="50"/>
  <c r="V16" i="50"/>
  <c r="V14" i="50"/>
  <c r="V13" i="50"/>
  <c r="V12" i="50"/>
  <c r="V11" i="50"/>
  <c r="V9" i="50"/>
  <c r="V8" i="50"/>
  <c r="F8" i="50"/>
  <c r="F9" i="50" s="1"/>
  <c r="F10" i="50" s="1"/>
  <c r="F11" i="50" s="1"/>
  <c r="F12" i="50" s="1"/>
  <c r="F13" i="50" s="1"/>
  <c r="F14" i="50" s="1"/>
  <c r="F15" i="50" s="1"/>
  <c r="F16" i="50" s="1"/>
  <c r="F17" i="50" s="1"/>
  <c r="F18" i="50" s="1"/>
  <c r="F19" i="50" s="1"/>
  <c r="F20" i="50" s="1"/>
  <c r="F21" i="50" s="1"/>
  <c r="F22" i="50" s="1"/>
  <c r="F23" i="50" s="1"/>
  <c r="F24" i="50" s="1"/>
  <c r="F25" i="50" s="1"/>
  <c r="F26" i="50" s="1"/>
  <c r="F27" i="50" s="1"/>
  <c r="F28" i="50" s="1"/>
  <c r="F29" i="50" s="1"/>
  <c r="F30" i="50" s="1"/>
  <c r="F31" i="50" s="1"/>
  <c r="F32" i="50" s="1"/>
  <c r="F33" i="50" s="1"/>
  <c r="F34" i="50" s="1"/>
  <c r="F35" i="50" s="1"/>
  <c r="F36" i="50" s="1"/>
  <c r="F37" i="50" s="1"/>
  <c r="F38" i="50" s="1"/>
  <c r="F39" i="50" s="1"/>
  <c r="F40" i="50" s="1"/>
  <c r="F41" i="50" s="1"/>
  <c r="F42" i="50" s="1"/>
  <c r="F43" i="50" s="1"/>
  <c r="F44" i="50" s="1"/>
  <c r="F45" i="50" s="1"/>
  <c r="F46" i="50" s="1"/>
  <c r="F47" i="50" s="1"/>
  <c r="F48" i="50" s="1"/>
  <c r="F49" i="50" s="1"/>
  <c r="V7" i="50"/>
  <c r="V6" i="50"/>
  <c r="C7" i="49"/>
  <c r="C5" i="49"/>
  <c r="S59" i="49"/>
  <c r="U57" i="49"/>
  <c r="U56" i="49"/>
  <c r="V34" i="49" s="1"/>
  <c r="J46" i="49"/>
  <c r="J45" i="49"/>
  <c r="J44" i="49"/>
  <c r="J43" i="49"/>
  <c r="V39" i="49"/>
  <c r="V38" i="49"/>
  <c r="J38" i="49"/>
  <c r="Y68" i="49" s="1"/>
  <c r="V37" i="49"/>
  <c r="V36" i="49"/>
  <c r="V33" i="49"/>
  <c r="V32" i="49"/>
  <c r="V31" i="49"/>
  <c r="V29" i="49"/>
  <c r="V28" i="49"/>
  <c r="J28" i="49"/>
  <c r="V27" i="49"/>
  <c r="K27" i="49"/>
  <c r="I27" i="49"/>
  <c r="AA37" i="49" s="1"/>
  <c r="V26" i="49"/>
  <c r="V24" i="49"/>
  <c r="V23" i="49"/>
  <c r="V22" i="49"/>
  <c r="V21" i="49"/>
  <c r="V19" i="49"/>
  <c r="V18" i="49"/>
  <c r="V17" i="49"/>
  <c r="V16" i="49"/>
  <c r="V14" i="49"/>
  <c r="V13" i="49"/>
  <c r="V12" i="49"/>
  <c r="V11" i="49"/>
  <c r="V9" i="49"/>
  <c r="V8" i="49"/>
  <c r="F8" i="49"/>
  <c r="F9" i="49" s="1"/>
  <c r="F10" i="49" s="1"/>
  <c r="F11" i="49" s="1"/>
  <c r="F12" i="49" s="1"/>
  <c r="F13" i="49" s="1"/>
  <c r="F14" i="49" s="1"/>
  <c r="F15" i="49" s="1"/>
  <c r="F16" i="49" s="1"/>
  <c r="F17" i="49" s="1"/>
  <c r="F18" i="49" s="1"/>
  <c r="F19" i="49" s="1"/>
  <c r="F20" i="49" s="1"/>
  <c r="F21" i="49" s="1"/>
  <c r="F22" i="49" s="1"/>
  <c r="F23" i="49" s="1"/>
  <c r="F24" i="49" s="1"/>
  <c r="F25" i="49" s="1"/>
  <c r="F26" i="49" s="1"/>
  <c r="F27" i="49" s="1"/>
  <c r="F28" i="49" s="1"/>
  <c r="F29" i="49" s="1"/>
  <c r="F30" i="49" s="1"/>
  <c r="F31" i="49" s="1"/>
  <c r="F32" i="49" s="1"/>
  <c r="F33" i="49" s="1"/>
  <c r="F34" i="49" s="1"/>
  <c r="F35" i="49" s="1"/>
  <c r="F36" i="49" s="1"/>
  <c r="F37" i="49" s="1"/>
  <c r="F38" i="49" s="1"/>
  <c r="F39" i="49" s="1"/>
  <c r="F40" i="49" s="1"/>
  <c r="F41" i="49" s="1"/>
  <c r="F42" i="49" s="1"/>
  <c r="F43" i="49" s="1"/>
  <c r="F44" i="49" s="1"/>
  <c r="F45" i="49" s="1"/>
  <c r="F46" i="49" s="1"/>
  <c r="F47" i="49" s="1"/>
  <c r="F48" i="49" s="1"/>
  <c r="F49" i="49" s="1"/>
  <c r="V7" i="49"/>
  <c r="I7" i="49"/>
  <c r="V6" i="49"/>
  <c r="S59" i="48"/>
  <c r="U57" i="48"/>
  <c r="U56" i="48"/>
  <c r="V34" i="48" s="1"/>
  <c r="J46" i="48"/>
  <c r="J45" i="48"/>
  <c r="J44" i="48"/>
  <c r="J43" i="48"/>
  <c r="V39" i="48"/>
  <c r="K38" i="48"/>
  <c r="Z68" i="48" s="1"/>
  <c r="J38" i="48"/>
  <c r="Y68" i="48" s="1"/>
  <c r="V37" i="48"/>
  <c r="V33" i="48"/>
  <c r="V29" i="48"/>
  <c r="V28" i="48"/>
  <c r="J28" i="48"/>
  <c r="V27" i="48"/>
  <c r="K27" i="48"/>
  <c r="I27" i="48"/>
  <c r="AA37" i="48" s="1"/>
  <c r="V26" i="48"/>
  <c r="V24" i="48"/>
  <c r="V23" i="48"/>
  <c r="V22" i="48"/>
  <c r="V21" i="48"/>
  <c r="V19" i="48"/>
  <c r="V18" i="48"/>
  <c r="V17" i="48"/>
  <c r="V16" i="48"/>
  <c r="V14" i="48"/>
  <c r="V13" i="48"/>
  <c r="V12" i="48"/>
  <c r="V11" i="48"/>
  <c r="F10" i="48"/>
  <c r="F11" i="48" s="1"/>
  <c r="F12" i="48" s="1"/>
  <c r="F13" i="48" s="1"/>
  <c r="F14" i="48" s="1"/>
  <c r="F15" i="48" s="1"/>
  <c r="F16" i="48" s="1"/>
  <c r="F17" i="48" s="1"/>
  <c r="F18" i="48" s="1"/>
  <c r="F19" i="48" s="1"/>
  <c r="F20" i="48" s="1"/>
  <c r="F21" i="48" s="1"/>
  <c r="F22" i="48" s="1"/>
  <c r="F23" i="48" s="1"/>
  <c r="F24" i="48" s="1"/>
  <c r="F25" i="48" s="1"/>
  <c r="F26" i="48" s="1"/>
  <c r="F27" i="48" s="1"/>
  <c r="F28" i="48" s="1"/>
  <c r="F29" i="48" s="1"/>
  <c r="F30" i="48" s="1"/>
  <c r="F31" i="48" s="1"/>
  <c r="F32" i="48" s="1"/>
  <c r="F33" i="48" s="1"/>
  <c r="F34" i="48" s="1"/>
  <c r="F35" i="48" s="1"/>
  <c r="F36" i="48" s="1"/>
  <c r="F37" i="48" s="1"/>
  <c r="F38" i="48" s="1"/>
  <c r="F39" i="48" s="1"/>
  <c r="F40" i="48" s="1"/>
  <c r="F41" i="48" s="1"/>
  <c r="F42" i="48" s="1"/>
  <c r="F43" i="48" s="1"/>
  <c r="F44" i="48" s="1"/>
  <c r="F45" i="48" s="1"/>
  <c r="F46" i="48" s="1"/>
  <c r="F47" i="48" s="1"/>
  <c r="F48" i="48" s="1"/>
  <c r="F49" i="48" s="1"/>
  <c r="V9" i="48"/>
  <c r="V8" i="48"/>
  <c r="F8" i="48"/>
  <c r="F9" i="48" s="1"/>
  <c r="V7" i="48"/>
  <c r="V6" i="48"/>
  <c r="AA12" i="49" l="1"/>
  <c r="AA17" i="49"/>
  <c r="AA19" i="51"/>
  <c r="AA33" i="51"/>
  <c r="AA16" i="51"/>
  <c r="AA6" i="51"/>
  <c r="AA24" i="51"/>
  <c r="AA26" i="51"/>
  <c r="L27" i="50"/>
  <c r="AA9" i="50"/>
  <c r="AA11" i="50"/>
  <c r="AA18" i="50"/>
  <c r="AA23" i="50"/>
  <c r="AA21" i="50"/>
  <c r="AA7" i="50"/>
  <c r="AA12" i="50"/>
  <c r="AA16" i="50"/>
  <c r="AA24" i="50"/>
  <c r="AA33" i="50"/>
  <c r="AA8" i="50"/>
  <c r="AA19" i="50"/>
  <c r="AA6" i="50"/>
  <c r="AA26" i="50"/>
  <c r="AA8" i="49"/>
  <c r="AA13" i="49"/>
  <c r="AA18" i="49"/>
  <c r="AA24" i="49"/>
  <c r="AA6" i="49"/>
  <c r="AA9" i="49"/>
  <c r="AA14" i="49"/>
  <c r="AA19" i="49"/>
  <c r="AA26" i="49"/>
  <c r="AA16" i="49"/>
  <c r="AA21" i="49"/>
  <c r="L27" i="49"/>
  <c r="AA33" i="49"/>
  <c r="AA11" i="49"/>
  <c r="AA7" i="49"/>
  <c r="AA19" i="48"/>
  <c r="AA16" i="48"/>
  <c r="AA26" i="48"/>
  <c r="AA24" i="48"/>
  <c r="AA6" i="48"/>
  <c r="AA33" i="48"/>
  <c r="J19" i="51"/>
  <c r="U6" i="51"/>
  <c r="W6" i="51" s="1"/>
  <c r="X6" i="51" s="1"/>
  <c r="S9" i="51"/>
  <c r="AA9" i="51"/>
  <c r="AA21" i="51"/>
  <c r="J47" i="51"/>
  <c r="I26" i="51"/>
  <c r="J27" i="51"/>
  <c r="M27" i="51" s="1"/>
  <c r="K11" i="51" s="1"/>
  <c r="AA36" i="51"/>
  <c r="AA38" i="51"/>
  <c r="S8" i="51"/>
  <c r="AA8" i="51"/>
  <c r="AA14" i="51"/>
  <c r="AA17" i="51"/>
  <c r="AA22" i="51"/>
  <c r="AA32" i="51"/>
  <c r="AA34" i="51"/>
  <c r="AA12" i="51"/>
  <c r="L27" i="51"/>
  <c r="AA28" i="51"/>
  <c r="AA39" i="51"/>
  <c r="S7" i="51"/>
  <c r="AA7" i="51"/>
  <c r="AA18" i="51"/>
  <c r="AA23" i="51"/>
  <c r="V38" i="51"/>
  <c r="AA31" i="51"/>
  <c r="AA11" i="51"/>
  <c r="AA13" i="51"/>
  <c r="AA27" i="51"/>
  <c r="AA29" i="51"/>
  <c r="J47" i="50"/>
  <c r="AA31" i="50"/>
  <c r="I26" i="50"/>
  <c r="J27" i="50"/>
  <c r="M27" i="50" s="1"/>
  <c r="K11" i="50" s="1"/>
  <c r="V33" i="50"/>
  <c r="AA36" i="50"/>
  <c r="AA38" i="50"/>
  <c r="AA14" i="50"/>
  <c r="AA17" i="50"/>
  <c r="AA22" i="50"/>
  <c r="AA32" i="50"/>
  <c r="AA34" i="50"/>
  <c r="AA28" i="50"/>
  <c r="V31" i="50"/>
  <c r="AA39" i="50"/>
  <c r="AA13" i="50"/>
  <c r="AA27" i="50"/>
  <c r="AA29" i="50"/>
  <c r="V32" i="50"/>
  <c r="S6" i="49"/>
  <c r="T6" i="49" s="1"/>
  <c r="U6" i="49" s="1"/>
  <c r="W6" i="49" s="1"/>
  <c r="X6" i="49" s="1"/>
  <c r="J19" i="49"/>
  <c r="S9" i="49"/>
  <c r="J47" i="49"/>
  <c r="AA31" i="49"/>
  <c r="K38" i="49"/>
  <c r="Z68" i="49" s="1"/>
  <c r="I26" i="49"/>
  <c r="J27" i="49"/>
  <c r="M27" i="49" s="1"/>
  <c r="K11" i="49" s="1"/>
  <c r="AA36" i="49"/>
  <c r="AA38" i="49"/>
  <c r="S8" i="49"/>
  <c r="AA22" i="49"/>
  <c r="AA32" i="49"/>
  <c r="AA34" i="49"/>
  <c r="AA28" i="49"/>
  <c r="AA39" i="49"/>
  <c r="S7" i="49"/>
  <c r="AA23" i="49"/>
  <c r="AA27" i="49"/>
  <c r="AA29" i="49"/>
  <c r="AA9" i="48"/>
  <c r="AA21" i="48"/>
  <c r="J47" i="48"/>
  <c r="I26" i="48"/>
  <c r="J27" i="48"/>
  <c r="M27" i="48" s="1"/>
  <c r="K11" i="48" s="1"/>
  <c r="AA36" i="48"/>
  <c r="AA38" i="48"/>
  <c r="AA8" i="48"/>
  <c r="AA14" i="48"/>
  <c r="AA17" i="48"/>
  <c r="AA22" i="48"/>
  <c r="AA32" i="48"/>
  <c r="AA34" i="48"/>
  <c r="AA12" i="48"/>
  <c r="L27" i="48"/>
  <c r="AA28" i="48"/>
  <c r="V31" i="48"/>
  <c r="AA39" i="48"/>
  <c r="AA7" i="48"/>
  <c r="AA18" i="48"/>
  <c r="AA23" i="48"/>
  <c r="V36" i="48"/>
  <c r="V38" i="48"/>
  <c r="AA31" i="48"/>
  <c r="AA11" i="48"/>
  <c r="AA13" i="48"/>
  <c r="AA27" i="48"/>
  <c r="AA29" i="48"/>
  <c r="V32" i="48"/>
  <c r="M11" i="51" l="1"/>
  <c r="I11" i="51"/>
  <c r="J26" i="51"/>
  <c r="I28" i="51"/>
  <c r="T7" i="51"/>
  <c r="U7" i="51" s="1"/>
  <c r="W7" i="51" s="1"/>
  <c r="X7" i="51" s="1"/>
  <c r="Y7" i="51" s="1"/>
  <c r="Z7" i="51" s="1"/>
  <c r="AB7" i="51" s="1"/>
  <c r="AC7" i="51" s="1"/>
  <c r="AD7" i="51" s="1"/>
  <c r="Y6" i="51"/>
  <c r="Z6" i="51" s="1"/>
  <c r="AB6" i="51" s="1"/>
  <c r="AC6" i="51" s="1"/>
  <c r="AD6" i="51" s="1"/>
  <c r="T8" i="51"/>
  <c r="U8" i="51" s="1"/>
  <c r="W8" i="51" s="1"/>
  <c r="X8" i="51" s="1"/>
  <c r="Y8" i="51" s="1"/>
  <c r="Z8" i="51" s="1"/>
  <c r="AB8" i="51" s="1"/>
  <c r="AC8" i="51" s="1"/>
  <c r="AD8" i="51" s="1"/>
  <c r="T9" i="51"/>
  <c r="U9" i="51" s="1"/>
  <c r="W9" i="51" s="1"/>
  <c r="X9" i="51" s="1"/>
  <c r="Y9" i="51" s="1"/>
  <c r="Z9" i="51" s="1"/>
  <c r="AB9" i="51" s="1"/>
  <c r="AC9" i="51" s="1"/>
  <c r="AD9" i="51" s="1"/>
  <c r="M11" i="50"/>
  <c r="I11" i="50"/>
  <c r="J26" i="50"/>
  <c r="I28" i="50"/>
  <c r="T9" i="49"/>
  <c r="U9" i="49" s="1"/>
  <c r="W9" i="49" s="1"/>
  <c r="X9" i="49" s="1"/>
  <c r="Y9" i="49" s="1"/>
  <c r="Z9" i="49" s="1"/>
  <c r="AB9" i="49" s="1"/>
  <c r="AC9" i="49" s="1"/>
  <c r="AD9" i="49" s="1"/>
  <c r="T8" i="49"/>
  <c r="U8" i="49" s="1"/>
  <c r="W8" i="49" s="1"/>
  <c r="X8" i="49" s="1"/>
  <c r="Y8" i="49" s="1"/>
  <c r="Z8" i="49" s="1"/>
  <c r="AB8" i="49" s="1"/>
  <c r="AC8" i="49" s="1"/>
  <c r="AD8" i="49" s="1"/>
  <c r="T7" i="49"/>
  <c r="U7" i="49" s="1"/>
  <c r="W7" i="49" s="1"/>
  <c r="X7" i="49" s="1"/>
  <c r="Y7" i="49" s="1"/>
  <c r="Z7" i="49" s="1"/>
  <c r="AB7" i="49" s="1"/>
  <c r="AC7" i="49" s="1"/>
  <c r="AD7" i="49" s="1"/>
  <c r="M11" i="49"/>
  <c r="I11" i="49"/>
  <c r="Y6" i="49"/>
  <c r="Z6" i="49" s="1"/>
  <c r="AB6" i="49" s="1"/>
  <c r="AC6" i="49" s="1"/>
  <c r="AD6" i="49" s="1"/>
  <c r="J26" i="49"/>
  <c r="I28" i="49"/>
  <c r="M11" i="48"/>
  <c r="I11" i="48"/>
  <c r="J26" i="48"/>
  <c r="I28" i="48"/>
  <c r="N108" i="15" l="1"/>
  <c r="I27" i="26" s="1"/>
  <c r="M108" i="15"/>
  <c r="H27" i="26" s="1"/>
  <c r="L108" i="15"/>
  <c r="G27" i="26" s="1"/>
  <c r="K108" i="15"/>
  <c r="F27" i="26" s="1"/>
  <c r="J108" i="15"/>
  <c r="E27" i="26" s="1"/>
  <c r="I108" i="15"/>
  <c r="D27" i="26" s="1"/>
  <c r="M104" i="15"/>
  <c r="I104" i="15"/>
  <c r="I94" i="15"/>
  <c r="H94" i="15"/>
  <c r="N104" i="15" l="1"/>
  <c r="K104" i="15"/>
  <c r="H104" i="15"/>
  <c r="J104" i="15"/>
  <c r="I86" i="15"/>
  <c r="I85" i="15"/>
  <c r="I87" i="15" s="1"/>
  <c r="H87" i="15"/>
  <c r="H86" i="15"/>
  <c r="H85" i="15"/>
  <c r="H81" i="15"/>
  <c r="I81" i="15"/>
  <c r="H75" i="15"/>
  <c r="I75" i="15"/>
  <c r="I68" i="15"/>
  <c r="H68" i="15"/>
  <c r="H69" i="15" s="1"/>
  <c r="H67" i="15"/>
  <c r="I67" i="15"/>
  <c r="I69" i="15" s="1"/>
  <c r="H50" i="15"/>
  <c r="I50" i="15"/>
  <c r="I41" i="15"/>
  <c r="H41" i="15"/>
  <c r="I40" i="15"/>
  <c r="I42" i="15" s="1"/>
  <c r="H40" i="15"/>
  <c r="H42" i="15" s="1"/>
  <c r="I93" i="15"/>
  <c r="H93" i="15"/>
  <c r="E8" i="47"/>
  <c r="G11" i="47"/>
  <c r="E7" i="47"/>
  <c r="E6" i="47"/>
  <c r="B21" i="46"/>
  <c r="B19" i="46"/>
  <c r="E11" i="47" l="1"/>
  <c r="H11" i="47" s="1"/>
  <c r="N21" i="10"/>
  <c r="N14" i="10"/>
  <c r="N13" i="10"/>
  <c r="O13" i="10"/>
  <c r="N11" i="10"/>
  <c r="N9" i="10"/>
  <c r="N8" i="10"/>
  <c r="N7" i="10"/>
  <c r="O63" i="10"/>
  <c r="O61" i="10"/>
  <c r="O60" i="10"/>
  <c r="O59" i="10"/>
  <c r="O58" i="10"/>
  <c r="O57" i="10"/>
  <c r="O56"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0" i="10"/>
  <c r="O19" i="10"/>
  <c r="O18" i="10"/>
  <c r="O17" i="10"/>
  <c r="O16" i="10"/>
  <c r="O15" i="10"/>
  <c r="O14" i="10"/>
  <c r="O12" i="10"/>
  <c r="O11" i="10"/>
  <c r="O10" i="10"/>
  <c r="O9" i="10"/>
  <c r="O8" i="10"/>
  <c r="O7" i="10"/>
  <c r="G20" i="10"/>
  <c r="H48" i="9"/>
  <c r="I48" i="9" s="1"/>
  <c r="K48" i="9" s="1"/>
  <c r="G40" i="26"/>
  <c r="H40" i="26"/>
  <c r="H32" i="9" s="1"/>
  <c r="F40" i="26"/>
  <c r="H24" i="26"/>
  <c r="G24" i="26"/>
  <c r="F24" i="26"/>
  <c r="E24" i="26"/>
  <c r="D24" i="26"/>
  <c r="G9" i="45"/>
  <c r="E9" i="45"/>
  <c r="D9" i="45"/>
  <c r="C9" i="45"/>
  <c r="B9" i="45"/>
  <c r="H54" i="9"/>
  <c r="H41" i="9"/>
  <c r="H37" i="9"/>
  <c r="H31" i="9"/>
  <c r="H30" i="9"/>
  <c r="I38" i="26"/>
  <c r="I91" i="30"/>
  <c r="Q28" i="30"/>
  <c r="T158" i="30"/>
  <c r="T157" i="30"/>
  <c r="T156" i="30"/>
  <c r="T155" i="30"/>
  <c r="T154" i="30"/>
  <c r="T153" i="30"/>
  <c r="T152" i="30"/>
  <c r="T151" i="30"/>
  <c r="T150" i="30"/>
  <c r="T149" i="30"/>
  <c r="T148" i="30"/>
  <c r="T147" i="30"/>
  <c r="T146" i="30"/>
  <c r="T145" i="30"/>
  <c r="T144" i="30"/>
  <c r="T143" i="30"/>
  <c r="T142" i="30"/>
  <c r="T141" i="30"/>
  <c r="T140" i="30"/>
  <c r="T139" i="30"/>
  <c r="T138" i="30"/>
  <c r="T137" i="30"/>
  <c r="T136" i="30"/>
  <c r="T135" i="30"/>
  <c r="T134" i="30"/>
  <c r="T133" i="30"/>
  <c r="T132" i="30"/>
  <c r="T131" i="30"/>
  <c r="T130" i="30"/>
  <c r="T129" i="30"/>
  <c r="T128" i="30"/>
  <c r="T127" i="30"/>
  <c r="T126" i="30"/>
  <c r="T125" i="30"/>
  <c r="T124" i="30"/>
  <c r="T123" i="30"/>
  <c r="T122" i="30"/>
  <c r="T121" i="30"/>
  <c r="T120" i="30"/>
  <c r="T119" i="30"/>
  <c r="T118" i="30"/>
  <c r="T117" i="30"/>
  <c r="T116" i="30"/>
  <c r="T115" i="30"/>
  <c r="T114" i="30"/>
  <c r="T113" i="30"/>
  <c r="T112" i="30"/>
  <c r="T111" i="30"/>
  <c r="T110" i="30"/>
  <c r="T109" i="30"/>
  <c r="T108" i="30"/>
  <c r="T107" i="30"/>
  <c r="T106" i="30"/>
  <c r="T105" i="30"/>
  <c r="T104" i="30"/>
  <c r="T103" i="30"/>
  <c r="T102" i="30"/>
  <c r="T101" i="30"/>
  <c r="T100" i="30"/>
  <c r="T99" i="30"/>
  <c r="T98" i="30"/>
  <c r="T97" i="30"/>
  <c r="T96" i="30"/>
  <c r="T95" i="30"/>
  <c r="T94" i="30"/>
  <c r="T93"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7" i="30"/>
  <c r="T56" i="30"/>
  <c r="T55" i="30"/>
  <c r="T54" i="30"/>
  <c r="T53" i="30"/>
  <c r="T52" i="30"/>
  <c r="T51" i="30"/>
  <c r="T50" i="30"/>
  <c r="T49" i="30"/>
  <c r="T48" i="30"/>
  <c r="T47" i="30"/>
  <c r="T46" i="30"/>
  <c r="T45" i="30"/>
  <c r="T44" i="30"/>
  <c r="T43" i="30"/>
  <c r="T42" i="30"/>
  <c r="T41" i="30"/>
  <c r="T40" i="30"/>
  <c r="T39" i="30"/>
  <c r="T38" i="30"/>
  <c r="T37" i="30"/>
  <c r="T36"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T9" i="30"/>
  <c r="T8" i="30"/>
  <c r="T7" i="30"/>
  <c r="T6" i="30"/>
  <c r="N55" i="26"/>
  <c r="H55" i="26"/>
  <c r="G55" i="26"/>
  <c r="F55" i="26"/>
  <c r="E55" i="26"/>
  <c r="D55" i="26"/>
  <c r="C47" i="9"/>
  <c r="C48" i="9"/>
  <c r="F48" i="9" s="1"/>
  <c r="B55" i="26" s="1"/>
  <c r="A60" i="26"/>
  <c r="E52" i="9"/>
  <c r="D39" i="26"/>
  <c r="F38" i="26"/>
  <c r="H38" i="26"/>
  <c r="E38" i="26"/>
  <c r="E63" i="9"/>
  <c r="E61" i="9"/>
  <c r="E60" i="9"/>
  <c r="E59" i="9"/>
  <c r="E58" i="9"/>
  <c r="E57" i="9"/>
  <c r="E56" i="9"/>
  <c r="E55" i="9"/>
  <c r="E54" i="9"/>
  <c r="E53" i="9"/>
  <c r="E51" i="9"/>
  <c r="E50" i="9"/>
  <c r="E49" i="9"/>
  <c r="E48" i="9"/>
  <c r="E47" i="9"/>
  <c r="E46" i="9"/>
  <c r="E45" i="9"/>
  <c r="E44" i="9"/>
  <c r="E40" i="9"/>
  <c r="E39" i="9"/>
  <c r="E38" i="9"/>
  <c r="E37" i="9"/>
  <c r="E36" i="9"/>
  <c r="E35" i="9"/>
  <c r="E34" i="9"/>
  <c r="E33" i="9"/>
  <c r="E32" i="9"/>
  <c r="E31" i="9"/>
  <c r="E30" i="9"/>
  <c r="E29" i="9"/>
  <c r="E28" i="9"/>
  <c r="E26" i="9"/>
  <c r="E25" i="9"/>
  <c r="E24" i="9"/>
  <c r="E20" i="9"/>
  <c r="E19" i="9"/>
  <c r="E18" i="9"/>
  <c r="E17" i="9"/>
  <c r="E16" i="9"/>
  <c r="E15" i="9"/>
  <c r="E14" i="9"/>
  <c r="E13" i="9"/>
  <c r="E12" i="9"/>
  <c r="E10" i="9"/>
  <c r="E9" i="9"/>
  <c r="E8" i="9"/>
  <c r="E7" i="9"/>
  <c r="K65" i="12"/>
  <c r="J65" i="12"/>
  <c r="I65" i="12"/>
  <c r="H65" i="12"/>
  <c r="G65" i="12"/>
  <c r="E65" i="12"/>
  <c r="D65" i="12"/>
  <c r="C65" i="12"/>
  <c r="L73" i="12"/>
  <c r="L72" i="12"/>
  <c r="L71" i="12"/>
  <c r="L70" i="12"/>
  <c r="L69" i="12"/>
  <c r="L68" i="12"/>
  <c r="L63" i="12"/>
  <c r="L61" i="12"/>
  <c r="L60" i="12"/>
  <c r="L59" i="12"/>
  <c r="L58" i="12"/>
  <c r="L57" i="12"/>
  <c r="L56" i="12"/>
  <c r="L55" i="12"/>
  <c r="L54" i="12"/>
  <c r="L53" i="12"/>
  <c r="L52" i="12"/>
  <c r="L51" i="12"/>
  <c r="L50" i="12"/>
  <c r="L49" i="12"/>
  <c r="L48" i="12"/>
  <c r="L47" i="12"/>
  <c r="L46" i="12"/>
  <c r="L45" i="12"/>
  <c r="L44" i="12"/>
  <c r="L41" i="12"/>
  <c r="L40" i="12"/>
  <c r="L39" i="12"/>
  <c r="L38" i="12"/>
  <c r="L37" i="12"/>
  <c r="L36" i="12"/>
  <c r="L35" i="12"/>
  <c r="L34" i="12"/>
  <c r="L33" i="12"/>
  <c r="L32" i="12"/>
  <c r="L31" i="12"/>
  <c r="L30" i="12"/>
  <c r="L29" i="12"/>
  <c r="L28" i="12"/>
  <c r="L26" i="12"/>
  <c r="L25" i="12"/>
  <c r="L24" i="12"/>
  <c r="L23" i="12"/>
  <c r="E23" i="9" s="1"/>
  <c r="L20" i="12"/>
  <c r="L19" i="12"/>
  <c r="L18" i="12"/>
  <c r="L17" i="12"/>
  <c r="L16" i="12"/>
  <c r="L15" i="12"/>
  <c r="L14" i="12"/>
  <c r="L13" i="12"/>
  <c r="L12" i="12"/>
  <c r="L11" i="12"/>
  <c r="E11" i="9" s="1"/>
  <c r="L10" i="12"/>
  <c r="L9" i="12"/>
  <c r="L8" i="12"/>
  <c r="L7" i="12"/>
  <c r="E48" i="12"/>
  <c r="F64" i="12" s="1"/>
  <c r="F65" i="12" s="1"/>
  <c r="G23" i="13"/>
  <c r="D50" i="12"/>
  <c r="D64" i="12" s="1"/>
  <c r="D41" i="12"/>
  <c r="C33" i="12"/>
  <c r="K64" i="12"/>
  <c r="J64" i="12"/>
  <c r="I64" i="12"/>
  <c r="H64" i="12"/>
  <c r="G64" i="12"/>
  <c r="E64" i="12"/>
  <c r="C64" i="12"/>
  <c r="M28" i="10"/>
  <c r="G63" i="11"/>
  <c r="K5" i="44" l="1"/>
  <c r="K6" i="44"/>
  <c r="K7" i="44"/>
  <c r="A8" i="44"/>
  <c r="A10" i="44" s="1"/>
  <c r="A13" i="44" s="1"/>
  <c r="K8" i="44"/>
  <c r="K9" i="44"/>
  <c r="K10" i="44"/>
  <c r="K11" i="44"/>
  <c r="K12" i="44"/>
  <c r="K13" i="44"/>
  <c r="K14" i="44"/>
  <c r="L13" i="44" s="1"/>
  <c r="K15" i="44"/>
  <c r="K16" i="44"/>
  <c r="K17" i="44"/>
  <c r="K18" i="44"/>
  <c r="K19" i="44"/>
  <c r="K20" i="44"/>
  <c r="D21" i="44"/>
  <c r="D175" i="44" s="1"/>
  <c r="D177" i="44" s="1"/>
  <c r="E21" i="44"/>
  <c r="F21" i="44"/>
  <c r="K21" i="44" s="1"/>
  <c r="G21" i="44"/>
  <c r="H21" i="44"/>
  <c r="I21" i="44"/>
  <c r="K22" i="44"/>
  <c r="K23" i="44"/>
  <c r="K24" i="44"/>
  <c r="K25" i="44"/>
  <c r="K26" i="44"/>
  <c r="K27" i="44"/>
  <c r="K28" i="44"/>
  <c r="K29" i="44"/>
  <c r="K30" i="44"/>
  <c r="K31" i="44"/>
  <c r="K32" i="44"/>
  <c r="K33" i="44"/>
  <c r="K34" i="44"/>
  <c r="K35" i="44"/>
  <c r="K36" i="44"/>
  <c r="K37" i="44"/>
  <c r="K38" i="44"/>
  <c r="K39" i="44"/>
  <c r="K40" i="44"/>
  <c r="K41" i="44"/>
  <c r="L41" i="44" s="1"/>
  <c r="K42" i="44"/>
  <c r="D43" i="44"/>
  <c r="E43" i="44"/>
  <c r="F43" i="44"/>
  <c r="G43" i="44"/>
  <c r="H43" i="44"/>
  <c r="I43" i="44"/>
  <c r="K44" i="44"/>
  <c r="K45" i="44"/>
  <c r="K46" i="44"/>
  <c r="L46" i="44" s="1"/>
  <c r="K47" i="44"/>
  <c r="K48" i="44"/>
  <c r="K49" i="44"/>
  <c r="K50" i="44"/>
  <c r="K51" i="44"/>
  <c r="K52" i="44"/>
  <c r="K53" i="44"/>
  <c r="L53" i="44" s="1"/>
  <c r="K54" i="44"/>
  <c r="K55" i="44"/>
  <c r="K56" i="44"/>
  <c r="L55" i="44" s="1"/>
  <c r="K57" i="44"/>
  <c r="K58" i="44"/>
  <c r="L58" i="44"/>
  <c r="K59" i="44"/>
  <c r="K60" i="44"/>
  <c r="K61" i="44"/>
  <c r="K62" i="44"/>
  <c r="K63" i="44"/>
  <c r="K64" i="44"/>
  <c r="K65" i="44"/>
  <c r="L64" i="44" s="1"/>
  <c r="K66" i="44"/>
  <c r="K67" i="44"/>
  <c r="K68" i="44"/>
  <c r="K69" i="44"/>
  <c r="L68" i="44" s="1"/>
  <c r="K70" i="44"/>
  <c r="K71" i="44"/>
  <c r="L70" i="44" s="1"/>
  <c r="K72" i="44"/>
  <c r="K73" i="44"/>
  <c r="K74" i="44"/>
  <c r="L73" i="44" s="1"/>
  <c r="K75" i="44"/>
  <c r="K76" i="44"/>
  <c r="K77" i="44"/>
  <c r="L76" i="44" s="1"/>
  <c r="K78" i="44"/>
  <c r="K79" i="44"/>
  <c r="K80" i="44"/>
  <c r="K81" i="44"/>
  <c r="K82" i="44"/>
  <c r="K83" i="44"/>
  <c r="K84" i="44"/>
  <c r="K85" i="44"/>
  <c r="K86" i="44"/>
  <c r="K87" i="44"/>
  <c r="L86" i="44" s="1"/>
  <c r="K88" i="44"/>
  <c r="L88" i="44"/>
  <c r="K89" i="44"/>
  <c r="K90" i="44"/>
  <c r="K91" i="44"/>
  <c r="K92" i="44"/>
  <c r="K93" i="44"/>
  <c r="L92" i="44" s="1"/>
  <c r="K94" i="44"/>
  <c r="K95" i="44"/>
  <c r="D96" i="44"/>
  <c r="E96" i="44"/>
  <c r="F96" i="44"/>
  <c r="G96" i="44"/>
  <c r="G115" i="44" s="1"/>
  <c r="H96" i="44"/>
  <c r="I96" i="44"/>
  <c r="I175" i="44" s="1"/>
  <c r="K97" i="44"/>
  <c r="K98" i="44"/>
  <c r="K99" i="44"/>
  <c r="K100" i="44"/>
  <c r="K101" i="44"/>
  <c r="K102" i="44"/>
  <c r="K103" i="44"/>
  <c r="K104" i="44"/>
  <c r="K105" i="44"/>
  <c r="K106" i="44"/>
  <c r="L105" i="44" s="1"/>
  <c r="K107" i="44"/>
  <c r="K108" i="44"/>
  <c r="K109" i="44"/>
  <c r="K110" i="44"/>
  <c r="K111" i="44"/>
  <c r="K112" i="44"/>
  <c r="K113" i="44"/>
  <c r="K114" i="44"/>
  <c r="B115" i="44"/>
  <c r="J115" i="44"/>
  <c r="M115" i="44"/>
  <c r="J121" i="44"/>
  <c r="K121" i="44"/>
  <c r="M127" i="44"/>
  <c r="K133" i="44"/>
  <c r="K134" i="44"/>
  <c r="K135" i="44"/>
  <c r="K136" i="44"/>
  <c r="K137" i="44"/>
  <c r="K138" i="44"/>
  <c r="K139" i="44"/>
  <c r="K140" i="44"/>
  <c r="K141" i="44"/>
  <c r="K142" i="44"/>
  <c r="K143" i="44"/>
  <c r="K144" i="44"/>
  <c r="L142" i="44" s="1"/>
  <c r="K145" i="44"/>
  <c r="K146" i="44"/>
  <c r="K147" i="44"/>
  <c r="K148" i="44"/>
  <c r="K149" i="44"/>
  <c r="K150" i="44"/>
  <c r="K151" i="44"/>
  <c r="K152" i="44"/>
  <c r="L151" i="44" s="1"/>
  <c r="K153" i="44"/>
  <c r="K154" i="44"/>
  <c r="K155" i="44"/>
  <c r="K156" i="44"/>
  <c r="K157" i="44"/>
  <c r="K158" i="44"/>
  <c r="K159" i="44"/>
  <c r="K160" i="44"/>
  <c r="K161" i="44"/>
  <c r="K162" i="44"/>
  <c r="L160" i="44" s="1"/>
  <c r="K163" i="44"/>
  <c r="M163" i="44" s="1"/>
  <c r="M171" i="44" s="1"/>
  <c r="K164" i="44"/>
  <c r="K165" i="44"/>
  <c r="K166" i="44"/>
  <c r="K167" i="44"/>
  <c r="D168" i="44"/>
  <c r="E168" i="44"/>
  <c r="F168" i="44"/>
  <c r="G168" i="44"/>
  <c r="H168" i="44"/>
  <c r="I168" i="44"/>
  <c r="K169" i="44"/>
  <c r="K170" i="44"/>
  <c r="M170" i="44" s="1"/>
  <c r="B171" i="44"/>
  <c r="D171" i="44"/>
  <c r="D176" i="44" s="1"/>
  <c r="F171" i="44"/>
  <c r="F176" i="44" s="1"/>
  <c r="G171" i="44"/>
  <c r="G176" i="44" s="1"/>
  <c r="H171" i="44"/>
  <c r="I171" i="44"/>
  <c r="I176" i="44" s="1"/>
  <c r="J171" i="44"/>
  <c r="B175" i="44"/>
  <c r="G175" i="44"/>
  <c r="J175" i="44"/>
  <c r="J177" i="44" s="1"/>
  <c r="B176" i="44"/>
  <c r="B177" i="44" s="1"/>
  <c r="H176" i="44"/>
  <c r="J176" i="44"/>
  <c r="E177" i="44"/>
  <c r="E183" i="44"/>
  <c r="F184" i="44"/>
  <c r="K184" i="44" s="1"/>
  <c r="E184" i="44" s="1"/>
  <c r="F185" i="44"/>
  <c r="F186" i="44" s="1"/>
  <c r="G185" i="44"/>
  <c r="I185" i="44"/>
  <c r="I186" i="44" s="1"/>
  <c r="D186" i="44"/>
  <c r="G186" i="44"/>
  <c r="H186" i="44"/>
  <c r="J186" i="44"/>
  <c r="K192" i="44"/>
  <c r="L139" i="44" l="1"/>
  <c r="L164" i="44"/>
  <c r="L17" i="44"/>
  <c r="K168" i="44"/>
  <c r="L167" i="44" s="1"/>
  <c r="L157" i="44"/>
  <c r="L148" i="44"/>
  <c r="L112" i="44"/>
  <c r="L98" i="44"/>
  <c r="D115" i="44"/>
  <c r="L35" i="44"/>
  <c r="H175" i="44"/>
  <c r="H177" i="44" s="1"/>
  <c r="L10" i="44"/>
  <c r="L32" i="44"/>
  <c r="L102" i="44"/>
  <c r="L23" i="44"/>
  <c r="L20" i="44"/>
  <c r="L154" i="44"/>
  <c r="L133" i="44"/>
  <c r="L79" i="44"/>
  <c r="L26" i="44"/>
  <c r="L49" i="44"/>
  <c r="L145" i="44"/>
  <c r="K96" i="44"/>
  <c r="L95" i="44" s="1"/>
  <c r="L38" i="44"/>
  <c r="L108" i="44"/>
  <c r="L90" i="44"/>
  <c r="L83" i="44"/>
  <c r="L61" i="44"/>
  <c r="F115" i="44"/>
  <c r="L29" i="44"/>
  <c r="L5" i="44"/>
  <c r="I177" i="44"/>
  <c r="G177" i="44"/>
  <c r="K185" i="44"/>
  <c r="F175" i="44"/>
  <c r="F177" i="44" s="1"/>
  <c r="L8" i="44"/>
  <c r="L136" i="44"/>
  <c r="L171" i="44" s="1"/>
  <c r="H115" i="44"/>
  <c r="I115" i="44"/>
  <c r="K43" i="44"/>
  <c r="G19" i="13"/>
  <c r="D28" i="29"/>
  <c r="R19" i="15"/>
  <c r="E98" i="15"/>
  <c r="T77" i="15"/>
  <c r="AN35" i="14"/>
  <c r="AM35" i="14"/>
  <c r="AK35" i="14"/>
  <c r="AJ35" i="14"/>
  <c r="AF35" i="14"/>
  <c r="AD35" i="14"/>
  <c r="Q35" i="14"/>
  <c r="K35" i="14"/>
  <c r="L35" i="14" s="1"/>
  <c r="M35" i="14" s="1"/>
  <c r="G35" i="14"/>
  <c r="AL35" i="14" s="1"/>
  <c r="K175" i="44" l="1"/>
  <c r="M175" i="44" s="1"/>
  <c r="K171" i="44"/>
  <c r="K176" i="44" s="1"/>
  <c r="E185" i="44"/>
  <c r="K186" i="44"/>
  <c r="K190" i="44" s="1"/>
  <c r="K193" i="44" s="1"/>
  <c r="K194" i="44" s="1"/>
  <c r="K115" i="44"/>
  <c r="L42" i="44"/>
  <c r="L115" i="44" s="1"/>
  <c r="Z35" i="14"/>
  <c r="T35" i="14"/>
  <c r="AE35" i="14" s="1"/>
  <c r="R35" i="14"/>
  <c r="AC35" i="14" s="1"/>
  <c r="N35" i="14"/>
  <c r="AH35" i="14" s="1"/>
  <c r="AI35" i="14" s="1"/>
  <c r="O35" i="14" s="1"/>
  <c r="P35" i="14" s="1"/>
  <c r="AA35" i="14" s="1"/>
  <c r="K177" i="44" l="1"/>
  <c r="D123" i="44"/>
  <c r="I123" i="44"/>
  <c r="E123" i="44"/>
  <c r="E192" i="44" s="1"/>
  <c r="F123" i="44"/>
  <c r="G123" i="44"/>
  <c r="H123" i="44"/>
  <c r="K123" i="44" s="1"/>
  <c r="B123" i="44"/>
  <c r="C123" i="44"/>
  <c r="K117" i="44"/>
  <c r="L118" i="44" s="1"/>
  <c r="AB35" i="14"/>
  <c r="R64" i="15" l="1"/>
  <c r="R54" i="15"/>
  <c r="R53" i="15"/>
  <c r="S92" i="15"/>
  <c r="S91" i="15"/>
  <c r="S90" i="15"/>
  <c r="T83" i="15"/>
  <c r="R83" i="15" s="1"/>
  <c r="R85" i="15" s="1"/>
  <c r="G106" i="15" s="1"/>
  <c r="G108" i="15" s="1"/>
  <c r="T80" i="15"/>
  <c r="T79" i="15"/>
  <c r="T78" i="15"/>
  <c r="T74" i="15"/>
  <c r="T73" i="15"/>
  <c r="T72" i="15"/>
  <c r="T66" i="15"/>
  <c r="T64" i="15"/>
  <c r="T63" i="15"/>
  <c r="T62" i="15"/>
  <c r="T60" i="15"/>
  <c r="T56" i="15"/>
  <c r="T55" i="15"/>
  <c r="T54" i="15"/>
  <c r="T53" i="15"/>
  <c r="S49" i="15"/>
  <c r="S48" i="15"/>
  <c r="S47" i="15"/>
  <c r="S46" i="15"/>
  <c r="S45" i="15"/>
  <c r="R45" i="15" s="1"/>
  <c r="S39" i="15"/>
  <c r="S38" i="15"/>
  <c r="S37" i="15"/>
  <c r="S36" i="15"/>
  <c r="S35" i="15"/>
  <c r="S33" i="15"/>
  <c r="S32" i="15"/>
  <c r="S31" i="15"/>
  <c r="S30" i="15"/>
  <c r="S29" i="15"/>
  <c r="R29" i="15" s="1"/>
  <c r="S28" i="15"/>
  <c r="S27" i="15"/>
  <c r="S26" i="15"/>
  <c r="G32" i="40"/>
  <c r="A51" i="11"/>
  <c r="E21" i="9"/>
  <c r="E68" i="9"/>
  <c r="E69" i="9"/>
  <c r="E70" i="9"/>
  <c r="E71" i="9"/>
  <c r="E72" i="9"/>
  <c r="H44" i="10"/>
  <c r="H70" i="10"/>
  <c r="A47" i="11"/>
  <c r="A45" i="12"/>
  <c r="A45" i="10"/>
  <c r="E73" i="9" l="1"/>
  <c r="D20" i="9"/>
  <c r="O72" i="10"/>
  <c r="M64" i="10"/>
  <c r="H64" i="10"/>
  <c r="B64" i="10"/>
  <c r="F21" i="10"/>
  <c r="D17" i="9" l="1"/>
  <c r="D16" i="9"/>
  <c r="D15" i="9"/>
  <c r="D12" i="9"/>
  <c r="M21" i="10"/>
  <c r="M65" i="10" s="1"/>
  <c r="L21" i="10"/>
  <c r="K21" i="10"/>
  <c r="J21" i="10"/>
  <c r="I21" i="10"/>
  <c r="H21" i="10"/>
  <c r="H65" i="10" s="1"/>
  <c r="E21" i="10"/>
  <c r="D21" i="10"/>
  <c r="C21" i="10"/>
  <c r="O71" i="10"/>
  <c r="D71" i="9" s="1"/>
  <c r="O70" i="10"/>
  <c r="D70" i="9" s="1"/>
  <c r="O69" i="10"/>
  <c r="D69" i="9" s="1"/>
  <c r="O68" i="10"/>
  <c r="D63" i="9"/>
  <c r="D61" i="9"/>
  <c r="D60" i="9"/>
  <c r="D59" i="9"/>
  <c r="D58" i="9"/>
  <c r="D53" i="9"/>
  <c r="D52" i="9"/>
  <c r="D51" i="9"/>
  <c r="D50" i="9"/>
  <c r="D49" i="9"/>
  <c r="D47" i="9"/>
  <c r="D44" i="9"/>
  <c r="D43" i="9"/>
  <c r="D42" i="9"/>
  <c r="D41" i="9"/>
  <c r="D40" i="9"/>
  <c r="D38" i="9"/>
  <c r="D37" i="9"/>
  <c r="D33" i="9"/>
  <c r="D32" i="9"/>
  <c r="D29" i="9"/>
  <c r="D28" i="9"/>
  <c r="D27" i="9"/>
  <c r="D26" i="9"/>
  <c r="D25" i="9"/>
  <c r="D24" i="9"/>
  <c r="D23" i="9"/>
  <c r="AA2" i="14"/>
  <c r="O73" i="10" l="1"/>
  <c r="M219" i="14"/>
  <c r="J219" i="14"/>
  <c r="I219" i="14"/>
  <c r="H219" i="14"/>
  <c r="M197" i="14"/>
  <c r="G62" i="26" s="1"/>
  <c r="H197" i="14"/>
  <c r="I197" i="14"/>
  <c r="J197" i="14"/>
  <c r="F31" i="35"/>
  <c r="F30" i="35"/>
  <c r="F24" i="35"/>
  <c r="F23" i="35"/>
  <c r="E17" i="42"/>
  <c r="E16" i="42"/>
  <c r="E18" i="42" s="1"/>
  <c r="E10" i="42" l="1"/>
  <c r="E20" i="42" s="1"/>
  <c r="E21" i="42" s="1"/>
  <c r="M240" i="41" l="1"/>
  <c r="M239" i="41"/>
  <c r="M238" i="41"/>
  <c r="M237" i="41"/>
  <c r="M236" i="41"/>
  <c r="M235" i="41"/>
  <c r="M234" i="41"/>
  <c r="M233" i="41"/>
  <c r="M241" i="41" s="1"/>
  <c r="M232" i="41"/>
  <c r="M231" i="41"/>
  <c r="O225" i="41"/>
  <c r="O226" i="41" s="1"/>
  <c r="N225" i="41"/>
  <c r="N226" i="41" s="1"/>
  <c r="M225" i="41"/>
  <c r="M226" i="41" s="1"/>
  <c r="C83" i="40" l="1"/>
  <c r="C85" i="40" s="1"/>
  <c r="C54" i="40"/>
  <c r="O51" i="40"/>
  <c r="N51" i="40"/>
  <c r="I38" i="40"/>
  <c r="C88" i="40" s="1"/>
  <c r="F26" i="40"/>
  <c r="L21" i="40"/>
  <c r="E20" i="40"/>
  <c r="J20" i="40" s="1"/>
  <c r="K18" i="40"/>
  <c r="J18" i="40"/>
  <c r="I18" i="40"/>
  <c r="H18" i="40"/>
  <c r="G18" i="40"/>
  <c r="E18" i="40"/>
  <c r="G15" i="40"/>
  <c r="L15" i="40" s="1"/>
  <c r="C15" i="40"/>
  <c r="G23" i="40" s="1"/>
  <c r="I14" i="40"/>
  <c r="C11" i="40"/>
  <c r="C16" i="40" s="1"/>
  <c r="C18" i="40" s="1"/>
  <c r="C19" i="40" s="1"/>
  <c r="K6" i="40"/>
  <c r="K14" i="40" s="1"/>
  <c r="J6" i="40"/>
  <c r="J14" i="40" s="1"/>
  <c r="J22" i="40" s="1"/>
  <c r="H6" i="40"/>
  <c r="H14" i="40" s="1"/>
  <c r="K5" i="40"/>
  <c r="J5" i="40"/>
  <c r="I5" i="40"/>
  <c r="H5" i="40"/>
  <c r="G5" i="40"/>
  <c r="L4" i="40"/>
  <c r="D11" i="40" l="1"/>
  <c r="L14" i="40"/>
  <c r="L18" i="40"/>
  <c r="L5" i="40"/>
  <c r="K20" i="40"/>
  <c r="K22" i="40" s="1"/>
  <c r="J24" i="40"/>
  <c r="J25" i="40"/>
  <c r="J26" i="40" s="1"/>
  <c r="J27" i="40" s="1"/>
  <c r="J28" i="40" s="1"/>
  <c r="G20" i="40"/>
  <c r="C86" i="40"/>
  <c r="C87" i="40" s="1"/>
  <c r="C90" i="40" s="1"/>
  <c r="H20" i="40"/>
  <c r="H22" i="40" s="1"/>
  <c r="I20" i="40"/>
  <c r="I22" i="40" s="1"/>
  <c r="K25" i="40" l="1"/>
  <c r="K26" i="40" s="1"/>
  <c r="K27" i="40" s="1"/>
  <c r="K28" i="40" s="1"/>
  <c r="K24" i="40"/>
  <c r="I24" i="40"/>
  <c r="I25" i="40"/>
  <c r="I26" i="40" s="1"/>
  <c r="I27" i="40" s="1"/>
  <c r="I28" i="40" s="1"/>
  <c r="H24" i="40"/>
  <c r="H25" i="40"/>
  <c r="H26" i="40" s="1"/>
  <c r="H27" i="40" s="1"/>
  <c r="H28" i="40" s="1"/>
  <c r="I51" i="40"/>
  <c r="H50" i="40"/>
  <c r="I48" i="40"/>
  <c r="H47" i="40"/>
  <c r="L20" i="40"/>
  <c r="G22" i="40"/>
  <c r="H41" i="40" l="1"/>
  <c r="I42" i="40"/>
  <c r="I45" i="40"/>
  <c r="H44" i="40"/>
  <c r="L22" i="40"/>
  <c r="G24" i="40"/>
  <c r="L24" i="40" s="1"/>
  <c r="G25" i="40"/>
  <c r="G26" i="40" l="1"/>
  <c r="L25" i="40"/>
  <c r="L26" i="40" l="1"/>
  <c r="G27" i="40"/>
  <c r="G34" i="40" s="1"/>
  <c r="G55" i="11" s="1"/>
  <c r="K39" i="10" s="1"/>
  <c r="K64" i="10" l="1"/>
  <c r="K65" i="10" s="1"/>
  <c r="D39" i="9"/>
  <c r="G28" i="40"/>
  <c r="L27" i="40"/>
  <c r="M30" i="40" l="1"/>
  <c r="L28" i="40"/>
  <c r="M32" i="40" s="1"/>
  <c r="H37" i="40"/>
  <c r="M45" i="40" l="1"/>
  <c r="M41" i="40"/>
  <c r="M40" i="40"/>
  <c r="M44" i="40"/>
  <c r="M43" i="40"/>
  <c r="M47" i="40"/>
  <c r="M42" i="40"/>
  <c r="M46" i="40"/>
  <c r="H39" i="40"/>
  <c r="M48" i="40" l="1"/>
  <c r="Z112" i="20" l="1"/>
  <c r="Z110" i="20"/>
  <c r="Z107" i="20"/>
  <c r="Z105" i="20"/>
  <c r="Z103" i="20"/>
  <c r="Z113" i="20" s="1"/>
  <c r="X46" i="21"/>
  <c r="X45" i="21"/>
  <c r="X44" i="21"/>
  <c r="V48" i="21"/>
  <c r="V49" i="21" s="1"/>
  <c r="V47" i="21"/>
  <c r="X47" i="21" s="1"/>
  <c r="V46" i="21"/>
  <c r="V45" i="21"/>
  <c r="V44" i="21"/>
  <c r="E56" i="10"/>
  <c r="X49" i="21" l="1"/>
  <c r="G21" i="11" s="1"/>
  <c r="F34" i="10" s="1"/>
  <c r="D34" i="9" s="1"/>
  <c r="X48" i="21"/>
  <c r="D56" i="9"/>
  <c r="E64" i="10"/>
  <c r="E65" i="10" s="1"/>
  <c r="F64" i="10" l="1"/>
  <c r="F65" i="10" s="1"/>
  <c r="T57" i="15"/>
  <c r="R15" i="15"/>
  <c r="R12" i="15"/>
  <c r="R11" i="15"/>
  <c r="R9" i="15"/>
  <c r="R8" i="15"/>
  <c r="R6" i="15"/>
  <c r="I84" i="15"/>
  <c r="R22" i="15" l="1"/>
  <c r="R98" i="15"/>
  <c r="U6" i="15"/>
  <c r="U98" i="15" s="1"/>
  <c r="G8" i="13" s="1"/>
  <c r="B42" i="12" s="1"/>
  <c r="L42" i="12" s="1"/>
  <c r="E42" i="9" s="1"/>
  <c r="R99" i="15"/>
  <c r="E18" i="15"/>
  <c r="E99" i="15" s="1"/>
  <c r="I20" i="37"/>
  <c r="I26" i="37" s="1"/>
  <c r="D20" i="37"/>
  <c r="D26" i="37" s="1"/>
  <c r="D13" i="37"/>
  <c r="L21" i="37" s="1"/>
  <c r="D12" i="37"/>
  <c r="L20" i="37" s="1"/>
  <c r="D11" i="37"/>
  <c r="L19" i="37" s="1"/>
  <c r="D9" i="37"/>
  <c r="L23" i="37" s="1"/>
  <c r="D8" i="37"/>
  <c r="L22" i="37" s="1"/>
  <c r="D7" i="37"/>
  <c r="L18" i="37" s="1"/>
  <c r="C16" i="36"/>
  <c r="C14" i="36"/>
  <c r="D14" i="36" s="1"/>
  <c r="D13" i="36"/>
  <c r="C13" i="36"/>
  <c r="C12" i="36"/>
  <c r="D12" i="36" s="1"/>
  <c r="C11" i="36"/>
  <c r="D11" i="36" s="1"/>
  <c r="C10" i="36"/>
  <c r="D10" i="36" s="1"/>
  <c r="D9" i="36"/>
  <c r="C9" i="36"/>
  <c r="C8" i="36"/>
  <c r="D8" i="36" s="1"/>
  <c r="G31" i="35"/>
  <c r="E31" i="35"/>
  <c r="G30" i="35"/>
  <c r="E30" i="35"/>
  <c r="D29" i="35"/>
  <c r="G28" i="35"/>
  <c r="E28" i="35"/>
  <c r="G27" i="35"/>
  <c r="E27" i="35"/>
  <c r="D27" i="35"/>
  <c r="D26" i="35"/>
  <c r="C25" i="35"/>
  <c r="G25" i="35" s="1"/>
  <c r="G24" i="35"/>
  <c r="E24" i="35"/>
  <c r="G23" i="35"/>
  <c r="E23" i="35"/>
  <c r="G22" i="35"/>
  <c r="C22" i="35"/>
  <c r="E22" i="35" s="1"/>
  <c r="G21" i="35"/>
  <c r="E21" i="35"/>
  <c r="G20" i="35"/>
  <c r="E20" i="35"/>
  <c r="G19" i="35"/>
  <c r="E19" i="35"/>
  <c r="G18" i="35"/>
  <c r="E18" i="35"/>
  <c r="G17" i="35"/>
  <c r="E17" i="35"/>
  <c r="G16" i="35"/>
  <c r="E16" i="35"/>
  <c r="G15" i="35"/>
  <c r="E15" i="35"/>
  <c r="G14" i="35"/>
  <c r="E14" i="35"/>
  <c r="G13" i="35"/>
  <c r="E13" i="35"/>
  <c r="D12" i="35"/>
  <c r="G12" i="35" s="1"/>
  <c r="D11" i="35"/>
  <c r="C11" i="35"/>
  <c r="G11" i="35" s="1"/>
  <c r="D10" i="35"/>
  <c r="C9" i="35"/>
  <c r="E9" i="35" s="1"/>
  <c r="F8" i="35"/>
  <c r="G8" i="35" s="1"/>
  <c r="E8" i="35"/>
  <c r="G111" i="34"/>
  <c r="C111" i="34"/>
  <c r="E111" i="34" s="1"/>
  <c r="G110" i="34"/>
  <c r="E110" i="34"/>
  <c r="G109" i="34"/>
  <c r="E109" i="34"/>
  <c r="C108" i="34"/>
  <c r="E108" i="34" s="1"/>
  <c r="C107" i="34"/>
  <c r="E107" i="34" s="1"/>
  <c r="G106" i="34"/>
  <c r="E106" i="34"/>
  <c r="C105" i="34"/>
  <c r="G104" i="34"/>
  <c r="E104" i="34"/>
  <c r="C103" i="34"/>
  <c r="C102" i="34"/>
  <c r="E102" i="34" s="1"/>
  <c r="G101" i="34"/>
  <c r="E101" i="34"/>
  <c r="G100" i="34"/>
  <c r="E100" i="34"/>
  <c r="C99" i="34"/>
  <c r="E99" i="34" s="1"/>
  <c r="G98" i="34"/>
  <c r="E98" i="34"/>
  <c r="C98" i="34"/>
  <c r="C97" i="34"/>
  <c r="G96" i="34"/>
  <c r="E96" i="34"/>
  <c r="G95" i="34"/>
  <c r="E95" i="34"/>
  <c r="G94" i="34"/>
  <c r="E94" i="34"/>
  <c r="C93" i="34"/>
  <c r="E93" i="34" s="1"/>
  <c r="G92" i="34"/>
  <c r="E92" i="34"/>
  <c r="G91" i="34"/>
  <c r="E91" i="34"/>
  <c r="G90" i="34"/>
  <c r="E90" i="34"/>
  <c r="G89" i="34"/>
  <c r="E89" i="34"/>
  <c r="G88" i="34"/>
  <c r="E88" i="34"/>
  <c r="G87" i="34"/>
  <c r="E87" i="34"/>
  <c r="G86" i="34"/>
  <c r="E86" i="34"/>
  <c r="G85" i="34"/>
  <c r="E85" i="34"/>
  <c r="G84" i="34"/>
  <c r="E84" i="34"/>
  <c r="G83" i="34"/>
  <c r="E83" i="34"/>
  <c r="G82" i="34"/>
  <c r="E82" i="34"/>
  <c r="C81" i="34"/>
  <c r="E81" i="34" s="1"/>
  <c r="D80" i="34"/>
  <c r="G80" i="34" s="1"/>
  <c r="C79" i="34"/>
  <c r="G70" i="34"/>
  <c r="E70" i="34"/>
  <c r="G69" i="34"/>
  <c r="E69" i="34"/>
  <c r="G68" i="34"/>
  <c r="E68" i="34"/>
  <c r="G67" i="34"/>
  <c r="E67" i="34"/>
  <c r="G66" i="34"/>
  <c r="E66" i="34"/>
  <c r="C65" i="34"/>
  <c r="G64" i="34"/>
  <c r="E64" i="34"/>
  <c r="D63" i="34"/>
  <c r="C63" i="34"/>
  <c r="E62" i="34"/>
  <c r="D62" i="34"/>
  <c r="C62" i="34"/>
  <c r="D61" i="34"/>
  <c r="C61" i="34"/>
  <c r="D60" i="34"/>
  <c r="C60" i="34"/>
  <c r="E60" i="34" s="1"/>
  <c r="D59" i="34"/>
  <c r="G59" i="34" s="1"/>
  <c r="D58" i="34"/>
  <c r="C58" i="34"/>
  <c r="G58" i="34" s="1"/>
  <c r="D57" i="34"/>
  <c r="C57" i="34"/>
  <c r="E57" i="34" s="1"/>
  <c r="D56" i="34"/>
  <c r="C56" i="34"/>
  <c r="G55" i="34"/>
  <c r="D55" i="34"/>
  <c r="C55" i="34"/>
  <c r="D54" i="34"/>
  <c r="G54" i="34" s="1"/>
  <c r="D53" i="34"/>
  <c r="C53" i="34"/>
  <c r="D52" i="34"/>
  <c r="G52" i="34" s="1"/>
  <c r="C52" i="34"/>
  <c r="D51" i="34"/>
  <c r="E51" i="34" s="1"/>
  <c r="D50" i="34"/>
  <c r="E50" i="34" s="1"/>
  <c r="D49" i="34"/>
  <c r="C49" i="34"/>
  <c r="G48" i="34"/>
  <c r="E48" i="34"/>
  <c r="D48" i="34"/>
  <c r="D47" i="34"/>
  <c r="G47" i="34" s="1"/>
  <c r="G46" i="34"/>
  <c r="D46" i="34"/>
  <c r="E46" i="34" s="1"/>
  <c r="D45" i="34"/>
  <c r="E45" i="34" s="1"/>
  <c r="D44" i="34"/>
  <c r="C44" i="34"/>
  <c r="E44" i="34" s="1"/>
  <c r="G43" i="34"/>
  <c r="E43" i="34"/>
  <c r="G42" i="34"/>
  <c r="E42" i="34"/>
  <c r="D42" i="34"/>
  <c r="D41" i="34"/>
  <c r="G41" i="34" s="1"/>
  <c r="G40" i="34"/>
  <c r="D40" i="34"/>
  <c r="E40" i="34" s="1"/>
  <c r="D39" i="34"/>
  <c r="E39" i="34" s="1"/>
  <c r="C39" i="34"/>
  <c r="D38" i="34"/>
  <c r="C38" i="34"/>
  <c r="E37" i="34"/>
  <c r="D37" i="34"/>
  <c r="C37" i="34"/>
  <c r="D36" i="34"/>
  <c r="C36" i="34"/>
  <c r="D35" i="34"/>
  <c r="G35" i="34" s="1"/>
  <c r="D34" i="34"/>
  <c r="C34" i="34"/>
  <c r="D33" i="34"/>
  <c r="C33" i="34"/>
  <c r="D32" i="34"/>
  <c r="G32" i="34" s="1"/>
  <c r="D31" i="34"/>
  <c r="E31" i="34" s="1"/>
  <c r="C31" i="34"/>
  <c r="D30" i="34"/>
  <c r="E30" i="34" s="1"/>
  <c r="C30" i="34"/>
  <c r="D29" i="34"/>
  <c r="C29" i="34"/>
  <c r="D28" i="34"/>
  <c r="G28" i="34" s="1"/>
  <c r="D27" i="34"/>
  <c r="G27" i="34" s="1"/>
  <c r="D26" i="34"/>
  <c r="G26" i="34" s="1"/>
  <c r="D25" i="34"/>
  <c r="C25" i="34"/>
  <c r="D24" i="34"/>
  <c r="E24" i="34" s="1"/>
  <c r="D23" i="34"/>
  <c r="G23" i="34" s="1"/>
  <c r="C23" i="34"/>
  <c r="D22" i="34"/>
  <c r="E22" i="34" s="1"/>
  <c r="D21" i="34"/>
  <c r="E21" i="34" s="1"/>
  <c r="D20" i="34"/>
  <c r="C20" i="34"/>
  <c r="D19" i="34"/>
  <c r="C19" i="34"/>
  <c r="G18" i="34"/>
  <c r="E18" i="34"/>
  <c r="G17" i="34"/>
  <c r="E17" i="34"/>
  <c r="G16" i="34"/>
  <c r="E16" i="34"/>
  <c r="C15" i="34"/>
  <c r="E15" i="34" s="1"/>
  <c r="C14" i="34"/>
  <c r="E14" i="34" s="1"/>
  <c r="C13" i="34"/>
  <c r="E13" i="34" s="1"/>
  <c r="G12" i="34"/>
  <c r="E12" i="34"/>
  <c r="C11" i="34"/>
  <c r="F10" i="34"/>
  <c r="G10" i="34" s="1"/>
  <c r="E10" i="34"/>
  <c r="F9" i="34"/>
  <c r="G9" i="34" s="1"/>
  <c r="E9" i="34"/>
  <c r="P69" i="33"/>
  <c r="O69" i="33"/>
  <c r="J69" i="33"/>
  <c r="M68" i="33"/>
  <c r="N68" i="33"/>
  <c r="I68" i="33"/>
  <c r="H68" i="33"/>
  <c r="G68" i="33"/>
  <c r="M67" i="33"/>
  <c r="N67" i="33"/>
  <c r="G67" i="33"/>
  <c r="I67" i="33"/>
  <c r="M66" i="33"/>
  <c r="N66" i="33"/>
  <c r="I66" i="33"/>
  <c r="H66" i="33"/>
  <c r="G66" i="33"/>
  <c r="M65" i="33"/>
  <c r="G65" i="33"/>
  <c r="H65" i="33"/>
  <c r="M64" i="33"/>
  <c r="N64" i="33"/>
  <c r="I64" i="33"/>
  <c r="H64" i="33"/>
  <c r="G64" i="33"/>
  <c r="M63" i="33"/>
  <c r="G63" i="33"/>
  <c r="I63" i="33"/>
  <c r="M62" i="33"/>
  <c r="G62" i="33"/>
  <c r="H62" i="33"/>
  <c r="M61" i="33"/>
  <c r="N61" i="33"/>
  <c r="I61" i="33"/>
  <c r="H61" i="33"/>
  <c r="G61" i="33"/>
  <c r="M60" i="33"/>
  <c r="G60" i="33"/>
  <c r="H60" i="33"/>
  <c r="M59" i="33"/>
  <c r="G59" i="33"/>
  <c r="M58" i="33"/>
  <c r="N58" i="33"/>
  <c r="I58" i="33"/>
  <c r="H58" i="33"/>
  <c r="G58" i="33"/>
  <c r="M57" i="33"/>
  <c r="H57" i="33"/>
  <c r="G57" i="33"/>
  <c r="M56" i="33"/>
  <c r="N56" i="33"/>
  <c r="I56" i="33"/>
  <c r="H56" i="33"/>
  <c r="G56" i="33"/>
  <c r="M55" i="33"/>
  <c r="N55" i="33"/>
  <c r="I55" i="33"/>
  <c r="H55" i="33"/>
  <c r="G55" i="33"/>
  <c r="M54" i="33"/>
  <c r="N54" i="33"/>
  <c r="I54" i="33"/>
  <c r="H54" i="33"/>
  <c r="G54" i="33"/>
  <c r="M53" i="33"/>
  <c r="N53" i="33"/>
  <c r="I53" i="33"/>
  <c r="H53" i="33"/>
  <c r="G53" i="33"/>
  <c r="M52" i="33"/>
  <c r="N52" i="33"/>
  <c r="I52" i="33"/>
  <c r="H52" i="33"/>
  <c r="G52" i="33"/>
  <c r="M51" i="33"/>
  <c r="G51" i="33"/>
  <c r="I51" i="33"/>
  <c r="M50" i="33"/>
  <c r="G50" i="33"/>
  <c r="H50" i="33"/>
  <c r="M49" i="33"/>
  <c r="G49" i="33"/>
  <c r="H49" i="33"/>
  <c r="M48" i="33"/>
  <c r="G48" i="33"/>
  <c r="I48" i="33"/>
  <c r="M47" i="33"/>
  <c r="N47" i="33"/>
  <c r="Q47" i="33" s="1"/>
  <c r="I47" i="33"/>
  <c r="H47" i="33"/>
  <c r="G47" i="33"/>
  <c r="M46" i="33"/>
  <c r="G46" i="33"/>
  <c r="I46" i="33"/>
  <c r="H38" i="33"/>
  <c r="Q38" i="33" s="1"/>
  <c r="G38" i="33"/>
  <c r="N37" i="33"/>
  <c r="I37" i="33"/>
  <c r="H37" i="33"/>
  <c r="G37" i="33"/>
  <c r="H36" i="33"/>
  <c r="Q36" i="33" s="1"/>
  <c r="N35" i="33"/>
  <c r="I35" i="33"/>
  <c r="H35" i="33"/>
  <c r="G35" i="33"/>
  <c r="G34" i="33"/>
  <c r="N34" i="33"/>
  <c r="N33" i="33"/>
  <c r="I33" i="33"/>
  <c r="H33" i="33"/>
  <c r="G33" i="33"/>
  <c r="O32" i="33"/>
  <c r="N32" i="33"/>
  <c r="I32" i="33"/>
  <c r="H32" i="33"/>
  <c r="G32" i="33"/>
  <c r="P31" i="33"/>
  <c r="P39" i="33" s="1"/>
  <c r="P73" i="33" s="1"/>
  <c r="P78" i="33" s="1"/>
  <c r="J31" i="33"/>
  <c r="J39" i="33" s="1"/>
  <c r="J73" i="33" s="1"/>
  <c r="J78" i="33" s="1"/>
  <c r="I31" i="33"/>
  <c r="G30" i="33"/>
  <c r="I30" i="33"/>
  <c r="G29" i="33"/>
  <c r="N28" i="33"/>
  <c r="I28" i="33"/>
  <c r="H28" i="33"/>
  <c r="G28" i="33"/>
  <c r="G27" i="33"/>
  <c r="I27" i="33"/>
  <c r="G26" i="33"/>
  <c r="G25" i="33"/>
  <c r="G24" i="33"/>
  <c r="I24" i="33"/>
  <c r="G23" i="33"/>
  <c r="N23" i="33"/>
  <c r="O22" i="33"/>
  <c r="N22" i="33"/>
  <c r="I22" i="33"/>
  <c r="H22" i="33"/>
  <c r="G22" i="33"/>
  <c r="G21" i="33"/>
  <c r="I20" i="33"/>
  <c r="G20" i="33"/>
  <c r="N19" i="33"/>
  <c r="G19" i="33"/>
  <c r="G18" i="33"/>
  <c r="I18" i="33"/>
  <c r="G17" i="33"/>
  <c r="I17" i="33"/>
  <c r="I16" i="33"/>
  <c r="H16" i="33"/>
  <c r="Q16" i="33" s="1"/>
  <c r="G16" i="33"/>
  <c r="G15" i="33"/>
  <c r="I15" i="33"/>
  <c r="O14" i="33"/>
  <c r="N14" i="33"/>
  <c r="I14" i="33"/>
  <c r="H14" i="33"/>
  <c r="G14" i="33"/>
  <c r="G13" i="33"/>
  <c r="N12" i="33"/>
  <c r="G12" i="33"/>
  <c r="I12" i="33"/>
  <c r="N11" i="33"/>
  <c r="H11" i="33"/>
  <c r="G11" i="33"/>
  <c r="I11" i="33"/>
  <c r="G10" i="33"/>
  <c r="N10" i="33"/>
  <c r="O9" i="33"/>
  <c r="N9" i="33"/>
  <c r="I9" i="33"/>
  <c r="H9" i="33"/>
  <c r="G9" i="33"/>
  <c r="G8" i="33"/>
  <c r="N8" i="33"/>
  <c r="W36" i="25"/>
  <c r="G51" i="11" s="1"/>
  <c r="J54" i="10" s="1"/>
  <c r="Q35" i="33" l="1"/>
  <c r="Q52" i="33"/>
  <c r="Q64" i="33"/>
  <c r="Q66" i="33"/>
  <c r="Q11" i="33"/>
  <c r="Q9" i="33"/>
  <c r="Q32" i="33"/>
  <c r="H34" i="33"/>
  <c r="Q34" i="33" s="1"/>
  <c r="Q56" i="33"/>
  <c r="N60" i="33"/>
  <c r="Q60" i="33" s="1"/>
  <c r="Q53" i="33"/>
  <c r="H19" i="33"/>
  <c r="Q19" i="33" s="1"/>
  <c r="O19" i="33"/>
  <c r="Q68" i="33"/>
  <c r="Q55" i="33"/>
  <c r="N15" i="33"/>
  <c r="Q37" i="33"/>
  <c r="I25" i="33"/>
  <c r="O25" i="33"/>
  <c r="Q58" i="33"/>
  <c r="Q14" i="33"/>
  <c r="H20" i="33"/>
  <c r="O20" i="33"/>
  <c r="Q22" i="33"/>
  <c r="Q28" i="33"/>
  <c r="Q33" i="33"/>
  <c r="Q61" i="33"/>
  <c r="I23" i="33"/>
  <c r="O23" i="33"/>
  <c r="N18" i="33"/>
  <c r="I26" i="33"/>
  <c r="O26" i="33"/>
  <c r="I29" i="33"/>
  <c r="O29" i="33"/>
  <c r="Q54" i="33"/>
  <c r="G53" i="34"/>
  <c r="G103" i="34"/>
  <c r="G65" i="34"/>
  <c r="G105" i="34"/>
  <c r="N62" i="33"/>
  <c r="Q62" i="33" s="1"/>
  <c r="N49" i="33"/>
  <c r="Q49" i="33" s="1"/>
  <c r="N59" i="33"/>
  <c r="L26" i="37"/>
  <c r="G21" i="34"/>
  <c r="E25" i="34"/>
  <c r="G30" i="34"/>
  <c r="E52" i="34"/>
  <c r="E12" i="35"/>
  <c r="N24" i="33"/>
  <c r="H46" i="33"/>
  <c r="I50" i="33"/>
  <c r="H59" i="33"/>
  <c r="I65" i="33"/>
  <c r="G15" i="34"/>
  <c r="E19" i="34"/>
  <c r="E34" i="34"/>
  <c r="G49" i="34"/>
  <c r="G56" i="34"/>
  <c r="G102" i="34"/>
  <c r="M69" i="33"/>
  <c r="I49" i="33"/>
  <c r="E35" i="34"/>
  <c r="G37" i="34"/>
  <c r="G62" i="34"/>
  <c r="E10" i="35"/>
  <c r="G10" i="35"/>
  <c r="E25" i="35"/>
  <c r="E29" i="35"/>
  <c r="J64" i="10"/>
  <c r="J65" i="10" s="1"/>
  <c r="D54" i="9"/>
  <c r="I59" i="33"/>
  <c r="D14" i="37"/>
  <c r="O8" i="33"/>
  <c r="O12" i="33"/>
  <c r="O13" i="33"/>
  <c r="N46" i="33"/>
  <c r="H48" i="33"/>
  <c r="N50" i="33"/>
  <c r="Q50" i="33" s="1"/>
  <c r="N65" i="33"/>
  <c r="Q65" i="33" s="1"/>
  <c r="G13" i="34"/>
  <c r="G19" i="34"/>
  <c r="E23" i="34"/>
  <c r="G29" i="34"/>
  <c r="E32" i="34"/>
  <c r="G38" i="34"/>
  <c r="G50" i="34"/>
  <c r="G63" i="34"/>
  <c r="G79" i="34"/>
  <c r="G93" i="34"/>
  <c r="G97" i="34"/>
  <c r="H8" i="33"/>
  <c r="Q8" i="33" s="1"/>
  <c r="H12" i="33"/>
  <c r="Q12" i="33" s="1"/>
  <c r="I19" i="33"/>
  <c r="O21" i="33"/>
  <c r="H24" i="33"/>
  <c r="N57" i="33"/>
  <c r="Q57" i="33" s="1"/>
  <c r="H67" i="33"/>
  <c r="Q67" i="33" s="1"/>
  <c r="G11" i="34"/>
  <c r="E55" i="34"/>
  <c r="G60" i="34"/>
  <c r="G107" i="34"/>
  <c r="E26" i="35"/>
  <c r="N48" i="33"/>
  <c r="G44" i="34"/>
  <c r="G57" i="34"/>
  <c r="U22" i="15"/>
  <c r="U99" i="15" s="1"/>
  <c r="G9" i="13" s="1"/>
  <c r="B43" i="12" s="1"/>
  <c r="L43" i="12" s="1"/>
  <c r="E43" i="9" s="1"/>
  <c r="E24" i="37"/>
  <c r="F24" i="37" s="1"/>
  <c r="E18" i="37"/>
  <c r="E19" i="37"/>
  <c r="F19" i="37" s="1"/>
  <c r="D29" i="37"/>
  <c r="E25" i="37"/>
  <c r="F25" i="37" s="1"/>
  <c r="E23" i="37"/>
  <c r="F23" i="37" s="1"/>
  <c r="E21" i="37"/>
  <c r="F21" i="37" s="1"/>
  <c r="E22" i="37"/>
  <c r="F22" i="37" s="1"/>
  <c r="E20" i="37"/>
  <c r="F20" i="37" s="1"/>
  <c r="G28" i="11" s="1"/>
  <c r="G9" i="10" s="1"/>
  <c r="D15" i="36"/>
  <c r="E11" i="35"/>
  <c r="G9" i="35"/>
  <c r="G26" i="35"/>
  <c r="G20" i="34"/>
  <c r="G33" i="34"/>
  <c r="G36" i="34"/>
  <c r="G61" i="34"/>
  <c r="E27" i="34"/>
  <c r="E59" i="34"/>
  <c r="E105" i="34"/>
  <c r="G25" i="34"/>
  <c r="E29" i="34"/>
  <c r="E41" i="34"/>
  <c r="E47" i="34"/>
  <c r="E79" i="34"/>
  <c r="G34" i="34"/>
  <c r="G39" i="34"/>
  <c r="E49" i="34"/>
  <c r="E61" i="34"/>
  <c r="G22" i="34"/>
  <c r="E97" i="34"/>
  <c r="G24" i="34"/>
  <c r="E26" i="34"/>
  <c r="E28" i="34"/>
  <c r="G31" i="34"/>
  <c r="E33" i="34"/>
  <c r="E38" i="34"/>
  <c r="E53" i="34"/>
  <c r="E58" i="34"/>
  <c r="E63" i="34"/>
  <c r="E11" i="34"/>
  <c r="E54" i="34"/>
  <c r="E20" i="34"/>
  <c r="E36" i="34"/>
  <c r="G45" i="34"/>
  <c r="G51" i="34"/>
  <c r="E65" i="34"/>
  <c r="G81" i="34"/>
  <c r="G14" i="34"/>
  <c r="E80" i="34"/>
  <c r="G99" i="34"/>
  <c r="G108" i="34"/>
  <c r="E103" i="34"/>
  <c r="E112" i="34" s="1"/>
  <c r="E56" i="34"/>
  <c r="O11" i="33"/>
  <c r="I8" i="33"/>
  <c r="H10" i="33"/>
  <c r="Q10" i="33" s="1"/>
  <c r="N13" i="33"/>
  <c r="N17" i="33"/>
  <c r="N20" i="33"/>
  <c r="Q20" i="33" s="1"/>
  <c r="N21" i="33"/>
  <c r="O24" i="33"/>
  <c r="N25" i="33"/>
  <c r="N26" i="33"/>
  <c r="N27" i="33"/>
  <c r="N29" i="33"/>
  <c r="N30" i="33"/>
  <c r="N51" i="33"/>
  <c r="H63" i="33"/>
  <c r="I10" i="33"/>
  <c r="O17" i="33"/>
  <c r="O27" i="33"/>
  <c r="O30" i="33"/>
  <c r="I57" i="33"/>
  <c r="H13" i="33"/>
  <c r="H17" i="33"/>
  <c r="H21" i="33"/>
  <c r="H25" i="33"/>
  <c r="H26" i="33"/>
  <c r="H27" i="33"/>
  <c r="H29" i="33"/>
  <c r="H30" i="33"/>
  <c r="O10" i="33"/>
  <c r="O15" i="33"/>
  <c r="O18" i="33"/>
  <c r="I62" i="33"/>
  <c r="I13" i="33"/>
  <c r="H15" i="33"/>
  <c r="H18" i="33"/>
  <c r="I21" i="33"/>
  <c r="H23" i="33"/>
  <c r="Q23" i="33" s="1"/>
  <c r="H51" i="33"/>
  <c r="N63" i="33"/>
  <c r="Q63" i="33" s="1"/>
  <c r="H69" i="33" l="1"/>
  <c r="Q46" i="33"/>
  <c r="Q30" i="33"/>
  <c r="Q27" i="33"/>
  <c r="Q21" i="33"/>
  <c r="Q48" i="33"/>
  <c r="Q51" i="33"/>
  <c r="Q17" i="33"/>
  <c r="Q18" i="33"/>
  <c r="Q15" i="33"/>
  <c r="Q29" i="33"/>
  <c r="Q13" i="33"/>
  <c r="Q26" i="33"/>
  <c r="Q59" i="33"/>
  <c r="Q25" i="33"/>
  <c r="Q24" i="33"/>
  <c r="D30" i="37"/>
  <c r="H23" i="37"/>
  <c r="J23" i="37" s="1"/>
  <c r="N23" i="37" s="1"/>
  <c r="G31" i="11"/>
  <c r="G14" i="10" s="1"/>
  <c r="D14" i="9" s="1"/>
  <c r="G112" i="34"/>
  <c r="E71" i="34"/>
  <c r="E113" i="34" s="1"/>
  <c r="H25" i="37"/>
  <c r="J25" i="37" s="1"/>
  <c r="G33" i="11"/>
  <c r="D19" i="9" s="1"/>
  <c r="E32" i="35"/>
  <c r="H21" i="37"/>
  <c r="J21" i="37" s="1"/>
  <c r="N21" i="37" s="1"/>
  <c r="G29" i="11"/>
  <c r="G13" i="10" s="1"/>
  <c r="D13" i="9" s="1"/>
  <c r="H19" i="37"/>
  <c r="J19" i="37" s="1"/>
  <c r="N19" i="37" s="1"/>
  <c r="G27" i="11"/>
  <c r="G8" i="10" s="1"/>
  <c r="D8" i="9" s="1"/>
  <c r="N39" i="33"/>
  <c r="H20" i="37"/>
  <c r="J20" i="37" s="1"/>
  <c r="N20" i="37" s="1"/>
  <c r="F18" i="37"/>
  <c r="G26" i="11" s="1"/>
  <c r="E26" i="37"/>
  <c r="H39" i="33"/>
  <c r="H24" i="37"/>
  <c r="J24" i="37" s="1"/>
  <c r="G32" i="11"/>
  <c r="G18" i="10" s="1"/>
  <c r="D18" i="9" s="1"/>
  <c r="O39" i="33"/>
  <c r="O73" i="33" s="1"/>
  <c r="O78" i="33" s="1"/>
  <c r="I69" i="33"/>
  <c r="N69" i="33"/>
  <c r="H22" i="37"/>
  <c r="J22" i="37" s="1"/>
  <c r="N22" i="37" s="1"/>
  <c r="G30" i="11"/>
  <c r="G11" i="10" s="1"/>
  <c r="D11" i="9" s="1"/>
  <c r="F26" i="37"/>
  <c r="H26" i="37" s="1"/>
  <c r="J26" i="37" s="1"/>
  <c r="N26" i="37" s="1"/>
  <c r="N30" i="37" s="1"/>
  <c r="G32" i="35"/>
  <c r="N76" i="33" s="1"/>
  <c r="Q76" i="33" s="1"/>
  <c r="G71" i="34"/>
  <c r="N74" i="33" s="1"/>
  <c r="Q74" i="33" s="1"/>
  <c r="I39" i="33"/>
  <c r="I73" i="33" s="1"/>
  <c r="I78" i="33" s="1"/>
  <c r="I112" i="34" l="1"/>
  <c r="N75" i="33"/>
  <c r="Q75" i="33" s="1"/>
  <c r="H73" i="33"/>
  <c r="Q69" i="33"/>
  <c r="Q39" i="33"/>
  <c r="N73" i="33"/>
  <c r="G34" i="11"/>
  <c r="G57" i="10" s="1"/>
  <c r="G7" i="10"/>
  <c r="H18" i="37"/>
  <c r="J18" i="37" s="1"/>
  <c r="N18" i="37" s="1"/>
  <c r="I71" i="34"/>
  <c r="G113" i="34"/>
  <c r="G114" i="34" s="1"/>
  <c r="H78" i="33" l="1"/>
  <c r="K78" i="33" s="1"/>
  <c r="K73" i="33"/>
  <c r="Q73" i="33"/>
  <c r="N78" i="33"/>
  <c r="Q78" i="33" s="1"/>
  <c r="D7" i="9"/>
  <c r="G21" i="10"/>
  <c r="D57" i="9"/>
  <c r="G64" i="10"/>
  <c r="J21" i="32"/>
  <c r="J24" i="32" s="1"/>
  <c r="J26" i="32" s="1"/>
  <c r="I21" i="32"/>
  <c r="I24" i="32" s="1"/>
  <c r="H21" i="32"/>
  <c r="H24" i="32" s="1"/>
  <c r="G21" i="32"/>
  <c r="G24" i="32" s="1"/>
  <c r="F21" i="32"/>
  <c r="F24" i="32" s="1"/>
  <c r="E21" i="32"/>
  <c r="E24" i="32" s="1"/>
  <c r="D21" i="32"/>
  <c r="D24" i="32" s="1"/>
  <c r="C21" i="32"/>
  <c r="C24" i="32" s="1"/>
  <c r="M20" i="32"/>
  <c r="M19" i="32"/>
  <c r="M18" i="32"/>
  <c r="M17" i="32"/>
  <c r="M16" i="32"/>
  <c r="M15" i="32"/>
  <c r="M14" i="32"/>
  <c r="M13" i="32"/>
  <c r="M12" i="32"/>
  <c r="M11" i="32"/>
  <c r="M10" i="32"/>
  <c r="M9" i="32"/>
  <c r="I21" i="31"/>
  <c r="H21" i="31"/>
  <c r="G21" i="31"/>
  <c r="D21" i="31"/>
  <c r="C21" i="31"/>
  <c r="J20" i="31"/>
  <c r="K20" i="31" s="1"/>
  <c r="E20" i="31"/>
  <c r="E19" i="31"/>
  <c r="E18" i="31"/>
  <c r="J17" i="31"/>
  <c r="K17" i="31" s="1"/>
  <c r="E17" i="31"/>
  <c r="E16" i="31"/>
  <c r="E15" i="31"/>
  <c r="K14" i="31"/>
  <c r="J14" i="31"/>
  <c r="E14" i="31"/>
  <c r="E13" i="31"/>
  <c r="E12" i="31"/>
  <c r="J11" i="31"/>
  <c r="K11" i="31" s="1"/>
  <c r="E11" i="31"/>
  <c r="E10" i="31"/>
  <c r="E9" i="31"/>
  <c r="C31" i="10"/>
  <c r="D31" i="9" s="1"/>
  <c r="C30" i="10"/>
  <c r="A8" i="11"/>
  <c r="A7" i="11"/>
  <c r="A3" i="11"/>
  <c r="A2" i="11"/>
  <c r="A1" i="11"/>
  <c r="F41" i="9"/>
  <c r="B49" i="26" s="1"/>
  <c r="F37" i="9"/>
  <c r="B45" i="26" s="1"/>
  <c r="F16" i="9"/>
  <c r="B16" i="26" s="1"/>
  <c r="B75" i="26"/>
  <c r="B74" i="26"/>
  <c r="E21" i="31" l="1"/>
  <c r="M21" i="32"/>
  <c r="G65" i="10"/>
  <c r="J21" i="31"/>
  <c r="D30" i="9"/>
  <c r="C64" i="10"/>
  <c r="C65" i="10" s="1"/>
  <c r="D26" i="32"/>
  <c r="K21" i="31"/>
  <c r="E24" i="31" s="1"/>
  <c r="C174" i="30"/>
  <c r="C173" i="30"/>
  <c r="C163" i="30"/>
  <c r="C175" i="30" s="1"/>
  <c r="C162" i="30"/>
  <c r="C161" i="30"/>
  <c r="M159" i="30"/>
  <c r="K158" i="30"/>
  <c r="E158" i="30"/>
  <c r="E156" i="30"/>
  <c r="K155" i="30"/>
  <c r="K154" i="30"/>
  <c r="K153" i="30"/>
  <c r="K152" i="30"/>
  <c r="K151" i="30"/>
  <c r="K150" i="30"/>
  <c r="K149" i="30"/>
  <c r="K148" i="30"/>
  <c r="K147" i="30"/>
  <c r="K146" i="30"/>
  <c r="K145" i="30"/>
  <c r="K144" i="30"/>
  <c r="L143" i="30"/>
  <c r="L159" i="30" s="1"/>
  <c r="E143" i="30"/>
  <c r="J142" i="30"/>
  <c r="J141" i="30"/>
  <c r="J140" i="30"/>
  <c r="J139" i="30"/>
  <c r="J138" i="30"/>
  <c r="J137" i="30"/>
  <c r="J136" i="30"/>
  <c r="J135" i="30"/>
  <c r="J134" i="30"/>
  <c r="J133" i="30"/>
  <c r="J132" i="30"/>
  <c r="J131" i="30"/>
  <c r="E130" i="30"/>
  <c r="C130" i="30"/>
  <c r="D127" i="30"/>
  <c r="F126" i="30"/>
  <c r="G125" i="30"/>
  <c r="F124" i="30"/>
  <c r="D124" i="30"/>
  <c r="F123" i="30"/>
  <c r="G122" i="30"/>
  <c r="F121" i="30"/>
  <c r="D121" i="30"/>
  <c r="F120" i="30"/>
  <c r="G119" i="30"/>
  <c r="F118" i="30"/>
  <c r="D118" i="30"/>
  <c r="F117" i="30"/>
  <c r="G116" i="30"/>
  <c r="F115" i="30"/>
  <c r="D115" i="30"/>
  <c r="G114" i="30"/>
  <c r="F113" i="30"/>
  <c r="F112" i="30"/>
  <c r="D112" i="30"/>
  <c r="F111" i="30"/>
  <c r="D111" i="30"/>
  <c r="F110" i="30"/>
  <c r="G109" i="30"/>
  <c r="F108" i="30"/>
  <c r="G107" i="30"/>
  <c r="F106" i="30"/>
  <c r="F105" i="30"/>
  <c r="G104" i="30"/>
  <c r="F103" i="30"/>
  <c r="D103" i="30"/>
  <c r="D106" i="30" s="1"/>
  <c r="F102" i="30"/>
  <c r="G101" i="30"/>
  <c r="F100" i="30"/>
  <c r="D100" i="30"/>
  <c r="G98" i="30"/>
  <c r="F97" i="30"/>
  <c r="F96" i="30"/>
  <c r="G95" i="30"/>
  <c r="F94" i="30"/>
  <c r="J92" i="30"/>
  <c r="I92" i="30"/>
  <c r="H92" i="30"/>
  <c r="H159" i="30" s="1"/>
  <c r="D91" i="30"/>
  <c r="D90" i="30"/>
  <c r="D89" i="30"/>
  <c r="E88" i="30"/>
  <c r="D88" i="30" s="1"/>
  <c r="D87" i="30"/>
  <c r="D86" i="30"/>
  <c r="D85" i="30"/>
  <c r="D84" i="30"/>
  <c r="D83" i="30"/>
  <c r="E82" i="30"/>
  <c r="D82" i="30" s="1"/>
  <c r="D81" i="30"/>
  <c r="D80" i="30"/>
  <c r="E79" i="30"/>
  <c r="G78" i="30"/>
  <c r="D78" i="30"/>
  <c r="G77" i="30"/>
  <c r="D77" i="30"/>
  <c r="G76" i="30"/>
  <c r="D76" i="30"/>
  <c r="G75" i="30"/>
  <c r="D75" i="30"/>
  <c r="G74" i="30"/>
  <c r="D74" i="30"/>
  <c r="G73" i="30"/>
  <c r="D73" i="30"/>
  <c r="G72" i="30"/>
  <c r="D72" i="30"/>
  <c r="G71" i="30"/>
  <c r="D71" i="30"/>
  <c r="G70" i="30"/>
  <c r="D70" i="30"/>
  <c r="G69" i="30"/>
  <c r="D69" i="30"/>
  <c r="G68" i="30"/>
  <c r="D68" i="30"/>
  <c r="G67" i="30"/>
  <c r="D67" i="30"/>
  <c r="E66" i="30"/>
  <c r="N62" i="30"/>
  <c r="N56" i="30"/>
  <c r="N55" i="30"/>
  <c r="N54" i="30"/>
  <c r="R53" i="30"/>
  <c r="R159" i="30" s="1"/>
  <c r="E53" i="30"/>
  <c r="J52" i="30"/>
  <c r="J51" i="30"/>
  <c r="J50" i="30"/>
  <c r="J49" i="30"/>
  <c r="J48" i="30"/>
  <c r="J47" i="30"/>
  <c r="J46" i="30"/>
  <c r="J45" i="30"/>
  <c r="J44" i="30"/>
  <c r="J43" i="30"/>
  <c r="J42" i="30"/>
  <c r="J41" i="30"/>
  <c r="J40" i="30"/>
  <c r="J39" i="30"/>
  <c r="J38" i="30"/>
  <c r="J37" i="30"/>
  <c r="J36" i="30"/>
  <c r="J35" i="30"/>
  <c r="J34" i="30"/>
  <c r="J33" i="30"/>
  <c r="J32" i="30"/>
  <c r="B32" i="30"/>
  <c r="J31" i="30"/>
  <c r="J30" i="30"/>
  <c r="B30" i="30"/>
  <c r="J29" i="30"/>
  <c r="Q159" i="30"/>
  <c r="P28" i="30"/>
  <c r="P159" i="30" s="1"/>
  <c r="O28" i="30"/>
  <c r="O159" i="30" s="1"/>
  <c r="K28" i="30"/>
  <c r="E27" i="30"/>
  <c r="E26" i="30"/>
  <c r="E25" i="30"/>
  <c r="E24" i="30"/>
  <c r="E23" i="30"/>
  <c r="E22" i="30"/>
  <c r="E21" i="30"/>
  <c r="E20" i="30"/>
  <c r="E19" i="30"/>
  <c r="E18" i="30"/>
  <c r="E17" i="30"/>
  <c r="S17" i="30" s="1"/>
  <c r="S159" i="30" s="1"/>
  <c r="S16" i="30"/>
  <c r="S15" i="30"/>
  <c r="S14" i="30"/>
  <c r="S13" i="30"/>
  <c r="S12" i="30"/>
  <c r="S11" i="30"/>
  <c r="S10" i="30"/>
  <c r="S9" i="30"/>
  <c r="S8" i="30"/>
  <c r="S7" i="30"/>
  <c r="S6" i="30"/>
  <c r="C35" i="29"/>
  <c r="C37" i="29" s="1"/>
  <c r="G7" i="28"/>
  <c r="H7" i="28" s="1"/>
  <c r="G7" i="27"/>
  <c r="H7" i="27"/>
  <c r="G12" i="24"/>
  <c r="H12" i="24" s="1"/>
  <c r="G11" i="24"/>
  <c r="H11" i="24" s="1"/>
  <c r="G9" i="24"/>
  <c r="H9" i="24" s="1"/>
  <c r="N49" i="26"/>
  <c r="N45" i="26"/>
  <c r="N30" i="26"/>
  <c r="N29" i="26"/>
  <c r="N28" i="26"/>
  <c r="N22" i="26"/>
  <c r="H16" i="26"/>
  <c r="I159" i="30" l="1"/>
  <c r="D38" i="26" s="1"/>
  <c r="T92" i="30"/>
  <c r="G18" i="13"/>
  <c r="C168" i="30"/>
  <c r="N24" i="26"/>
  <c r="C176" i="30"/>
  <c r="E28" i="30"/>
  <c r="G79" i="30"/>
  <c r="C166" i="30"/>
  <c r="N66" i="30"/>
  <c r="N159" i="30" s="1"/>
  <c r="G130" i="30"/>
  <c r="C167" i="30" s="1"/>
  <c r="K156" i="30"/>
  <c r="K159" i="30" s="1"/>
  <c r="J53" i="30"/>
  <c r="J143" i="30"/>
  <c r="H13" i="24"/>
  <c r="G14" i="13" s="1"/>
  <c r="J27" i="26"/>
  <c r="E92" i="30"/>
  <c r="E159" i="30" s="1"/>
  <c r="E168" i="30" s="1"/>
  <c r="E170" i="30" s="1"/>
  <c r="F130" i="30"/>
  <c r="F159" i="30" s="1"/>
  <c r="J24" i="26"/>
  <c r="N16" i="26"/>
  <c r="N27" i="26"/>
  <c r="C169" i="30" l="1"/>
  <c r="J159" i="30"/>
  <c r="G159" i="30"/>
  <c r="G8" i="11" l="1"/>
  <c r="B10" i="10" s="1"/>
  <c r="G7" i="11"/>
  <c r="B9" i="10" s="1"/>
  <c r="D9" i="9" s="1"/>
  <c r="D10" i="9" l="1"/>
  <c r="F10" i="9" s="1"/>
  <c r="B10" i="26" s="1"/>
  <c r="B21" i="10"/>
  <c r="B65" i="10" s="1"/>
  <c r="O21" i="10" l="1"/>
  <c r="D10" i="26"/>
  <c r="N10" i="26" s="1"/>
  <c r="D21" i="9"/>
  <c r="E65" i="23"/>
  <c r="E64" i="23"/>
  <c r="E63" i="23"/>
  <c r="E62" i="23"/>
  <c r="E61" i="23"/>
  <c r="F66" i="23" s="1"/>
  <c r="E57" i="23"/>
  <c r="E56" i="23"/>
  <c r="E55" i="23"/>
  <c r="E54" i="23"/>
  <c r="E53" i="23"/>
  <c r="E50" i="23"/>
  <c r="E49" i="23"/>
  <c r="E48" i="23"/>
  <c r="E47" i="23"/>
  <c r="E46" i="23"/>
  <c r="E45" i="23"/>
  <c r="E44" i="23"/>
  <c r="E43" i="23"/>
  <c r="E42" i="23"/>
  <c r="E41" i="23"/>
  <c r="E38" i="23"/>
  <c r="E37" i="23"/>
  <c r="E36" i="23"/>
  <c r="E35" i="23"/>
  <c r="E34" i="23"/>
  <c r="E33" i="23"/>
  <c r="E30" i="23"/>
  <c r="E29" i="23"/>
  <c r="E28" i="23"/>
  <c r="F31" i="23" s="1"/>
  <c r="E27" i="23"/>
  <c r="E24" i="23"/>
  <c r="E23" i="23"/>
  <c r="E20" i="23"/>
  <c r="E19" i="23"/>
  <c r="E18" i="23"/>
  <c r="E17" i="23"/>
  <c r="E14" i="23"/>
  <c r="E13" i="23"/>
  <c r="E12" i="23"/>
  <c r="E11" i="23"/>
  <c r="E10" i="23"/>
  <c r="E9" i="23"/>
  <c r="E8" i="23"/>
  <c r="E7" i="23"/>
  <c r="E6" i="23"/>
  <c r="U39" i="25"/>
  <c r="W30" i="25"/>
  <c r="W31" i="25" s="1"/>
  <c r="U30" i="25"/>
  <c r="U31" i="25" s="1"/>
  <c r="Z60" i="22"/>
  <c r="Z61" i="22" s="1"/>
  <c r="Z62" i="22" s="1"/>
  <c r="X60" i="22"/>
  <c r="X61" i="22" s="1"/>
  <c r="X62" i="22" s="1"/>
  <c r="V60" i="22"/>
  <c r="V61" i="22" s="1"/>
  <c r="V62" i="22" s="1"/>
  <c r="Z36" i="21"/>
  <c r="Z37" i="21" s="1"/>
  <c r="Z38" i="21" s="1"/>
  <c r="X36" i="21"/>
  <c r="X37" i="21" s="1"/>
  <c r="X38" i="21" s="1"/>
  <c r="V36" i="21"/>
  <c r="V37" i="21" s="1"/>
  <c r="V38" i="21" s="1"/>
  <c r="X97" i="20"/>
  <c r="Z97" i="20" s="1"/>
  <c r="V97" i="20"/>
  <c r="X95" i="20"/>
  <c r="Z95" i="20" s="1"/>
  <c r="V95" i="20"/>
  <c r="X93" i="20"/>
  <c r="Z93" i="20" s="1"/>
  <c r="T93" i="20"/>
  <c r="Z92" i="20"/>
  <c r="V92" i="20"/>
  <c r="X90" i="20"/>
  <c r="Z90" i="20" s="1"/>
  <c r="V90" i="20"/>
  <c r="Z88" i="20"/>
  <c r="V88" i="20"/>
  <c r="Z79" i="20"/>
  <c r="Z80" i="20" s="1"/>
  <c r="Z82" i="20" s="1"/>
  <c r="X78" i="20"/>
  <c r="X79" i="20" s="1"/>
  <c r="X80" i="20" s="1"/>
  <c r="V78" i="20"/>
  <c r="V79" i="20" s="1"/>
  <c r="V80" i="20" s="1"/>
  <c r="V82" i="20" s="1"/>
  <c r="E66" i="15"/>
  <c r="R66" i="15" s="1"/>
  <c r="E39" i="15"/>
  <c r="R39" i="15" s="1"/>
  <c r="E38" i="15"/>
  <c r="R38" i="15" s="1"/>
  <c r="E65" i="15"/>
  <c r="E37" i="15"/>
  <c r="R37" i="15" s="1"/>
  <c r="E36" i="15"/>
  <c r="R36" i="15" s="1"/>
  <c r="E35" i="15"/>
  <c r="R35" i="15" s="1"/>
  <c r="E80" i="15"/>
  <c r="R80" i="15" s="1"/>
  <c r="E92" i="15"/>
  <c r="R92" i="15" s="1"/>
  <c r="E73" i="15"/>
  <c r="R73" i="15" s="1"/>
  <c r="E91" i="15"/>
  <c r="R91" i="15" s="1"/>
  <c r="E33" i="15"/>
  <c r="R33" i="15" s="1"/>
  <c r="E79" i="15"/>
  <c r="R79" i="15" s="1"/>
  <c r="E32" i="15"/>
  <c r="R32" i="15" s="1"/>
  <c r="E74" i="15"/>
  <c r="R74" i="15" s="1"/>
  <c r="E90" i="15"/>
  <c r="R90" i="15" s="1"/>
  <c r="E84" i="15"/>
  <c r="E85" i="15" s="1"/>
  <c r="U85" i="15" s="1"/>
  <c r="E48" i="15"/>
  <c r="E31" i="15"/>
  <c r="R31" i="15" s="1"/>
  <c r="E30" i="15"/>
  <c r="R30" i="15" s="1"/>
  <c r="E72" i="15"/>
  <c r="R72" i="15" s="1"/>
  <c r="E64" i="15"/>
  <c r="E63" i="15"/>
  <c r="R63" i="15" s="1"/>
  <c r="E62" i="15"/>
  <c r="R62" i="15" s="1"/>
  <c r="E28" i="15"/>
  <c r="R28" i="15" s="1"/>
  <c r="E61" i="15"/>
  <c r="E60" i="15"/>
  <c r="R60" i="15" s="1"/>
  <c r="E47" i="15"/>
  <c r="R47" i="15" s="1"/>
  <c r="E59" i="15"/>
  <c r="E58" i="15"/>
  <c r="E78" i="15"/>
  <c r="R78" i="15" s="1"/>
  <c r="E46" i="15"/>
  <c r="R46" i="15" s="1"/>
  <c r="E57" i="15"/>
  <c r="R57" i="15" s="1"/>
  <c r="E56" i="15"/>
  <c r="R56" i="15" s="1"/>
  <c r="E55" i="15"/>
  <c r="R55" i="15" s="1"/>
  <c r="E49" i="15"/>
  <c r="R49" i="15" s="1"/>
  <c r="E54" i="15"/>
  <c r="E27" i="15"/>
  <c r="R27" i="15" s="1"/>
  <c r="E77" i="15"/>
  <c r="R77" i="15" s="1"/>
  <c r="E26" i="15"/>
  <c r="R26" i="15" s="1"/>
  <c r="AN177" i="14"/>
  <c r="AM177" i="14"/>
  <c r="AL177" i="14"/>
  <c r="AK177" i="14"/>
  <c r="AJ177" i="14"/>
  <c r="AG177" i="14"/>
  <c r="S177" i="14"/>
  <c r="D175" i="14"/>
  <c r="AN174" i="14"/>
  <c r="AM174" i="14"/>
  <c r="AK174" i="14"/>
  <c r="AJ174" i="14"/>
  <c r="Q174" i="14"/>
  <c r="K174" i="14"/>
  <c r="G174" i="14"/>
  <c r="AL174" i="14" s="1"/>
  <c r="AF171" i="14"/>
  <c r="AE171" i="14"/>
  <c r="AD171" i="14"/>
  <c r="AC171" i="14"/>
  <c r="AB171" i="14"/>
  <c r="D171" i="14"/>
  <c r="AN170" i="14"/>
  <c r="AM170" i="14"/>
  <c r="AK170" i="14"/>
  <c r="AJ170" i="14"/>
  <c r="Q170" i="14"/>
  <c r="K170" i="14"/>
  <c r="L170" i="14" s="1"/>
  <c r="G170" i="14"/>
  <c r="AL170" i="14" s="1"/>
  <c r="AN169" i="14"/>
  <c r="AM169" i="14"/>
  <c r="AK169" i="14"/>
  <c r="AJ169" i="14"/>
  <c r="Q169" i="14"/>
  <c r="K169" i="14"/>
  <c r="L169" i="14" s="1"/>
  <c r="G169" i="14"/>
  <c r="AL169" i="14" s="1"/>
  <c r="AN168" i="14"/>
  <c r="AM168" i="14"/>
  <c r="AK168" i="14"/>
  <c r="AJ168" i="14"/>
  <c r="Q168" i="14"/>
  <c r="K168" i="14"/>
  <c r="L168" i="14" s="1"/>
  <c r="G168" i="14"/>
  <c r="AL168" i="14" s="1"/>
  <c r="AN167" i="14"/>
  <c r="AM167" i="14"/>
  <c r="AK167" i="14"/>
  <c r="AJ167" i="14"/>
  <c r="Q167" i="14"/>
  <c r="K167" i="14"/>
  <c r="L167" i="14" s="1"/>
  <c r="G167" i="14"/>
  <c r="AL167" i="14" s="1"/>
  <c r="AN166" i="14"/>
  <c r="AM166" i="14"/>
  <c r="AK166" i="14"/>
  <c r="AJ166" i="14"/>
  <c r="Q166" i="14"/>
  <c r="K166" i="14"/>
  <c r="L166" i="14" s="1"/>
  <c r="G166" i="14"/>
  <c r="AL166" i="14" s="1"/>
  <c r="AN165" i="14"/>
  <c r="AM165" i="14"/>
  <c r="AK165" i="14"/>
  <c r="AJ165" i="14"/>
  <c r="Q165" i="14"/>
  <c r="K165" i="14"/>
  <c r="L165" i="14" s="1"/>
  <c r="G165" i="14"/>
  <c r="AL165" i="14" s="1"/>
  <c r="AN164" i="14"/>
  <c r="AM164" i="14"/>
  <c r="AK164" i="14"/>
  <c r="AJ164" i="14"/>
  <c r="Q164" i="14"/>
  <c r="K164" i="14"/>
  <c r="L164" i="14" s="1"/>
  <c r="G164" i="14"/>
  <c r="AL164" i="14" s="1"/>
  <c r="AN163" i="14"/>
  <c r="AM163" i="14"/>
  <c r="AK163" i="14"/>
  <c r="AJ163" i="14"/>
  <c r="Q163" i="14"/>
  <c r="K163" i="14"/>
  <c r="L163" i="14" s="1"/>
  <c r="G163" i="14"/>
  <c r="AL163" i="14" s="1"/>
  <c r="AN162" i="14"/>
  <c r="AM162" i="14"/>
  <c r="AK162" i="14"/>
  <c r="AJ162" i="14"/>
  <c r="Q162" i="14"/>
  <c r="K162" i="14"/>
  <c r="G162" i="14"/>
  <c r="AL162" i="14" s="1"/>
  <c r="AF159" i="14"/>
  <c r="AE159" i="14"/>
  <c r="AD159" i="14"/>
  <c r="AC159" i="14"/>
  <c r="AB159" i="14"/>
  <c r="D159" i="14"/>
  <c r="AN158" i="14"/>
  <c r="AM158" i="14"/>
  <c r="AK158" i="14"/>
  <c r="AJ158" i="14"/>
  <c r="AH158" i="14"/>
  <c r="AI158" i="14" s="1"/>
  <c r="Q158" i="14"/>
  <c r="K158" i="14"/>
  <c r="L158" i="14" s="1"/>
  <c r="G158" i="14"/>
  <c r="AL158" i="14" s="1"/>
  <c r="AN157" i="14"/>
  <c r="AM157" i="14"/>
  <c r="AK157" i="14"/>
  <c r="AJ157" i="14"/>
  <c r="Q157" i="14"/>
  <c r="K157" i="14"/>
  <c r="L157" i="14" s="1"/>
  <c r="N157" i="14" s="1"/>
  <c r="AH157" i="14" s="1"/>
  <c r="AI157" i="14" s="1"/>
  <c r="G157" i="14"/>
  <c r="AL157" i="14" s="1"/>
  <c r="AN156" i="14"/>
  <c r="AM156" i="14"/>
  <c r="AK156" i="14"/>
  <c r="AJ156" i="14"/>
  <c r="Q156" i="14"/>
  <c r="K156" i="14"/>
  <c r="L156" i="14" s="1"/>
  <c r="N156" i="14" s="1"/>
  <c r="AH156" i="14" s="1"/>
  <c r="AI156" i="14" s="1"/>
  <c r="G156" i="14"/>
  <c r="AL156" i="14" s="1"/>
  <c r="AN155" i="14"/>
  <c r="AM155" i="14"/>
  <c r="AK155" i="14"/>
  <c r="AJ155" i="14"/>
  <c r="Q155" i="14"/>
  <c r="K155" i="14"/>
  <c r="L155" i="14" s="1"/>
  <c r="G155" i="14"/>
  <c r="AL155" i="14" s="1"/>
  <c r="AN154" i="14"/>
  <c r="AM154" i="14"/>
  <c r="AK154" i="14"/>
  <c r="AJ154" i="14"/>
  <c r="Q154" i="14"/>
  <c r="K154" i="14"/>
  <c r="L154" i="14" s="1"/>
  <c r="G154" i="14"/>
  <c r="AL154" i="14" s="1"/>
  <c r="AN153" i="14"/>
  <c r="AM153" i="14"/>
  <c r="AK153" i="14"/>
  <c r="AJ153" i="14"/>
  <c r="Q153" i="14"/>
  <c r="K153" i="14"/>
  <c r="G153" i="14"/>
  <c r="AL153" i="14" s="1"/>
  <c r="AF150" i="14"/>
  <c r="AE150" i="14"/>
  <c r="AD150" i="14"/>
  <c r="AC150" i="14"/>
  <c r="AB150" i="14"/>
  <c r="D150" i="14"/>
  <c r="AN149" i="14"/>
  <c r="AM149" i="14"/>
  <c r="AK149" i="14"/>
  <c r="AJ149" i="14"/>
  <c r="Q149" i="14"/>
  <c r="K149" i="14"/>
  <c r="G149" i="14"/>
  <c r="AL149" i="14" s="1"/>
  <c r="D146" i="14"/>
  <c r="AN145" i="14"/>
  <c r="AM145" i="14"/>
  <c r="AK145" i="14"/>
  <c r="AJ145" i="14"/>
  <c r="Q145" i="14"/>
  <c r="K145" i="14"/>
  <c r="L145" i="14" s="1"/>
  <c r="N145" i="14" s="1"/>
  <c r="AH145" i="14" s="1"/>
  <c r="AI145" i="14" s="1"/>
  <c r="G145" i="14"/>
  <c r="AL145" i="14" s="1"/>
  <c r="AN144" i="14"/>
  <c r="AM144" i="14"/>
  <c r="AK144" i="14"/>
  <c r="AJ144" i="14"/>
  <c r="Q144" i="14"/>
  <c r="K144" i="14"/>
  <c r="L144" i="14" s="1"/>
  <c r="G144" i="14"/>
  <c r="AL144" i="14" s="1"/>
  <c r="AF141" i="14"/>
  <c r="AE141" i="14"/>
  <c r="AD141" i="14"/>
  <c r="AC141" i="14"/>
  <c r="AB141" i="14"/>
  <c r="AN140" i="14"/>
  <c r="AM140" i="14"/>
  <c r="AK140" i="14"/>
  <c r="AJ140" i="14"/>
  <c r="Q140" i="14"/>
  <c r="K140" i="14"/>
  <c r="G140" i="14"/>
  <c r="AL140" i="14" s="1"/>
  <c r="AN139" i="14"/>
  <c r="AM139" i="14"/>
  <c r="AK139" i="14"/>
  <c r="AJ139" i="14"/>
  <c r="Q139" i="14"/>
  <c r="K139" i="14"/>
  <c r="L139" i="14" s="1"/>
  <c r="N139" i="14" s="1"/>
  <c r="AH139" i="14" s="1"/>
  <c r="AI139" i="14" s="1"/>
  <c r="G139" i="14"/>
  <c r="AL139" i="14" s="1"/>
  <c r="AN138" i="14"/>
  <c r="AM138" i="14"/>
  <c r="AK138" i="14"/>
  <c r="AJ138" i="14"/>
  <c r="Q138" i="14"/>
  <c r="K138" i="14"/>
  <c r="L138" i="14" s="1"/>
  <c r="N138" i="14" s="1"/>
  <c r="AH138" i="14" s="1"/>
  <c r="AI138" i="14" s="1"/>
  <c r="G138" i="14"/>
  <c r="AL138" i="14" s="1"/>
  <c r="AN137" i="14"/>
  <c r="AM137" i="14"/>
  <c r="AK137" i="14"/>
  <c r="AJ137" i="14"/>
  <c r="Q137" i="14"/>
  <c r="G137" i="14"/>
  <c r="AL137" i="14" s="1"/>
  <c r="D137" i="14"/>
  <c r="K137" i="14" s="1"/>
  <c r="L137" i="14" s="1"/>
  <c r="N137" i="14" s="1"/>
  <c r="AH137" i="14" s="1"/>
  <c r="AI137" i="14" s="1"/>
  <c r="AN136" i="14"/>
  <c r="AM136" i="14"/>
  <c r="AK136" i="14"/>
  <c r="AJ136" i="14"/>
  <c r="Q136" i="14"/>
  <c r="G136" i="14"/>
  <c r="AL136" i="14" s="1"/>
  <c r="D136" i="14"/>
  <c r="K136" i="14" s="1"/>
  <c r="L136" i="14" s="1"/>
  <c r="AF132" i="14"/>
  <c r="AE132" i="14"/>
  <c r="AD132" i="14"/>
  <c r="AB132" i="14"/>
  <c r="AA132" i="14"/>
  <c r="Y132" i="14"/>
  <c r="X132" i="14"/>
  <c r="W132" i="14"/>
  <c r="U132" i="14"/>
  <c r="T132" i="14"/>
  <c r="D132" i="14"/>
  <c r="AN131" i="14"/>
  <c r="AM131" i="14"/>
  <c r="AK131" i="14"/>
  <c r="AJ131" i="14"/>
  <c r="Q131" i="14"/>
  <c r="K131" i="14"/>
  <c r="L131" i="14" s="1"/>
  <c r="G131" i="14"/>
  <c r="AL131" i="14" s="1"/>
  <c r="AN130" i="14"/>
  <c r="AM130" i="14"/>
  <c r="AK130" i="14"/>
  <c r="AJ130" i="14"/>
  <c r="Q130" i="14"/>
  <c r="K130" i="14"/>
  <c r="L130" i="14" s="1"/>
  <c r="N130" i="14" s="1"/>
  <c r="AH130" i="14" s="1"/>
  <c r="AI130" i="14" s="1"/>
  <c r="G130" i="14"/>
  <c r="AL130" i="14" s="1"/>
  <c r="AN129" i="14"/>
  <c r="AM129" i="14"/>
  <c r="AK129" i="14"/>
  <c r="AJ129" i="14"/>
  <c r="Q129" i="14"/>
  <c r="K129" i="14"/>
  <c r="L129" i="14" s="1"/>
  <c r="N129" i="14" s="1"/>
  <c r="AH129" i="14" s="1"/>
  <c r="AI129" i="14" s="1"/>
  <c r="G129" i="14"/>
  <c r="AL129" i="14" s="1"/>
  <c r="AN128" i="14"/>
  <c r="AM128" i="14"/>
  <c r="AK128" i="14"/>
  <c r="AJ128" i="14"/>
  <c r="Q128" i="14"/>
  <c r="K128" i="14"/>
  <c r="G128" i="14"/>
  <c r="AL128" i="14" s="1"/>
  <c r="AE124" i="14"/>
  <c r="AD124" i="14"/>
  <c r="AC124" i="14"/>
  <c r="AB124" i="14"/>
  <c r="AA124" i="14"/>
  <c r="X124" i="14"/>
  <c r="W124" i="14"/>
  <c r="V124" i="14"/>
  <c r="U124" i="14"/>
  <c r="T124" i="14"/>
  <c r="AN123" i="14"/>
  <c r="AM123" i="14"/>
  <c r="AK123" i="14"/>
  <c r="AJ123" i="14"/>
  <c r="Q123" i="14"/>
  <c r="K123" i="14"/>
  <c r="L123" i="14" s="1"/>
  <c r="N123" i="14" s="1"/>
  <c r="AH123" i="14" s="1"/>
  <c r="AI123" i="14" s="1"/>
  <c r="G123" i="14"/>
  <c r="AL123" i="14" s="1"/>
  <c r="AN122" i="14"/>
  <c r="AM122" i="14"/>
  <c r="AK122" i="14"/>
  <c r="AJ122" i="14"/>
  <c r="Q122" i="14"/>
  <c r="G122" i="14"/>
  <c r="AL122" i="14" s="1"/>
  <c r="D122" i="14"/>
  <c r="AN121" i="14"/>
  <c r="AM121" i="14"/>
  <c r="AK121" i="14"/>
  <c r="AJ121" i="14"/>
  <c r="Q121" i="14"/>
  <c r="K121" i="14"/>
  <c r="L121" i="14" s="1"/>
  <c r="G121" i="14"/>
  <c r="AL121" i="14" s="1"/>
  <c r="AN120" i="14"/>
  <c r="AM120" i="14"/>
  <c r="AK120" i="14"/>
  <c r="AJ120" i="14"/>
  <c r="Q120" i="14"/>
  <c r="K120" i="14"/>
  <c r="L120" i="14" s="1"/>
  <c r="G120" i="14"/>
  <c r="AL120" i="14" s="1"/>
  <c r="AF117" i="14"/>
  <c r="AE117" i="14"/>
  <c r="AD117" i="14"/>
  <c r="AC117" i="14"/>
  <c r="AB117" i="14"/>
  <c r="AN116" i="14"/>
  <c r="AM116" i="14"/>
  <c r="AK116" i="14"/>
  <c r="AJ116" i="14"/>
  <c r="Q116" i="14"/>
  <c r="K116" i="14"/>
  <c r="L116" i="14" s="1"/>
  <c r="M116" i="14" s="1"/>
  <c r="G116" i="14"/>
  <c r="AL116" i="14" s="1"/>
  <c r="AN115" i="14"/>
  <c r="AM115" i="14"/>
  <c r="AK115" i="14"/>
  <c r="AJ115" i="14"/>
  <c r="Q115" i="14"/>
  <c r="K115" i="14"/>
  <c r="G115" i="14"/>
  <c r="AL115" i="14" s="1"/>
  <c r="AN114" i="14"/>
  <c r="AM114" i="14"/>
  <c r="AK114" i="14"/>
  <c r="AJ114" i="14"/>
  <c r="Q114" i="14"/>
  <c r="K114" i="14"/>
  <c r="L114" i="14" s="1"/>
  <c r="M114" i="14" s="1"/>
  <c r="G114" i="14"/>
  <c r="AL114" i="14" s="1"/>
  <c r="AN113" i="14"/>
  <c r="AM113" i="14"/>
  <c r="AK113" i="14"/>
  <c r="AJ113" i="14"/>
  <c r="Q113" i="14"/>
  <c r="K113" i="14"/>
  <c r="G113" i="14"/>
  <c r="AL113" i="14" s="1"/>
  <c r="AN112" i="14"/>
  <c r="AM112" i="14"/>
  <c r="AK112" i="14"/>
  <c r="AJ112" i="14"/>
  <c r="Q112" i="14"/>
  <c r="K112" i="14"/>
  <c r="L112" i="14" s="1"/>
  <c r="G112" i="14"/>
  <c r="AL112" i="14" s="1"/>
  <c r="AN111" i="14"/>
  <c r="AM111" i="14"/>
  <c r="AK111" i="14"/>
  <c r="AJ111" i="14"/>
  <c r="AF111" i="14"/>
  <c r="AD111" i="14"/>
  <c r="Q111" i="14"/>
  <c r="K111" i="14"/>
  <c r="L111" i="14" s="1"/>
  <c r="G111" i="14"/>
  <c r="AL111" i="14" s="1"/>
  <c r="AN110" i="14"/>
  <c r="AM110" i="14"/>
  <c r="AK110" i="14"/>
  <c r="AJ110" i="14"/>
  <c r="AF110" i="14"/>
  <c r="AD110" i="14"/>
  <c r="Q110" i="14"/>
  <c r="K110" i="14"/>
  <c r="L110" i="14" s="1"/>
  <c r="G110" i="14"/>
  <c r="AL110" i="14" s="1"/>
  <c r="AN109" i="14"/>
  <c r="AM109" i="14"/>
  <c r="AK109" i="14"/>
  <c r="AJ109" i="14"/>
  <c r="AF109" i="14"/>
  <c r="AD109" i="14"/>
  <c r="Q109" i="14"/>
  <c r="K109" i="14"/>
  <c r="G109" i="14"/>
  <c r="AL109" i="14" s="1"/>
  <c r="AN108" i="14"/>
  <c r="AM108" i="14"/>
  <c r="AK108" i="14"/>
  <c r="AJ108" i="14"/>
  <c r="Q108" i="14"/>
  <c r="K108" i="14"/>
  <c r="L108" i="14" s="1"/>
  <c r="M108" i="14" s="1"/>
  <c r="G108" i="14"/>
  <c r="AL108" i="14" s="1"/>
  <c r="AN107" i="14"/>
  <c r="AM107" i="14"/>
  <c r="AK107" i="14"/>
  <c r="AJ107" i="14"/>
  <c r="Q107" i="14"/>
  <c r="K107" i="14"/>
  <c r="L107" i="14" s="1"/>
  <c r="G107" i="14"/>
  <c r="AL107" i="14" s="1"/>
  <c r="AN106" i="14"/>
  <c r="AM106" i="14"/>
  <c r="AK106" i="14"/>
  <c r="AJ106" i="14"/>
  <c r="Q106" i="14"/>
  <c r="K106" i="14"/>
  <c r="L106" i="14" s="1"/>
  <c r="G106" i="14"/>
  <c r="AL106" i="14" s="1"/>
  <c r="AN105" i="14"/>
  <c r="AM105" i="14"/>
  <c r="AK105" i="14"/>
  <c r="AJ105" i="14"/>
  <c r="Q105" i="14"/>
  <c r="K105" i="14"/>
  <c r="L105" i="14" s="1"/>
  <c r="G105" i="14"/>
  <c r="AL105" i="14" s="1"/>
  <c r="AN104" i="14"/>
  <c r="AM104" i="14"/>
  <c r="AK104" i="14"/>
  <c r="AJ104" i="14"/>
  <c r="Q104" i="14"/>
  <c r="G104" i="14"/>
  <c r="AL104" i="14" s="1"/>
  <c r="D104" i="14"/>
  <c r="K104" i="14" s="1"/>
  <c r="L104" i="14" s="1"/>
  <c r="AN103" i="14"/>
  <c r="AM103" i="14"/>
  <c r="AK103" i="14"/>
  <c r="AJ103" i="14"/>
  <c r="Q103" i="14"/>
  <c r="K103" i="14"/>
  <c r="L103" i="14" s="1"/>
  <c r="G103" i="14"/>
  <c r="AL103" i="14" s="1"/>
  <c r="AN102" i="14"/>
  <c r="AM102" i="14"/>
  <c r="AK102" i="14"/>
  <c r="AJ102" i="14"/>
  <c r="Q102" i="14"/>
  <c r="G102" i="14"/>
  <c r="AL102" i="14" s="1"/>
  <c r="D102" i="14"/>
  <c r="AN101" i="14"/>
  <c r="AM101" i="14"/>
  <c r="AK101" i="14"/>
  <c r="AJ101" i="14"/>
  <c r="Q101" i="14"/>
  <c r="K101" i="14"/>
  <c r="L101" i="14" s="1"/>
  <c r="G101" i="14"/>
  <c r="AL101" i="14" s="1"/>
  <c r="AN100" i="14"/>
  <c r="AM100" i="14"/>
  <c r="AK100" i="14"/>
  <c r="AJ100" i="14"/>
  <c r="Q100" i="14"/>
  <c r="K100" i="14"/>
  <c r="L100" i="14" s="1"/>
  <c r="G100" i="14"/>
  <c r="AL100" i="14" s="1"/>
  <c r="AN99" i="14"/>
  <c r="AM99" i="14"/>
  <c r="AK99" i="14"/>
  <c r="AJ99" i="14"/>
  <c r="Q99" i="14"/>
  <c r="K99" i="14"/>
  <c r="L99" i="14" s="1"/>
  <c r="G99" i="14"/>
  <c r="AL99" i="14" s="1"/>
  <c r="AN98" i="14"/>
  <c r="AM98" i="14"/>
  <c r="AK98" i="14"/>
  <c r="AJ98" i="14"/>
  <c r="Q98" i="14"/>
  <c r="K98" i="14"/>
  <c r="L98" i="14" s="1"/>
  <c r="G98" i="14"/>
  <c r="AL98" i="14" s="1"/>
  <c r="AN97" i="14"/>
  <c r="AM97" i="14"/>
  <c r="AK97" i="14"/>
  <c r="AJ97" i="14"/>
  <c r="Q97" i="14"/>
  <c r="K97" i="14"/>
  <c r="L97" i="14" s="1"/>
  <c r="G97" i="14"/>
  <c r="AL97" i="14" s="1"/>
  <c r="AN96" i="14"/>
  <c r="AM96" i="14"/>
  <c r="AK96" i="14"/>
  <c r="AJ96" i="14"/>
  <c r="Q96" i="14"/>
  <c r="K96" i="14"/>
  <c r="L96" i="14" s="1"/>
  <c r="G96" i="14"/>
  <c r="AL96" i="14" s="1"/>
  <c r="AN95" i="14"/>
  <c r="AM95" i="14"/>
  <c r="AK95" i="14"/>
  <c r="AJ95" i="14"/>
  <c r="Q95" i="14"/>
  <c r="K95" i="14"/>
  <c r="L95" i="14" s="1"/>
  <c r="G95" i="14"/>
  <c r="AL95" i="14" s="1"/>
  <c r="AN94" i="14"/>
  <c r="AM94" i="14"/>
  <c r="AK94" i="14"/>
  <c r="AJ94" i="14"/>
  <c r="Q94" i="14"/>
  <c r="K94" i="14"/>
  <c r="L94" i="14" s="1"/>
  <c r="G94" i="14"/>
  <c r="AL94" i="14" s="1"/>
  <c r="AF91" i="14"/>
  <c r="AE91" i="14"/>
  <c r="AD91" i="14"/>
  <c r="AC91" i="14"/>
  <c r="AB91" i="14"/>
  <c r="D91" i="14"/>
  <c r="AN90" i="14"/>
  <c r="AM90" i="14"/>
  <c r="AK90" i="14"/>
  <c r="AJ90" i="14"/>
  <c r="Q90" i="14"/>
  <c r="K90" i="14"/>
  <c r="L90" i="14" s="1"/>
  <c r="G90" i="14"/>
  <c r="AL90" i="14" s="1"/>
  <c r="AN89" i="14"/>
  <c r="AM89" i="14"/>
  <c r="AK89" i="14"/>
  <c r="AJ89" i="14"/>
  <c r="Q89" i="14"/>
  <c r="K89" i="14"/>
  <c r="L89" i="14" s="1"/>
  <c r="G89" i="14"/>
  <c r="AL89" i="14" s="1"/>
  <c r="AN88" i="14"/>
  <c r="AM88" i="14"/>
  <c r="AK88" i="14"/>
  <c r="AJ88" i="14"/>
  <c r="Q88" i="14"/>
  <c r="K88" i="14"/>
  <c r="L88" i="14" s="1"/>
  <c r="G88" i="14"/>
  <c r="AL88" i="14" s="1"/>
  <c r="AN87" i="14"/>
  <c r="AM87" i="14"/>
  <c r="AK87" i="14"/>
  <c r="AJ87" i="14"/>
  <c r="Q87" i="14"/>
  <c r="K87" i="14"/>
  <c r="L87" i="14" s="1"/>
  <c r="G87" i="14"/>
  <c r="AL87" i="14" s="1"/>
  <c r="AN86" i="14"/>
  <c r="AM86" i="14"/>
  <c r="AK86" i="14"/>
  <c r="AJ86" i="14"/>
  <c r="Q86" i="14"/>
  <c r="K86" i="14"/>
  <c r="L86" i="14" s="1"/>
  <c r="G86" i="14"/>
  <c r="AL86" i="14" s="1"/>
  <c r="AN85" i="14"/>
  <c r="AM85" i="14"/>
  <c r="AK85" i="14"/>
  <c r="AJ85" i="14"/>
  <c r="Q85" i="14"/>
  <c r="K85" i="14"/>
  <c r="L85" i="14" s="1"/>
  <c r="G85" i="14"/>
  <c r="AL85" i="14" s="1"/>
  <c r="AF82" i="14"/>
  <c r="AE82" i="14"/>
  <c r="AD82" i="14"/>
  <c r="Y82" i="14"/>
  <c r="X82" i="14"/>
  <c r="W82" i="14"/>
  <c r="D82" i="14"/>
  <c r="AN81" i="14"/>
  <c r="AM81" i="14"/>
  <c r="AK81" i="14"/>
  <c r="AJ81" i="14"/>
  <c r="Q81" i="14"/>
  <c r="K81" i="14"/>
  <c r="L81" i="14" s="1"/>
  <c r="G81" i="14"/>
  <c r="AL81" i="14" s="1"/>
  <c r="AN80" i="14"/>
  <c r="AM80" i="14"/>
  <c r="AK80" i="14"/>
  <c r="AJ80" i="14"/>
  <c r="Q80" i="14"/>
  <c r="K80" i="14"/>
  <c r="L80" i="14" s="1"/>
  <c r="G80" i="14"/>
  <c r="AL80" i="14" s="1"/>
  <c r="AN79" i="14"/>
  <c r="AM79" i="14"/>
  <c r="AK79" i="14"/>
  <c r="AJ79" i="14"/>
  <c r="Q79" i="14"/>
  <c r="K79" i="14"/>
  <c r="G79" i="14"/>
  <c r="AL79" i="14" s="1"/>
  <c r="AC76" i="14"/>
  <c r="AB76" i="14"/>
  <c r="AA76" i="14"/>
  <c r="D76" i="14"/>
  <c r="AN75" i="14"/>
  <c r="AM75" i="14"/>
  <c r="AK75" i="14"/>
  <c r="AJ75" i="14"/>
  <c r="Q75" i="14"/>
  <c r="K75" i="14"/>
  <c r="L75" i="14" s="1"/>
  <c r="G75" i="14"/>
  <c r="AL75" i="14" s="1"/>
  <c r="AN74" i="14"/>
  <c r="AM74" i="14"/>
  <c r="AK74" i="14"/>
  <c r="AJ74" i="14"/>
  <c r="Q74" i="14"/>
  <c r="K74" i="14"/>
  <c r="L74" i="14" s="1"/>
  <c r="G74" i="14"/>
  <c r="AL74" i="14" s="1"/>
  <c r="AN73" i="14"/>
  <c r="AM73" i="14"/>
  <c r="AK73" i="14"/>
  <c r="AJ73" i="14"/>
  <c r="Q73" i="14"/>
  <c r="K73" i="14"/>
  <c r="G73" i="14"/>
  <c r="AL73" i="14" s="1"/>
  <c r="AN72" i="14"/>
  <c r="AM72" i="14"/>
  <c r="AK72" i="14"/>
  <c r="AJ72" i="14"/>
  <c r="Q72" i="14"/>
  <c r="K72" i="14"/>
  <c r="L72" i="14" s="1"/>
  <c r="G72" i="14"/>
  <c r="AL72" i="14" s="1"/>
  <c r="D69" i="14"/>
  <c r="AN68" i="14"/>
  <c r="AM68" i="14"/>
  <c r="AK68" i="14"/>
  <c r="AJ68" i="14"/>
  <c r="AF68" i="14"/>
  <c r="AD68" i="14"/>
  <c r="Q68" i="14"/>
  <c r="K68" i="14"/>
  <c r="L68" i="14" s="1"/>
  <c r="N68" i="14" s="1"/>
  <c r="AH68" i="14" s="1"/>
  <c r="AI68" i="14" s="1"/>
  <c r="G68" i="14"/>
  <c r="AL68" i="14" s="1"/>
  <c r="AN67" i="14"/>
  <c r="AM67" i="14"/>
  <c r="AK67" i="14"/>
  <c r="AJ67" i="14"/>
  <c r="AF67" i="14"/>
  <c r="AD67" i="14"/>
  <c r="Q67" i="14"/>
  <c r="K67" i="14"/>
  <c r="L67" i="14" s="1"/>
  <c r="N67" i="14" s="1"/>
  <c r="AH67" i="14" s="1"/>
  <c r="AI67" i="14" s="1"/>
  <c r="G67" i="14"/>
  <c r="AL67" i="14" s="1"/>
  <c r="AN66" i="14"/>
  <c r="AM66" i="14"/>
  <c r="AK66" i="14"/>
  <c r="AJ66" i="14"/>
  <c r="AF66" i="14"/>
  <c r="AD66" i="14"/>
  <c r="Q66" i="14"/>
  <c r="K66" i="14"/>
  <c r="L66" i="14" s="1"/>
  <c r="N66" i="14" s="1"/>
  <c r="AH66" i="14" s="1"/>
  <c r="AI66" i="14" s="1"/>
  <c r="G66" i="14"/>
  <c r="AL66" i="14" s="1"/>
  <c r="AN65" i="14"/>
  <c r="AM65" i="14"/>
  <c r="AK65" i="14"/>
  <c r="AJ65" i="14"/>
  <c r="AF65" i="14"/>
  <c r="AF69" i="14" s="1"/>
  <c r="AD65" i="14"/>
  <c r="AD69" i="14" s="1"/>
  <c r="Q65" i="14"/>
  <c r="K65" i="14"/>
  <c r="G65" i="14"/>
  <c r="AL65" i="14" s="1"/>
  <c r="D62" i="14"/>
  <c r="AN61" i="14"/>
  <c r="AM61" i="14"/>
  <c r="AK61" i="14"/>
  <c r="AJ61" i="14"/>
  <c r="Q61" i="14"/>
  <c r="K61" i="14"/>
  <c r="L61" i="14" s="1"/>
  <c r="G61" i="14"/>
  <c r="AL61" i="14" s="1"/>
  <c r="AN60" i="14"/>
  <c r="AM60" i="14"/>
  <c r="AK60" i="14"/>
  <c r="AJ60" i="14"/>
  <c r="Q60" i="14"/>
  <c r="K60" i="14"/>
  <c r="L60" i="14" s="1"/>
  <c r="G60" i="14"/>
  <c r="AL60" i="14" s="1"/>
  <c r="AN59" i="14"/>
  <c r="AM59" i="14"/>
  <c r="AK59" i="14"/>
  <c r="AJ59" i="14"/>
  <c r="Q59" i="14"/>
  <c r="K59" i="14"/>
  <c r="L59" i="14" s="1"/>
  <c r="G59" i="14"/>
  <c r="AL59" i="14" s="1"/>
  <c r="AN58" i="14"/>
  <c r="AM58" i="14"/>
  <c r="AK58" i="14"/>
  <c r="AJ58" i="14"/>
  <c r="Q58" i="14"/>
  <c r="K58" i="14"/>
  <c r="L58" i="14" s="1"/>
  <c r="G58" i="14"/>
  <c r="AL58" i="14" s="1"/>
  <c r="AN57" i="14"/>
  <c r="AM57" i="14"/>
  <c r="AK57" i="14"/>
  <c r="AJ57" i="14"/>
  <c r="Q57" i="14"/>
  <c r="K57" i="14"/>
  <c r="L57" i="14" s="1"/>
  <c r="G57" i="14"/>
  <c r="AL57" i="14" s="1"/>
  <c r="AN56" i="14"/>
  <c r="AM56" i="14"/>
  <c r="AK56" i="14"/>
  <c r="AJ56" i="14"/>
  <c r="Q56" i="14"/>
  <c r="K56" i="14"/>
  <c r="L56" i="14" s="1"/>
  <c r="G56" i="14"/>
  <c r="AL56" i="14" s="1"/>
  <c r="AN55" i="14"/>
  <c r="AM55" i="14"/>
  <c r="AK55" i="14"/>
  <c r="AJ55" i="14"/>
  <c r="Q55" i="14"/>
  <c r="K55" i="14"/>
  <c r="L55" i="14" s="1"/>
  <c r="G55" i="14"/>
  <c r="AL55" i="14" s="1"/>
  <c r="AN54" i="14"/>
  <c r="AM54" i="14"/>
  <c r="AK54" i="14"/>
  <c r="AJ54" i="14"/>
  <c r="Q54" i="14"/>
  <c r="K54" i="14"/>
  <c r="L54" i="14" s="1"/>
  <c r="G54" i="14"/>
  <c r="AL54" i="14" s="1"/>
  <c r="AN53" i="14"/>
  <c r="AM53" i="14"/>
  <c r="AK53" i="14"/>
  <c r="AJ53" i="14"/>
  <c r="Q53" i="14"/>
  <c r="K53" i="14"/>
  <c r="L53" i="14" s="1"/>
  <c r="G53" i="14"/>
  <c r="AL53" i="14" s="1"/>
  <c r="AN52" i="14"/>
  <c r="AM52" i="14"/>
  <c r="AK52" i="14"/>
  <c r="AJ52" i="14"/>
  <c r="Q52" i="14"/>
  <c r="K52" i="14"/>
  <c r="L52" i="14" s="1"/>
  <c r="G52" i="14"/>
  <c r="AL52" i="14" s="1"/>
  <c r="AN51" i="14"/>
  <c r="AM51" i="14"/>
  <c r="AK51" i="14"/>
  <c r="AJ51" i="14"/>
  <c r="Q51" i="14"/>
  <c r="K51" i="14"/>
  <c r="L51" i="14" s="1"/>
  <c r="G51" i="14"/>
  <c r="AL51" i="14" s="1"/>
  <c r="AN50" i="14"/>
  <c r="AM50" i="14"/>
  <c r="AK50" i="14"/>
  <c r="AJ50" i="14"/>
  <c r="Q50" i="14"/>
  <c r="K50" i="14"/>
  <c r="L50" i="14" s="1"/>
  <c r="G50" i="14"/>
  <c r="AL50" i="14" s="1"/>
  <c r="AN49" i="14"/>
  <c r="AM49" i="14"/>
  <c r="AK49" i="14"/>
  <c r="AJ49" i="14"/>
  <c r="Q49" i="14"/>
  <c r="K49" i="14"/>
  <c r="L49" i="14" s="1"/>
  <c r="G49" i="14"/>
  <c r="AL49" i="14" s="1"/>
  <c r="AN48" i="14"/>
  <c r="AM48" i="14"/>
  <c r="AK48" i="14"/>
  <c r="AJ48" i="14"/>
  <c r="Q48" i="14"/>
  <c r="K48" i="14"/>
  <c r="L48" i="14" s="1"/>
  <c r="G48" i="14"/>
  <c r="AL48" i="14" s="1"/>
  <c r="AN43" i="14"/>
  <c r="AM43" i="14"/>
  <c r="AK43" i="14"/>
  <c r="AJ43" i="14"/>
  <c r="AF43" i="14"/>
  <c r="AF44" i="14" s="1"/>
  <c r="AD43" i="14"/>
  <c r="AD44" i="14" s="1"/>
  <c r="Q43" i="14"/>
  <c r="G43" i="14"/>
  <c r="AL43" i="14" s="1"/>
  <c r="D43" i="14"/>
  <c r="K43" i="14" s="1"/>
  <c r="K44" i="14" s="1"/>
  <c r="Y40" i="14"/>
  <c r="X40" i="14"/>
  <c r="W40" i="14"/>
  <c r="V40" i="14"/>
  <c r="U40" i="14"/>
  <c r="D40" i="14"/>
  <c r="AN39" i="14"/>
  <c r="AM39" i="14"/>
  <c r="AK39" i="14"/>
  <c r="AJ39" i="14"/>
  <c r="AF39" i="14"/>
  <c r="AF40" i="14" s="1"/>
  <c r="AD39" i="14"/>
  <c r="AD40" i="14" s="1"/>
  <c r="Q39" i="14"/>
  <c r="Q40" i="14" s="1"/>
  <c r="K39" i="14"/>
  <c r="L39" i="14" s="1"/>
  <c r="L40" i="14" s="1"/>
  <c r="G39" i="14"/>
  <c r="AL39" i="14" s="1"/>
  <c r="X36" i="14"/>
  <c r="W36" i="14"/>
  <c r="V36" i="14"/>
  <c r="U36" i="14"/>
  <c r="AN34" i="14"/>
  <c r="AM34" i="14"/>
  <c r="AK34" i="14"/>
  <c r="AJ34" i="14"/>
  <c r="AF34" i="14"/>
  <c r="AD34" i="14"/>
  <c r="Q34" i="14"/>
  <c r="K34" i="14"/>
  <c r="L34" i="14" s="1"/>
  <c r="M34" i="14" s="1"/>
  <c r="G34" i="14"/>
  <c r="AL34" i="14" s="1"/>
  <c r="AN33" i="14"/>
  <c r="AM33" i="14"/>
  <c r="AK33" i="14"/>
  <c r="AJ33" i="14"/>
  <c r="AF33" i="14"/>
  <c r="AD33" i="14"/>
  <c r="Q33" i="14"/>
  <c r="K33" i="14"/>
  <c r="L33" i="14" s="1"/>
  <c r="M33" i="14" s="1"/>
  <c r="G33" i="14"/>
  <c r="AL33" i="14" s="1"/>
  <c r="AN32" i="14"/>
  <c r="AM32" i="14"/>
  <c r="AK32" i="14"/>
  <c r="AJ32" i="14"/>
  <c r="AF32" i="14"/>
  <c r="AD32" i="14"/>
  <c r="Q32" i="14"/>
  <c r="G32" i="14"/>
  <c r="AL32" i="14" s="1"/>
  <c r="D32" i="14"/>
  <c r="AN31" i="14"/>
  <c r="AM31" i="14"/>
  <c r="AK31" i="14"/>
  <c r="AJ31" i="14"/>
  <c r="AF31" i="14"/>
  <c r="AD31" i="14"/>
  <c r="Q31" i="14"/>
  <c r="K31" i="14"/>
  <c r="L31" i="14" s="1"/>
  <c r="M31" i="14" s="1"/>
  <c r="G31" i="14"/>
  <c r="AL31" i="14" s="1"/>
  <c r="AN30" i="14"/>
  <c r="AM30" i="14"/>
  <c r="AK30" i="14"/>
  <c r="AJ30" i="14"/>
  <c r="AF30" i="14"/>
  <c r="AD30" i="14"/>
  <c r="Q30" i="14"/>
  <c r="K30" i="14"/>
  <c r="L30" i="14" s="1"/>
  <c r="M30" i="14" s="1"/>
  <c r="Z30" i="14" s="1"/>
  <c r="G30" i="14"/>
  <c r="AL30" i="14" s="1"/>
  <c r="AN29" i="14"/>
  <c r="AM29" i="14"/>
  <c r="AK29" i="14"/>
  <c r="AJ29" i="14"/>
  <c r="AF29" i="14"/>
  <c r="AD29" i="14"/>
  <c r="Q29" i="14"/>
  <c r="K29" i="14"/>
  <c r="L29" i="14" s="1"/>
  <c r="M29" i="14" s="1"/>
  <c r="G29" i="14"/>
  <c r="AL29" i="14" s="1"/>
  <c r="AN28" i="14"/>
  <c r="AM28" i="14"/>
  <c r="AK28" i="14"/>
  <c r="AJ28" i="14"/>
  <c r="AF28" i="14"/>
  <c r="AD28" i="14"/>
  <c r="Q28" i="14"/>
  <c r="K28" i="14"/>
  <c r="L28" i="14" s="1"/>
  <c r="G28" i="14"/>
  <c r="AL28" i="14" s="1"/>
  <c r="AN27" i="14"/>
  <c r="AM27" i="14"/>
  <c r="AK27" i="14"/>
  <c r="AJ27" i="14"/>
  <c r="AF27" i="14"/>
  <c r="AD27" i="14"/>
  <c r="Q27" i="14"/>
  <c r="K27" i="14"/>
  <c r="L27" i="14" s="1"/>
  <c r="G27" i="14"/>
  <c r="AL27" i="14" s="1"/>
  <c r="AN26" i="14"/>
  <c r="AM26" i="14"/>
  <c r="AK26" i="14"/>
  <c r="AJ26" i="14"/>
  <c r="AF26" i="14"/>
  <c r="AD26" i="14"/>
  <c r="Q26" i="14"/>
  <c r="K26" i="14"/>
  <c r="L26" i="14" s="1"/>
  <c r="G26" i="14"/>
  <c r="AL26" i="14" s="1"/>
  <c r="AN25" i="14"/>
  <c r="AM25" i="14"/>
  <c r="AK25" i="14"/>
  <c r="AJ25" i="14"/>
  <c r="AF25" i="14"/>
  <c r="AD25" i="14"/>
  <c r="Q25" i="14"/>
  <c r="K25" i="14"/>
  <c r="L25" i="14" s="1"/>
  <c r="G25" i="14"/>
  <c r="AL25" i="14" s="1"/>
  <c r="AN24" i="14"/>
  <c r="AM24" i="14"/>
  <c r="AK24" i="14"/>
  <c r="AJ24" i="14"/>
  <c r="AF24" i="14"/>
  <c r="AD24" i="14"/>
  <c r="Q24" i="14"/>
  <c r="K24" i="14"/>
  <c r="L24" i="14" s="1"/>
  <c r="G24" i="14"/>
  <c r="AL24" i="14" s="1"/>
  <c r="AN23" i="14"/>
  <c r="AM23" i="14"/>
  <c r="AK23" i="14"/>
  <c r="AJ23" i="14"/>
  <c r="AF23" i="14"/>
  <c r="AD23" i="14"/>
  <c r="Q23" i="14"/>
  <c r="K23" i="14"/>
  <c r="L23" i="14" s="1"/>
  <c r="G23" i="14"/>
  <c r="AL23" i="14" s="1"/>
  <c r="AN22" i="14"/>
  <c r="AM22" i="14"/>
  <c r="AK22" i="14"/>
  <c r="AJ22" i="14"/>
  <c r="AF22" i="14"/>
  <c r="AD22" i="14"/>
  <c r="Q22" i="14"/>
  <c r="K22" i="14"/>
  <c r="L22" i="14" s="1"/>
  <c r="G22" i="14"/>
  <c r="AL22" i="14" s="1"/>
  <c r="AN21" i="14"/>
  <c r="AM21" i="14"/>
  <c r="AK21" i="14"/>
  <c r="AJ21" i="14"/>
  <c r="AF21" i="14"/>
  <c r="AD21" i="14"/>
  <c r="Q21" i="14"/>
  <c r="K21" i="14"/>
  <c r="L21" i="14" s="1"/>
  <c r="G21" i="14"/>
  <c r="AL21" i="14" s="1"/>
  <c r="AN20" i="14"/>
  <c r="AM20" i="14"/>
  <c r="AK20" i="14"/>
  <c r="AJ20" i="14"/>
  <c r="AF20" i="14"/>
  <c r="AD20" i="14"/>
  <c r="Q20" i="14"/>
  <c r="K20" i="14"/>
  <c r="L20" i="14" s="1"/>
  <c r="G20" i="14"/>
  <c r="AL20" i="14" s="1"/>
  <c r="AN19" i="14"/>
  <c r="AM19" i="14"/>
  <c r="AK19" i="14"/>
  <c r="AJ19" i="14"/>
  <c r="AF19" i="14"/>
  <c r="AD19" i="14"/>
  <c r="Q19" i="14"/>
  <c r="K19" i="14"/>
  <c r="L19" i="14" s="1"/>
  <c r="G19" i="14"/>
  <c r="AL19" i="14" s="1"/>
  <c r="AN18" i="14"/>
  <c r="AM18" i="14"/>
  <c r="AK18" i="14"/>
  <c r="AJ18" i="14"/>
  <c r="AF18" i="14"/>
  <c r="AD18" i="14"/>
  <c r="Q18" i="14"/>
  <c r="K18" i="14"/>
  <c r="L18" i="14" s="1"/>
  <c r="G18" i="14"/>
  <c r="AL18" i="14" s="1"/>
  <c r="AN17" i="14"/>
  <c r="AM17" i="14"/>
  <c r="AK17" i="14"/>
  <c r="AJ17" i="14"/>
  <c r="AF17" i="14"/>
  <c r="AD17" i="14"/>
  <c r="Q17" i="14"/>
  <c r="K17" i="14"/>
  <c r="L17" i="14" s="1"/>
  <c r="G17" i="14"/>
  <c r="AL17" i="14" s="1"/>
  <c r="AN16" i="14"/>
  <c r="AM16" i="14"/>
  <c r="AK16" i="14"/>
  <c r="AJ16" i="14"/>
  <c r="AF16" i="14"/>
  <c r="AD16" i="14"/>
  <c r="Q16" i="14"/>
  <c r="K16" i="14"/>
  <c r="L16" i="14" s="1"/>
  <c r="G16" i="14"/>
  <c r="AL16" i="14" s="1"/>
  <c r="AN15" i="14"/>
  <c r="AM15" i="14"/>
  <c r="AK15" i="14"/>
  <c r="AJ15" i="14"/>
  <c r="AF15" i="14"/>
  <c r="AD15" i="14"/>
  <c r="Q15" i="14"/>
  <c r="K15" i="14"/>
  <c r="L15" i="14" s="1"/>
  <c r="G15" i="14"/>
  <c r="AL15" i="14" s="1"/>
  <c r="AN14" i="14"/>
  <c r="AM14" i="14"/>
  <c r="AK14" i="14"/>
  <c r="AJ14" i="14"/>
  <c r="AF14" i="14"/>
  <c r="AD14" i="14"/>
  <c r="Q14" i="14"/>
  <c r="K14" i="14"/>
  <c r="L14" i="14" s="1"/>
  <c r="G14" i="14"/>
  <c r="AL14" i="14" s="1"/>
  <c r="AN13" i="14"/>
  <c r="AM13" i="14"/>
  <c r="AK13" i="14"/>
  <c r="AJ13" i="14"/>
  <c r="AF13" i="14"/>
  <c r="AD13" i="14"/>
  <c r="Q13" i="14"/>
  <c r="K13" i="14"/>
  <c r="L13" i="14" s="1"/>
  <c r="G13" i="14"/>
  <c r="AL13" i="14" s="1"/>
  <c r="AN12" i="14"/>
  <c r="AM12" i="14"/>
  <c r="AK12" i="14"/>
  <c r="AJ12" i="14"/>
  <c r="AF12" i="14"/>
  <c r="AD12" i="14"/>
  <c r="Q12" i="14"/>
  <c r="K12" i="14"/>
  <c r="L12" i="14" s="1"/>
  <c r="G12" i="14"/>
  <c r="AL12" i="14" s="1"/>
  <c r="AN11" i="14"/>
  <c r="AM11" i="14"/>
  <c r="AK11" i="14"/>
  <c r="AJ11" i="14"/>
  <c r="AF11" i="14"/>
  <c r="AD11" i="14"/>
  <c r="Q11" i="14"/>
  <c r="K11" i="14"/>
  <c r="L11" i="14" s="1"/>
  <c r="G11" i="14"/>
  <c r="AL11" i="14" s="1"/>
  <c r="AF9" i="14"/>
  <c r="AE9" i="14"/>
  <c r="AD9" i="14"/>
  <c r="AC9" i="14"/>
  <c r="AB9" i="14"/>
  <c r="AA9" i="14"/>
  <c r="Y9" i="14"/>
  <c r="X3" i="14" s="1"/>
  <c r="X9" i="14"/>
  <c r="W9" i="14"/>
  <c r="V9" i="14"/>
  <c r="U9" i="14"/>
  <c r="T9" i="14"/>
  <c r="R67" i="15" l="1"/>
  <c r="D106" i="15" s="1"/>
  <c r="D108" i="15" s="1"/>
  <c r="F21" i="23"/>
  <c r="R31" i="14"/>
  <c r="AC31" i="14" s="1"/>
  <c r="M95" i="14"/>
  <c r="R34" i="14"/>
  <c r="AC34" i="14" s="1"/>
  <c r="N98" i="14"/>
  <c r="AH98" i="14" s="1"/>
  <c r="AI98" i="14" s="1"/>
  <c r="R48" i="15"/>
  <c r="R50" i="15" s="1"/>
  <c r="R93" i="15"/>
  <c r="R81" i="15"/>
  <c r="F106" i="15" s="1"/>
  <c r="F108" i="15" s="1"/>
  <c r="R75" i="15"/>
  <c r="C106" i="15" s="1"/>
  <c r="C108" i="15" s="1"/>
  <c r="Q69" i="14"/>
  <c r="R116" i="14"/>
  <c r="AD36" i="14"/>
  <c r="N100" i="14"/>
  <c r="AH100" i="14" s="1"/>
  <c r="AI100" i="14" s="1"/>
  <c r="K32" i="14"/>
  <c r="D36" i="14"/>
  <c r="M11" i="14"/>
  <c r="T11" i="14" s="1"/>
  <c r="AB11" i="14" s="1"/>
  <c r="N55" i="14"/>
  <c r="AH55" i="14" s="1"/>
  <c r="AI55" i="14" s="1"/>
  <c r="M110" i="14"/>
  <c r="R110" i="14" s="1"/>
  <c r="AC110" i="14" s="1"/>
  <c r="D141" i="14"/>
  <c r="Q146" i="14"/>
  <c r="N79" i="14"/>
  <c r="AH79" i="14" s="1"/>
  <c r="M144" i="14"/>
  <c r="X144" i="14" s="1"/>
  <c r="N21" i="14"/>
  <c r="AH21" i="14" s="1"/>
  <c r="AI21" i="14" s="1"/>
  <c r="N29" i="14"/>
  <c r="AH29" i="14" s="1"/>
  <c r="AI29" i="14" s="1"/>
  <c r="T31" i="14"/>
  <c r="AE31" i="14" s="1"/>
  <c r="R33" i="14"/>
  <c r="AC33" i="14" s="1"/>
  <c r="M59" i="14"/>
  <c r="R59" i="14" s="1"/>
  <c r="Q76" i="14"/>
  <c r="N74" i="14"/>
  <c r="AH74" i="14" s="1"/>
  <c r="AI74" i="14" s="1"/>
  <c r="K82" i="14"/>
  <c r="M85" i="14"/>
  <c r="N103" i="14"/>
  <c r="AH103" i="14" s="1"/>
  <c r="AI103" i="14" s="1"/>
  <c r="Q132" i="14"/>
  <c r="M168" i="14"/>
  <c r="Z168" i="14" s="1"/>
  <c r="N34" i="14"/>
  <c r="AH34" i="14" s="1"/>
  <c r="AI34" i="14" s="1"/>
  <c r="M68" i="14"/>
  <c r="T68" i="14" s="1"/>
  <c r="Q82" i="14"/>
  <c r="M101" i="14"/>
  <c r="T101" i="14" s="1"/>
  <c r="N114" i="14"/>
  <c r="AH114" i="14" s="1"/>
  <c r="AI114" i="14" s="1"/>
  <c r="M139" i="14"/>
  <c r="T139" i="14" s="1"/>
  <c r="M153" i="14"/>
  <c r="T153" i="14" s="1"/>
  <c r="N14" i="14"/>
  <c r="AH14" i="14" s="1"/>
  <c r="AI14" i="14" s="1"/>
  <c r="Z29" i="14"/>
  <c r="Q124" i="14"/>
  <c r="N165" i="14"/>
  <c r="AH165" i="14" s="1"/>
  <c r="AI165" i="14" s="1"/>
  <c r="R40" i="15"/>
  <c r="U40" i="15" s="1"/>
  <c r="E81" i="15"/>
  <c r="E93" i="15"/>
  <c r="E75" i="15"/>
  <c r="E50" i="15"/>
  <c r="E40" i="15"/>
  <c r="E67" i="15"/>
  <c r="M60" i="14"/>
  <c r="N60" i="14"/>
  <c r="AH60" i="14" s="1"/>
  <c r="AI60" i="14" s="1"/>
  <c r="N25" i="14"/>
  <c r="AH25" i="14" s="1"/>
  <c r="AI25" i="14" s="1"/>
  <c r="N65" i="14"/>
  <c r="AH65" i="14" s="1"/>
  <c r="N33" i="14"/>
  <c r="AH33" i="14" s="1"/>
  <c r="AI33" i="14" s="1"/>
  <c r="N163" i="14"/>
  <c r="AH163" i="14" s="1"/>
  <c r="AI163" i="14" s="1"/>
  <c r="F25" i="23"/>
  <c r="W3" i="14"/>
  <c r="N17" i="14"/>
  <c r="AH17" i="14" s="1"/>
  <c r="AI17" i="14" s="1"/>
  <c r="N72" i="14"/>
  <c r="AH72" i="14" s="1"/>
  <c r="L79" i="14"/>
  <c r="L82" i="14" s="1"/>
  <c r="N112" i="14"/>
  <c r="AH112" i="14" s="1"/>
  <c r="AI112" i="14" s="1"/>
  <c r="M121" i="14"/>
  <c r="Z121" i="14" s="1"/>
  <c r="M19" i="14"/>
  <c r="Z19" i="14" s="1"/>
  <c r="M27" i="14"/>
  <c r="Z27" i="14" s="1"/>
  <c r="M166" i="14"/>
  <c r="N106" i="14"/>
  <c r="AH106" i="14" s="1"/>
  <c r="AI106" i="14" s="1"/>
  <c r="N113" i="14"/>
  <c r="AH113" i="14" s="1"/>
  <c r="AI113" i="14" s="1"/>
  <c r="M130" i="14"/>
  <c r="Z130" i="14" s="1"/>
  <c r="O130" i="14" s="1"/>
  <c r="P130" i="14" s="1"/>
  <c r="AC130" i="14" s="1"/>
  <c r="N12" i="14"/>
  <c r="AH12" i="14" s="1"/>
  <c r="AI12" i="14" s="1"/>
  <c r="M23" i="14"/>
  <c r="Z23" i="14" s="1"/>
  <c r="N43" i="14"/>
  <c r="AH43" i="14" s="1"/>
  <c r="N86" i="14"/>
  <c r="AH86" i="14" s="1"/>
  <c r="AI86" i="14" s="1"/>
  <c r="N109" i="14"/>
  <c r="AH109" i="14" s="1"/>
  <c r="AI109" i="14" s="1"/>
  <c r="N18" i="14"/>
  <c r="AH18" i="14" s="1"/>
  <c r="AI18" i="14" s="1"/>
  <c r="N22" i="14"/>
  <c r="AH22" i="14" s="1"/>
  <c r="AI22" i="14" s="1"/>
  <c r="N26" i="14"/>
  <c r="AH26" i="14" s="1"/>
  <c r="AI26" i="14" s="1"/>
  <c r="N30" i="14"/>
  <c r="AH30" i="14" s="1"/>
  <c r="AI30" i="14" s="1"/>
  <c r="O30" i="14" s="1"/>
  <c r="P30" i="14" s="1"/>
  <c r="AA30" i="14" s="1"/>
  <c r="L91" i="14"/>
  <c r="N99" i="14"/>
  <c r="AH99" i="14" s="1"/>
  <c r="AI99" i="14" s="1"/>
  <c r="N116" i="14"/>
  <c r="AH116" i="14" s="1"/>
  <c r="AI116" i="14" s="1"/>
  <c r="L146" i="14"/>
  <c r="K146" i="14"/>
  <c r="V93" i="20"/>
  <c r="F15" i="23"/>
  <c r="F51" i="23"/>
  <c r="M65" i="14"/>
  <c r="T65" i="14" s="1"/>
  <c r="M48" i="14"/>
  <c r="Y53" i="14" s="1"/>
  <c r="K69" i="14"/>
  <c r="R95" i="14"/>
  <c r="R60" i="14"/>
  <c r="L65" i="14"/>
  <c r="L69" i="14" s="1"/>
  <c r="M88" i="14"/>
  <c r="T88" i="14" s="1"/>
  <c r="M39" i="14"/>
  <c r="Z39" i="14" s="1"/>
  <c r="Z40" i="14" s="1"/>
  <c r="L62" i="14"/>
  <c r="M90" i="14"/>
  <c r="R90" i="14" s="1"/>
  <c r="N90" i="14" s="1"/>
  <c r="AH90" i="14" s="1"/>
  <c r="AI90" i="14" s="1"/>
  <c r="N101" i="14"/>
  <c r="AH101" i="14" s="1"/>
  <c r="AI101" i="14" s="1"/>
  <c r="N108" i="14"/>
  <c r="AH108" i="14" s="1"/>
  <c r="AI108" i="14" s="1"/>
  <c r="M155" i="14"/>
  <c r="Z155" i="14" s="1"/>
  <c r="Z98" i="20"/>
  <c r="Z115" i="20" s="1"/>
  <c r="Z31" i="14"/>
  <c r="N39" i="14"/>
  <c r="AH39" i="14" s="1"/>
  <c r="N73" i="14"/>
  <c r="AH73" i="14" s="1"/>
  <c r="AI73" i="14" s="1"/>
  <c r="M80" i="14"/>
  <c r="T80" i="14" s="1"/>
  <c r="N95" i="14"/>
  <c r="AH95" i="14" s="1"/>
  <c r="AI95" i="14" s="1"/>
  <c r="M98" i="14"/>
  <c r="Z98" i="14" s="1"/>
  <c r="O98" i="14" s="1"/>
  <c r="P98" i="14" s="1"/>
  <c r="AA98" i="14" s="1"/>
  <c r="M122" i="14"/>
  <c r="Z122" i="14" s="1"/>
  <c r="Q159" i="14"/>
  <c r="M163" i="14"/>
  <c r="T163" i="14" s="1"/>
  <c r="M12" i="14"/>
  <c r="R12" i="14" s="1"/>
  <c r="AC12" i="14" s="1"/>
  <c r="AF36" i="14"/>
  <c r="N31" i="14"/>
  <c r="AH31" i="14" s="1"/>
  <c r="AI31" i="14" s="1"/>
  <c r="M52" i="14"/>
  <c r="Z52" i="14" s="1"/>
  <c r="M73" i="14"/>
  <c r="X73" i="14" s="1"/>
  <c r="N89" i="14"/>
  <c r="AH89" i="14" s="1"/>
  <c r="AI89" i="14" s="1"/>
  <c r="N110" i="14"/>
  <c r="AH110" i="14" s="1"/>
  <c r="AI110" i="14" s="1"/>
  <c r="N11" i="14"/>
  <c r="AH11" i="14" s="1"/>
  <c r="M43" i="14"/>
  <c r="M44" i="14" s="1"/>
  <c r="G183" i="14" s="1"/>
  <c r="M74" i="14"/>
  <c r="Y75" i="14" s="1"/>
  <c r="F39" i="23"/>
  <c r="F58" i="23"/>
  <c r="Y30" i="25"/>
  <c r="Y31" i="25" s="1"/>
  <c r="N16" i="14"/>
  <c r="AH16" i="14" s="1"/>
  <c r="AI16" i="14" s="1"/>
  <c r="N13" i="14"/>
  <c r="AH13" i="14" s="1"/>
  <c r="AI13" i="14" s="1"/>
  <c r="M13" i="14"/>
  <c r="N32" i="14"/>
  <c r="AH32" i="14" s="1"/>
  <c r="AI32" i="14" s="1"/>
  <c r="M20" i="14"/>
  <c r="M24" i="14"/>
  <c r="M28" i="14"/>
  <c r="L43" i="14"/>
  <c r="L44" i="14" s="1"/>
  <c r="N51" i="14"/>
  <c r="AH51" i="14" s="1"/>
  <c r="AI51" i="14" s="1"/>
  <c r="M51" i="14"/>
  <c r="N54" i="14"/>
  <c r="AH54" i="14" s="1"/>
  <c r="AI54" i="14" s="1"/>
  <c r="M54" i="14"/>
  <c r="N57" i="14"/>
  <c r="AH57" i="14" s="1"/>
  <c r="AI57" i="14" s="1"/>
  <c r="M15" i="14"/>
  <c r="M21" i="14"/>
  <c r="N69" i="14"/>
  <c r="M75" i="14"/>
  <c r="N75" i="14"/>
  <c r="AH75" i="14" s="1"/>
  <c r="AI75" i="14" s="1"/>
  <c r="M16" i="14"/>
  <c r="N19" i="14"/>
  <c r="AH19" i="14" s="1"/>
  <c r="AI19" i="14" s="1"/>
  <c r="M25" i="14"/>
  <c r="N27" i="14"/>
  <c r="AH27" i="14" s="1"/>
  <c r="AI27" i="14" s="1"/>
  <c r="L32" i="14"/>
  <c r="M32" i="14" s="1"/>
  <c r="Q36" i="14"/>
  <c r="T29" i="14"/>
  <c r="N56" i="14"/>
  <c r="AH56" i="14" s="1"/>
  <c r="AI56" i="14" s="1"/>
  <c r="M56" i="14"/>
  <c r="M57" i="14"/>
  <c r="M67" i="14"/>
  <c r="R67" i="14" s="1"/>
  <c r="AC67" i="14" s="1"/>
  <c r="Z80" i="14"/>
  <c r="V80" i="14"/>
  <c r="Z34" i="14"/>
  <c r="T34" i="14"/>
  <c r="M17" i="14"/>
  <c r="N23" i="14"/>
  <c r="AH23" i="14" s="1"/>
  <c r="AI23" i="14" s="1"/>
  <c r="R29" i="14"/>
  <c r="AC29" i="14" s="1"/>
  <c r="N59" i="14"/>
  <c r="AH59" i="14" s="1"/>
  <c r="AI59" i="14" s="1"/>
  <c r="N15" i="14"/>
  <c r="AH15" i="14" s="1"/>
  <c r="AI15" i="14" s="1"/>
  <c r="M18" i="14"/>
  <c r="N20" i="14"/>
  <c r="AH20" i="14" s="1"/>
  <c r="AI20" i="14" s="1"/>
  <c r="M22" i="14"/>
  <c r="N24" i="14"/>
  <c r="AH24" i="14" s="1"/>
  <c r="AI24" i="14" s="1"/>
  <c r="M26" i="14"/>
  <c r="N28" i="14"/>
  <c r="AH28" i="14" s="1"/>
  <c r="AI28" i="14" s="1"/>
  <c r="R30" i="14"/>
  <c r="AC30" i="14" s="1"/>
  <c r="K36" i="14"/>
  <c r="M14" i="14"/>
  <c r="T30" i="14"/>
  <c r="Z33" i="14"/>
  <c r="T33" i="14"/>
  <c r="K62" i="14"/>
  <c r="N49" i="14"/>
  <c r="AH49" i="14" s="1"/>
  <c r="AI49" i="14" s="1"/>
  <c r="M49" i="14"/>
  <c r="Z49" i="14" s="1"/>
  <c r="Q62" i="14"/>
  <c r="N58" i="14"/>
  <c r="AH58" i="14" s="1"/>
  <c r="AI58" i="14" s="1"/>
  <c r="M58" i="14"/>
  <c r="L73" i="14"/>
  <c r="L76" i="14" s="1"/>
  <c r="K76" i="14"/>
  <c r="T75" i="14"/>
  <c r="V75" i="14"/>
  <c r="K91" i="14"/>
  <c r="Q44" i="14"/>
  <c r="T108" i="14"/>
  <c r="R108" i="14"/>
  <c r="Z108" i="14"/>
  <c r="O108" i="14" s="1"/>
  <c r="P108" i="14" s="1"/>
  <c r="AA108" i="14" s="1"/>
  <c r="K40" i="14"/>
  <c r="D44" i="14"/>
  <c r="N48" i="14"/>
  <c r="N53" i="14"/>
  <c r="AH53" i="14" s="1"/>
  <c r="AI53" i="14" s="1"/>
  <c r="M53" i="14"/>
  <c r="Z101" i="14"/>
  <c r="Z110" i="14"/>
  <c r="N50" i="14"/>
  <c r="AH50" i="14" s="1"/>
  <c r="AI50" i="14" s="1"/>
  <c r="M50" i="14"/>
  <c r="Z50" i="14" s="1"/>
  <c r="N52" i="14"/>
  <c r="AH52" i="14" s="1"/>
  <c r="AI52" i="14" s="1"/>
  <c r="M66" i="14"/>
  <c r="M86" i="14"/>
  <c r="N115" i="14"/>
  <c r="AH115" i="14" s="1"/>
  <c r="AI115" i="14" s="1"/>
  <c r="Y144" i="14"/>
  <c r="Q150" i="14"/>
  <c r="Z85" i="14"/>
  <c r="T85" i="14"/>
  <c r="N105" i="14"/>
  <c r="AH105" i="14" s="1"/>
  <c r="AI105" i="14" s="1"/>
  <c r="K132" i="14"/>
  <c r="L128" i="14"/>
  <c r="Z166" i="14"/>
  <c r="T166" i="14"/>
  <c r="Z60" i="14"/>
  <c r="Q91" i="14"/>
  <c r="R85" i="14"/>
  <c r="D117" i="14"/>
  <c r="K102" i="14"/>
  <c r="L102" i="14" s="1"/>
  <c r="N102" i="14" s="1"/>
  <c r="AH102" i="14" s="1"/>
  <c r="AI102" i="14" s="1"/>
  <c r="M105" i="14"/>
  <c r="R166" i="14"/>
  <c r="M61" i="14"/>
  <c r="Z61" i="14" s="1"/>
  <c r="N88" i="14"/>
  <c r="AH88" i="14" s="1"/>
  <c r="AI88" i="14" s="1"/>
  <c r="M103" i="14"/>
  <c r="N104" i="14"/>
  <c r="AH104" i="14" s="1"/>
  <c r="AI104" i="14" s="1"/>
  <c r="M104" i="14"/>
  <c r="N107" i="14"/>
  <c r="AH107" i="14" s="1"/>
  <c r="AI107" i="14" s="1"/>
  <c r="L109" i="14"/>
  <c r="M109" i="14" s="1"/>
  <c r="R109" i="14" s="1"/>
  <c r="AC109" i="14" s="1"/>
  <c r="M138" i="14"/>
  <c r="R138" i="14" s="1"/>
  <c r="N61" i="14"/>
  <c r="AH61" i="14" s="1"/>
  <c r="AI61" i="14" s="1"/>
  <c r="M81" i="14"/>
  <c r="N87" i="14"/>
  <c r="AH87" i="14" s="1"/>
  <c r="AI87" i="14" s="1"/>
  <c r="N96" i="14"/>
  <c r="AH96" i="14" s="1"/>
  <c r="AI96" i="14" s="1"/>
  <c r="M100" i="14"/>
  <c r="K117" i="14"/>
  <c r="M170" i="14"/>
  <c r="R170" i="14" s="1"/>
  <c r="N170" i="14" s="1"/>
  <c r="AH170" i="14" s="1"/>
  <c r="AI170" i="14" s="1"/>
  <c r="M55" i="14"/>
  <c r="Z55" i="14" s="1"/>
  <c r="M72" i="14"/>
  <c r="Z95" i="14"/>
  <c r="T95" i="14"/>
  <c r="T114" i="14"/>
  <c r="Z114" i="14"/>
  <c r="O114" i="14" s="1"/>
  <c r="P114" i="14" s="1"/>
  <c r="AA114" i="14" s="1"/>
  <c r="Z153" i="14"/>
  <c r="T155" i="14"/>
  <c r="M79" i="14"/>
  <c r="N85" i="14"/>
  <c r="N94" i="14"/>
  <c r="M94" i="14"/>
  <c r="N97" i="14"/>
  <c r="AH97" i="14" s="1"/>
  <c r="AI97" i="14" s="1"/>
  <c r="N111" i="14"/>
  <c r="AH111" i="14" s="1"/>
  <c r="AI111" i="14" s="1"/>
  <c r="M111" i="14"/>
  <c r="D124" i="14"/>
  <c r="K122" i="14"/>
  <c r="N122" i="14" s="1"/>
  <c r="AH122" i="14" s="1"/>
  <c r="AI122" i="14" s="1"/>
  <c r="Q117" i="14"/>
  <c r="N120" i="14"/>
  <c r="M120" i="14"/>
  <c r="M123" i="14"/>
  <c r="M129" i="14"/>
  <c r="Q141" i="14"/>
  <c r="R144" i="14"/>
  <c r="K171" i="14"/>
  <c r="N164" i="14"/>
  <c r="AH164" i="14" s="1"/>
  <c r="AI164" i="14" s="1"/>
  <c r="M164" i="14"/>
  <c r="R164" i="14" s="1"/>
  <c r="N80" i="14"/>
  <c r="AH80" i="14" s="1"/>
  <c r="AI80" i="14" s="1"/>
  <c r="M96" i="14"/>
  <c r="M106" i="14"/>
  <c r="R114" i="14"/>
  <c r="L115" i="14"/>
  <c r="M115" i="14" s="1"/>
  <c r="R115" i="14" s="1"/>
  <c r="M136" i="14"/>
  <c r="M145" i="14"/>
  <c r="N149" i="14"/>
  <c r="M149" i="14"/>
  <c r="R149" i="14" s="1"/>
  <c r="R150" i="14" s="1"/>
  <c r="N155" i="14"/>
  <c r="AH155" i="14" s="1"/>
  <c r="AI155" i="14" s="1"/>
  <c r="M158" i="14"/>
  <c r="R158" i="14" s="1"/>
  <c r="Q171" i="14"/>
  <c r="M165" i="14"/>
  <c r="M89" i="14"/>
  <c r="M99" i="14"/>
  <c r="R99" i="14" s="1"/>
  <c r="L113" i="14"/>
  <c r="M113" i="14" s="1"/>
  <c r="R113" i="14" s="1"/>
  <c r="N131" i="14"/>
  <c r="AH131" i="14" s="1"/>
  <c r="AI131" i="14" s="1"/>
  <c r="M131" i="14"/>
  <c r="N153" i="14"/>
  <c r="M156" i="14"/>
  <c r="Z116" i="14"/>
  <c r="O116" i="14" s="1"/>
  <c r="P116" i="14" s="1"/>
  <c r="AA116" i="14" s="1"/>
  <c r="T116" i="14"/>
  <c r="M137" i="14"/>
  <c r="N162" i="14"/>
  <c r="N166" i="14"/>
  <c r="AH166" i="14" s="1"/>
  <c r="AI166" i="14" s="1"/>
  <c r="M169" i="14"/>
  <c r="M87" i="14"/>
  <c r="R87" i="14" s="1"/>
  <c r="M97" i="14"/>
  <c r="R97" i="14" s="1"/>
  <c r="M107" i="14"/>
  <c r="R107" i="14" s="1"/>
  <c r="N121" i="14"/>
  <c r="AH121" i="14" s="1"/>
  <c r="AI121" i="14" s="1"/>
  <c r="N144" i="14"/>
  <c r="N154" i="14"/>
  <c r="AH154" i="14" s="1"/>
  <c r="AI154" i="14" s="1"/>
  <c r="M154" i="14"/>
  <c r="M162" i="14"/>
  <c r="K175" i="14"/>
  <c r="L174" i="14"/>
  <c r="M174" i="14" s="1"/>
  <c r="M112" i="14"/>
  <c r="N136" i="14"/>
  <c r="L140" i="14"/>
  <c r="N140" i="14" s="1"/>
  <c r="AH140" i="14" s="1"/>
  <c r="AI140" i="14" s="1"/>
  <c r="K150" i="14"/>
  <c r="L149" i="14"/>
  <c r="L150" i="14" s="1"/>
  <c r="K159" i="14"/>
  <c r="L153" i="14"/>
  <c r="L159" i="14" s="1"/>
  <c r="M157" i="14"/>
  <c r="N167" i="14"/>
  <c r="AH167" i="14" s="1"/>
  <c r="AI167" i="14" s="1"/>
  <c r="M167" i="14"/>
  <c r="K141" i="14"/>
  <c r="L162" i="14"/>
  <c r="L171" i="14" s="1"/>
  <c r="U67" i="15" l="1"/>
  <c r="B106" i="15"/>
  <c r="B108" i="15" s="1"/>
  <c r="E106" i="15"/>
  <c r="E108" i="15" s="1"/>
  <c r="W75" i="14"/>
  <c r="R80" i="14"/>
  <c r="V61" i="14"/>
  <c r="U80" i="14"/>
  <c r="AE11" i="14"/>
  <c r="AE68" i="14"/>
  <c r="AB68" i="14"/>
  <c r="Z68" i="14"/>
  <c r="O68" i="14" s="1"/>
  <c r="P68" i="14" s="1"/>
  <c r="AA68" i="14" s="1"/>
  <c r="R68" i="14"/>
  <c r="AC68" i="14" s="1"/>
  <c r="V58" i="14"/>
  <c r="U49" i="14"/>
  <c r="N44" i="14"/>
  <c r="X57" i="14"/>
  <c r="Z90" i="14"/>
  <c r="Y60" i="14"/>
  <c r="U50" i="14"/>
  <c r="O80" i="14"/>
  <c r="T98" i="14"/>
  <c r="T110" i="14"/>
  <c r="AE110" i="14" s="1"/>
  <c r="O23" i="14"/>
  <c r="Z65" i="14"/>
  <c r="Z69" i="14" s="1"/>
  <c r="Z59" i="14"/>
  <c r="O59" i="14" s="1"/>
  <c r="P59" i="14" s="1"/>
  <c r="R65" i="14"/>
  <c r="AC65" i="14" s="1"/>
  <c r="AC69" i="14" s="1"/>
  <c r="T23" i="14"/>
  <c r="AB23" i="14" s="1"/>
  <c r="R168" i="14"/>
  <c r="N168" i="14" s="1"/>
  <c r="AH168" i="14" s="1"/>
  <c r="AI168" i="14" s="1"/>
  <c r="T73" i="14"/>
  <c r="Z11" i="14"/>
  <c r="O33" i="14"/>
  <c r="P33" i="14" s="1"/>
  <c r="AA33" i="14" s="1"/>
  <c r="O29" i="14"/>
  <c r="P29" i="14" s="1"/>
  <c r="AA29" i="14" s="1"/>
  <c r="T168" i="14"/>
  <c r="O34" i="14"/>
  <c r="P34" i="14" s="1"/>
  <c r="AA34" i="14" s="1"/>
  <c r="F67" i="23"/>
  <c r="R23" i="14"/>
  <c r="AC23" i="14" s="1"/>
  <c r="M102" i="14"/>
  <c r="R11" i="14"/>
  <c r="M40" i="14"/>
  <c r="O182" i="14" s="1"/>
  <c r="O197" i="14" s="1"/>
  <c r="U50" i="15"/>
  <c r="R94" i="15"/>
  <c r="R100" i="15" s="1"/>
  <c r="U75" i="15"/>
  <c r="U81" i="15"/>
  <c r="U93" i="15"/>
  <c r="W73" i="14"/>
  <c r="Y122" i="14"/>
  <c r="U73" i="14"/>
  <c r="AB31" i="14"/>
  <c r="R122" i="14"/>
  <c r="Y73" i="14"/>
  <c r="R39" i="14"/>
  <c r="AC39" i="14" s="1"/>
  <c r="AC40" i="14" s="1"/>
  <c r="R88" i="14"/>
  <c r="Z73" i="14"/>
  <c r="T39" i="14"/>
  <c r="Z88" i="14"/>
  <c r="R73" i="14"/>
  <c r="R153" i="14"/>
  <c r="V130" i="14"/>
  <c r="V73" i="14"/>
  <c r="O55" i="14"/>
  <c r="P55" i="14" s="1"/>
  <c r="R98" i="14"/>
  <c r="AE75" i="14"/>
  <c r="R155" i="14"/>
  <c r="O95" i="14"/>
  <c r="P95" i="14" s="1"/>
  <c r="AA95" i="14" s="1"/>
  <c r="T90" i="14"/>
  <c r="Z144" i="14"/>
  <c r="Y74" i="14"/>
  <c r="O27" i="14"/>
  <c r="P27" i="14" s="1"/>
  <c r="AA27" i="14" s="1"/>
  <c r="X52" i="14"/>
  <c r="X59" i="14"/>
  <c r="R52" i="14"/>
  <c r="R174" i="14"/>
  <c r="G196" i="14"/>
  <c r="T144" i="14"/>
  <c r="R101" i="14"/>
  <c r="V144" i="14"/>
  <c r="R74" i="14"/>
  <c r="X75" i="14"/>
  <c r="U48" i="14"/>
  <c r="U62" i="14" s="1"/>
  <c r="Y59" i="14"/>
  <c r="O110" i="14"/>
  <c r="P110" i="14" s="1"/>
  <c r="AA110" i="14" s="1"/>
  <c r="Z139" i="14"/>
  <c r="O139" i="14" s="1"/>
  <c r="P139" i="14" s="1"/>
  <c r="AA139" i="14" s="1"/>
  <c r="U144" i="14"/>
  <c r="W74" i="14"/>
  <c r="T74" i="14"/>
  <c r="U51" i="14"/>
  <c r="U59" i="14"/>
  <c r="V55" i="14"/>
  <c r="O60" i="14"/>
  <c r="P60" i="14" s="1"/>
  <c r="W144" i="14"/>
  <c r="U75" i="14"/>
  <c r="U74" i="14"/>
  <c r="Y58" i="14"/>
  <c r="X60" i="14"/>
  <c r="W55" i="14"/>
  <c r="Z43" i="14"/>
  <c r="Z44" i="14" s="1"/>
  <c r="O166" i="14"/>
  <c r="P166" i="14" s="1"/>
  <c r="AA166" i="14" s="1"/>
  <c r="Z74" i="14"/>
  <c r="O74" i="14" s="1"/>
  <c r="P74" i="14" s="1"/>
  <c r="AD74" i="14" s="1"/>
  <c r="R139" i="14"/>
  <c r="X74" i="14"/>
  <c r="V74" i="14"/>
  <c r="V54" i="14"/>
  <c r="W48" i="14"/>
  <c r="W62" i="14" s="1"/>
  <c r="U57" i="14"/>
  <c r="E94" i="15"/>
  <c r="G31" i="23"/>
  <c r="G51" i="23"/>
  <c r="G21" i="23"/>
  <c r="G39" i="23"/>
  <c r="F25" i="26" s="1"/>
  <c r="G66" i="23"/>
  <c r="E25" i="26" s="1"/>
  <c r="G15" i="23"/>
  <c r="O73" i="14"/>
  <c r="P73" i="14" s="1"/>
  <c r="AE73" i="14" s="1"/>
  <c r="R130" i="14"/>
  <c r="Z48" i="14"/>
  <c r="Z62" i="14" s="1"/>
  <c r="W52" i="14"/>
  <c r="T48" i="14"/>
  <c r="T62" i="14" s="1"/>
  <c r="V48" i="14"/>
  <c r="V62" i="14" s="1"/>
  <c r="X54" i="14"/>
  <c r="V53" i="14"/>
  <c r="V50" i="14"/>
  <c r="Y48" i="14"/>
  <c r="Y62" i="14" s="1"/>
  <c r="U60" i="14"/>
  <c r="V60" i="14"/>
  <c r="M140" i="14"/>
  <c r="R140" i="14" s="1"/>
  <c r="O101" i="14"/>
  <c r="P101" i="14" s="1"/>
  <c r="AA101" i="14" s="1"/>
  <c r="W60" i="14"/>
  <c r="X51" i="14"/>
  <c r="W58" i="14"/>
  <c r="O122" i="14"/>
  <c r="P122" i="14" s="1"/>
  <c r="AF122" i="14" s="1"/>
  <c r="R121" i="14"/>
  <c r="Y121" i="14"/>
  <c r="Z163" i="14"/>
  <c r="O163" i="14" s="1"/>
  <c r="P163" i="14" s="1"/>
  <c r="AA163" i="14" s="1"/>
  <c r="O19" i="14"/>
  <c r="T50" i="14"/>
  <c r="V57" i="14"/>
  <c r="W49" i="14"/>
  <c r="Y49" i="14"/>
  <c r="V56" i="14"/>
  <c r="Y54" i="14"/>
  <c r="Y51" i="14"/>
  <c r="T49" i="14"/>
  <c r="X61" i="14"/>
  <c r="Y61" i="14"/>
  <c r="P23" i="14"/>
  <c r="AA23" i="14" s="1"/>
  <c r="T43" i="14"/>
  <c r="AE43" i="14" s="1"/>
  <c r="AE44" i="14" s="1"/>
  <c r="V51" i="14"/>
  <c r="X49" i="14"/>
  <c r="U53" i="14"/>
  <c r="X48" i="14"/>
  <c r="X62" i="14" s="1"/>
  <c r="W61" i="14"/>
  <c r="X58" i="14"/>
  <c r="O155" i="14"/>
  <c r="P155" i="14" s="1"/>
  <c r="AA155" i="14" s="1"/>
  <c r="R163" i="14"/>
  <c r="R19" i="14"/>
  <c r="AC19" i="14" s="1"/>
  <c r="T27" i="14"/>
  <c r="AB27" i="14" s="1"/>
  <c r="AF73" i="14"/>
  <c r="R27" i="14"/>
  <c r="AC27" i="14" s="1"/>
  <c r="W54" i="14"/>
  <c r="R48" i="14"/>
  <c r="Y52" i="14"/>
  <c r="Y55" i="14"/>
  <c r="Y57" i="14"/>
  <c r="T55" i="14"/>
  <c r="W53" i="14"/>
  <c r="W50" i="14"/>
  <c r="X50" i="14"/>
  <c r="T12" i="14"/>
  <c r="T57" i="14" s="1"/>
  <c r="L141" i="14"/>
  <c r="X55" i="14"/>
  <c r="P80" i="14"/>
  <c r="AC80" i="14" s="1"/>
  <c r="N76" i="14"/>
  <c r="R43" i="14"/>
  <c r="AC43" i="14" s="1"/>
  <c r="AC44" i="14" s="1"/>
  <c r="T19" i="14"/>
  <c r="AE19" i="14" s="1"/>
  <c r="N40" i="14"/>
  <c r="U54" i="14"/>
  <c r="V49" i="14"/>
  <c r="U56" i="14"/>
  <c r="T56" i="14"/>
  <c r="W59" i="14"/>
  <c r="W56" i="14"/>
  <c r="U55" i="14"/>
  <c r="U52" i="14"/>
  <c r="V52" i="14"/>
  <c r="Z12" i="14"/>
  <c r="O12" i="14" s="1"/>
  <c r="P12" i="14" s="1"/>
  <c r="AA12" i="14" s="1"/>
  <c r="L36" i="14"/>
  <c r="O31" i="14"/>
  <c r="P31" i="14" s="1"/>
  <c r="AA31" i="14" s="1"/>
  <c r="L117" i="14"/>
  <c r="W51" i="14"/>
  <c r="V59" i="14"/>
  <c r="W57" i="14"/>
  <c r="U61" i="14"/>
  <c r="U58" i="14"/>
  <c r="X56" i="14"/>
  <c r="X53" i="14"/>
  <c r="G25" i="23"/>
  <c r="G58" i="23"/>
  <c r="J58" i="23" s="1"/>
  <c r="N146" i="14"/>
  <c r="AH144" i="14"/>
  <c r="AE30" i="14"/>
  <c r="AB30" i="14"/>
  <c r="AH69" i="14"/>
  <c r="AI65" i="14"/>
  <c r="T169" i="14"/>
  <c r="Z169" i="14"/>
  <c r="R169" i="14"/>
  <c r="N169" i="14" s="1"/>
  <c r="AH169" i="14" s="1"/>
  <c r="AI169" i="14" s="1"/>
  <c r="Z89" i="14"/>
  <c r="O89" i="14" s="1"/>
  <c r="P89" i="14" s="1"/>
  <c r="AA89" i="14" s="1"/>
  <c r="T89" i="14"/>
  <c r="V145" i="14"/>
  <c r="U145" i="14"/>
  <c r="T145" i="14"/>
  <c r="R145" i="14"/>
  <c r="R146" i="14" s="1"/>
  <c r="Z145" i="14"/>
  <c r="O145" i="14" s="1"/>
  <c r="P145" i="14" s="1"/>
  <c r="X145" i="14"/>
  <c r="X146" i="14" s="1"/>
  <c r="W145" i="14"/>
  <c r="Y145" i="14"/>
  <c r="Y146" i="14" s="1"/>
  <c r="V79" i="14"/>
  <c r="Z79" i="14"/>
  <c r="M82" i="14"/>
  <c r="K187" i="14" s="1"/>
  <c r="K197" i="14" s="1"/>
  <c r="E62" i="26" s="1"/>
  <c r="U79" i="14"/>
  <c r="R79" i="14"/>
  <c r="T79" i="14"/>
  <c r="R89" i="14"/>
  <c r="Z104" i="14"/>
  <c r="O104" i="14" s="1"/>
  <c r="P104" i="14" s="1"/>
  <c r="AA104" i="14" s="1"/>
  <c r="T104" i="14"/>
  <c r="R104" i="14"/>
  <c r="Z58" i="14"/>
  <c r="O58" i="14" s="1"/>
  <c r="P58" i="14" s="1"/>
  <c r="R58" i="14"/>
  <c r="O49" i="14"/>
  <c r="P49" i="14" s="1"/>
  <c r="Z14" i="14"/>
  <c r="O14" i="14" s="1"/>
  <c r="P14" i="14" s="1"/>
  <c r="AA14" i="14" s="1"/>
  <c r="T14" i="14"/>
  <c r="Z26" i="14"/>
  <c r="O26" i="14" s="1"/>
  <c r="P26" i="14" s="1"/>
  <c r="AA26" i="14" s="1"/>
  <c r="T26" i="14"/>
  <c r="R26" i="14"/>
  <c r="AC26" i="14" s="1"/>
  <c r="AE27" i="14"/>
  <c r="Z28" i="14"/>
  <c r="O28" i="14" s="1"/>
  <c r="P28" i="14" s="1"/>
  <c r="AA28" i="14" s="1"/>
  <c r="T28" i="14"/>
  <c r="R28" i="14"/>
  <c r="AC28" i="14" s="1"/>
  <c r="R14" i="14"/>
  <c r="AC14" i="14" s="1"/>
  <c r="T106" i="14"/>
  <c r="Z106" i="14"/>
  <c r="O106" i="14" s="1"/>
  <c r="P106" i="14" s="1"/>
  <c r="AA106" i="14" s="1"/>
  <c r="R106" i="14"/>
  <c r="Z66" i="14"/>
  <c r="O66" i="14" s="1"/>
  <c r="P66" i="14" s="1"/>
  <c r="AA66" i="14" s="1"/>
  <c r="T66" i="14"/>
  <c r="Z24" i="14"/>
  <c r="O24" i="14" s="1"/>
  <c r="P24" i="14" s="1"/>
  <c r="AA24" i="14" s="1"/>
  <c r="T24" i="14"/>
  <c r="R24" i="14"/>
  <c r="AC24" i="14" s="1"/>
  <c r="Z162" i="14"/>
  <c r="T162" i="14"/>
  <c r="M171" i="14"/>
  <c r="G195" i="14" s="1"/>
  <c r="O121" i="14"/>
  <c r="P121" i="14" s="1"/>
  <c r="AF121" i="14" s="1"/>
  <c r="R162" i="14"/>
  <c r="Z136" i="14"/>
  <c r="T136" i="14"/>
  <c r="R136" i="14"/>
  <c r="T96" i="14"/>
  <c r="Z96" i="14"/>
  <c r="O96" i="14" s="1"/>
  <c r="P96" i="14" s="1"/>
  <c r="AA96" i="14" s="1"/>
  <c r="R96" i="14"/>
  <c r="Z129" i="14"/>
  <c r="O129" i="14" s="1"/>
  <c r="P129" i="14" s="1"/>
  <c r="AC129" i="14" s="1"/>
  <c r="V129" i="14"/>
  <c r="R129" i="14"/>
  <c r="Z94" i="14"/>
  <c r="T94" i="14"/>
  <c r="M117" i="14"/>
  <c r="G189" i="14" s="1"/>
  <c r="R94" i="14"/>
  <c r="Z72" i="14"/>
  <c r="X72" i="14"/>
  <c r="M76" i="14"/>
  <c r="L186" i="14" s="1"/>
  <c r="Y72" i="14"/>
  <c r="W72" i="14"/>
  <c r="V72" i="14"/>
  <c r="U72" i="14"/>
  <c r="T72" i="14"/>
  <c r="R72" i="14"/>
  <c r="T103" i="14"/>
  <c r="R103" i="14"/>
  <c r="Z103" i="14"/>
  <c r="O103" i="14" s="1"/>
  <c r="P103" i="14" s="1"/>
  <c r="AA103" i="14" s="1"/>
  <c r="Z105" i="14"/>
  <c r="O105" i="14" s="1"/>
  <c r="P105" i="14" s="1"/>
  <c r="AA105" i="14" s="1"/>
  <c r="T105" i="14"/>
  <c r="AI79" i="14"/>
  <c r="Z22" i="14"/>
  <c r="O22" i="14" s="1"/>
  <c r="P22" i="14" s="1"/>
  <c r="AA22" i="14" s="1"/>
  <c r="T22" i="14"/>
  <c r="R22" i="14"/>
  <c r="AC22" i="14" s="1"/>
  <c r="Z56" i="14"/>
  <c r="O56" i="14" s="1"/>
  <c r="P56" i="14" s="1"/>
  <c r="R56" i="14"/>
  <c r="Q177" i="14"/>
  <c r="R16" i="14"/>
  <c r="AC16" i="14" s="1"/>
  <c r="T16" i="14"/>
  <c r="Z16" i="14"/>
  <c r="O16" i="14" s="1"/>
  <c r="P16" i="14" s="1"/>
  <c r="AA16" i="14" s="1"/>
  <c r="AE65" i="14"/>
  <c r="AE69" i="14" s="1"/>
  <c r="T69" i="14"/>
  <c r="AB65" i="14"/>
  <c r="AB69" i="14" s="1"/>
  <c r="Z20" i="14"/>
  <c r="O20" i="14" s="1"/>
  <c r="P20" i="14" s="1"/>
  <c r="AA20" i="14" s="1"/>
  <c r="T20" i="14"/>
  <c r="R20" i="14"/>
  <c r="AC20" i="14" s="1"/>
  <c r="R49" i="14"/>
  <c r="P19" i="14"/>
  <c r="AA19" i="14" s="1"/>
  <c r="N141" i="14"/>
  <c r="AH136" i="14"/>
  <c r="Z99" i="14"/>
  <c r="O99" i="14" s="1"/>
  <c r="P99" i="14" s="1"/>
  <c r="AA99" i="14" s="1"/>
  <c r="T99" i="14"/>
  <c r="O50" i="14"/>
  <c r="P50" i="14" s="1"/>
  <c r="N159" i="14"/>
  <c r="AH153" i="14"/>
  <c r="T86" i="14"/>
  <c r="R86" i="14"/>
  <c r="Z86" i="14"/>
  <c r="O86" i="14" s="1"/>
  <c r="P86" i="14" s="1"/>
  <c r="AA86" i="14" s="1"/>
  <c r="AH48" i="14"/>
  <c r="N62" i="14"/>
  <c r="AE29" i="14"/>
  <c r="AB29" i="14"/>
  <c r="T112" i="14"/>
  <c r="Z112" i="14"/>
  <c r="O112" i="14" s="1"/>
  <c r="P112" i="14" s="1"/>
  <c r="AA112" i="14" s="1"/>
  <c r="Z107" i="14"/>
  <c r="O107" i="14" s="1"/>
  <c r="P107" i="14" s="1"/>
  <c r="AA107" i="14" s="1"/>
  <c r="T107" i="14"/>
  <c r="AH162" i="14"/>
  <c r="V131" i="14"/>
  <c r="Z131" i="14"/>
  <c r="O131" i="14" s="1"/>
  <c r="P131" i="14" s="1"/>
  <c r="AC131" i="14" s="1"/>
  <c r="R131" i="14"/>
  <c r="Z123" i="14"/>
  <c r="O123" i="14" s="1"/>
  <c r="P123" i="14" s="1"/>
  <c r="AF123" i="14" s="1"/>
  <c r="Y123" i="14"/>
  <c r="R123" i="14"/>
  <c r="N117" i="14"/>
  <c r="AH94" i="14"/>
  <c r="Z138" i="14"/>
  <c r="O138" i="14" s="1"/>
  <c r="P138" i="14" s="1"/>
  <c r="AA138" i="14" s="1"/>
  <c r="T138" i="14"/>
  <c r="M146" i="14"/>
  <c r="G193" i="14" s="1"/>
  <c r="R61" i="14"/>
  <c r="Z17" i="14"/>
  <c r="O17" i="14" s="1"/>
  <c r="P17" i="14" s="1"/>
  <c r="AA17" i="14" s="1"/>
  <c r="T17" i="14"/>
  <c r="R17" i="14"/>
  <c r="AC17" i="14" s="1"/>
  <c r="R54" i="14"/>
  <c r="Z54" i="14"/>
  <c r="R51" i="14"/>
  <c r="Z51" i="14"/>
  <c r="O51" i="14" s="1"/>
  <c r="P51" i="14" s="1"/>
  <c r="AH36" i="14"/>
  <c r="AI11" i="14"/>
  <c r="M62" i="14"/>
  <c r="G184" i="14" s="1"/>
  <c r="R13" i="14"/>
  <c r="AC13" i="14" s="1"/>
  <c r="Z13" i="14"/>
  <c r="O13" i="14" s="1"/>
  <c r="P13" i="14" s="1"/>
  <c r="AA13" i="14" s="1"/>
  <c r="T13" i="14"/>
  <c r="T111" i="14"/>
  <c r="Z111" i="14"/>
  <c r="O111" i="14" s="1"/>
  <c r="P111" i="14" s="1"/>
  <c r="AA111" i="14" s="1"/>
  <c r="R111" i="14"/>
  <c r="AC111" i="14" s="1"/>
  <c r="Z165" i="14"/>
  <c r="O165" i="14" s="1"/>
  <c r="P165" i="14" s="1"/>
  <c r="AA165" i="14" s="1"/>
  <c r="T165" i="14"/>
  <c r="R165" i="14"/>
  <c r="L175" i="14"/>
  <c r="N174" i="14"/>
  <c r="Z154" i="14"/>
  <c r="O154" i="14" s="1"/>
  <c r="P154" i="14" s="1"/>
  <c r="AA154" i="14" s="1"/>
  <c r="T154" i="14"/>
  <c r="R154" i="14"/>
  <c r="Z102" i="14"/>
  <c r="O102" i="14" s="1"/>
  <c r="P102" i="14" s="1"/>
  <c r="AA102" i="14" s="1"/>
  <c r="T102" i="14"/>
  <c r="O168" i="14"/>
  <c r="P168" i="14" s="1"/>
  <c r="AA168" i="14" s="1"/>
  <c r="Z158" i="14"/>
  <c r="O158" i="14" s="1"/>
  <c r="P158" i="14" s="1"/>
  <c r="AA158" i="14" s="1"/>
  <c r="T158" i="14"/>
  <c r="L122" i="14"/>
  <c r="L124" i="14" s="1"/>
  <c r="K124" i="14"/>
  <c r="K177" i="14" s="1"/>
  <c r="O90" i="14"/>
  <c r="P90" i="14" s="1"/>
  <c r="AA90" i="14" s="1"/>
  <c r="R112" i="14"/>
  <c r="Z170" i="14"/>
  <c r="O170" i="14" s="1"/>
  <c r="P170" i="14" s="1"/>
  <c r="AA170" i="14" s="1"/>
  <c r="T170" i="14"/>
  <c r="R105" i="14"/>
  <c r="T81" i="14"/>
  <c r="R81" i="14"/>
  <c r="N81" i="14" s="1"/>
  <c r="AH81" i="14" s="1"/>
  <c r="AI81" i="14" s="1"/>
  <c r="V81" i="14"/>
  <c r="Z81" i="14"/>
  <c r="U81" i="14"/>
  <c r="L132" i="14"/>
  <c r="N128" i="14"/>
  <c r="M128" i="14"/>
  <c r="AH76" i="14"/>
  <c r="AI72" i="14"/>
  <c r="R55" i="14"/>
  <c r="Z18" i="14"/>
  <c r="O18" i="14" s="1"/>
  <c r="P18" i="14" s="1"/>
  <c r="AA18" i="14" s="1"/>
  <c r="T18" i="14"/>
  <c r="R18" i="14"/>
  <c r="AC18" i="14" s="1"/>
  <c r="AE23" i="14"/>
  <c r="Z32" i="14"/>
  <c r="O32" i="14" s="1"/>
  <c r="P32" i="14" s="1"/>
  <c r="AA32" i="14" s="1"/>
  <c r="T32" i="14"/>
  <c r="R32" i="14"/>
  <c r="AC32" i="14" s="1"/>
  <c r="Z21" i="14"/>
  <c r="O21" i="14" s="1"/>
  <c r="P21" i="14" s="1"/>
  <c r="AA21" i="14" s="1"/>
  <c r="R21" i="14"/>
  <c r="AC21" i="14" s="1"/>
  <c r="T21" i="14"/>
  <c r="AB110" i="14"/>
  <c r="O54" i="14"/>
  <c r="P54" i="14" s="1"/>
  <c r="AH149" i="14"/>
  <c r="N150" i="14"/>
  <c r="Z167" i="14"/>
  <c r="T167" i="14"/>
  <c r="R167" i="14"/>
  <c r="M175" i="14"/>
  <c r="Z174" i="14"/>
  <c r="T174" i="14"/>
  <c r="R57" i="14"/>
  <c r="Z57" i="14"/>
  <c r="O57" i="14" s="1"/>
  <c r="P57" i="14" s="1"/>
  <c r="O167" i="14"/>
  <c r="P167" i="14" s="1"/>
  <c r="AA167" i="14" s="1"/>
  <c r="Z157" i="14"/>
  <c r="O157" i="14" s="1"/>
  <c r="P157" i="14" s="1"/>
  <c r="AA157" i="14" s="1"/>
  <c r="T157" i="14"/>
  <c r="Z97" i="14"/>
  <c r="O97" i="14" s="1"/>
  <c r="P97" i="14" s="1"/>
  <c r="AA97" i="14" s="1"/>
  <c r="T97" i="14"/>
  <c r="T137" i="14"/>
  <c r="Z137" i="14"/>
  <c r="O137" i="14" s="1"/>
  <c r="P137" i="14" s="1"/>
  <c r="AA137" i="14" s="1"/>
  <c r="R137" i="14"/>
  <c r="Z164" i="14"/>
  <c r="O164" i="14" s="1"/>
  <c r="P164" i="14" s="1"/>
  <c r="AA164" i="14" s="1"/>
  <c r="T164" i="14"/>
  <c r="Z120" i="14"/>
  <c r="Z124" i="14" s="1"/>
  <c r="Y120" i="14"/>
  <c r="M124" i="14"/>
  <c r="N190" i="14" s="1"/>
  <c r="R120" i="14"/>
  <c r="R102" i="14"/>
  <c r="R66" i="14"/>
  <c r="AC66" i="14" s="1"/>
  <c r="Z109" i="14"/>
  <c r="O109" i="14" s="1"/>
  <c r="P109" i="14" s="1"/>
  <c r="AA109" i="14" s="1"/>
  <c r="T109" i="14"/>
  <c r="O52" i="14"/>
  <c r="P52" i="14" s="1"/>
  <c r="AE33" i="14"/>
  <c r="AB33" i="14"/>
  <c r="AE34" i="14"/>
  <c r="AB34" i="14"/>
  <c r="R75" i="14"/>
  <c r="Z75" i="14"/>
  <c r="O75" i="14" s="1"/>
  <c r="P75" i="14" s="1"/>
  <c r="AD75" i="14" s="1"/>
  <c r="Z15" i="14"/>
  <c r="O15" i="14" s="1"/>
  <c r="P15" i="14" s="1"/>
  <c r="AA15" i="14" s="1"/>
  <c r="T15" i="14"/>
  <c r="R15" i="14"/>
  <c r="AC15" i="14" s="1"/>
  <c r="R50" i="14"/>
  <c r="R40" i="14"/>
  <c r="T156" i="14"/>
  <c r="Z156" i="14"/>
  <c r="O156" i="14" s="1"/>
  <c r="P156" i="14" s="1"/>
  <c r="AA156" i="14" s="1"/>
  <c r="R156" i="14"/>
  <c r="M69" i="14"/>
  <c r="N185" i="14" s="1"/>
  <c r="Z87" i="14"/>
  <c r="O87" i="14" s="1"/>
  <c r="P87" i="14" s="1"/>
  <c r="AA87" i="14" s="1"/>
  <c r="T87" i="14"/>
  <c r="R157" i="14"/>
  <c r="Z113" i="14"/>
  <c r="O113" i="14" s="1"/>
  <c r="P113" i="14" s="1"/>
  <c r="AA113" i="14" s="1"/>
  <c r="T113" i="14"/>
  <c r="M150" i="14"/>
  <c r="Z149" i="14"/>
  <c r="Z150" i="14" s="1"/>
  <c r="T149" i="14"/>
  <c r="T150" i="14" s="1"/>
  <c r="Z115" i="14"/>
  <c r="O115" i="14" s="1"/>
  <c r="P115" i="14" s="1"/>
  <c r="AA115" i="14" s="1"/>
  <c r="T115" i="14"/>
  <c r="AH120" i="14"/>
  <c r="N124" i="14"/>
  <c r="N91" i="14"/>
  <c r="AH85" i="14"/>
  <c r="M159" i="14"/>
  <c r="G194" i="14" s="1"/>
  <c r="Z100" i="14"/>
  <c r="O100" i="14" s="1"/>
  <c r="P100" i="14" s="1"/>
  <c r="AA100" i="14" s="1"/>
  <c r="T100" i="14"/>
  <c r="O61" i="14"/>
  <c r="P61" i="14" s="1"/>
  <c r="O88" i="14"/>
  <c r="P88" i="14" s="1"/>
  <c r="AA88" i="14" s="1"/>
  <c r="R100" i="14"/>
  <c r="M91" i="14"/>
  <c r="G188" i="14" s="1"/>
  <c r="Z53" i="14"/>
  <c r="O53" i="14" s="1"/>
  <c r="P53" i="14" s="1"/>
  <c r="R53" i="14"/>
  <c r="AC11" i="14"/>
  <c r="Y11" i="14"/>
  <c r="Z67" i="14"/>
  <c r="O67" i="14" s="1"/>
  <c r="P67" i="14" s="1"/>
  <c r="AA67" i="14" s="1"/>
  <c r="T67" i="14"/>
  <c r="Z25" i="14"/>
  <c r="O25" i="14" s="1"/>
  <c r="P25" i="14" s="1"/>
  <c r="AA25" i="14" s="1"/>
  <c r="T25" i="14"/>
  <c r="R25" i="14"/>
  <c r="AC25" i="14" s="1"/>
  <c r="AI39" i="14"/>
  <c r="AH40" i="14"/>
  <c r="T40" i="14"/>
  <c r="AE39" i="14"/>
  <c r="AE40" i="14" s="1"/>
  <c r="AB39" i="14"/>
  <c r="AB40" i="14" s="1"/>
  <c r="M36" i="14"/>
  <c r="AH44" i="14"/>
  <c r="AI43" i="14"/>
  <c r="N36" i="14"/>
  <c r="E96" i="15" l="1"/>
  <c r="E100" i="15"/>
  <c r="L177" i="14"/>
  <c r="U146" i="14"/>
  <c r="AF75" i="14"/>
  <c r="D25" i="26"/>
  <c r="AB43" i="14"/>
  <c r="AB44" i="14" s="1"/>
  <c r="T36" i="14"/>
  <c r="W146" i="14"/>
  <c r="N197" i="14"/>
  <c r="H62" i="26" s="1"/>
  <c r="H55" i="9" s="1"/>
  <c r="Z76" i="14"/>
  <c r="T146" i="14"/>
  <c r="G67" i="23"/>
  <c r="G25" i="26"/>
  <c r="Y76" i="14"/>
  <c r="T44" i="14"/>
  <c r="J21" i="23"/>
  <c r="J67" i="23" s="1"/>
  <c r="H25" i="26"/>
  <c r="AF74" i="14"/>
  <c r="AB12" i="14"/>
  <c r="AE12" i="14"/>
  <c r="U94" i="15"/>
  <c r="G7" i="13" s="1"/>
  <c r="R91" i="14"/>
  <c r="M141" i="14"/>
  <c r="G192" i="14" s="1"/>
  <c r="Z159" i="14"/>
  <c r="T140" i="14"/>
  <c r="T141" i="14" s="1"/>
  <c r="Z140" i="14"/>
  <c r="O140" i="14" s="1"/>
  <c r="P140" i="14" s="1"/>
  <c r="AA140" i="14" s="1"/>
  <c r="N171" i="14"/>
  <c r="T51" i="14"/>
  <c r="AA80" i="14"/>
  <c r="AE74" i="14"/>
  <c r="V76" i="14"/>
  <c r="V82" i="14"/>
  <c r="V146" i="14"/>
  <c r="Z82" i="14"/>
  <c r="W76" i="14"/>
  <c r="T91" i="14"/>
  <c r="X76" i="14"/>
  <c r="Y124" i="14"/>
  <c r="AB80" i="14"/>
  <c r="R44" i="14"/>
  <c r="AD73" i="14"/>
  <c r="R76" i="14"/>
  <c r="AB19" i="14"/>
  <c r="R159" i="14"/>
  <c r="R36" i="14"/>
  <c r="AC36" i="14"/>
  <c r="R62" i="14"/>
  <c r="R117" i="14"/>
  <c r="R124" i="14"/>
  <c r="Z91" i="14"/>
  <c r="AI40" i="14"/>
  <c r="O39" i="14"/>
  <c r="O40" i="14" s="1"/>
  <c r="AI149" i="14"/>
  <c r="AH150" i="14"/>
  <c r="AH174" i="14"/>
  <c r="AI174" i="14" s="1"/>
  <c r="O174" i="14" s="1"/>
  <c r="O175" i="14" s="1"/>
  <c r="N175" i="14"/>
  <c r="AE32" i="14"/>
  <c r="AB32" i="14"/>
  <c r="U76" i="14"/>
  <c r="AF72" i="14"/>
  <c r="R141" i="14"/>
  <c r="T171" i="14"/>
  <c r="G181" i="14"/>
  <c r="AE21" i="14"/>
  <c r="AB21" i="14"/>
  <c r="AH171" i="14"/>
  <c r="AI162" i="14"/>
  <c r="Z117" i="14"/>
  <c r="Z171" i="14"/>
  <c r="AE15" i="14"/>
  <c r="AB15" i="14"/>
  <c r="T54" i="14"/>
  <c r="T60" i="14"/>
  <c r="AI85" i="14"/>
  <c r="AH91" i="14"/>
  <c r="O81" i="14"/>
  <c r="P81" i="14" s="1"/>
  <c r="Z36" i="14"/>
  <c r="AE16" i="14"/>
  <c r="AB16" i="14"/>
  <c r="T61" i="14"/>
  <c r="T82" i="14"/>
  <c r="AE13" i="14"/>
  <c r="AB13" i="14"/>
  <c r="T52" i="14"/>
  <c r="T58" i="14"/>
  <c r="AH141" i="14"/>
  <c r="AI136" i="14"/>
  <c r="AE25" i="14"/>
  <c r="AB25" i="14"/>
  <c r="AI76" i="14"/>
  <c r="O72" i="14"/>
  <c r="O76" i="14" s="1"/>
  <c r="AI69" i="14"/>
  <c r="O65" i="14"/>
  <c r="O69" i="14" s="1"/>
  <c r="AE67" i="14"/>
  <c r="AB67" i="14"/>
  <c r="Z146" i="14"/>
  <c r="R128" i="14"/>
  <c r="R132" i="14" s="1"/>
  <c r="M132" i="14"/>
  <c r="L191" i="14" s="1"/>
  <c r="L197" i="14" s="1"/>
  <c r="F62" i="26" s="1"/>
  <c r="Z128" i="14"/>
  <c r="Z132" i="14" s="1"/>
  <c r="V128" i="14"/>
  <c r="V132" i="14" s="1"/>
  <c r="AI36" i="14"/>
  <c r="O11" i="14"/>
  <c r="O36" i="14" s="1"/>
  <c r="AE17" i="14"/>
  <c r="AB17" i="14"/>
  <c r="N82" i="14"/>
  <c r="N177" i="14" s="1"/>
  <c r="O79" i="14"/>
  <c r="P79" i="14" s="1"/>
  <c r="AI82" i="14"/>
  <c r="AE24" i="14"/>
  <c r="AB24" i="14"/>
  <c r="R82" i="14"/>
  <c r="AH146" i="14"/>
  <c r="AI144" i="14"/>
  <c r="AE111" i="14"/>
  <c r="AB111" i="14"/>
  <c r="T76" i="14"/>
  <c r="AE72" i="14"/>
  <c r="AE14" i="14"/>
  <c r="AB14" i="14"/>
  <c r="T53" i="14"/>
  <c r="T59" i="14"/>
  <c r="AI44" i="14"/>
  <c r="O43" i="14"/>
  <c r="O44" i="14" s="1"/>
  <c r="R69" i="14"/>
  <c r="AI94" i="14"/>
  <c r="AH117" i="14"/>
  <c r="AI153" i="14"/>
  <c r="AH159" i="14"/>
  <c r="AE22" i="14"/>
  <c r="AB22" i="14"/>
  <c r="T117" i="14"/>
  <c r="Y36" i="14"/>
  <c r="Y56" i="14"/>
  <c r="Y50" i="14"/>
  <c r="AI120" i="14"/>
  <c r="AH124" i="14"/>
  <c r="AE109" i="14"/>
  <c r="AB109" i="14"/>
  <c r="N132" i="14"/>
  <c r="AH128" i="14"/>
  <c r="T159" i="14"/>
  <c r="AH62" i="14"/>
  <c r="AI48" i="14"/>
  <c r="AE20" i="14"/>
  <c r="AB20" i="14"/>
  <c r="AH82" i="14"/>
  <c r="X177" i="14"/>
  <c r="R171" i="14"/>
  <c r="AE28" i="14"/>
  <c r="AB28" i="14"/>
  <c r="AE26" i="14"/>
  <c r="AB26" i="14"/>
  <c r="U82" i="14"/>
  <c r="O169" i="14"/>
  <c r="P169" i="14" s="1"/>
  <c r="AA169" i="14" s="1"/>
  <c r="AE18" i="14"/>
  <c r="AB18" i="14"/>
  <c r="AE66" i="14"/>
  <c r="AB66" i="14"/>
  <c r="AD145" i="14"/>
  <c r="AC145" i="14"/>
  <c r="AB145" i="14"/>
  <c r="AA145" i="14"/>
  <c r="AF145" i="14"/>
  <c r="AE145" i="14"/>
  <c r="I26" i="26" l="1"/>
  <c r="H26" i="26"/>
  <c r="F26" i="26"/>
  <c r="E26" i="26"/>
  <c r="B27" i="12"/>
  <c r="G10" i="13"/>
  <c r="B62" i="12" s="1"/>
  <c r="L62" i="12" s="1"/>
  <c r="E62" i="9" s="1"/>
  <c r="D26" i="26"/>
  <c r="G26" i="26"/>
  <c r="M177" i="14"/>
  <c r="W177" i="14"/>
  <c r="AE76" i="14"/>
  <c r="Y177" i="14"/>
  <c r="P43" i="14"/>
  <c r="P44" i="14" s="1"/>
  <c r="AB36" i="14"/>
  <c r="AE36" i="14"/>
  <c r="AF76" i="14"/>
  <c r="U100" i="15"/>
  <c r="Z141" i="14"/>
  <c r="Z177" i="14" s="1"/>
  <c r="J25" i="26"/>
  <c r="N25" i="26"/>
  <c r="P65" i="14"/>
  <c r="P69" i="14" s="1"/>
  <c r="N207" i="14" s="1"/>
  <c r="V177" i="14"/>
  <c r="G197" i="14"/>
  <c r="D62" i="26" s="1"/>
  <c r="U177" i="14"/>
  <c r="T177" i="14"/>
  <c r="R177" i="14"/>
  <c r="P72" i="14"/>
  <c r="P76" i="14" s="1"/>
  <c r="L208" i="14" s="1"/>
  <c r="AC81" i="14"/>
  <c r="AA81" i="14"/>
  <c r="AB81" i="14"/>
  <c r="AI62" i="14"/>
  <c r="O48" i="14"/>
  <c r="O62" i="14" s="1"/>
  <c r="AI141" i="14"/>
  <c r="O136" i="14"/>
  <c r="AI171" i="14"/>
  <c r="O162" i="14"/>
  <c r="O171" i="14" s="1"/>
  <c r="AI150" i="14"/>
  <c r="O149" i="14"/>
  <c r="O150" i="14" s="1"/>
  <c r="O120" i="14"/>
  <c r="O124" i="14" s="1"/>
  <c r="AI124" i="14"/>
  <c r="O82" i="14"/>
  <c r="P39" i="14"/>
  <c r="AI91" i="14"/>
  <c r="O85" i="14"/>
  <c r="O91" i="14" s="1"/>
  <c r="AI128" i="14"/>
  <c r="AH132" i="14"/>
  <c r="AH177" i="14" s="1"/>
  <c r="AI117" i="14"/>
  <c r="O94" i="14"/>
  <c r="O117" i="14" s="1"/>
  <c r="AC79" i="14"/>
  <c r="AB79" i="14"/>
  <c r="AA79" i="14"/>
  <c r="P82" i="14"/>
  <c r="K209" i="14" s="1"/>
  <c r="K219" i="14" s="1"/>
  <c r="O153" i="14"/>
  <c r="O159" i="14" s="1"/>
  <c r="AI159" i="14"/>
  <c r="O144" i="14"/>
  <c r="O146" i="14" s="1"/>
  <c r="AI146" i="14"/>
  <c r="P174" i="14"/>
  <c r="P11" i="14"/>
  <c r="N26" i="26" l="1"/>
  <c r="J26" i="26"/>
  <c r="L27" i="12"/>
  <c r="E27" i="9" s="1"/>
  <c r="E64" i="9" s="1"/>
  <c r="E65" i="9" s="1"/>
  <c r="E75" i="9" s="1"/>
  <c r="B64" i="12"/>
  <c r="AA82" i="14"/>
  <c r="P85" i="14"/>
  <c r="AA85" i="14" s="1"/>
  <c r="AA91" i="14" s="1"/>
  <c r="AA43" i="14"/>
  <c r="AA44" i="14" s="1"/>
  <c r="AA65" i="14"/>
  <c r="AA69" i="14" s="1"/>
  <c r="AD72" i="14"/>
  <c r="AD76" i="14" s="1"/>
  <c r="P149" i="14"/>
  <c r="AA149" i="14" s="1"/>
  <c r="AA150" i="14" s="1"/>
  <c r="P120" i="14"/>
  <c r="P124" i="14" s="1"/>
  <c r="N212" i="14" s="1"/>
  <c r="N219" i="14" s="1"/>
  <c r="AC82" i="14"/>
  <c r="P94" i="14"/>
  <c r="AA94" i="14" s="1"/>
  <c r="AA117" i="14" s="1"/>
  <c r="AB82" i="14"/>
  <c r="P153" i="14"/>
  <c r="P159" i="14" s="1"/>
  <c r="G216" i="14" s="1"/>
  <c r="P162" i="14"/>
  <c r="AA162" i="14" s="1"/>
  <c r="AA171" i="14" s="1"/>
  <c r="P144" i="14"/>
  <c r="O128" i="14"/>
  <c r="AI132" i="14"/>
  <c r="AI177" i="14" s="1"/>
  <c r="O141" i="14"/>
  <c r="P136" i="14"/>
  <c r="P40" i="14"/>
  <c r="AA39" i="14"/>
  <c r="AA40" i="14" s="1"/>
  <c r="AA174" i="14"/>
  <c r="P175" i="14"/>
  <c r="G218" i="14" s="1"/>
  <c r="P36" i="14"/>
  <c r="AA11" i="14"/>
  <c r="AA36" i="14" s="1"/>
  <c r="P150" i="14"/>
  <c r="P48" i="14"/>
  <c r="B65" i="12" l="1"/>
  <c r="L64" i="12"/>
  <c r="G202" i="14"/>
  <c r="P91" i="14"/>
  <c r="G210" i="14" s="1"/>
  <c r="AF120" i="14"/>
  <c r="AF124" i="14" s="1"/>
  <c r="P117" i="14"/>
  <c r="G211" i="14" s="1"/>
  <c r="P171" i="14"/>
  <c r="G217" i="14" s="1"/>
  <c r="G205" i="14"/>
  <c r="O204" i="14"/>
  <c r="O219" i="14" s="1"/>
  <c r="AA153" i="14"/>
  <c r="AA159" i="14" s="1"/>
  <c r="O132" i="14"/>
  <c r="O177" i="14" s="1"/>
  <c r="P128" i="14"/>
  <c r="AA136" i="14"/>
  <c r="AA141" i="14" s="1"/>
  <c r="P141" i="14"/>
  <c r="G214" i="14" s="1"/>
  <c r="P146" i="14"/>
  <c r="G215" i="14" s="1"/>
  <c r="AA144" i="14"/>
  <c r="AA146" i="14" s="1"/>
  <c r="AF144" i="14"/>
  <c r="AF146" i="14" s="1"/>
  <c r="AE144" i="14"/>
  <c r="AE146" i="14" s="1"/>
  <c r="AC144" i="14"/>
  <c r="AC146" i="14" s="1"/>
  <c r="AD144" i="14"/>
  <c r="AD146" i="14" s="1"/>
  <c r="AB144" i="14"/>
  <c r="AB146" i="14" s="1"/>
  <c r="AD60" i="14"/>
  <c r="AA59" i="14"/>
  <c r="AF58" i="14"/>
  <c r="AC57" i="14"/>
  <c r="AE55" i="14"/>
  <c r="AB54" i="14"/>
  <c r="AD52" i="14"/>
  <c r="AA51" i="14"/>
  <c r="AF50" i="14"/>
  <c r="AF61" i="14"/>
  <c r="AC60" i="14"/>
  <c r="AE58" i="14"/>
  <c r="AB57" i="14"/>
  <c r="AD55" i="14"/>
  <c r="AA54" i="14"/>
  <c r="AF53" i="14"/>
  <c r="AC52" i="14"/>
  <c r="AE50" i="14"/>
  <c r="AB49" i="14"/>
  <c r="AE61" i="14"/>
  <c r="AB60" i="14"/>
  <c r="AD58" i="14"/>
  <c r="AA57" i="14"/>
  <c r="AF56" i="14"/>
  <c r="AC55" i="14"/>
  <c r="AE53" i="14"/>
  <c r="AB52" i="14"/>
  <c r="AD50" i="14"/>
  <c r="AA49" i="14"/>
  <c r="AF48" i="14"/>
  <c r="AF62" i="14" s="1"/>
  <c r="P62" i="14"/>
  <c r="G206" i="14" s="1"/>
  <c r="AD61" i="14"/>
  <c r="AA60" i="14"/>
  <c r="AF59" i="14"/>
  <c r="AC58" i="14"/>
  <c r="AE56" i="14"/>
  <c r="AB55" i="14"/>
  <c r="AD53" i="14"/>
  <c r="AA52" i="14"/>
  <c r="AF51" i="14"/>
  <c r="AC50" i="14"/>
  <c r="AE48" i="14"/>
  <c r="AE62" i="14" s="1"/>
  <c r="AC61" i="14"/>
  <c r="AE59" i="14"/>
  <c r="AB58" i="14"/>
  <c r="AD56" i="14"/>
  <c r="AA55" i="14"/>
  <c r="AF54" i="14"/>
  <c r="AC53" i="14"/>
  <c r="AE51" i="14"/>
  <c r="AA61" i="14"/>
  <c r="AF60" i="14"/>
  <c r="AC59" i="14"/>
  <c r="AE57" i="14"/>
  <c r="AB56" i="14"/>
  <c r="AD59" i="14"/>
  <c r="AC56" i="14"/>
  <c r="AF52" i="14"/>
  <c r="AD51" i="14"/>
  <c r="AE60" i="14"/>
  <c r="AB59" i="14"/>
  <c r="AF57" i="14"/>
  <c r="AA56" i="14"/>
  <c r="AE52" i="14"/>
  <c r="AC51" i="14"/>
  <c r="AD57" i="14"/>
  <c r="AE54" i="14"/>
  <c r="AB51" i="14"/>
  <c r="AD54" i="14"/>
  <c r="AB53" i="14"/>
  <c r="AB50" i="14"/>
  <c r="AD48" i="14"/>
  <c r="AD62" i="14" s="1"/>
  <c r="AC54" i="14"/>
  <c r="AA53" i="14"/>
  <c r="AA50" i="14"/>
  <c r="AF49" i="14"/>
  <c r="AC48" i="14"/>
  <c r="AC62" i="14" s="1"/>
  <c r="AB48" i="14"/>
  <c r="AB62" i="14" s="1"/>
  <c r="AF55" i="14"/>
  <c r="AA48" i="14"/>
  <c r="AA62" i="14" s="1"/>
  <c r="AE49" i="14"/>
  <c r="AA58" i="14"/>
  <c r="AD49" i="14"/>
  <c r="AB61" i="14"/>
  <c r="AC49" i="14"/>
  <c r="AD177" i="14" l="1"/>
  <c r="G219" i="14"/>
  <c r="AE177" i="14"/>
  <c r="AA177" i="14"/>
  <c r="AF177" i="14"/>
  <c r="AB177" i="14"/>
  <c r="P132" i="14"/>
  <c r="P177" i="14" s="1"/>
  <c r="AC128" i="14"/>
  <c r="AC132" i="14" s="1"/>
  <c r="AC177" i="14" s="1"/>
  <c r="L213" i="14" l="1"/>
  <c r="L219" i="14" s="1"/>
  <c r="O35" i="7"/>
  <c r="N35" i="7"/>
  <c r="M35" i="7"/>
  <c r="L35" i="7"/>
  <c r="K35" i="7"/>
  <c r="J35" i="7"/>
  <c r="I35" i="7"/>
  <c r="H35" i="7"/>
  <c r="G35" i="7"/>
  <c r="F35" i="7"/>
  <c r="E35" i="7"/>
  <c r="D35" i="7"/>
  <c r="O297" i="7" l="1"/>
  <c r="O298" i="7" s="1"/>
  <c r="O299" i="7" s="1"/>
  <c r="N297" i="7"/>
  <c r="N298" i="7" s="1"/>
  <c r="N299" i="7" s="1"/>
  <c r="M297" i="7"/>
  <c r="M298" i="7" s="1"/>
  <c r="M299" i="7" s="1"/>
  <c r="L297" i="7"/>
  <c r="L298" i="7" s="1"/>
  <c r="L299" i="7" s="1"/>
  <c r="K297" i="7"/>
  <c r="K298" i="7" s="1"/>
  <c r="K299" i="7" s="1"/>
  <c r="J297" i="7"/>
  <c r="J298" i="7" s="1"/>
  <c r="J299" i="7" s="1"/>
  <c r="I297" i="7"/>
  <c r="I298" i="7" s="1"/>
  <c r="I299" i="7" s="1"/>
  <c r="H297" i="7"/>
  <c r="G297" i="7"/>
  <c r="G298" i="7" s="1"/>
  <c r="G299" i="7" s="1"/>
  <c r="F297" i="7"/>
  <c r="F298" i="7" s="1"/>
  <c r="F299" i="7" s="1"/>
  <c r="E297" i="7"/>
  <c r="E298" i="7" s="1"/>
  <c r="E299" i="7" s="1"/>
  <c r="D297" i="7"/>
  <c r="D298" i="7" s="1"/>
  <c r="D299" i="7" s="1"/>
  <c r="P296" i="7"/>
  <c r="C71" i="9" s="1"/>
  <c r="P295" i="7"/>
  <c r="C69" i="9" s="1"/>
  <c r="P294" i="7"/>
  <c r="C70" i="9" s="1"/>
  <c r="O288" i="7"/>
  <c r="N288" i="7"/>
  <c r="M288" i="7"/>
  <c r="L288" i="7"/>
  <c r="K288" i="7"/>
  <c r="J288" i="7"/>
  <c r="I288" i="7"/>
  <c r="H288" i="7"/>
  <c r="G288" i="7"/>
  <c r="F288" i="7"/>
  <c r="E288" i="7"/>
  <c r="D288" i="7"/>
  <c r="P287" i="7"/>
  <c r="P286" i="7"/>
  <c r="P285" i="7"/>
  <c r="P282" i="7"/>
  <c r="C60" i="9" s="1"/>
  <c r="F60" i="9" s="1"/>
  <c r="B67" i="26" s="1"/>
  <c r="O280" i="7"/>
  <c r="N280" i="7"/>
  <c r="M280" i="7"/>
  <c r="L280" i="7"/>
  <c r="K280" i="7"/>
  <c r="J280" i="7"/>
  <c r="I280" i="7"/>
  <c r="H280" i="7"/>
  <c r="G280" i="7"/>
  <c r="F280" i="7"/>
  <c r="E280" i="7"/>
  <c r="D280" i="7"/>
  <c r="P279" i="7"/>
  <c r="P278" i="7"/>
  <c r="P277" i="7"/>
  <c r="P276" i="7"/>
  <c r="P275" i="7"/>
  <c r="P274" i="7"/>
  <c r="P273" i="7"/>
  <c r="P272" i="7"/>
  <c r="P270" i="7"/>
  <c r="C61" i="9" s="1"/>
  <c r="F61" i="9" s="1"/>
  <c r="B68" i="26" s="1"/>
  <c r="O268" i="7"/>
  <c r="N268" i="7"/>
  <c r="M268" i="7"/>
  <c r="L268" i="7"/>
  <c r="K268" i="7"/>
  <c r="J268" i="7"/>
  <c r="I268" i="7"/>
  <c r="H268" i="7"/>
  <c r="G268" i="7"/>
  <c r="F268" i="7"/>
  <c r="E268" i="7"/>
  <c r="D268" i="7"/>
  <c r="P267" i="7"/>
  <c r="P266" i="7"/>
  <c r="P265" i="7"/>
  <c r="P264" i="7"/>
  <c r="P263" i="7"/>
  <c r="P262" i="7"/>
  <c r="P261" i="7"/>
  <c r="P260" i="7"/>
  <c r="P259" i="7"/>
  <c r="P255" i="7"/>
  <c r="P254" i="7"/>
  <c r="P253" i="7"/>
  <c r="O252" i="7"/>
  <c r="N252" i="7"/>
  <c r="M252" i="7"/>
  <c r="L252" i="7"/>
  <c r="K252" i="7"/>
  <c r="J252" i="7"/>
  <c r="I252" i="7"/>
  <c r="H252" i="7"/>
  <c r="G252" i="7"/>
  <c r="F252" i="7"/>
  <c r="E252" i="7"/>
  <c r="D252" i="7"/>
  <c r="P251" i="7"/>
  <c r="P250" i="7"/>
  <c r="P249" i="7"/>
  <c r="O247" i="7"/>
  <c r="N247" i="7"/>
  <c r="M247" i="7"/>
  <c r="L247" i="7"/>
  <c r="K247" i="7"/>
  <c r="J247" i="7"/>
  <c r="I247" i="7"/>
  <c r="H247" i="7"/>
  <c r="G247" i="7"/>
  <c r="F247" i="7"/>
  <c r="E247" i="7"/>
  <c r="D247" i="7"/>
  <c r="P246" i="7"/>
  <c r="P245" i="7"/>
  <c r="P244" i="7"/>
  <c r="P243" i="7"/>
  <c r="P242" i="7"/>
  <c r="P241" i="7"/>
  <c r="P237" i="7"/>
  <c r="C54" i="9" s="1"/>
  <c r="F54" i="9" s="1"/>
  <c r="O235" i="7"/>
  <c r="N235" i="7"/>
  <c r="M235" i="7"/>
  <c r="L235" i="7"/>
  <c r="K235" i="7"/>
  <c r="J235" i="7"/>
  <c r="I235" i="7"/>
  <c r="H235" i="7"/>
  <c r="G235" i="7"/>
  <c r="F235" i="7"/>
  <c r="E235" i="7"/>
  <c r="D235" i="7"/>
  <c r="P234" i="7"/>
  <c r="P233" i="7"/>
  <c r="P232" i="7"/>
  <c r="P231" i="7"/>
  <c r="O228" i="7"/>
  <c r="N228" i="7"/>
  <c r="M228" i="7"/>
  <c r="L228" i="7"/>
  <c r="K228" i="7"/>
  <c r="J228" i="7"/>
  <c r="I228" i="7"/>
  <c r="H228" i="7"/>
  <c r="G228" i="7"/>
  <c r="F228" i="7"/>
  <c r="E228" i="7"/>
  <c r="D228" i="7"/>
  <c r="P227" i="7"/>
  <c r="P226" i="7"/>
  <c r="P225" i="7"/>
  <c r="P224" i="7"/>
  <c r="P223" i="7"/>
  <c r="O220" i="7"/>
  <c r="N220" i="7"/>
  <c r="M220" i="7"/>
  <c r="L220" i="7"/>
  <c r="K220" i="7"/>
  <c r="J220" i="7"/>
  <c r="I220" i="7"/>
  <c r="H220" i="7"/>
  <c r="G220" i="7"/>
  <c r="F220" i="7"/>
  <c r="E220" i="7"/>
  <c r="D220" i="7"/>
  <c r="P219" i="7"/>
  <c r="P218" i="7"/>
  <c r="C46" i="9" s="1"/>
  <c r="P217" i="7"/>
  <c r="P216" i="7"/>
  <c r="C45" i="9" s="1"/>
  <c r="G47" i="11" s="1"/>
  <c r="I45" i="10" s="1"/>
  <c r="P215" i="7"/>
  <c r="P214" i="7"/>
  <c r="P213" i="7"/>
  <c r="P212" i="7"/>
  <c r="P211" i="7"/>
  <c r="P210" i="7"/>
  <c r="P209" i="7"/>
  <c r="P208" i="7"/>
  <c r="P207" i="7"/>
  <c r="P206" i="7"/>
  <c r="P205" i="7"/>
  <c r="O201" i="7"/>
  <c r="O202" i="7" s="1"/>
  <c r="N201" i="7"/>
  <c r="N202" i="7" s="1"/>
  <c r="M201" i="7"/>
  <c r="M202" i="7" s="1"/>
  <c r="L201" i="7"/>
  <c r="L202" i="7" s="1"/>
  <c r="K201" i="7"/>
  <c r="K202" i="7" s="1"/>
  <c r="J201" i="7"/>
  <c r="J202" i="7" s="1"/>
  <c r="I201" i="7"/>
  <c r="I202" i="7" s="1"/>
  <c r="H201" i="7"/>
  <c r="H202" i="7" s="1"/>
  <c r="G201" i="7"/>
  <c r="G202" i="7" s="1"/>
  <c r="F201" i="7"/>
  <c r="F202" i="7" s="1"/>
  <c r="E201" i="7"/>
  <c r="E202" i="7" s="1"/>
  <c r="D201" i="7"/>
  <c r="D202" i="7" s="1"/>
  <c r="P200" i="7"/>
  <c r="P199" i="7"/>
  <c r="P198" i="7"/>
  <c r="P197" i="7"/>
  <c r="P196" i="7"/>
  <c r="P195" i="7"/>
  <c r="P194" i="7"/>
  <c r="P193" i="7"/>
  <c r="P190" i="7"/>
  <c r="C40" i="9" s="1"/>
  <c r="F40" i="9" s="1"/>
  <c r="B48" i="26" s="1"/>
  <c r="O187" i="7"/>
  <c r="N187" i="7"/>
  <c r="M187" i="7"/>
  <c r="L187" i="7"/>
  <c r="K187" i="7"/>
  <c r="J187" i="7"/>
  <c r="I187" i="7"/>
  <c r="H187" i="7"/>
  <c r="G187" i="7"/>
  <c r="F187" i="7"/>
  <c r="E187" i="7"/>
  <c r="D187" i="7"/>
  <c r="P186" i="7"/>
  <c r="P185" i="7"/>
  <c r="P184" i="7"/>
  <c r="P183" i="7"/>
  <c r="P182" i="7"/>
  <c r="P181" i="7"/>
  <c r="P180" i="7"/>
  <c r="P179" i="7"/>
  <c r="P176" i="7"/>
  <c r="P173" i="7"/>
  <c r="P172" i="7"/>
  <c r="C36" i="9" s="1"/>
  <c r="P171" i="7"/>
  <c r="C35" i="9" s="1"/>
  <c r="P170" i="7"/>
  <c r="O168" i="7"/>
  <c r="O174" i="7" s="1"/>
  <c r="N168" i="7"/>
  <c r="N174" i="7" s="1"/>
  <c r="M168" i="7"/>
  <c r="M174" i="7" s="1"/>
  <c r="L168" i="7"/>
  <c r="L174" i="7" s="1"/>
  <c r="K168" i="7"/>
  <c r="K174" i="7" s="1"/>
  <c r="J168" i="7"/>
  <c r="J174" i="7" s="1"/>
  <c r="I168" i="7"/>
  <c r="I174" i="7" s="1"/>
  <c r="H168" i="7"/>
  <c r="H174" i="7" s="1"/>
  <c r="G168" i="7"/>
  <c r="G174" i="7" s="1"/>
  <c r="F168" i="7"/>
  <c r="F174" i="7" s="1"/>
  <c r="E168" i="7"/>
  <c r="E174" i="7" s="1"/>
  <c r="D168" i="7"/>
  <c r="P167" i="7"/>
  <c r="P166" i="7"/>
  <c r="C51" i="9" s="1"/>
  <c r="F51" i="9" s="1"/>
  <c r="B58" i="26" s="1"/>
  <c r="P165" i="7"/>
  <c r="P164" i="7"/>
  <c r="P163" i="7"/>
  <c r="C38" i="9" s="1"/>
  <c r="F38" i="9" s="1"/>
  <c r="P162" i="7"/>
  <c r="P161" i="7"/>
  <c r="P160" i="7"/>
  <c r="C43" i="9" s="1"/>
  <c r="F43" i="9" s="1"/>
  <c r="P159" i="7"/>
  <c r="C50" i="9" s="1"/>
  <c r="F50" i="9" s="1"/>
  <c r="B57" i="26" s="1"/>
  <c r="O155" i="7"/>
  <c r="N155" i="7"/>
  <c r="M155" i="7"/>
  <c r="L155" i="7"/>
  <c r="K155" i="7"/>
  <c r="J155" i="7"/>
  <c r="I155" i="7"/>
  <c r="H155" i="7"/>
  <c r="G155" i="7"/>
  <c r="F155" i="7"/>
  <c r="E155" i="7"/>
  <c r="D155" i="7"/>
  <c r="P154" i="7"/>
  <c r="P153" i="7"/>
  <c r="P152" i="7"/>
  <c r="O149" i="7"/>
  <c r="N149" i="7"/>
  <c r="M149" i="7"/>
  <c r="L149" i="7"/>
  <c r="K149" i="7"/>
  <c r="J149" i="7"/>
  <c r="I149" i="7"/>
  <c r="H149" i="7"/>
  <c r="G149" i="7"/>
  <c r="F149" i="7"/>
  <c r="E149" i="7"/>
  <c r="D149" i="7"/>
  <c r="P148" i="7"/>
  <c r="P147" i="7"/>
  <c r="P146" i="7"/>
  <c r="P145" i="7"/>
  <c r="P144" i="7"/>
  <c r="P143" i="7"/>
  <c r="C31" i="9" s="1"/>
  <c r="F31" i="9" s="1"/>
  <c r="B39" i="26" s="1"/>
  <c r="N39" i="26" s="1"/>
  <c r="P142" i="7"/>
  <c r="P141" i="7"/>
  <c r="O138" i="7"/>
  <c r="N138" i="7"/>
  <c r="M138" i="7"/>
  <c r="L138" i="7"/>
  <c r="K138" i="7"/>
  <c r="J138" i="7"/>
  <c r="I138" i="7"/>
  <c r="H138" i="7"/>
  <c r="G138" i="7"/>
  <c r="F138" i="7"/>
  <c r="E138" i="7"/>
  <c r="D138" i="7"/>
  <c r="P137" i="7"/>
  <c r="P136" i="7"/>
  <c r="O133" i="7"/>
  <c r="N133" i="7"/>
  <c r="M133" i="7"/>
  <c r="L133" i="7"/>
  <c r="K133" i="7"/>
  <c r="J133" i="7"/>
  <c r="I133" i="7"/>
  <c r="H133" i="7"/>
  <c r="G133" i="7"/>
  <c r="F133" i="7"/>
  <c r="E133" i="7"/>
  <c r="D133" i="7"/>
  <c r="P132" i="7"/>
  <c r="P131" i="7"/>
  <c r="P130" i="7"/>
  <c r="P129" i="7"/>
  <c r="P128" i="7"/>
  <c r="P127" i="7"/>
  <c r="P126" i="7"/>
  <c r="P125" i="7"/>
  <c r="P124" i="7"/>
  <c r="P121" i="7"/>
  <c r="C26" i="9" s="1"/>
  <c r="F26" i="9" s="1"/>
  <c r="B34" i="26" s="1"/>
  <c r="P118" i="7"/>
  <c r="C53" i="9" s="1"/>
  <c r="F53" i="9" s="1"/>
  <c r="O116" i="7"/>
  <c r="N116" i="7"/>
  <c r="M116" i="7"/>
  <c r="L116" i="7"/>
  <c r="K116" i="7"/>
  <c r="J116" i="7"/>
  <c r="I116" i="7"/>
  <c r="H116" i="7"/>
  <c r="G116" i="7"/>
  <c r="F116" i="7"/>
  <c r="E116" i="7"/>
  <c r="D116" i="7"/>
  <c r="P115" i="7"/>
  <c r="P114" i="7"/>
  <c r="P113" i="7"/>
  <c r="P112" i="7"/>
  <c r="P111" i="7"/>
  <c r="P110" i="7"/>
  <c r="P109" i="7"/>
  <c r="P108" i="7"/>
  <c r="O105" i="7"/>
  <c r="N105" i="7"/>
  <c r="M105" i="7"/>
  <c r="L105" i="7"/>
  <c r="K105" i="7"/>
  <c r="J105" i="7"/>
  <c r="I105" i="7"/>
  <c r="H105" i="7"/>
  <c r="G105" i="7"/>
  <c r="F105" i="7"/>
  <c r="E105" i="7"/>
  <c r="D105" i="7"/>
  <c r="P104" i="7"/>
  <c r="P103" i="7"/>
  <c r="P102" i="7"/>
  <c r="P101" i="7"/>
  <c r="P100" i="7"/>
  <c r="P99" i="7"/>
  <c r="P98" i="7"/>
  <c r="P97" i="7"/>
  <c r="O94" i="7"/>
  <c r="N94" i="7"/>
  <c r="M94" i="7"/>
  <c r="L94" i="7"/>
  <c r="K94" i="7"/>
  <c r="J94" i="7"/>
  <c r="I94" i="7"/>
  <c r="H94" i="7"/>
  <c r="G94" i="7"/>
  <c r="F94" i="7"/>
  <c r="E94" i="7"/>
  <c r="D94" i="7"/>
  <c r="P93" i="7"/>
  <c r="P92" i="7"/>
  <c r="P91" i="7"/>
  <c r="P90" i="7"/>
  <c r="P89" i="7"/>
  <c r="P88" i="7"/>
  <c r="P87" i="7"/>
  <c r="P86" i="7"/>
  <c r="O83" i="7"/>
  <c r="N83" i="7"/>
  <c r="M83" i="7"/>
  <c r="L83" i="7"/>
  <c r="K83" i="7"/>
  <c r="J83" i="7"/>
  <c r="I83" i="7"/>
  <c r="H83" i="7"/>
  <c r="G83" i="7"/>
  <c r="F83" i="7"/>
  <c r="E83" i="7"/>
  <c r="D83" i="7"/>
  <c r="P82" i="7"/>
  <c r="P81" i="7"/>
  <c r="P80" i="7"/>
  <c r="P79" i="7"/>
  <c r="P78" i="7"/>
  <c r="P77" i="7"/>
  <c r="P76" i="7"/>
  <c r="P75" i="7"/>
  <c r="P72" i="7"/>
  <c r="C42" i="9" s="1"/>
  <c r="F42" i="9" s="1"/>
  <c r="O70" i="7"/>
  <c r="N70" i="7"/>
  <c r="M70" i="7"/>
  <c r="L70" i="7"/>
  <c r="K70" i="7"/>
  <c r="J70" i="7"/>
  <c r="I70" i="7"/>
  <c r="H70" i="7"/>
  <c r="G70" i="7"/>
  <c r="F70" i="7"/>
  <c r="E70" i="7"/>
  <c r="D70" i="7"/>
  <c r="P69" i="7"/>
  <c r="P68" i="7"/>
  <c r="P67" i="7"/>
  <c r="P66" i="7"/>
  <c r="P65" i="7"/>
  <c r="P64" i="7"/>
  <c r="P63" i="7"/>
  <c r="P62" i="7"/>
  <c r="P61" i="7"/>
  <c r="O58" i="7"/>
  <c r="N58" i="7"/>
  <c r="M58" i="7"/>
  <c r="L58" i="7"/>
  <c r="K58" i="7"/>
  <c r="J58" i="7"/>
  <c r="I58" i="7"/>
  <c r="H58" i="7"/>
  <c r="G58" i="7"/>
  <c r="F58" i="7"/>
  <c r="E58" i="7"/>
  <c r="D58" i="7"/>
  <c r="P57" i="7"/>
  <c r="P56" i="7"/>
  <c r="P55" i="7"/>
  <c r="P54" i="7"/>
  <c r="P53" i="7"/>
  <c r="P52" i="7"/>
  <c r="P51" i="7"/>
  <c r="P50" i="7"/>
  <c r="O46" i="7"/>
  <c r="N46" i="7"/>
  <c r="M46" i="7"/>
  <c r="L46" i="7"/>
  <c r="K46" i="7"/>
  <c r="J46" i="7"/>
  <c r="I46" i="7"/>
  <c r="H46" i="7"/>
  <c r="G46" i="7"/>
  <c r="F46" i="7"/>
  <c r="E46" i="7"/>
  <c r="D46" i="7"/>
  <c r="P45" i="7"/>
  <c r="P44" i="7"/>
  <c r="P43" i="7"/>
  <c r="P42" i="7"/>
  <c r="P41" i="7"/>
  <c r="P40" i="7"/>
  <c r="P39" i="7"/>
  <c r="P38" i="7"/>
  <c r="P34" i="7"/>
  <c r="P33" i="7"/>
  <c r="P32" i="7"/>
  <c r="P31" i="7"/>
  <c r="P30" i="7"/>
  <c r="P29" i="7"/>
  <c r="P28" i="7"/>
  <c r="P27" i="7"/>
  <c r="P25" i="7"/>
  <c r="P24" i="7"/>
  <c r="O19" i="7"/>
  <c r="N19" i="7"/>
  <c r="M19" i="7"/>
  <c r="L19" i="7"/>
  <c r="K19" i="7"/>
  <c r="J19" i="7"/>
  <c r="I19" i="7"/>
  <c r="H19" i="7"/>
  <c r="G19" i="7"/>
  <c r="F19" i="7"/>
  <c r="E19" i="7"/>
  <c r="D19" i="7"/>
  <c r="P18" i="7"/>
  <c r="C20" i="9" s="1"/>
  <c r="F20" i="9" s="1"/>
  <c r="B20" i="26" s="1"/>
  <c r="P17" i="7"/>
  <c r="C19" i="9" s="1"/>
  <c r="F19" i="9" s="1"/>
  <c r="B19" i="26" s="1"/>
  <c r="P16" i="7"/>
  <c r="C18" i="9" s="1"/>
  <c r="F18" i="9" s="1"/>
  <c r="B18" i="26" s="1"/>
  <c r="O14" i="7"/>
  <c r="N14" i="7"/>
  <c r="M14" i="7"/>
  <c r="L14" i="7"/>
  <c r="K14" i="7"/>
  <c r="J14" i="7"/>
  <c r="I14" i="7"/>
  <c r="H14" i="7"/>
  <c r="G14" i="7"/>
  <c r="F14" i="7"/>
  <c r="E14" i="7"/>
  <c r="D14" i="7"/>
  <c r="P13" i="7"/>
  <c r="C17" i="9" s="1"/>
  <c r="F17" i="9" s="1"/>
  <c r="B17" i="26" s="1"/>
  <c r="I17" i="26" s="1"/>
  <c r="N17" i="26" s="1"/>
  <c r="P12" i="7"/>
  <c r="C15" i="9" s="1"/>
  <c r="F15" i="9" s="1"/>
  <c r="B15" i="26" s="1"/>
  <c r="I15" i="26" s="1"/>
  <c r="P11" i="7"/>
  <c r="C14" i="9" s="1"/>
  <c r="F14" i="9" s="1"/>
  <c r="B14" i="26" s="1"/>
  <c r="P10" i="7"/>
  <c r="C13" i="9" s="1"/>
  <c r="F13" i="9" s="1"/>
  <c r="B13" i="26" s="1"/>
  <c r="P9" i="7"/>
  <c r="C12" i="9" s="1"/>
  <c r="F12" i="9" s="1"/>
  <c r="P8" i="7"/>
  <c r="C11" i="9" s="1"/>
  <c r="F11" i="9" s="1"/>
  <c r="B11" i="26" s="1"/>
  <c r="P7" i="7"/>
  <c r="C9" i="9" s="1"/>
  <c r="F9" i="9" s="1"/>
  <c r="P6" i="7"/>
  <c r="C8" i="9" s="1"/>
  <c r="F8" i="9" s="1"/>
  <c r="B8" i="26" s="1"/>
  <c r="P5" i="7"/>
  <c r="C7" i="9" s="1"/>
  <c r="F7" i="9" s="1"/>
  <c r="B7" i="26" s="1"/>
  <c r="K73" i="9"/>
  <c r="J73" i="9"/>
  <c r="I73" i="9"/>
  <c r="F72" i="9"/>
  <c r="F68" i="9"/>
  <c r="B76" i="26" s="1"/>
  <c r="D73" i="9"/>
  <c r="K46" i="9"/>
  <c r="K41" i="9"/>
  <c r="K37" i="9"/>
  <c r="J21" i="9"/>
  <c r="K19" i="9"/>
  <c r="H19" i="9"/>
  <c r="K17" i="9"/>
  <c r="K16" i="9"/>
  <c r="H16" i="9"/>
  <c r="K15" i="9"/>
  <c r="K12" i="9"/>
  <c r="I10" i="9"/>
  <c r="K10" i="9" s="1"/>
  <c r="B9" i="26" l="1"/>
  <c r="D9" i="26" s="1"/>
  <c r="N9" i="26" s="1"/>
  <c r="B61" i="26"/>
  <c r="D61" i="26"/>
  <c r="N61" i="26" s="1"/>
  <c r="B60" i="26"/>
  <c r="B12" i="26"/>
  <c r="H12" i="26" s="1"/>
  <c r="N12" i="26" s="1"/>
  <c r="B46" i="26"/>
  <c r="E46" i="26" s="1"/>
  <c r="F46" i="26"/>
  <c r="D46" i="26"/>
  <c r="G46" i="26"/>
  <c r="H15" i="9"/>
  <c r="H17" i="9"/>
  <c r="G44" i="11"/>
  <c r="I35" i="10" s="1"/>
  <c r="G45" i="11"/>
  <c r="I36" i="10" s="1"/>
  <c r="D36" i="9" s="1"/>
  <c r="F36" i="9" s="1"/>
  <c r="G46" i="11"/>
  <c r="I46" i="10" s="1"/>
  <c r="D46" i="9" s="1"/>
  <c r="F46" i="9" s="1"/>
  <c r="B53" i="26" s="1"/>
  <c r="N53" i="26" s="1"/>
  <c r="I14" i="9"/>
  <c r="K14" i="9" s="1"/>
  <c r="F71" i="9"/>
  <c r="B79" i="26" s="1"/>
  <c r="B50" i="26"/>
  <c r="H50" i="26" s="1"/>
  <c r="H42" i="9" s="1"/>
  <c r="I42" i="9" s="1"/>
  <c r="K42" i="9" s="1"/>
  <c r="B51" i="26"/>
  <c r="G51" i="26" s="1"/>
  <c r="F18" i="26"/>
  <c r="N18" i="26" s="1"/>
  <c r="I18" i="9"/>
  <c r="K18" i="9" s="1"/>
  <c r="I11" i="9"/>
  <c r="K11" i="9" s="1"/>
  <c r="H12" i="9"/>
  <c r="G20" i="26"/>
  <c r="N20" i="26" s="1"/>
  <c r="I20" i="9"/>
  <c r="K20" i="9" s="1"/>
  <c r="I8" i="9"/>
  <c r="K8" i="9" s="1"/>
  <c r="I68" i="26"/>
  <c r="G68" i="26"/>
  <c r="F68" i="26"/>
  <c r="E68" i="26"/>
  <c r="D68" i="26"/>
  <c r="H68" i="26"/>
  <c r="H61" i="9" s="1"/>
  <c r="I61" i="9" s="1"/>
  <c r="K61" i="9" s="1"/>
  <c r="F11" i="26"/>
  <c r="F58" i="26"/>
  <c r="E58" i="26"/>
  <c r="G58" i="26"/>
  <c r="H58" i="26"/>
  <c r="H51" i="9" s="1"/>
  <c r="I51" i="9" s="1"/>
  <c r="K51" i="9" s="1"/>
  <c r="D58" i="26"/>
  <c r="E57" i="26"/>
  <c r="D57" i="26"/>
  <c r="H57" i="26"/>
  <c r="G57" i="26"/>
  <c r="F57" i="26"/>
  <c r="H48" i="26"/>
  <c r="H40" i="9" s="1"/>
  <c r="I40" i="9" s="1"/>
  <c r="K40" i="9" s="1"/>
  <c r="D48" i="26"/>
  <c r="G48" i="26"/>
  <c r="F48" i="26"/>
  <c r="E48" i="26"/>
  <c r="H34" i="26"/>
  <c r="H26" i="9" s="1"/>
  <c r="D34" i="26"/>
  <c r="E34" i="26"/>
  <c r="G34" i="26"/>
  <c r="F34" i="26"/>
  <c r="E14" i="26"/>
  <c r="E21" i="26" s="1"/>
  <c r="H19" i="26"/>
  <c r="F69" i="9"/>
  <c r="B77" i="26" s="1"/>
  <c r="F70" i="9"/>
  <c r="B78" i="26" s="1"/>
  <c r="N15" i="26"/>
  <c r="I21" i="26"/>
  <c r="I13" i="9"/>
  <c r="K13" i="9" s="1"/>
  <c r="F21" i="9"/>
  <c r="G13" i="26"/>
  <c r="I31" i="9"/>
  <c r="K31" i="9" s="1"/>
  <c r="I54" i="9"/>
  <c r="D8" i="26"/>
  <c r="N8" i="26" s="1"/>
  <c r="I256" i="7"/>
  <c r="K20" i="7"/>
  <c r="K21" i="7" s="1"/>
  <c r="J20" i="7"/>
  <c r="J21" i="7" s="1"/>
  <c r="L20" i="7"/>
  <c r="L21" i="7" s="1"/>
  <c r="K256" i="7"/>
  <c r="F20" i="7"/>
  <c r="F21" i="7" s="1"/>
  <c r="N20" i="7"/>
  <c r="N21" i="7" s="1"/>
  <c r="E256" i="7"/>
  <c r="M256" i="7"/>
  <c r="O20" i="7"/>
  <c r="O21" i="7" s="1"/>
  <c r="K119" i="7"/>
  <c r="P149" i="7"/>
  <c r="C30" i="9" s="1"/>
  <c r="F30" i="9" s="1"/>
  <c r="C34" i="9"/>
  <c r="F34" i="9" s="1"/>
  <c r="D119" i="7"/>
  <c r="L119" i="7"/>
  <c r="G119" i="7"/>
  <c r="O256" i="7"/>
  <c r="O119" i="7"/>
  <c r="I20" i="7"/>
  <c r="I21" i="7" s="1"/>
  <c r="H119" i="7"/>
  <c r="H256" i="7"/>
  <c r="G20" i="7"/>
  <c r="G21" i="7" s="1"/>
  <c r="H20" i="7"/>
  <c r="H21" i="7" s="1"/>
  <c r="J119" i="7"/>
  <c r="E20" i="7"/>
  <c r="E21" i="7" s="1"/>
  <c r="M20" i="7"/>
  <c r="M21" i="7" s="1"/>
  <c r="D256" i="7"/>
  <c r="D289" i="7" s="1"/>
  <c r="L256" i="7"/>
  <c r="P58" i="7"/>
  <c r="C27" i="9" s="1"/>
  <c r="F27" i="9" s="1"/>
  <c r="N119" i="7"/>
  <c r="P83" i="7"/>
  <c r="C33" i="9" s="1"/>
  <c r="F33" i="9" s="1"/>
  <c r="B41" i="26" s="1"/>
  <c r="I41" i="26" s="1"/>
  <c r="F256" i="7"/>
  <c r="N256" i="7"/>
  <c r="P187" i="7"/>
  <c r="C39" i="9" s="1"/>
  <c r="F39" i="9" s="1"/>
  <c r="P228" i="7"/>
  <c r="F47" i="9" s="1"/>
  <c r="B54" i="26" s="1"/>
  <c r="P19" i="7"/>
  <c r="J256" i="7"/>
  <c r="P70" i="7"/>
  <c r="C59" i="9" s="1"/>
  <c r="F59" i="9" s="1"/>
  <c r="B66" i="26" s="1"/>
  <c r="I66" i="26" s="1"/>
  <c r="P14" i="7"/>
  <c r="I119" i="7"/>
  <c r="P168" i="7"/>
  <c r="P252" i="7"/>
  <c r="P35" i="7"/>
  <c r="C23" i="9" s="1"/>
  <c r="F23" i="9" s="1"/>
  <c r="B31" i="26" s="1"/>
  <c r="P46" i="7"/>
  <c r="C24" i="9" s="1"/>
  <c r="F24" i="9" s="1"/>
  <c r="P247" i="7"/>
  <c r="P280" i="7"/>
  <c r="C57" i="9" s="1"/>
  <c r="F57" i="9" s="1"/>
  <c r="B64" i="26" s="1"/>
  <c r="P288" i="7"/>
  <c r="C56" i="9" s="1"/>
  <c r="F56" i="9" s="1"/>
  <c r="B63" i="26" s="1"/>
  <c r="D20" i="7"/>
  <c r="D21" i="7" s="1"/>
  <c r="P94" i="7"/>
  <c r="C62" i="9" s="1"/>
  <c r="P105" i="7"/>
  <c r="C63" i="9" s="1"/>
  <c r="F63" i="9" s="1"/>
  <c r="P116" i="7"/>
  <c r="C58" i="9" s="1"/>
  <c r="F58" i="9" s="1"/>
  <c r="B65" i="26" s="1"/>
  <c r="D65" i="26" s="1"/>
  <c r="P138" i="7"/>
  <c r="C29" i="9" s="1"/>
  <c r="F29" i="9" s="1"/>
  <c r="P155" i="7"/>
  <c r="C32" i="9" s="1"/>
  <c r="F32" i="9" s="1"/>
  <c r="P235" i="7"/>
  <c r="C49" i="9" s="1"/>
  <c r="F49" i="9" s="1"/>
  <c r="E119" i="7"/>
  <c r="M119" i="7"/>
  <c r="P220" i="7"/>
  <c r="P268" i="7"/>
  <c r="C25" i="9" s="1"/>
  <c r="F25" i="9" s="1"/>
  <c r="P297" i="7"/>
  <c r="P202" i="7"/>
  <c r="G256" i="7"/>
  <c r="D174" i="7"/>
  <c r="P174" i="7" s="1"/>
  <c r="P201" i="7"/>
  <c r="C52" i="9" s="1"/>
  <c r="F52" i="9" s="1"/>
  <c r="P133" i="7"/>
  <c r="C28" i="9" s="1"/>
  <c r="F28" i="9" s="1"/>
  <c r="H298" i="7"/>
  <c r="H299" i="7" s="1"/>
  <c r="P299" i="7" s="1"/>
  <c r="F119" i="7"/>
  <c r="H73" i="9"/>
  <c r="J54" i="9"/>
  <c r="C21" i="9"/>
  <c r="I9" i="9"/>
  <c r="K9" i="9" s="1"/>
  <c r="J57" i="9"/>
  <c r="C73" i="9"/>
  <c r="I26" i="9"/>
  <c r="K26" i="9" s="1"/>
  <c r="H46" i="26" l="1"/>
  <c r="I46" i="26"/>
  <c r="H21" i="26"/>
  <c r="H38" i="9"/>
  <c r="I38" i="9" s="1"/>
  <c r="K38" i="9" s="1"/>
  <c r="H21" i="9"/>
  <c r="E60" i="26"/>
  <c r="D60" i="26"/>
  <c r="H60" i="26"/>
  <c r="I60" i="26"/>
  <c r="G60" i="26"/>
  <c r="F60" i="26"/>
  <c r="B70" i="26"/>
  <c r="H50" i="9"/>
  <c r="I50" i="9" s="1"/>
  <c r="K50" i="9" s="1"/>
  <c r="N46" i="26"/>
  <c r="G21" i="26"/>
  <c r="C44" i="9"/>
  <c r="F44" i="9" s="1"/>
  <c r="F50" i="26"/>
  <c r="L62" i="10"/>
  <c r="O62" i="10" s="1"/>
  <c r="G50" i="26"/>
  <c r="E50" i="26"/>
  <c r="D50" i="26"/>
  <c r="F51" i="26"/>
  <c r="E51" i="26"/>
  <c r="D51" i="26"/>
  <c r="H51" i="26"/>
  <c r="H43" i="9" s="1"/>
  <c r="I43" i="9" s="1"/>
  <c r="K43" i="9" s="1"/>
  <c r="B44" i="26"/>
  <c r="I64" i="10"/>
  <c r="I65" i="10" s="1"/>
  <c r="D35" i="9"/>
  <c r="F35" i="9" s="1"/>
  <c r="B80" i="26"/>
  <c r="N13" i="26"/>
  <c r="F21" i="26"/>
  <c r="C5" i="50" s="1"/>
  <c r="I7" i="50" s="1"/>
  <c r="N19" i="26"/>
  <c r="N58" i="26"/>
  <c r="N57" i="26"/>
  <c r="N68" i="26"/>
  <c r="N34" i="26"/>
  <c r="I54" i="26"/>
  <c r="E54" i="26"/>
  <c r="G54" i="26"/>
  <c r="D54" i="26"/>
  <c r="H54" i="26"/>
  <c r="F54" i="26"/>
  <c r="B33" i="26"/>
  <c r="F73" i="9"/>
  <c r="B59" i="26"/>
  <c r="I59" i="26" s="1"/>
  <c r="D7" i="26"/>
  <c r="B21" i="26"/>
  <c r="E23" i="26" s="1"/>
  <c r="H41" i="26"/>
  <c r="H33" i="9" s="1"/>
  <c r="I33" i="9" s="1"/>
  <c r="K33" i="9" s="1"/>
  <c r="G41" i="26"/>
  <c r="D41" i="26"/>
  <c r="F41" i="26"/>
  <c r="E41" i="26"/>
  <c r="N14" i="26"/>
  <c r="N48" i="26"/>
  <c r="B56" i="26"/>
  <c r="B47" i="26"/>
  <c r="B40" i="26"/>
  <c r="N40" i="26" s="1"/>
  <c r="I32" i="9"/>
  <c r="K32" i="9" s="1"/>
  <c r="B35" i="26"/>
  <c r="B42" i="26"/>
  <c r="N11" i="26"/>
  <c r="B36" i="26"/>
  <c r="B37" i="26"/>
  <c r="B32" i="26"/>
  <c r="B38" i="26"/>
  <c r="N38" i="26" s="1"/>
  <c r="I30" i="9"/>
  <c r="K30" i="9" s="1"/>
  <c r="I289" i="7"/>
  <c r="I290" i="7" s="1"/>
  <c r="I300" i="7" s="1"/>
  <c r="K289" i="7"/>
  <c r="K290" i="7" s="1"/>
  <c r="K300" i="7" s="1"/>
  <c r="M289" i="7"/>
  <c r="M290" i="7" s="1"/>
  <c r="M300" i="7" s="1"/>
  <c r="L289" i="7"/>
  <c r="L290" i="7" s="1"/>
  <c r="L300" i="7" s="1"/>
  <c r="E289" i="7"/>
  <c r="E290" i="7" s="1"/>
  <c r="E300" i="7" s="1"/>
  <c r="O289" i="7"/>
  <c r="O290" i="7" s="1"/>
  <c r="O300" i="7" s="1"/>
  <c r="H289" i="7"/>
  <c r="H290" i="7" s="1"/>
  <c r="H300" i="7" s="1"/>
  <c r="J289" i="7"/>
  <c r="J290" i="7" s="1"/>
  <c r="J300" i="7" s="1"/>
  <c r="P119" i="7"/>
  <c r="P20" i="7"/>
  <c r="P298" i="7"/>
  <c r="N289" i="7"/>
  <c r="N290" i="7" s="1"/>
  <c r="N300" i="7" s="1"/>
  <c r="P256" i="7"/>
  <c r="D290" i="7"/>
  <c r="P21" i="7"/>
  <c r="F289" i="7"/>
  <c r="F290" i="7" s="1"/>
  <c r="F300" i="7" s="1"/>
  <c r="G289" i="7"/>
  <c r="G290" i="7" s="1"/>
  <c r="G300" i="7" s="1"/>
  <c r="K54" i="9"/>
  <c r="J64" i="9"/>
  <c r="I7" i="9"/>
  <c r="J19" i="50" l="1"/>
  <c r="S6" i="50"/>
  <c r="T6" i="50" s="1"/>
  <c r="U6" i="50" s="1"/>
  <c r="W6" i="50" s="1"/>
  <c r="X6" i="50" s="1"/>
  <c r="Y6" i="50" s="1"/>
  <c r="Z6" i="50" s="1"/>
  <c r="AB6" i="50" s="1"/>
  <c r="AC6" i="50" s="1"/>
  <c r="AD6" i="50" s="1"/>
  <c r="S9" i="50"/>
  <c r="T9" i="50" s="1"/>
  <c r="U9" i="50" s="1"/>
  <c r="W9" i="50" s="1"/>
  <c r="X9" i="50" s="1"/>
  <c r="Y9" i="50" s="1"/>
  <c r="Z9" i="50" s="1"/>
  <c r="AB9" i="50" s="1"/>
  <c r="AC9" i="50" s="1"/>
  <c r="AD9" i="50" s="1"/>
  <c r="S8" i="50"/>
  <c r="T8" i="50" s="1"/>
  <c r="U8" i="50" s="1"/>
  <c r="W8" i="50" s="1"/>
  <c r="X8" i="50" s="1"/>
  <c r="Y8" i="50" s="1"/>
  <c r="Z8" i="50" s="1"/>
  <c r="AB8" i="50" s="1"/>
  <c r="AC8" i="50" s="1"/>
  <c r="AD8" i="50" s="1"/>
  <c r="S7" i="50"/>
  <c r="T7" i="50" s="1"/>
  <c r="U7" i="50" s="1"/>
  <c r="W7" i="50" s="1"/>
  <c r="X7" i="50" s="1"/>
  <c r="Y7" i="50" s="1"/>
  <c r="Z7" i="50" s="1"/>
  <c r="AB7" i="50" s="1"/>
  <c r="AC7" i="50" s="1"/>
  <c r="AD7" i="50" s="1"/>
  <c r="N60" i="26"/>
  <c r="H47" i="9"/>
  <c r="I47" i="9" s="1"/>
  <c r="K47" i="9" s="1"/>
  <c r="H53" i="9"/>
  <c r="N51" i="26"/>
  <c r="N50" i="26"/>
  <c r="B52" i="26"/>
  <c r="E52" i="26" s="1"/>
  <c r="L64" i="10"/>
  <c r="L65" i="10" s="1"/>
  <c r="D62" i="9"/>
  <c r="F62" i="9" s="1"/>
  <c r="B69" i="26" s="1"/>
  <c r="C55" i="9"/>
  <c r="G16" i="11"/>
  <c r="G23" i="26"/>
  <c r="G64" i="26" s="1"/>
  <c r="B43" i="26"/>
  <c r="H44" i="26"/>
  <c r="H36" i="9" s="1"/>
  <c r="I36" i="9" s="1"/>
  <c r="K36" i="9" s="1"/>
  <c r="F44" i="26"/>
  <c r="E44" i="26"/>
  <c r="D44" i="26"/>
  <c r="G44" i="26"/>
  <c r="E64" i="26"/>
  <c r="F23" i="26"/>
  <c r="F64" i="26" s="1"/>
  <c r="I23" i="26"/>
  <c r="I64" i="26" s="1"/>
  <c r="N54" i="26"/>
  <c r="N41" i="26"/>
  <c r="E37" i="26"/>
  <c r="F37" i="26"/>
  <c r="G37" i="26"/>
  <c r="D37" i="26"/>
  <c r="H37" i="26"/>
  <c r="H29" i="9" s="1"/>
  <c r="I29" i="9" s="1"/>
  <c r="K29" i="9" s="1"/>
  <c r="H56" i="26"/>
  <c r="E56" i="26"/>
  <c r="G56" i="26"/>
  <c r="F56" i="26"/>
  <c r="D56" i="26"/>
  <c r="F35" i="26"/>
  <c r="G35" i="26"/>
  <c r="E35" i="26"/>
  <c r="I35" i="26"/>
  <c r="D35" i="26"/>
  <c r="H35" i="26"/>
  <c r="D59" i="26"/>
  <c r="E59" i="26"/>
  <c r="G59" i="26"/>
  <c r="F59" i="26"/>
  <c r="H59" i="26"/>
  <c r="H52" i="9" s="1"/>
  <c r="I52" i="9" s="1"/>
  <c r="K52" i="9" s="1"/>
  <c r="F36" i="26"/>
  <c r="H36" i="26"/>
  <c r="E36" i="26"/>
  <c r="G36" i="26"/>
  <c r="I36" i="26"/>
  <c r="D36" i="26"/>
  <c r="C64" i="9"/>
  <c r="C65" i="9" s="1"/>
  <c r="C75" i="9" s="1"/>
  <c r="I65" i="26"/>
  <c r="G65" i="26"/>
  <c r="F65" i="26"/>
  <c r="E65" i="26"/>
  <c r="H65" i="26"/>
  <c r="G66" i="26"/>
  <c r="E66" i="26"/>
  <c r="H66" i="26"/>
  <c r="H59" i="9" s="1"/>
  <c r="I59" i="9" s="1"/>
  <c r="K59" i="9" s="1"/>
  <c r="D66" i="26"/>
  <c r="F66" i="26"/>
  <c r="I31" i="26"/>
  <c r="D31" i="26"/>
  <c r="G31" i="26"/>
  <c r="H31" i="26"/>
  <c r="F31" i="26"/>
  <c r="E31" i="26"/>
  <c r="I32" i="26"/>
  <c r="D32" i="26"/>
  <c r="H32" i="26"/>
  <c r="H24" i="9" s="1"/>
  <c r="I24" i="9" s="1"/>
  <c r="K24" i="9" s="1"/>
  <c r="E32" i="26"/>
  <c r="G32" i="26"/>
  <c r="F32" i="26"/>
  <c r="H23" i="26"/>
  <c r="H64" i="26" s="1"/>
  <c r="I33" i="26"/>
  <c r="H33" i="26"/>
  <c r="D33" i="26"/>
  <c r="G33" i="26"/>
  <c r="E33" i="26"/>
  <c r="F33" i="26"/>
  <c r="I67" i="26"/>
  <c r="D67" i="26"/>
  <c r="F67" i="26"/>
  <c r="G67" i="26"/>
  <c r="E67" i="26"/>
  <c r="H67" i="26"/>
  <c r="F42" i="26"/>
  <c r="D42" i="26"/>
  <c r="E42" i="26"/>
  <c r="H42" i="26"/>
  <c r="H34" i="9" s="1"/>
  <c r="G42" i="26"/>
  <c r="I47" i="26"/>
  <c r="G47" i="26"/>
  <c r="D47" i="26"/>
  <c r="H47" i="26"/>
  <c r="H39" i="9" s="1"/>
  <c r="I39" i="9" s="1"/>
  <c r="K39" i="9" s="1"/>
  <c r="E47" i="26"/>
  <c r="F47" i="26"/>
  <c r="N7" i="26"/>
  <c r="D21" i="26"/>
  <c r="P290" i="7"/>
  <c r="D300" i="7"/>
  <c r="P300" i="7" s="1"/>
  <c r="P289" i="7"/>
  <c r="I21" i="9"/>
  <c r="C5" i="48" s="1"/>
  <c r="I7" i="48" s="1"/>
  <c r="K7" i="9"/>
  <c r="K21" i="9" s="1"/>
  <c r="J78" i="9"/>
  <c r="J65" i="9"/>
  <c r="J75" i="9" s="1"/>
  <c r="S6" i="48" l="1"/>
  <c r="T6" i="48" s="1"/>
  <c r="U6" i="48" s="1"/>
  <c r="W6" i="48" s="1"/>
  <c r="X6" i="48" s="1"/>
  <c r="Y6" i="48" s="1"/>
  <c r="Z6" i="48" s="1"/>
  <c r="AB6" i="48" s="1"/>
  <c r="AC6" i="48" s="1"/>
  <c r="AD6" i="48" s="1"/>
  <c r="J19" i="48"/>
  <c r="S7" i="48"/>
  <c r="T7" i="48" s="1"/>
  <c r="U7" i="48" s="1"/>
  <c r="W7" i="48" s="1"/>
  <c r="X7" i="48" s="1"/>
  <c r="Y7" i="48" s="1"/>
  <c r="Z7" i="48" s="1"/>
  <c r="AB7" i="48" s="1"/>
  <c r="AC7" i="48" s="1"/>
  <c r="AD7" i="48" s="1"/>
  <c r="S8" i="48"/>
  <c r="T8" i="48" s="1"/>
  <c r="U8" i="48" s="1"/>
  <c r="W8" i="48" s="1"/>
  <c r="X8" i="48" s="1"/>
  <c r="Y8" i="48" s="1"/>
  <c r="Z8" i="48" s="1"/>
  <c r="AB8" i="48" s="1"/>
  <c r="AC8" i="48" s="1"/>
  <c r="AD8" i="48" s="1"/>
  <c r="S9" i="48"/>
  <c r="T9" i="48" s="1"/>
  <c r="U9" i="48" s="1"/>
  <c r="W9" i="48" s="1"/>
  <c r="X9" i="48" s="1"/>
  <c r="Y9" i="48" s="1"/>
  <c r="Z9" i="48" s="1"/>
  <c r="AB9" i="48" s="1"/>
  <c r="AC9" i="48" s="1"/>
  <c r="AD9" i="48" s="1"/>
  <c r="F52" i="26"/>
  <c r="H23" i="9"/>
  <c r="I23" i="9" s="1"/>
  <c r="K23" i="9" s="1"/>
  <c r="H58" i="9"/>
  <c r="I58" i="9" s="1"/>
  <c r="K58" i="9" s="1"/>
  <c r="H60" i="9"/>
  <c r="I60" i="9" s="1"/>
  <c r="K60" i="9" s="1"/>
  <c r="I69" i="26"/>
  <c r="D69" i="26"/>
  <c r="F69" i="26"/>
  <c r="H69" i="26"/>
  <c r="H62" i="9" s="1"/>
  <c r="I62" i="9" s="1"/>
  <c r="K62" i="9" s="1"/>
  <c r="E69" i="26"/>
  <c r="G69" i="26"/>
  <c r="H27" i="9"/>
  <c r="I27" i="9" s="1"/>
  <c r="K27" i="9" s="1"/>
  <c r="H25" i="9"/>
  <c r="I25" i="9" s="1"/>
  <c r="K25" i="9" s="1"/>
  <c r="H28" i="9"/>
  <c r="I28" i="9" s="1"/>
  <c r="K28" i="9" s="1"/>
  <c r="H49" i="9"/>
  <c r="I49" i="9" s="1"/>
  <c r="K49" i="9" s="1"/>
  <c r="H57" i="9"/>
  <c r="I57" i="9" s="1"/>
  <c r="K57" i="9" s="1"/>
  <c r="I34" i="9"/>
  <c r="K34" i="9" s="1"/>
  <c r="H52" i="26"/>
  <c r="H44" i="9" s="1"/>
  <c r="I44" i="9" s="1"/>
  <c r="K44" i="9" s="1"/>
  <c r="G52" i="26"/>
  <c r="D52" i="26"/>
  <c r="N44" i="26"/>
  <c r="D43" i="26"/>
  <c r="H43" i="26"/>
  <c r="H35" i="9" s="1"/>
  <c r="I35" i="9" s="1"/>
  <c r="K35" i="9" s="1"/>
  <c r="F43" i="26"/>
  <c r="G43" i="26"/>
  <c r="E43" i="26"/>
  <c r="C78" i="9"/>
  <c r="N56" i="26"/>
  <c r="N59" i="26"/>
  <c r="N35" i="26"/>
  <c r="N37" i="26"/>
  <c r="N32" i="26"/>
  <c r="N65" i="26"/>
  <c r="N42" i="26"/>
  <c r="N31" i="26"/>
  <c r="N33" i="26"/>
  <c r="N67" i="26"/>
  <c r="N36" i="26"/>
  <c r="N47" i="26"/>
  <c r="N66" i="26"/>
  <c r="D23" i="26"/>
  <c r="N21" i="26"/>
  <c r="N69" i="26" l="1"/>
  <c r="N52" i="26"/>
  <c r="N43" i="26"/>
  <c r="I70" i="26"/>
  <c r="I71" i="26" s="1"/>
  <c r="I72" i="26" s="1"/>
  <c r="H70" i="26"/>
  <c r="E70" i="26"/>
  <c r="D70" i="26"/>
  <c r="G70" i="26"/>
  <c r="F70" i="26"/>
  <c r="N23" i="26"/>
  <c r="J23" i="26"/>
  <c r="D64" i="26"/>
  <c r="N64" i="26" s="1"/>
  <c r="H63" i="9" l="1"/>
  <c r="I63" i="9" s="1"/>
  <c r="K63" i="9" s="1"/>
  <c r="N70" i="26"/>
  <c r="D55" i="10" l="1"/>
  <c r="O55" i="10" s="1"/>
  <c r="D55" i="9" l="1"/>
  <c r="F55" i="9" s="1"/>
  <c r="D64" i="10"/>
  <c r="D65" i="10" s="1"/>
  <c r="G63" i="26" l="1"/>
  <c r="G71" i="26" s="1"/>
  <c r="G72" i="26" s="1"/>
  <c r="B62" i="26"/>
  <c r="N62" i="26" s="1"/>
  <c r="F63" i="26"/>
  <c r="F71" i="26" s="1"/>
  <c r="C6" i="50" s="1"/>
  <c r="I8" i="50" s="1"/>
  <c r="E63" i="26"/>
  <c r="E71" i="26" s="1"/>
  <c r="C6" i="51" s="1"/>
  <c r="I8" i="51" s="1"/>
  <c r="D63" i="26"/>
  <c r="D71" i="26" s="1"/>
  <c r="I55" i="9"/>
  <c r="H63" i="26"/>
  <c r="F64" i="9"/>
  <c r="F65" i="9" s="1"/>
  <c r="F75" i="9" s="1"/>
  <c r="O64" i="10"/>
  <c r="O65" i="10" s="1"/>
  <c r="D64" i="9"/>
  <c r="D65" i="9" s="1"/>
  <c r="D75" i="9" s="1"/>
  <c r="C6" i="49" l="1"/>
  <c r="I8" i="49" s="1"/>
  <c r="I16" i="49" s="1"/>
  <c r="I9" i="51"/>
  <c r="I12" i="51" s="1"/>
  <c r="I16" i="51"/>
  <c r="K8" i="51"/>
  <c r="AE6" i="51"/>
  <c r="AF6" i="51" s="1"/>
  <c r="AE9" i="51"/>
  <c r="AF9" i="51" s="1"/>
  <c r="AE8" i="51"/>
  <c r="AF8" i="51" s="1"/>
  <c r="AE7" i="51"/>
  <c r="AF7" i="51" s="1"/>
  <c r="I9" i="50"/>
  <c r="I12" i="50" s="1"/>
  <c r="I16" i="50"/>
  <c r="K8" i="50"/>
  <c r="AE8" i="50"/>
  <c r="AF8" i="50" s="1"/>
  <c r="AE6" i="50"/>
  <c r="AF6" i="50" s="1"/>
  <c r="AE9" i="50"/>
  <c r="AF9" i="50" s="1"/>
  <c r="AE7" i="50"/>
  <c r="AF7" i="50" s="1"/>
  <c r="F72" i="26"/>
  <c r="E72" i="26"/>
  <c r="B71" i="26"/>
  <c r="B72" i="26" s="1"/>
  <c r="D72" i="26"/>
  <c r="H71" i="26"/>
  <c r="H72" i="26" s="1"/>
  <c r="H56" i="9"/>
  <c r="K55" i="9"/>
  <c r="F78" i="9"/>
  <c r="N63" i="26"/>
  <c r="AE9" i="49" l="1"/>
  <c r="AF9" i="49" s="1"/>
  <c r="AE7" i="49"/>
  <c r="AF7" i="49" s="1"/>
  <c r="AE8" i="49"/>
  <c r="AF8" i="49" s="1"/>
  <c r="AE6" i="49"/>
  <c r="AF6" i="49" s="1"/>
  <c r="K8" i="49"/>
  <c r="I9" i="49"/>
  <c r="I12" i="49" s="1"/>
  <c r="N72" i="26"/>
  <c r="N71" i="26"/>
  <c r="I56" i="9"/>
  <c r="H64" i="9"/>
  <c r="H65" i="9" l="1"/>
  <c r="H75" i="9" s="1"/>
  <c r="H78" i="9"/>
  <c r="K56" i="9"/>
  <c r="K64" i="9" s="1"/>
  <c r="I64" i="9"/>
  <c r="C6" i="48" s="1"/>
  <c r="I8" i="48" s="1"/>
  <c r="K8" i="48" l="1"/>
  <c r="I9" i="48"/>
  <c r="I12" i="48" s="1"/>
  <c r="I16" i="48"/>
  <c r="AE7" i="48"/>
  <c r="AF7" i="48" s="1"/>
  <c r="AE8" i="48"/>
  <c r="AF8" i="48" s="1"/>
  <c r="AE6" i="48"/>
  <c r="AF6" i="48" s="1"/>
  <c r="AE9" i="48"/>
  <c r="AF9" i="48" s="1"/>
  <c r="I78" i="9"/>
  <c r="I65" i="9"/>
  <c r="I75" i="9" s="1"/>
  <c r="K65" i="9"/>
  <c r="K75" i="9" s="1"/>
  <c r="K78" i="9"/>
  <c r="I14" i="51"/>
  <c r="I14" i="50"/>
  <c r="I14" i="49"/>
  <c r="I14" i="48" l="1"/>
  <c r="AG6" i="48"/>
  <c r="AH6" i="48"/>
  <c r="AI6" i="48"/>
  <c r="J7" i="48"/>
  <c r="K7" i="48"/>
  <c r="L7" i="48"/>
  <c r="M7" i="48"/>
  <c r="AG7" i="48"/>
  <c r="AH7" i="48"/>
  <c r="AI7" i="48"/>
  <c r="L8" i="48"/>
  <c r="M8" i="48"/>
  <c r="AG8" i="48"/>
  <c r="AH8" i="48"/>
  <c r="AI8" i="48"/>
  <c r="K9" i="48"/>
  <c r="M9" i="48"/>
  <c r="AG9" i="48"/>
  <c r="AH9" i="48"/>
  <c r="AI9" i="48"/>
  <c r="S11" i="48"/>
  <c r="T11" i="48"/>
  <c r="U11" i="48"/>
  <c r="W11" i="48"/>
  <c r="X11" i="48"/>
  <c r="Y11" i="48"/>
  <c r="Z11" i="48"/>
  <c r="AB11" i="48"/>
  <c r="AC11" i="48"/>
  <c r="AD11" i="48"/>
  <c r="AE11" i="48"/>
  <c r="AF11" i="48"/>
  <c r="AG11" i="48"/>
  <c r="AH11" i="48"/>
  <c r="AI11" i="48"/>
  <c r="J12" i="48"/>
  <c r="K12" i="48"/>
  <c r="M12" i="48"/>
  <c r="S12" i="48"/>
  <c r="T12" i="48"/>
  <c r="U12" i="48"/>
  <c r="W12" i="48"/>
  <c r="X12" i="48"/>
  <c r="Y12" i="48"/>
  <c r="Z12" i="48"/>
  <c r="AB12" i="48"/>
  <c r="AC12" i="48"/>
  <c r="AD12" i="48"/>
  <c r="AE12" i="48"/>
  <c r="AF12" i="48"/>
  <c r="AG12" i="48"/>
  <c r="AH12" i="48"/>
  <c r="AI12" i="48"/>
  <c r="S13" i="48"/>
  <c r="T13" i="48"/>
  <c r="U13" i="48"/>
  <c r="W13" i="48"/>
  <c r="X13" i="48"/>
  <c r="Y13" i="48"/>
  <c r="Z13" i="48"/>
  <c r="AB13" i="48"/>
  <c r="AC13" i="48"/>
  <c r="AD13" i="48"/>
  <c r="AE13" i="48"/>
  <c r="AF13" i="48"/>
  <c r="AG13" i="48"/>
  <c r="AH13" i="48"/>
  <c r="AI13" i="48"/>
  <c r="K14" i="48"/>
  <c r="M14" i="48"/>
  <c r="S14" i="48"/>
  <c r="T14" i="48"/>
  <c r="U14" i="48"/>
  <c r="W14" i="48"/>
  <c r="X14" i="48"/>
  <c r="Y14" i="48"/>
  <c r="Z14" i="48"/>
  <c r="AB14" i="48"/>
  <c r="AC14" i="48"/>
  <c r="AD14" i="48"/>
  <c r="AE14" i="48"/>
  <c r="AF14" i="48"/>
  <c r="AG14" i="48"/>
  <c r="AH14" i="48"/>
  <c r="AI14" i="48"/>
  <c r="K16" i="48"/>
  <c r="M16" i="48"/>
  <c r="S16" i="48"/>
  <c r="T16" i="48"/>
  <c r="U16" i="48"/>
  <c r="W16" i="48"/>
  <c r="X16" i="48"/>
  <c r="Y16" i="48"/>
  <c r="Z16" i="48"/>
  <c r="AB16" i="48"/>
  <c r="AC16" i="48"/>
  <c r="AD16" i="48"/>
  <c r="AE16" i="48"/>
  <c r="AF16" i="48"/>
  <c r="AG16" i="48"/>
  <c r="AH16" i="48"/>
  <c r="AI16" i="48"/>
  <c r="S17" i="48"/>
  <c r="T17" i="48"/>
  <c r="U17" i="48"/>
  <c r="W17" i="48"/>
  <c r="X17" i="48"/>
  <c r="Y17" i="48"/>
  <c r="Z17" i="48"/>
  <c r="AB17" i="48"/>
  <c r="AC17" i="48"/>
  <c r="AD17" i="48"/>
  <c r="AE17" i="48"/>
  <c r="AF17" i="48"/>
  <c r="AG17" i="48"/>
  <c r="AH17" i="48"/>
  <c r="AI17" i="48"/>
  <c r="S18" i="48"/>
  <c r="T18" i="48"/>
  <c r="U18" i="48"/>
  <c r="W18" i="48"/>
  <c r="X18" i="48"/>
  <c r="Y18" i="48"/>
  <c r="Z18" i="48"/>
  <c r="AB18" i="48"/>
  <c r="AC18" i="48"/>
  <c r="AD18" i="48"/>
  <c r="AE18" i="48"/>
  <c r="AF18" i="48"/>
  <c r="AG18" i="48"/>
  <c r="AH18" i="48"/>
  <c r="AI18" i="48"/>
  <c r="M19" i="48"/>
  <c r="S19" i="48"/>
  <c r="T19" i="48"/>
  <c r="U19" i="48"/>
  <c r="W19" i="48"/>
  <c r="X19" i="48"/>
  <c r="Y19" i="48"/>
  <c r="Z19" i="48"/>
  <c r="AB19" i="48"/>
  <c r="AC19" i="48"/>
  <c r="AD19" i="48"/>
  <c r="AE19" i="48"/>
  <c r="AF19" i="48"/>
  <c r="AG19" i="48"/>
  <c r="AH19" i="48"/>
  <c r="AI19" i="48"/>
  <c r="J20" i="48"/>
  <c r="M20" i="48"/>
  <c r="J21" i="48"/>
  <c r="M21" i="48"/>
  <c r="S21" i="48"/>
  <c r="T21" i="48"/>
  <c r="U21" i="48"/>
  <c r="W21" i="48"/>
  <c r="X21" i="48"/>
  <c r="Y21" i="48"/>
  <c r="Z21" i="48"/>
  <c r="AB21" i="48"/>
  <c r="AC21" i="48"/>
  <c r="AD21" i="48"/>
  <c r="AE21" i="48"/>
  <c r="AF21" i="48"/>
  <c r="AG21" i="48"/>
  <c r="AH21" i="48"/>
  <c r="AI21" i="48"/>
  <c r="K22" i="48"/>
  <c r="S22" i="48"/>
  <c r="T22" i="48"/>
  <c r="U22" i="48"/>
  <c r="W22" i="48"/>
  <c r="X22" i="48"/>
  <c r="Y22" i="48"/>
  <c r="Z22" i="48"/>
  <c r="AB22" i="48"/>
  <c r="AC22" i="48"/>
  <c r="AD22" i="48"/>
  <c r="AE22" i="48"/>
  <c r="AF22" i="48"/>
  <c r="AG22" i="48"/>
  <c r="AH22" i="48"/>
  <c r="AI22" i="48"/>
  <c r="S23" i="48"/>
  <c r="T23" i="48"/>
  <c r="U23" i="48"/>
  <c r="W23" i="48"/>
  <c r="X23" i="48"/>
  <c r="Y23" i="48"/>
  <c r="Z23" i="48"/>
  <c r="AB23" i="48"/>
  <c r="AC23" i="48"/>
  <c r="AD23" i="48"/>
  <c r="AE23" i="48"/>
  <c r="AF23" i="48"/>
  <c r="AG23" i="48"/>
  <c r="AH23" i="48"/>
  <c r="AI23" i="48"/>
  <c r="S24" i="48"/>
  <c r="T24" i="48"/>
  <c r="U24" i="48"/>
  <c r="W24" i="48"/>
  <c r="X24" i="48"/>
  <c r="Y24" i="48"/>
  <c r="Z24" i="48"/>
  <c r="AB24" i="48"/>
  <c r="AC24" i="48"/>
  <c r="AD24" i="48"/>
  <c r="AE24" i="48"/>
  <c r="AF24" i="48"/>
  <c r="AG24" i="48"/>
  <c r="AH24" i="48"/>
  <c r="AI24" i="48"/>
  <c r="K26" i="48"/>
  <c r="L26" i="48"/>
  <c r="M26" i="48"/>
  <c r="S26" i="48"/>
  <c r="T26" i="48"/>
  <c r="U26" i="48"/>
  <c r="W26" i="48"/>
  <c r="X26" i="48"/>
  <c r="Y26" i="48"/>
  <c r="Z26" i="48"/>
  <c r="AB26" i="48"/>
  <c r="AC26" i="48"/>
  <c r="AD26" i="48"/>
  <c r="AE26" i="48"/>
  <c r="AF26" i="48"/>
  <c r="AG26" i="48"/>
  <c r="AH26" i="48"/>
  <c r="AI26" i="48"/>
  <c r="S27" i="48"/>
  <c r="T27" i="48"/>
  <c r="U27" i="48"/>
  <c r="W27" i="48"/>
  <c r="X27" i="48"/>
  <c r="Y27" i="48"/>
  <c r="Z27" i="48"/>
  <c r="AB27" i="48"/>
  <c r="AC27" i="48"/>
  <c r="AD27" i="48"/>
  <c r="AE27" i="48"/>
  <c r="AF27" i="48"/>
  <c r="AG27" i="48"/>
  <c r="AH27" i="48"/>
  <c r="AI27" i="48"/>
  <c r="L28" i="48"/>
  <c r="M28" i="48"/>
  <c r="S28" i="48"/>
  <c r="T28" i="48"/>
  <c r="U28" i="48"/>
  <c r="W28" i="48"/>
  <c r="X28" i="48"/>
  <c r="Y28" i="48"/>
  <c r="Z28" i="48"/>
  <c r="AB28" i="48"/>
  <c r="AC28" i="48"/>
  <c r="AD28" i="48"/>
  <c r="AE28" i="48"/>
  <c r="AF28" i="48"/>
  <c r="AG28" i="48"/>
  <c r="AH28" i="48"/>
  <c r="AI28" i="48"/>
  <c r="S29" i="48"/>
  <c r="T29" i="48"/>
  <c r="U29" i="48"/>
  <c r="W29" i="48"/>
  <c r="X29" i="48"/>
  <c r="Y29" i="48"/>
  <c r="Z29" i="48"/>
  <c r="AB29" i="48"/>
  <c r="AC29" i="48"/>
  <c r="AD29" i="48"/>
  <c r="AE29" i="48"/>
  <c r="AF29" i="48"/>
  <c r="AG29" i="48"/>
  <c r="AH29" i="48"/>
  <c r="AI29" i="48"/>
  <c r="S31" i="48"/>
  <c r="T31" i="48"/>
  <c r="U31" i="48"/>
  <c r="W31" i="48"/>
  <c r="X31" i="48"/>
  <c r="Y31" i="48"/>
  <c r="Z31" i="48"/>
  <c r="AB31" i="48"/>
  <c r="AC31" i="48"/>
  <c r="AD31" i="48"/>
  <c r="AE31" i="48"/>
  <c r="AF31" i="48"/>
  <c r="AG31" i="48"/>
  <c r="AH31" i="48"/>
  <c r="AI31" i="48"/>
  <c r="S32" i="48"/>
  <c r="T32" i="48"/>
  <c r="U32" i="48"/>
  <c r="W32" i="48"/>
  <c r="X32" i="48"/>
  <c r="Y32" i="48"/>
  <c r="Z32" i="48"/>
  <c r="AB32" i="48"/>
  <c r="AC32" i="48"/>
  <c r="AD32" i="48"/>
  <c r="AE32" i="48"/>
  <c r="AF32" i="48"/>
  <c r="AG32" i="48"/>
  <c r="AH32" i="48"/>
  <c r="AI32" i="48"/>
  <c r="J33" i="48"/>
  <c r="K33" i="48"/>
  <c r="S33" i="48"/>
  <c r="T33" i="48"/>
  <c r="U33" i="48"/>
  <c r="W33" i="48"/>
  <c r="X33" i="48"/>
  <c r="Y33" i="48"/>
  <c r="Z33" i="48"/>
  <c r="AB33" i="48"/>
  <c r="AC33" i="48"/>
  <c r="AD33" i="48"/>
  <c r="AE33" i="48"/>
  <c r="AF33" i="48"/>
  <c r="AG33" i="48"/>
  <c r="AH33" i="48"/>
  <c r="AI33" i="48"/>
  <c r="J34" i="48"/>
  <c r="K34" i="48"/>
  <c r="S34" i="48"/>
  <c r="T34" i="48"/>
  <c r="U34" i="48"/>
  <c r="W34" i="48"/>
  <c r="X34" i="48"/>
  <c r="Y34" i="48"/>
  <c r="Z34" i="48"/>
  <c r="AB34" i="48"/>
  <c r="AC34" i="48"/>
  <c r="AD34" i="48"/>
  <c r="AE34" i="48"/>
  <c r="AF34" i="48"/>
  <c r="AG34" i="48"/>
  <c r="AH34" i="48"/>
  <c r="AI34" i="48"/>
  <c r="J35" i="48"/>
  <c r="K35" i="48"/>
  <c r="J36" i="48"/>
  <c r="K36" i="48"/>
  <c r="S36" i="48"/>
  <c r="T36" i="48"/>
  <c r="U36" i="48"/>
  <c r="W36" i="48"/>
  <c r="X36" i="48"/>
  <c r="Y36" i="48"/>
  <c r="Z36" i="48"/>
  <c r="AB36" i="48"/>
  <c r="AC36" i="48"/>
  <c r="AD36" i="48"/>
  <c r="AE36" i="48"/>
  <c r="AF36" i="48"/>
  <c r="AG36" i="48"/>
  <c r="AH36" i="48"/>
  <c r="AI36" i="48"/>
  <c r="J37" i="48"/>
  <c r="K37" i="48"/>
  <c r="S37" i="48"/>
  <c r="T37" i="48"/>
  <c r="U37" i="48"/>
  <c r="W37" i="48"/>
  <c r="X37" i="48"/>
  <c r="Y37" i="48"/>
  <c r="Z37" i="48"/>
  <c r="AB37" i="48"/>
  <c r="AC37" i="48"/>
  <c r="AD37" i="48"/>
  <c r="AE37" i="48"/>
  <c r="AF37" i="48"/>
  <c r="AG37" i="48"/>
  <c r="AH37" i="48"/>
  <c r="AI37" i="48"/>
  <c r="S38" i="48"/>
  <c r="T38" i="48"/>
  <c r="U38" i="48"/>
  <c r="W38" i="48"/>
  <c r="X38" i="48"/>
  <c r="Y38" i="48"/>
  <c r="Z38" i="48"/>
  <c r="AB38" i="48"/>
  <c r="AC38" i="48"/>
  <c r="AD38" i="48"/>
  <c r="AE38" i="48"/>
  <c r="AF38" i="48"/>
  <c r="AG38" i="48"/>
  <c r="AH38" i="48"/>
  <c r="AI38" i="48"/>
  <c r="S39" i="48"/>
  <c r="T39" i="48"/>
  <c r="U39" i="48"/>
  <c r="W39" i="48"/>
  <c r="X39" i="48"/>
  <c r="Y39" i="48"/>
  <c r="Z39" i="48"/>
  <c r="AB39" i="48"/>
  <c r="AC39" i="48"/>
  <c r="AD39" i="48"/>
  <c r="AE39" i="48"/>
  <c r="AF39" i="48"/>
  <c r="AG39" i="48"/>
  <c r="AH39" i="48"/>
  <c r="AI39" i="48"/>
  <c r="K43" i="48"/>
  <c r="V43" i="48"/>
  <c r="K44" i="48"/>
  <c r="V44" i="48"/>
  <c r="K45" i="48"/>
  <c r="V45" i="48"/>
  <c r="K46" i="48"/>
  <c r="K47" i="48"/>
  <c r="R48" i="48"/>
  <c r="J49" i="48"/>
  <c r="R49" i="48"/>
  <c r="R51" i="48"/>
  <c r="Y63" i="48"/>
  <c r="Z63" i="48"/>
  <c r="Y64" i="48"/>
  <c r="Z64" i="48"/>
  <c r="Y65" i="48"/>
  <c r="Z65" i="48"/>
  <c r="Y66" i="48"/>
  <c r="Z66" i="48"/>
  <c r="Y67" i="48"/>
  <c r="Z67" i="48"/>
  <c r="AG6" i="50"/>
  <c r="AH6" i="50"/>
  <c r="AI6" i="50"/>
  <c r="J7" i="50"/>
  <c r="K7" i="50"/>
  <c r="L7" i="50"/>
  <c r="M7" i="50"/>
  <c r="AG7" i="50"/>
  <c r="AH7" i="50"/>
  <c r="AI7" i="50"/>
  <c r="L8" i="50"/>
  <c r="M8" i="50"/>
  <c r="AG8" i="50"/>
  <c r="AH8" i="50"/>
  <c r="AI8" i="50"/>
  <c r="K9" i="50"/>
  <c r="M9" i="50"/>
  <c r="AG9" i="50"/>
  <c r="AH9" i="50"/>
  <c r="AI9" i="50"/>
  <c r="S11" i="50"/>
  <c r="T11" i="50"/>
  <c r="U11" i="50"/>
  <c r="W11" i="50"/>
  <c r="X11" i="50"/>
  <c r="Y11" i="50"/>
  <c r="Z11" i="50"/>
  <c r="AB11" i="50"/>
  <c r="AC11" i="50"/>
  <c r="AD11" i="50"/>
  <c r="AE11" i="50"/>
  <c r="AF11" i="50"/>
  <c r="AG11" i="50"/>
  <c r="AH11" i="50"/>
  <c r="AI11" i="50"/>
  <c r="J12" i="50"/>
  <c r="K12" i="50"/>
  <c r="M12" i="50"/>
  <c r="S12" i="50"/>
  <c r="T12" i="50"/>
  <c r="U12" i="50"/>
  <c r="W12" i="50"/>
  <c r="X12" i="50"/>
  <c r="Y12" i="50"/>
  <c r="Z12" i="50"/>
  <c r="AB12" i="50"/>
  <c r="AC12" i="50"/>
  <c r="AD12" i="50"/>
  <c r="AE12" i="50"/>
  <c r="AF12" i="50"/>
  <c r="AG12" i="50"/>
  <c r="AH12" i="50"/>
  <c r="AI12" i="50"/>
  <c r="S13" i="50"/>
  <c r="T13" i="50"/>
  <c r="U13" i="50"/>
  <c r="W13" i="50"/>
  <c r="X13" i="50"/>
  <c r="Y13" i="50"/>
  <c r="Z13" i="50"/>
  <c r="AB13" i="50"/>
  <c r="AC13" i="50"/>
  <c r="AD13" i="50"/>
  <c r="AE13" i="50"/>
  <c r="AF13" i="50"/>
  <c r="AG13" i="50"/>
  <c r="AH13" i="50"/>
  <c r="AI13" i="50"/>
  <c r="K14" i="50"/>
  <c r="M14" i="50"/>
  <c r="S14" i="50"/>
  <c r="T14" i="50"/>
  <c r="U14" i="50"/>
  <c r="W14" i="50"/>
  <c r="X14" i="50"/>
  <c r="Y14" i="50"/>
  <c r="Z14" i="50"/>
  <c r="AB14" i="50"/>
  <c r="AC14" i="50"/>
  <c r="AD14" i="50"/>
  <c r="AE14" i="50"/>
  <c r="AF14" i="50"/>
  <c r="AG14" i="50"/>
  <c r="AH14" i="50"/>
  <c r="AI14" i="50"/>
  <c r="K16" i="50"/>
  <c r="M16" i="50"/>
  <c r="S16" i="50"/>
  <c r="T16" i="50"/>
  <c r="U16" i="50"/>
  <c r="W16" i="50"/>
  <c r="X16" i="50"/>
  <c r="Y16" i="50"/>
  <c r="Z16" i="50"/>
  <c r="AB16" i="50"/>
  <c r="AC16" i="50"/>
  <c r="AD16" i="50"/>
  <c r="AE16" i="50"/>
  <c r="AF16" i="50"/>
  <c r="AG16" i="50"/>
  <c r="AH16" i="50"/>
  <c r="AI16" i="50"/>
  <c r="S17" i="50"/>
  <c r="T17" i="50"/>
  <c r="U17" i="50"/>
  <c r="W17" i="50"/>
  <c r="X17" i="50"/>
  <c r="Y17" i="50"/>
  <c r="Z17" i="50"/>
  <c r="AB17" i="50"/>
  <c r="AC17" i="50"/>
  <c r="AD17" i="50"/>
  <c r="AE17" i="50"/>
  <c r="AF17" i="50"/>
  <c r="AG17" i="50"/>
  <c r="AH17" i="50"/>
  <c r="AI17" i="50"/>
  <c r="S18" i="50"/>
  <c r="T18" i="50"/>
  <c r="U18" i="50"/>
  <c r="W18" i="50"/>
  <c r="X18" i="50"/>
  <c r="Y18" i="50"/>
  <c r="Z18" i="50"/>
  <c r="AB18" i="50"/>
  <c r="AC18" i="50"/>
  <c r="AD18" i="50"/>
  <c r="AE18" i="50"/>
  <c r="AF18" i="50"/>
  <c r="AG18" i="50"/>
  <c r="AH18" i="50"/>
  <c r="AI18" i="50"/>
  <c r="M19" i="50"/>
  <c r="S19" i="50"/>
  <c r="T19" i="50"/>
  <c r="U19" i="50"/>
  <c r="W19" i="50"/>
  <c r="X19" i="50"/>
  <c r="Y19" i="50"/>
  <c r="Z19" i="50"/>
  <c r="AB19" i="50"/>
  <c r="AC19" i="50"/>
  <c r="AD19" i="50"/>
  <c r="AE19" i="50"/>
  <c r="AF19" i="50"/>
  <c r="AG19" i="50"/>
  <c r="AH19" i="50"/>
  <c r="AI19" i="50"/>
  <c r="J20" i="50"/>
  <c r="M20" i="50"/>
  <c r="J21" i="50"/>
  <c r="M21" i="50"/>
  <c r="S21" i="50"/>
  <c r="T21" i="50"/>
  <c r="U21" i="50"/>
  <c r="W21" i="50"/>
  <c r="X21" i="50"/>
  <c r="Y21" i="50"/>
  <c r="Z21" i="50"/>
  <c r="AB21" i="50"/>
  <c r="AC21" i="50"/>
  <c r="AD21" i="50"/>
  <c r="AE21" i="50"/>
  <c r="AF21" i="50"/>
  <c r="AG21" i="50"/>
  <c r="AH21" i="50"/>
  <c r="AI21" i="50"/>
  <c r="K22" i="50"/>
  <c r="S22" i="50"/>
  <c r="T22" i="50"/>
  <c r="U22" i="50"/>
  <c r="W22" i="50"/>
  <c r="X22" i="50"/>
  <c r="Y22" i="50"/>
  <c r="Z22" i="50"/>
  <c r="AB22" i="50"/>
  <c r="AC22" i="50"/>
  <c r="AD22" i="50"/>
  <c r="AE22" i="50"/>
  <c r="AF22" i="50"/>
  <c r="AG22" i="50"/>
  <c r="AH22" i="50"/>
  <c r="AI22" i="50"/>
  <c r="S23" i="50"/>
  <c r="T23" i="50"/>
  <c r="U23" i="50"/>
  <c r="W23" i="50"/>
  <c r="X23" i="50"/>
  <c r="Y23" i="50"/>
  <c r="Z23" i="50"/>
  <c r="AB23" i="50"/>
  <c r="AC23" i="50"/>
  <c r="AD23" i="50"/>
  <c r="AE23" i="50"/>
  <c r="AF23" i="50"/>
  <c r="AG23" i="50"/>
  <c r="AH23" i="50"/>
  <c r="AI23" i="50"/>
  <c r="S24" i="50"/>
  <c r="T24" i="50"/>
  <c r="U24" i="50"/>
  <c r="W24" i="50"/>
  <c r="X24" i="50"/>
  <c r="Y24" i="50"/>
  <c r="Z24" i="50"/>
  <c r="AB24" i="50"/>
  <c r="AC24" i="50"/>
  <c r="AD24" i="50"/>
  <c r="AE24" i="50"/>
  <c r="AF24" i="50"/>
  <c r="AG24" i="50"/>
  <c r="AH24" i="50"/>
  <c r="AI24" i="50"/>
  <c r="K26" i="50"/>
  <c r="L26" i="50"/>
  <c r="M26" i="50"/>
  <c r="S26" i="50"/>
  <c r="T26" i="50"/>
  <c r="U26" i="50"/>
  <c r="W26" i="50"/>
  <c r="X26" i="50"/>
  <c r="Y26" i="50"/>
  <c r="Z26" i="50"/>
  <c r="AB26" i="50"/>
  <c r="AC26" i="50"/>
  <c r="AD26" i="50"/>
  <c r="AE26" i="50"/>
  <c r="AF26" i="50"/>
  <c r="AG26" i="50"/>
  <c r="AH26" i="50"/>
  <c r="AI26" i="50"/>
  <c r="S27" i="50"/>
  <c r="T27" i="50"/>
  <c r="U27" i="50"/>
  <c r="W27" i="50"/>
  <c r="X27" i="50"/>
  <c r="Y27" i="50"/>
  <c r="Z27" i="50"/>
  <c r="AB27" i="50"/>
  <c r="AC27" i="50"/>
  <c r="AD27" i="50"/>
  <c r="AE27" i="50"/>
  <c r="AF27" i="50"/>
  <c r="AG27" i="50"/>
  <c r="AH27" i="50"/>
  <c r="AI27" i="50"/>
  <c r="L28" i="50"/>
  <c r="M28" i="50"/>
  <c r="S28" i="50"/>
  <c r="T28" i="50"/>
  <c r="U28" i="50"/>
  <c r="W28" i="50"/>
  <c r="X28" i="50"/>
  <c r="Y28" i="50"/>
  <c r="Z28" i="50"/>
  <c r="AB28" i="50"/>
  <c r="AC28" i="50"/>
  <c r="AD28" i="50"/>
  <c r="AE28" i="50"/>
  <c r="AF28" i="50"/>
  <c r="AG28" i="50"/>
  <c r="AH28" i="50"/>
  <c r="AI28" i="50"/>
  <c r="S29" i="50"/>
  <c r="T29" i="50"/>
  <c r="U29" i="50"/>
  <c r="W29" i="50"/>
  <c r="X29" i="50"/>
  <c r="Y29" i="50"/>
  <c r="Z29" i="50"/>
  <c r="AB29" i="50"/>
  <c r="AC29" i="50"/>
  <c r="AD29" i="50"/>
  <c r="AE29" i="50"/>
  <c r="AF29" i="50"/>
  <c r="AG29" i="50"/>
  <c r="AH29" i="50"/>
  <c r="AI29" i="50"/>
  <c r="S31" i="50"/>
  <c r="T31" i="50"/>
  <c r="U31" i="50"/>
  <c r="W31" i="50"/>
  <c r="X31" i="50"/>
  <c r="Y31" i="50"/>
  <c r="Z31" i="50"/>
  <c r="AB31" i="50"/>
  <c r="AC31" i="50"/>
  <c r="AD31" i="50"/>
  <c r="AE31" i="50"/>
  <c r="AF31" i="50"/>
  <c r="AG31" i="50"/>
  <c r="AH31" i="50"/>
  <c r="AI31" i="50"/>
  <c r="S32" i="50"/>
  <c r="T32" i="50"/>
  <c r="U32" i="50"/>
  <c r="W32" i="50"/>
  <c r="X32" i="50"/>
  <c r="Y32" i="50"/>
  <c r="Z32" i="50"/>
  <c r="AB32" i="50"/>
  <c r="AC32" i="50"/>
  <c r="AD32" i="50"/>
  <c r="AE32" i="50"/>
  <c r="AF32" i="50"/>
  <c r="AG32" i="50"/>
  <c r="AH32" i="50"/>
  <c r="AI32" i="50"/>
  <c r="J33" i="50"/>
  <c r="K33" i="50"/>
  <c r="S33" i="50"/>
  <c r="T33" i="50"/>
  <c r="U33" i="50"/>
  <c r="W33" i="50"/>
  <c r="X33" i="50"/>
  <c r="Y33" i="50"/>
  <c r="Z33" i="50"/>
  <c r="AB33" i="50"/>
  <c r="AC33" i="50"/>
  <c r="AD33" i="50"/>
  <c r="AE33" i="50"/>
  <c r="AF33" i="50"/>
  <c r="AG33" i="50"/>
  <c r="AH33" i="50"/>
  <c r="AI33" i="50"/>
  <c r="J34" i="50"/>
  <c r="K34" i="50"/>
  <c r="S34" i="50"/>
  <c r="T34" i="50"/>
  <c r="U34" i="50"/>
  <c r="W34" i="50"/>
  <c r="X34" i="50"/>
  <c r="Y34" i="50"/>
  <c r="Z34" i="50"/>
  <c r="AB34" i="50"/>
  <c r="AC34" i="50"/>
  <c r="AD34" i="50"/>
  <c r="AE34" i="50"/>
  <c r="AF34" i="50"/>
  <c r="AG34" i="50"/>
  <c r="AH34" i="50"/>
  <c r="AI34" i="50"/>
  <c r="J35" i="50"/>
  <c r="K35" i="50"/>
  <c r="J36" i="50"/>
  <c r="K36" i="50"/>
  <c r="S36" i="50"/>
  <c r="T36" i="50"/>
  <c r="U36" i="50"/>
  <c r="W36" i="50"/>
  <c r="X36" i="50"/>
  <c r="Y36" i="50"/>
  <c r="Z36" i="50"/>
  <c r="AB36" i="50"/>
  <c r="AC36" i="50"/>
  <c r="AD36" i="50"/>
  <c r="AE36" i="50"/>
  <c r="AF36" i="50"/>
  <c r="AG36" i="50"/>
  <c r="AH36" i="50"/>
  <c r="AI36" i="50"/>
  <c r="J37" i="50"/>
  <c r="K37" i="50"/>
  <c r="S37" i="50"/>
  <c r="T37" i="50"/>
  <c r="U37" i="50"/>
  <c r="W37" i="50"/>
  <c r="X37" i="50"/>
  <c r="Y37" i="50"/>
  <c r="Z37" i="50"/>
  <c r="AB37" i="50"/>
  <c r="AC37" i="50"/>
  <c r="AD37" i="50"/>
  <c r="AE37" i="50"/>
  <c r="AF37" i="50"/>
  <c r="AG37" i="50"/>
  <c r="AH37" i="50"/>
  <c r="AI37" i="50"/>
  <c r="S38" i="50"/>
  <c r="T38" i="50"/>
  <c r="U38" i="50"/>
  <c r="W38" i="50"/>
  <c r="X38" i="50"/>
  <c r="Y38" i="50"/>
  <c r="Z38" i="50"/>
  <c r="AB38" i="50"/>
  <c r="AC38" i="50"/>
  <c r="AD38" i="50"/>
  <c r="AE38" i="50"/>
  <c r="AF38" i="50"/>
  <c r="AG38" i="50"/>
  <c r="AH38" i="50"/>
  <c r="AI38" i="50"/>
  <c r="S39" i="50"/>
  <c r="T39" i="50"/>
  <c r="U39" i="50"/>
  <c r="W39" i="50"/>
  <c r="X39" i="50"/>
  <c r="Y39" i="50"/>
  <c r="Z39" i="50"/>
  <c r="AB39" i="50"/>
  <c r="AC39" i="50"/>
  <c r="AD39" i="50"/>
  <c r="AE39" i="50"/>
  <c r="AF39" i="50"/>
  <c r="AG39" i="50"/>
  <c r="AH39" i="50"/>
  <c r="AI39" i="50"/>
  <c r="K43" i="50"/>
  <c r="V43" i="50"/>
  <c r="K44" i="50"/>
  <c r="V44" i="50"/>
  <c r="K45" i="50"/>
  <c r="V45" i="50"/>
  <c r="K46" i="50"/>
  <c r="K47" i="50"/>
  <c r="R48" i="50"/>
  <c r="J49" i="50"/>
  <c r="R49" i="50"/>
  <c r="R51" i="50"/>
  <c r="Y63" i="50"/>
  <c r="Z63" i="50"/>
  <c r="Y64" i="50"/>
  <c r="Z64" i="50"/>
  <c r="Y65" i="50"/>
  <c r="Z65" i="50"/>
  <c r="Y66" i="50"/>
  <c r="Z66" i="50"/>
  <c r="Y67" i="50"/>
  <c r="Z67" i="50"/>
  <c r="AG6" i="49"/>
  <c r="AH6" i="49"/>
  <c r="AI6" i="49"/>
  <c r="J7" i="49"/>
  <c r="K7" i="49"/>
  <c r="L7" i="49"/>
  <c r="M7" i="49"/>
  <c r="AG7" i="49"/>
  <c r="AH7" i="49"/>
  <c r="AI7" i="49"/>
  <c r="L8" i="49"/>
  <c r="M8" i="49"/>
  <c r="AG8" i="49"/>
  <c r="AH8" i="49"/>
  <c r="AI8" i="49"/>
  <c r="K9" i="49"/>
  <c r="M9" i="49"/>
  <c r="AG9" i="49"/>
  <c r="AH9" i="49"/>
  <c r="AI9" i="49"/>
  <c r="S11" i="49"/>
  <c r="T11" i="49"/>
  <c r="U11" i="49"/>
  <c r="W11" i="49"/>
  <c r="X11" i="49"/>
  <c r="Y11" i="49"/>
  <c r="Z11" i="49"/>
  <c r="AB11" i="49"/>
  <c r="AC11" i="49"/>
  <c r="AD11" i="49"/>
  <c r="AE11" i="49"/>
  <c r="AF11" i="49"/>
  <c r="AG11" i="49"/>
  <c r="AH11" i="49"/>
  <c r="AI11" i="49"/>
  <c r="J12" i="49"/>
  <c r="K12" i="49"/>
  <c r="M12" i="49"/>
  <c r="S12" i="49"/>
  <c r="T12" i="49"/>
  <c r="U12" i="49"/>
  <c r="W12" i="49"/>
  <c r="X12" i="49"/>
  <c r="Y12" i="49"/>
  <c r="Z12" i="49"/>
  <c r="AB12" i="49"/>
  <c r="AC12" i="49"/>
  <c r="AD12" i="49"/>
  <c r="AE12" i="49"/>
  <c r="AF12" i="49"/>
  <c r="AG12" i="49"/>
  <c r="AH12" i="49"/>
  <c r="AI12" i="49"/>
  <c r="S13" i="49"/>
  <c r="T13" i="49"/>
  <c r="U13" i="49"/>
  <c r="W13" i="49"/>
  <c r="X13" i="49"/>
  <c r="Y13" i="49"/>
  <c r="Z13" i="49"/>
  <c r="AB13" i="49"/>
  <c r="AC13" i="49"/>
  <c r="AD13" i="49"/>
  <c r="AE13" i="49"/>
  <c r="AF13" i="49"/>
  <c r="AG13" i="49"/>
  <c r="AH13" i="49"/>
  <c r="AI13" i="49"/>
  <c r="K14" i="49"/>
  <c r="M14" i="49"/>
  <c r="S14" i="49"/>
  <c r="T14" i="49"/>
  <c r="U14" i="49"/>
  <c r="W14" i="49"/>
  <c r="X14" i="49"/>
  <c r="Y14" i="49"/>
  <c r="Z14" i="49"/>
  <c r="AB14" i="49"/>
  <c r="AC14" i="49"/>
  <c r="AD14" i="49"/>
  <c r="AE14" i="49"/>
  <c r="AF14" i="49"/>
  <c r="AG14" i="49"/>
  <c r="AH14" i="49"/>
  <c r="AI14" i="49"/>
  <c r="K16" i="49"/>
  <c r="M16" i="49"/>
  <c r="S16" i="49"/>
  <c r="T16" i="49"/>
  <c r="U16" i="49"/>
  <c r="W16" i="49"/>
  <c r="X16" i="49"/>
  <c r="Y16" i="49"/>
  <c r="Z16" i="49"/>
  <c r="AB16" i="49"/>
  <c r="AC16" i="49"/>
  <c r="AD16" i="49"/>
  <c r="AE16" i="49"/>
  <c r="AF16" i="49"/>
  <c r="AG16" i="49"/>
  <c r="AH16" i="49"/>
  <c r="AI16" i="49"/>
  <c r="S17" i="49"/>
  <c r="T17" i="49"/>
  <c r="U17" i="49"/>
  <c r="W17" i="49"/>
  <c r="X17" i="49"/>
  <c r="Y17" i="49"/>
  <c r="Z17" i="49"/>
  <c r="AB17" i="49"/>
  <c r="AC17" i="49"/>
  <c r="AD17" i="49"/>
  <c r="AE17" i="49"/>
  <c r="AF17" i="49"/>
  <c r="AG17" i="49"/>
  <c r="AH17" i="49"/>
  <c r="AI17" i="49"/>
  <c r="S18" i="49"/>
  <c r="T18" i="49"/>
  <c r="U18" i="49"/>
  <c r="W18" i="49"/>
  <c r="X18" i="49"/>
  <c r="Y18" i="49"/>
  <c r="Z18" i="49"/>
  <c r="AB18" i="49"/>
  <c r="AC18" i="49"/>
  <c r="AD18" i="49"/>
  <c r="AE18" i="49"/>
  <c r="AF18" i="49"/>
  <c r="AG18" i="49"/>
  <c r="AH18" i="49"/>
  <c r="AI18" i="49"/>
  <c r="M19" i="49"/>
  <c r="S19" i="49"/>
  <c r="T19" i="49"/>
  <c r="U19" i="49"/>
  <c r="W19" i="49"/>
  <c r="X19" i="49"/>
  <c r="Y19" i="49"/>
  <c r="Z19" i="49"/>
  <c r="AB19" i="49"/>
  <c r="AC19" i="49"/>
  <c r="AD19" i="49"/>
  <c r="AE19" i="49"/>
  <c r="AF19" i="49"/>
  <c r="AG19" i="49"/>
  <c r="AH19" i="49"/>
  <c r="AI19" i="49"/>
  <c r="J20" i="49"/>
  <c r="M20" i="49"/>
  <c r="J21" i="49"/>
  <c r="M21" i="49"/>
  <c r="S21" i="49"/>
  <c r="T21" i="49"/>
  <c r="U21" i="49"/>
  <c r="W21" i="49"/>
  <c r="X21" i="49"/>
  <c r="Y21" i="49"/>
  <c r="Z21" i="49"/>
  <c r="AB21" i="49"/>
  <c r="AC21" i="49"/>
  <c r="AD21" i="49"/>
  <c r="AE21" i="49"/>
  <c r="AF21" i="49"/>
  <c r="AG21" i="49"/>
  <c r="AH21" i="49"/>
  <c r="AI21" i="49"/>
  <c r="K22" i="49"/>
  <c r="S22" i="49"/>
  <c r="T22" i="49"/>
  <c r="U22" i="49"/>
  <c r="W22" i="49"/>
  <c r="X22" i="49"/>
  <c r="Y22" i="49"/>
  <c r="Z22" i="49"/>
  <c r="AB22" i="49"/>
  <c r="AC22" i="49"/>
  <c r="AD22" i="49"/>
  <c r="AE22" i="49"/>
  <c r="AF22" i="49"/>
  <c r="AG22" i="49"/>
  <c r="AH22" i="49"/>
  <c r="AI22" i="49"/>
  <c r="S23" i="49"/>
  <c r="T23" i="49"/>
  <c r="U23" i="49"/>
  <c r="W23" i="49"/>
  <c r="X23" i="49"/>
  <c r="Y23" i="49"/>
  <c r="Z23" i="49"/>
  <c r="AB23" i="49"/>
  <c r="AC23" i="49"/>
  <c r="AD23" i="49"/>
  <c r="AE23" i="49"/>
  <c r="AF23" i="49"/>
  <c r="AG23" i="49"/>
  <c r="AH23" i="49"/>
  <c r="AI23" i="49"/>
  <c r="S24" i="49"/>
  <c r="T24" i="49"/>
  <c r="U24" i="49"/>
  <c r="W24" i="49"/>
  <c r="X24" i="49"/>
  <c r="Y24" i="49"/>
  <c r="Z24" i="49"/>
  <c r="AB24" i="49"/>
  <c r="AC24" i="49"/>
  <c r="AD24" i="49"/>
  <c r="AE24" i="49"/>
  <c r="AF24" i="49"/>
  <c r="AG24" i="49"/>
  <c r="AH24" i="49"/>
  <c r="AI24" i="49"/>
  <c r="K26" i="49"/>
  <c r="L26" i="49"/>
  <c r="M26" i="49"/>
  <c r="S26" i="49"/>
  <c r="T26" i="49"/>
  <c r="U26" i="49"/>
  <c r="W26" i="49"/>
  <c r="X26" i="49"/>
  <c r="Y26" i="49"/>
  <c r="Z26" i="49"/>
  <c r="AB26" i="49"/>
  <c r="AC26" i="49"/>
  <c r="AD26" i="49"/>
  <c r="AE26" i="49"/>
  <c r="AF26" i="49"/>
  <c r="AG26" i="49"/>
  <c r="AH26" i="49"/>
  <c r="AI26" i="49"/>
  <c r="S27" i="49"/>
  <c r="T27" i="49"/>
  <c r="U27" i="49"/>
  <c r="W27" i="49"/>
  <c r="X27" i="49"/>
  <c r="Y27" i="49"/>
  <c r="Z27" i="49"/>
  <c r="AB27" i="49"/>
  <c r="AC27" i="49"/>
  <c r="AD27" i="49"/>
  <c r="AE27" i="49"/>
  <c r="AF27" i="49"/>
  <c r="AG27" i="49"/>
  <c r="AH27" i="49"/>
  <c r="AI27" i="49"/>
  <c r="L28" i="49"/>
  <c r="M28" i="49"/>
  <c r="S28" i="49"/>
  <c r="T28" i="49"/>
  <c r="U28" i="49"/>
  <c r="W28" i="49"/>
  <c r="X28" i="49"/>
  <c r="Y28" i="49"/>
  <c r="Z28" i="49"/>
  <c r="AB28" i="49"/>
  <c r="AC28" i="49"/>
  <c r="AD28" i="49"/>
  <c r="AE28" i="49"/>
  <c r="AF28" i="49"/>
  <c r="AG28" i="49"/>
  <c r="AH28" i="49"/>
  <c r="AI28" i="49"/>
  <c r="S29" i="49"/>
  <c r="T29" i="49"/>
  <c r="U29" i="49"/>
  <c r="W29" i="49"/>
  <c r="X29" i="49"/>
  <c r="Y29" i="49"/>
  <c r="Z29" i="49"/>
  <c r="AB29" i="49"/>
  <c r="AC29" i="49"/>
  <c r="AD29" i="49"/>
  <c r="AE29" i="49"/>
  <c r="AF29" i="49"/>
  <c r="AG29" i="49"/>
  <c r="AH29" i="49"/>
  <c r="AI29" i="49"/>
  <c r="S31" i="49"/>
  <c r="T31" i="49"/>
  <c r="U31" i="49"/>
  <c r="W31" i="49"/>
  <c r="X31" i="49"/>
  <c r="Y31" i="49"/>
  <c r="Z31" i="49"/>
  <c r="AB31" i="49"/>
  <c r="AC31" i="49"/>
  <c r="AD31" i="49"/>
  <c r="AE31" i="49"/>
  <c r="AF31" i="49"/>
  <c r="AG31" i="49"/>
  <c r="AH31" i="49"/>
  <c r="AI31" i="49"/>
  <c r="S32" i="49"/>
  <c r="T32" i="49"/>
  <c r="U32" i="49"/>
  <c r="W32" i="49"/>
  <c r="X32" i="49"/>
  <c r="Y32" i="49"/>
  <c r="Z32" i="49"/>
  <c r="AB32" i="49"/>
  <c r="AC32" i="49"/>
  <c r="AD32" i="49"/>
  <c r="AE32" i="49"/>
  <c r="AF32" i="49"/>
  <c r="AG32" i="49"/>
  <c r="AH32" i="49"/>
  <c r="AI32" i="49"/>
  <c r="J33" i="49"/>
  <c r="K33" i="49"/>
  <c r="S33" i="49"/>
  <c r="T33" i="49"/>
  <c r="U33" i="49"/>
  <c r="W33" i="49"/>
  <c r="X33" i="49"/>
  <c r="Y33" i="49"/>
  <c r="Z33" i="49"/>
  <c r="AB33" i="49"/>
  <c r="AC33" i="49"/>
  <c r="AD33" i="49"/>
  <c r="AE33" i="49"/>
  <c r="AF33" i="49"/>
  <c r="AG33" i="49"/>
  <c r="AH33" i="49"/>
  <c r="AI33" i="49"/>
  <c r="J34" i="49"/>
  <c r="K34" i="49"/>
  <c r="S34" i="49"/>
  <c r="T34" i="49"/>
  <c r="U34" i="49"/>
  <c r="W34" i="49"/>
  <c r="X34" i="49"/>
  <c r="Y34" i="49"/>
  <c r="Z34" i="49"/>
  <c r="AB34" i="49"/>
  <c r="AC34" i="49"/>
  <c r="AD34" i="49"/>
  <c r="AE34" i="49"/>
  <c r="AF34" i="49"/>
  <c r="AG34" i="49"/>
  <c r="AH34" i="49"/>
  <c r="AI34" i="49"/>
  <c r="J35" i="49"/>
  <c r="K35" i="49"/>
  <c r="J36" i="49"/>
  <c r="K36" i="49"/>
  <c r="S36" i="49"/>
  <c r="T36" i="49"/>
  <c r="U36" i="49"/>
  <c r="W36" i="49"/>
  <c r="X36" i="49"/>
  <c r="Y36" i="49"/>
  <c r="Z36" i="49"/>
  <c r="AB36" i="49"/>
  <c r="AC36" i="49"/>
  <c r="AD36" i="49"/>
  <c r="AE36" i="49"/>
  <c r="AF36" i="49"/>
  <c r="AG36" i="49"/>
  <c r="AH36" i="49"/>
  <c r="AI36" i="49"/>
  <c r="J37" i="49"/>
  <c r="K37" i="49"/>
  <c r="S37" i="49"/>
  <c r="T37" i="49"/>
  <c r="U37" i="49"/>
  <c r="W37" i="49"/>
  <c r="X37" i="49"/>
  <c r="Y37" i="49"/>
  <c r="Z37" i="49"/>
  <c r="AB37" i="49"/>
  <c r="AC37" i="49"/>
  <c r="AD37" i="49"/>
  <c r="AE37" i="49"/>
  <c r="AF37" i="49"/>
  <c r="AG37" i="49"/>
  <c r="AH37" i="49"/>
  <c r="AI37" i="49"/>
  <c r="S38" i="49"/>
  <c r="T38" i="49"/>
  <c r="U38" i="49"/>
  <c r="W38" i="49"/>
  <c r="X38" i="49"/>
  <c r="Y38" i="49"/>
  <c r="Z38" i="49"/>
  <c r="AB38" i="49"/>
  <c r="AC38" i="49"/>
  <c r="AD38" i="49"/>
  <c r="AE38" i="49"/>
  <c r="AF38" i="49"/>
  <c r="AG38" i="49"/>
  <c r="AH38" i="49"/>
  <c r="AI38" i="49"/>
  <c r="S39" i="49"/>
  <c r="T39" i="49"/>
  <c r="U39" i="49"/>
  <c r="W39" i="49"/>
  <c r="X39" i="49"/>
  <c r="Y39" i="49"/>
  <c r="Z39" i="49"/>
  <c r="AB39" i="49"/>
  <c r="AC39" i="49"/>
  <c r="AD39" i="49"/>
  <c r="AE39" i="49"/>
  <c r="AF39" i="49"/>
  <c r="AG39" i="49"/>
  <c r="AH39" i="49"/>
  <c r="AI39" i="49"/>
  <c r="K43" i="49"/>
  <c r="V43" i="49"/>
  <c r="K44" i="49"/>
  <c r="V44" i="49"/>
  <c r="K45" i="49"/>
  <c r="V45" i="49"/>
  <c r="K46" i="49"/>
  <c r="K47" i="49"/>
  <c r="R48" i="49"/>
  <c r="J49" i="49"/>
  <c r="R49" i="49"/>
  <c r="R51" i="49"/>
  <c r="Y63" i="49"/>
  <c r="Z63" i="49"/>
  <c r="Y64" i="49"/>
  <c r="Z64" i="49"/>
  <c r="Y65" i="49"/>
  <c r="Z65" i="49"/>
  <c r="Y66" i="49"/>
  <c r="Z66" i="49"/>
  <c r="Y67" i="49"/>
  <c r="Z67" i="49"/>
  <c r="AG6" i="51"/>
  <c r="AH6" i="51"/>
  <c r="AI6" i="51"/>
  <c r="J7" i="51"/>
  <c r="K7" i="51"/>
  <c r="L7" i="51"/>
  <c r="M7" i="51"/>
  <c r="AG7" i="51"/>
  <c r="AH7" i="51"/>
  <c r="AI7" i="51"/>
  <c r="L8" i="51"/>
  <c r="M8" i="51"/>
  <c r="AG8" i="51"/>
  <c r="AH8" i="51"/>
  <c r="AI8" i="51"/>
  <c r="K9" i="51"/>
  <c r="M9" i="51"/>
  <c r="AG9" i="51"/>
  <c r="AH9" i="51"/>
  <c r="AI9" i="51"/>
  <c r="S11" i="51"/>
  <c r="T11" i="51"/>
  <c r="U11" i="51"/>
  <c r="W11" i="51"/>
  <c r="X11" i="51"/>
  <c r="Y11" i="51"/>
  <c r="Z11" i="51"/>
  <c r="AB11" i="51"/>
  <c r="AC11" i="51"/>
  <c r="AD11" i="51"/>
  <c r="AE11" i="51"/>
  <c r="AF11" i="51"/>
  <c r="AG11" i="51"/>
  <c r="AH11" i="51"/>
  <c r="AI11" i="51"/>
  <c r="J12" i="51"/>
  <c r="K12" i="51"/>
  <c r="M12" i="51"/>
  <c r="S12" i="51"/>
  <c r="T12" i="51"/>
  <c r="U12" i="51"/>
  <c r="W12" i="51"/>
  <c r="X12" i="51"/>
  <c r="Y12" i="51"/>
  <c r="Z12" i="51"/>
  <c r="AB12" i="51"/>
  <c r="AC12" i="51"/>
  <c r="AD12" i="51"/>
  <c r="AE12" i="51"/>
  <c r="AF12" i="51"/>
  <c r="AG12" i="51"/>
  <c r="AH12" i="51"/>
  <c r="AI12" i="51"/>
  <c r="S13" i="51"/>
  <c r="T13" i="51"/>
  <c r="U13" i="51"/>
  <c r="W13" i="51"/>
  <c r="X13" i="51"/>
  <c r="Y13" i="51"/>
  <c r="Z13" i="51"/>
  <c r="AB13" i="51"/>
  <c r="AC13" i="51"/>
  <c r="AD13" i="51"/>
  <c r="AE13" i="51"/>
  <c r="AF13" i="51"/>
  <c r="AG13" i="51"/>
  <c r="AH13" i="51"/>
  <c r="AI13" i="51"/>
  <c r="K14" i="51"/>
  <c r="M14" i="51"/>
  <c r="S14" i="51"/>
  <c r="T14" i="51"/>
  <c r="U14" i="51"/>
  <c r="W14" i="51"/>
  <c r="X14" i="51"/>
  <c r="Y14" i="51"/>
  <c r="Z14" i="51"/>
  <c r="AB14" i="51"/>
  <c r="AC14" i="51"/>
  <c r="AD14" i="51"/>
  <c r="AE14" i="51"/>
  <c r="AF14" i="51"/>
  <c r="AG14" i="51"/>
  <c r="AH14" i="51"/>
  <c r="AI14" i="51"/>
  <c r="K16" i="51"/>
  <c r="M16" i="51"/>
  <c r="S16" i="51"/>
  <c r="T16" i="51"/>
  <c r="U16" i="51"/>
  <c r="W16" i="51"/>
  <c r="X16" i="51"/>
  <c r="Y16" i="51"/>
  <c r="Z16" i="51"/>
  <c r="AB16" i="51"/>
  <c r="AC16" i="51"/>
  <c r="AD16" i="51"/>
  <c r="AE16" i="51"/>
  <c r="AF16" i="51"/>
  <c r="AG16" i="51"/>
  <c r="AH16" i="51"/>
  <c r="AI16" i="51"/>
  <c r="S17" i="51"/>
  <c r="T17" i="51"/>
  <c r="U17" i="51"/>
  <c r="W17" i="51"/>
  <c r="X17" i="51"/>
  <c r="Y17" i="51"/>
  <c r="Z17" i="51"/>
  <c r="AB17" i="51"/>
  <c r="AC17" i="51"/>
  <c r="AD17" i="51"/>
  <c r="AE17" i="51"/>
  <c r="AF17" i="51"/>
  <c r="AG17" i="51"/>
  <c r="AH17" i="51"/>
  <c r="AI17" i="51"/>
  <c r="S18" i="51"/>
  <c r="T18" i="51"/>
  <c r="U18" i="51"/>
  <c r="W18" i="51"/>
  <c r="X18" i="51"/>
  <c r="Y18" i="51"/>
  <c r="Z18" i="51"/>
  <c r="AB18" i="51"/>
  <c r="AC18" i="51"/>
  <c r="AD18" i="51"/>
  <c r="AE18" i="51"/>
  <c r="AF18" i="51"/>
  <c r="AG18" i="51"/>
  <c r="AH18" i="51"/>
  <c r="AI18" i="51"/>
  <c r="M19" i="51"/>
  <c r="S19" i="51"/>
  <c r="T19" i="51"/>
  <c r="U19" i="51"/>
  <c r="W19" i="51"/>
  <c r="X19" i="51"/>
  <c r="Y19" i="51"/>
  <c r="Z19" i="51"/>
  <c r="AB19" i="51"/>
  <c r="AC19" i="51"/>
  <c r="AD19" i="51"/>
  <c r="AE19" i="51"/>
  <c r="AF19" i="51"/>
  <c r="AG19" i="51"/>
  <c r="AH19" i="51"/>
  <c r="AI19" i="51"/>
  <c r="J20" i="51"/>
  <c r="M20" i="51"/>
  <c r="J21" i="51"/>
  <c r="M21" i="51"/>
  <c r="S21" i="51"/>
  <c r="T21" i="51"/>
  <c r="U21" i="51"/>
  <c r="W21" i="51"/>
  <c r="X21" i="51"/>
  <c r="Y21" i="51"/>
  <c r="Z21" i="51"/>
  <c r="AB21" i="51"/>
  <c r="AC21" i="51"/>
  <c r="AD21" i="51"/>
  <c r="AE21" i="51"/>
  <c r="AF21" i="51"/>
  <c r="AG21" i="51"/>
  <c r="AH21" i="51"/>
  <c r="AI21" i="51"/>
  <c r="K22" i="51"/>
  <c r="S22" i="51"/>
  <c r="T22" i="51"/>
  <c r="U22" i="51"/>
  <c r="W22" i="51"/>
  <c r="X22" i="51"/>
  <c r="Y22" i="51"/>
  <c r="Z22" i="51"/>
  <c r="AB22" i="51"/>
  <c r="AC22" i="51"/>
  <c r="AD22" i="51"/>
  <c r="AE22" i="51"/>
  <c r="AF22" i="51"/>
  <c r="AG22" i="51"/>
  <c r="AH22" i="51"/>
  <c r="AI22" i="51"/>
  <c r="S23" i="51"/>
  <c r="T23" i="51"/>
  <c r="U23" i="51"/>
  <c r="W23" i="51"/>
  <c r="X23" i="51"/>
  <c r="Y23" i="51"/>
  <c r="Z23" i="51"/>
  <c r="AB23" i="51"/>
  <c r="AC23" i="51"/>
  <c r="AD23" i="51"/>
  <c r="AE23" i="51"/>
  <c r="AF23" i="51"/>
  <c r="AG23" i="51"/>
  <c r="AH23" i="51"/>
  <c r="AI23" i="51"/>
  <c r="S24" i="51"/>
  <c r="T24" i="51"/>
  <c r="U24" i="51"/>
  <c r="W24" i="51"/>
  <c r="X24" i="51"/>
  <c r="Y24" i="51"/>
  <c r="Z24" i="51"/>
  <c r="AB24" i="51"/>
  <c r="AC24" i="51"/>
  <c r="AD24" i="51"/>
  <c r="AE24" i="51"/>
  <c r="AF24" i="51"/>
  <c r="AG24" i="51"/>
  <c r="AH24" i="51"/>
  <c r="AI24" i="51"/>
  <c r="K26" i="51"/>
  <c r="L26" i="51"/>
  <c r="M26" i="51"/>
  <c r="S26" i="51"/>
  <c r="T26" i="51"/>
  <c r="U26" i="51"/>
  <c r="W26" i="51"/>
  <c r="X26" i="51"/>
  <c r="Y26" i="51"/>
  <c r="Z26" i="51"/>
  <c r="AB26" i="51"/>
  <c r="AC26" i="51"/>
  <c r="AD26" i="51"/>
  <c r="AE26" i="51"/>
  <c r="AF26" i="51"/>
  <c r="AG26" i="51"/>
  <c r="AH26" i="51"/>
  <c r="AI26" i="51"/>
  <c r="S27" i="51"/>
  <c r="T27" i="51"/>
  <c r="U27" i="51"/>
  <c r="W27" i="51"/>
  <c r="X27" i="51"/>
  <c r="Y27" i="51"/>
  <c r="Z27" i="51"/>
  <c r="AB27" i="51"/>
  <c r="AC27" i="51"/>
  <c r="AD27" i="51"/>
  <c r="AE27" i="51"/>
  <c r="AF27" i="51"/>
  <c r="AG27" i="51"/>
  <c r="AH27" i="51"/>
  <c r="AI27" i="51"/>
  <c r="L28" i="51"/>
  <c r="M28" i="51"/>
  <c r="S28" i="51"/>
  <c r="T28" i="51"/>
  <c r="U28" i="51"/>
  <c r="W28" i="51"/>
  <c r="X28" i="51"/>
  <c r="Y28" i="51"/>
  <c r="Z28" i="51"/>
  <c r="AB28" i="51"/>
  <c r="AC28" i="51"/>
  <c r="AD28" i="51"/>
  <c r="AE28" i="51"/>
  <c r="AF28" i="51"/>
  <c r="AG28" i="51"/>
  <c r="AH28" i="51"/>
  <c r="AI28" i="51"/>
  <c r="S29" i="51"/>
  <c r="T29" i="51"/>
  <c r="U29" i="51"/>
  <c r="W29" i="51"/>
  <c r="X29" i="51"/>
  <c r="Y29" i="51"/>
  <c r="Z29" i="51"/>
  <c r="AB29" i="51"/>
  <c r="AC29" i="51"/>
  <c r="AD29" i="51"/>
  <c r="AE29" i="51"/>
  <c r="AF29" i="51"/>
  <c r="AG29" i="51"/>
  <c r="AH29" i="51"/>
  <c r="AI29" i="51"/>
  <c r="S31" i="51"/>
  <c r="T31" i="51"/>
  <c r="U31" i="51"/>
  <c r="W31" i="51"/>
  <c r="X31" i="51"/>
  <c r="Y31" i="51"/>
  <c r="Z31" i="51"/>
  <c r="AB31" i="51"/>
  <c r="AC31" i="51"/>
  <c r="AD31" i="51"/>
  <c r="AE31" i="51"/>
  <c r="AF31" i="51"/>
  <c r="AG31" i="51"/>
  <c r="AH31" i="51"/>
  <c r="AI31" i="51"/>
  <c r="S32" i="51"/>
  <c r="T32" i="51"/>
  <c r="U32" i="51"/>
  <c r="W32" i="51"/>
  <c r="X32" i="51"/>
  <c r="Y32" i="51"/>
  <c r="Z32" i="51"/>
  <c r="AB32" i="51"/>
  <c r="AC32" i="51"/>
  <c r="AD32" i="51"/>
  <c r="AE32" i="51"/>
  <c r="AF32" i="51"/>
  <c r="AG32" i="51"/>
  <c r="AH32" i="51"/>
  <c r="AI32" i="51"/>
  <c r="J33" i="51"/>
  <c r="K33" i="51"/>
  <c r="S33" i="51"/>
  <c r="T33" i="51"/>
  <c r="U33" i="51"/>
  <c r="W33" i="51"/>
  <c r="X33" i="51"/>
  <c r="Y33" i="51"/>
  <c r="Z33" i="51"/>
  <c r="AB33" i="51"/>
  <c r="AC33" i="51"/>
  <c r="AD33" i="51"/>
  <c r="AE33" i="51"/>
  <c r="AF33" i="51"/>
  <c r="AG33" i="51"/>
  <c r="AH33" i="51"/>
  <c r="AI33" i="51"/>
  <c r="J34" i="51"/>
  <c r="K34" i="51"/>
  <c r="S34" i="51"/>
  <c r="T34" i="51"/>
  <c r="U34" i="51"/>
  <c r="W34" i="51"/>
  <c r="X34" i="51"/>
  <c r="Y34" i="51"/>
  <c r="Z34" i="51"/>
  <c r="AB34" i="51"/>
  <c r="AC34" i="51"/>
  <c r="AD34" i="51"/>
  <c r="AE34" i="51"/>
  <c r="AF34" i="51"/>
  <c r="AG34" i="51"/>
  <c r="AH34" i="51"/>
  <c r="AI34" i="51"/>
  <c r="J35" i="51"/>
  <c r="K35" i="51"/>
  <c r="J36" i="51"/>
  <c r="K36" i="51"/>
  <c r="S36" i="51"/>
  <c r="T36" i="51"/>
  <c r="U36" i="51"/>
  <c r="W36" i="51"/>
  <c r="X36" i="51"/>
  <c r="Y36" i="51"/>
  <c r="Z36" i="51"/>
  <c r="AB36" i="51"/>
  <c r="AC36" i="51"/>
  <c r="AD36" i="51"/>
  <c r="AE36" i="51"/>
  <c r="AF36" i="51"/>
  <c r="AG36" i="51"/>
  <c r="AH36" i="51"/>
  <c r="AI36" i="51"/>
  <c r="J37" i="51"/>
  <c r="K37" i="51"/>
  <c r="S37" i="51"/>
  <c r="T37" i="51"/>
  <c r="U37" i="51"/>
  <c r="W37" i="51"/>
  <c r="X37" i="51"/>
  <c r="Y37" i="51"/>
  <c r="Z37" i="51"/>
  <c r="AB37" i="51"/>
  <c r="AC37" i="51"/>
  <c r="AD37" i="51"/>
  <c r="AE37" i="51"/>
  <c r="AF37" i="51"/>
  <c r="AG37" i="51"/>
  <c r="AH37" i="51"/>
  <c r="AI37" i="51"/>
  <c r="S38" i="51"/>
  <c r="T38" i="51"/>
  <c r="U38" i="51"/>
  <c r="W38" i="51"/>
  <c r="X38" i="51"/>
  <c r="Y38" i="51"/>
  <c r="Z38" i="51"/>
  <c r="AB38" i="51"/>
  <c r="AC38" i="51"/>
  <c r="AD38" i="51"/>
  <c r="AE38" i="51"/>
  <c r="AF38" i="51"/>
  <c r="AG38" i="51"/>
  <c r="AH38" i="51"/>
  <c r="AI38" i="51"/>
  <c r="S39" i="51"/>
  <c r="T39" i="51"/>
  <c r="U39" i="51"/>
  <c r="W39" i="51"/>
  <c r="X39" i="51"/>
  <c r="Y39" i="51"/>
  <c r="Z39" i="51"/>
  <c r="AB39" i="51"/>
  <c r="AC39" i="51"/>
  <c r="AD39" i="51"/>
  <c r="AE39" i="51"/>
  <c r="AF39" i="51"/>
  <c r="AG39" i="51"/>
  <c r="AH39" i="51"/>
  <c r="AI39" i="51"/>
  <c r="K43" i="51"/>
  <c r="V43" i="51"/>
  <c r="K44" i="51"/>
  <c r="V44" i="51"/>
  <c r="K45" i="51"/>
  <c r="V45" i="51"/>
  <c r="K46" i="51"/>
  <c r="K47" i="51"/>
  <c r="R48" i="51"/>
  <c r="J49" i="51"/>
  <c r="R49" i="51"/>
  <c r="R51" i="51"/>
  <c r="Y63" i="51"/>
  <c r="Z63" i="51"/>
  <c r="Y64" i="51"/>
  <c r="Z64" i="51"/>
  <c r="Y65" i="51"/>
  <c r="Z65" i="51"/>
  <c r="Y66" i="51"/>
  <c r="Z66" i="51"/>
  <c r="Y67" i="51"/>
  <c r="Z67" i="51"/>
  <c r="Q80"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 LaRue</author>
    <author>Weldon</author>
  </authors>
  <commentList>
    <comment ref="V81" authorId="0" shapeId="0" xr:uid="{63891304-C15D-4B77-900E-C462A90255BB}">
      <text>
        <r>
          <rPr>
            <b/>
            <sz val="9"/>
            <color indexed="81"/>
            <rFont val="Tahoma"/>
            <family val="2"/>
          </rPr>
          <t>Ann LaRue:</t>
        </r>
        <r>
          <rPr>
            <sz val="9"/>
            <color indexed="81"/>
            <rFont val="Tahoma"/>
            <family val="2"/>
          </rPr>
          <t xml:space="preserve">
Company had a calculation error here.</t>
        </r>
      </text>
    </comment>
    <comment ref="P108" authorId="1" shapeId="0" xr:uid="{644C88D4-5622-433D-8A6B-68C0F7778F8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09" authorId="1" shapeId="0" xr:uid="{A1C1D99A-A392-4904-B68A-55168FEBCC1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13" authorId="1" shapeId="0" xr:uid="{049BD420-48B0-499A-80BF-82C66EE41E8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14" authorId="1" shapeId="0" xr:uid="{806B8602-229A-481A-ABA7-183DC3DFF45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15" authorId="1" shapeId="0" xr:uid="{B9A2D893-32CD-443D-AE4A-7954C2CE873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16" authorId="1" shapeId="0" xr:uid="{E4832B5D-BB3B-4F61-B20A-9B1D99E2AFE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AA117" authorId="0" shapeId="0" xr:uid="{D10C2667-299F-4F10-B4BF-09945E5BB81A}">
      <text>
        <r>
          <rPr>
            <b/>
            <sz val="9"/>
            <color indexed="81"/>
            <rFont val="Tahoma"/>
            <family val="2"/>
          </rPr>
          <t>Ann LaRue:</t>
        </r>
        <r>
          <rPr>
            <sz val="9"/>
            <color indexed="81"/>
            <rFont val="Tahoma"/>
            <family val="2"/>
          </rPr>
          <t xml:space="preserve">
Company had a calculation error here.</t>
        </r>
      </text>
    </comment>
    <comment ref="P123" authorId="1" shapeId="0" xr:uid="{99E97D0C-8C26-4FA6-9853-5F199811026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8" authorId="1" shapeId="0" xr:uid="{B4B66250-D398-4917-95F3-044BB4808F6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9" authorId="1" shapeId="0" xr:uid="{8B8178F5-B003-46CA-BD12-BB4929AA5D5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0" authorId="1" shapeId="0" xr:uid="{554CF0D3-152B-4C53-BFC1-DA8E8C9C422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1" authorId="1" shapeId="0" xr:uid="{F46987D0-033B-4FE8-B052-544054C486E5}">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6" authorId="1" shapeId="0" xr:uid="{39B2C318-0F7D-418A-8423-7F83C027A912}">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7" authorId="1" shapeId="0" xr:uid="{B1E0F8FA-45CB-4A9C-981A-8FCAF64F894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8" authorId="1" shapeId="0" xr:uid="{95BE55BA-3A04-4D7B-BF71-86A46E903B1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9" authorId="1" shapeId="0" xr:uid="{DADE9241-F9CF-43E0-9DAC-AE87442DFAF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40" authorId="1" shapeId="0" xr:uid="{1248E5F5-CEFC-4EF8-BCED-42ECBDF2B1A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AA144" authorId="0" shapeId="0" xr:uid="{A86088C3-55AB-4118-94CC-F12BECDE24A5}">
      <text>
        <r>
          <rPr>
            <b/>
            <sz val="9"/>
            <color indexed="81"/>
            <rFont val="Tahoma"/>
            <family val="2"/>
          </rPr>
          <t>Ann LaRue:</t>
        </r>
        <r>
          <rPr>
            <sz val="9"/>
            <color indexed="81"/>
            <rFont val="Tahoma"/>
            <family val="2"/>
          </rPr>
          <t xml:space="preserve">
Not sure these should be allocated 100% to regulated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C6" authorId="0" shapeId="0" xr:uid="{C5D3375F-4270-4126-A404-A8BC3F75C0EE}">
      <text>
        <r>
          <rPr>
            <b/>
            <sz val="9"/>
            <color indexed="81"/>
            <rFont val="Tahoma"/>
            <family val="2"/>
          </rPr>
          <t>Cassie Rewis:</t>
        </r>
        <r>
          <rPr>
            <sz val="9"/>
            <color indexed="81"/>
            <rFont val="Tahoma"/>
            <family val="2"/>
          </rPr>
          <t xml:space="preserve">
as of 11/29/2018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M121" authorId="0" shapeId="0" xr:uid="{1BE82520-522C-430C-8AA1-15C9030DB03D}">
      <text>
        <r>
          <rPr>
            <b/>
            <sz val="9"/>
            <color indexed="81"/>
            <rFont val="Tahoma"/>
            <family val="2"/>
          </rPr>
          <t>Cassie Rewis:</t>
        </r>
        <r>
          <rPr>
            <sz val="9"/>
            <color indexed="81"/>
            <rFont val="Tahoma"/>
            <family val="2"/>
          </rPr>
          <t xml:space="preserve">
Amount from P &amp; 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C5" authorId="0" shapeId="0" xr:uid="{5E04B370-6646-40A0-8DAA-0A0D2090A2BE}">
      <text>
        <r>
          <rPr>
            <b/>
            <sz val="9"/>
            <color indexed="81"/>
            <rFont val="Tahoma"/>
            <family val="2"/>
          </rPr>
          <t>Cassie Rewis:</t>
        </r>
        <r>
          <rPr>
            <sz val="9"/>
            <color indexed="81"/>
            <rFont val="Tahoma"/>
            <family val="2"/>
          </rPr>
          <t xml:space="preserve">
need to subtract
 difference between quoted &amp; actual
</t>
        </r>
      </text>
    </comment>
    <comment ref="C6" authorId="0" shapeId="0" xr:uid="{7D3F1DFB-92AA-4E30-BFD2-6E48A1BA1E9B}">
      <text>
        <r>
          <rPr>
            <b/>
            <sz val="9"/>
            <color indexed="81"/>
            <rFont val="Tahoma"/>
            <family val="2"/>
          </rPr>
          <t>Cassie Rewis:</t>
        </r>
        <r>
          <rPr>
            <sz val="9"/>
            <color indexed="81"/>
            <rFont val="Tahoma"/>
            <family val="2"/>
          </rPr>
          <t xml:space="preserve">
subtracted $20,805.22 which is the difference between premium breakdown spreadsheet &amp; Allegiance website
</t>
        </r>
      </text>
    </comment>
    <comment ref="K36" authorId="0" shapeId="0" xr:uid="{810B9E3C-8ADA-4E5F-A7EB-DEF27E5C390B}">
      <text>
        <r>
          <rPr>
            <b/>
            <sz val="9"/>
            <color indexed="81"/>
            <rFont val="Tahoma"/>
            <family val="2"/>
          </rPr>
          <t>Cassie Rewis:</t>
        </r>
        <r>
          <rPr>
            <sz val="9"/>
            <color indexed="81"/>
            <rFont val="Tahoma"/>
            <family val="2"/>
          </rPr>
          <t xml:space="preserve">
Use for monthly close
</t>
        </r>
      </text>
    </comment>
    <comment ref="D90" authorId="0" shapeId="0" xr:uid="{EDB253C8-610D-4A4E-8CA8-ADA020474CFC}">
      <text>
        <r>
          <rPr>
            <b/>
            <sz val="9"/>
            <color indexed="81"/>
            <rFont val="Tahoma"/>
            <family val="2"/>
          </rPr>
          <t>Cassie Rewis:</t>
        </r>
        <r>
          <rPr>
            <sz val="9"/>
            <color indexed="81"/>
            <rFont val="Tahoma"/>
            <family val="2"/>
          </rPr>
          <t xml:space="preserve">
Run monthly to balance with QB
</t>
        </r>
      </text>
    </comment>
  </commentList>
</comments>
</file>

<file path=xl/sharedStrings.xml><?xml version="1.0" encoding="utf-8"?>
<sst xmlns="http://schemas.openxmlformats.org/spreadsheetml/2006/main" count="5531" uniqueCount="1711">
  <si>
    <t>2018 Version Update Changes</t>
  </si>
  <si>
    <t>CALCULATION TABLES</t>
  </si>
  <si>
    <t>(a)</t>
  </si>
  <si>
    <t>(b)</t>
  </si>
  <si>
    <t>(c)</t>
  </si>
  <si>
    <t>(d)</t>
  </si>
  <si>
    <t>(e)</t>
  </si>
  <si>
    <t>(f)</t>
  </si>
  <si>
    <t>Regession</t>
  </si>
  <si>
    <t>Hauler</t>
  </si>
  <si>
    <t>Line</t>
  </si>
  <si>
    <t>Historical</t>
  </si>
  <si>
    <t>Revenue</t>
  </si>
  <si>
    <t>Proforma</t>
  </si>
  <si>
    <t>Before Tax</t>
  </si>
  <si>
    <t>Less</t>
  </si>
  <si>
    <t>Adjusted</t>
  </si>
  <si>
    <t>After Tax</t>
  </si>
  <si>
    <t>Weighted Cost</t>
  </si>
  <si>
    <t>No.</t>
  </si>
  <si>
    <t>Taxes</t>
  </si>
  <si>
    <t>Requirment</t>
  </si>
  <si>
    <t>Profit Ratio</t>
  </si>
  <si>
    <t>BTROI</t>
  </si>
  <si>
    <t>WCDebt</t>
  </si>
  <si>
    <t>BTROE</t>
  </si>
  <si>
    <t>ROE</t>
  </si>
  <si>
    <t>Equity</t>
  </si>
  <si>
    <t>Equity BFT</t>
  </si>
  <si>
    <t>Debt</t>
  </si>
  <si>
    <t>BTROR</t>
  </si>
  <si>
    <t>Operating Ratio</t>
  </si>
  <si>
    <t>Operating Revenue</t>
  </si>
  <si>
    <t>Operating Expenses</t>
  </si>
  <si>
    <t>Operating Income</t>
  </si>
  <si>
    <t>Interest Expense</t>
  </si>
  <si>
    <t>2nd Iteration</t>
  </si>
  <si>
    <t>Income Tax Expense</t>
  </si>
  <si>
    <t>Net Income</t>
  </si>
  <si>
    <t xml:space="preserve">Operating Ratio </t>
  </si>
  <si>
    <t>3rd Iteration</t>
  </si>
  <si>
    <t>Rev Sensitive Taxes</t>
  </si>
  <si>
    <t>Rate Increase</t>
  </si>
  <si>
    <t>4th Iteration</t>
  </si>
  <si>
    <t>Financing Cost</t>
  </si>
  <si>
    <t>Type</t>
  </si>
  <si>
    <t>Percent</t>
  </si>
  <si>
    <t>Amount</t>
  </si>
  <si>
    <t>Rate</t>
  </si>
  <si>
    <t>Weighted</t>
  </si>
  <si>
    <t>5th Iteration</t>
  </si>
  <si>
    <t>Operating Statistics</t>
  </si>
  <si>
    <t>Pre-tax</t>
  </si>
  <si>
    <t>6th Iteration</t>
  </si>
  <si>
    <t>Return on Investment</t>
  </si>
  <si>
    <t>Return on Equity</t>
  </si>
  <si>
    <t>Profit Margin</t>
  </si>
  <si>
    <t>Final turnover</t>
  </si>
  <si>
    <t>Tax Rate</t>
  </si>
  <si>
    <t>Curve</t>
  </si>
  <si>
    <t>Lookup Table</t>
  </si>
  <si>
    <t>Revenue Sensitive Taxes Charges</t>
  </si>
  <si>
    <t xml:space="preserve"> B &amp; O Tax</t>
  </si>
  <si>
    <t xml:space="preserve"> WUTC Fee</t>
  </si>
  <si>
    <t>Curve turnover</t>
  </si>
  <si>
    <t>@EXP(5.72260-(.68367*@LN(T)))</t>
  </si>
  <si>
    <t xml:space="preserve"> City Tax</t>
  </si>
  <si>
    <t>Curve No. used</t>
  </si>
  <si>
    <t>@EXP(5.70827-(.68367*@LN(T)))</t>
  </si>
  <si>
    <t xml:space="preserve"> Bad Debts</t>
  </si>
  <si>
    <t>@EXP(5.69850-(.68367*@LN(T)))</t>
  </si>
  <si>
    <t>Revenue Sensitive</t>
  </si>
  <si>
    <t>@EXP(5.69220-(.68367*@LN(T)))</t>
  </si>
  <si>
    <t>Conversion Factor</t>
  </si>
  <si>
    <t>Base Utility from LG Sample Study</t>
  </si>
  <si>
    <t>Regression Results</t>
  </si>
  <si>
    <t>Cost</t>
  </si>
  <si>
    <t>Y intercept (1)</t>
  </si>
  <si>
    <t>Y intercept (3)</t>
  </si>
  <si>
    <t>Y intercept (2)</t>
  </si>
  <si>
    <t>Y intercept (4)</t>
  </si>
  <si>
    <t>Pfd.</t>
  </si>
  <si>
    <t>Slope</t>
  </si>
  <si>
    <t>Revenue Requirement</t>
  </si>
  <si>
    <t>7th Iteration</t>
  </si>
  <si>
    <t>RevS Taxes</t>
  </si>
  <si>
    <t>Revenue Req</t>
  </si>
  <si>
    <t xml:space="preserve">Total </t>
  </si>
  <si>
    <t xml:space="preserve"> Increase Before</t>
  </si>
  <si>
    <t xml:space="preserve">Revenue </t>
  </si>
  <si>
    <t>Increase After</t>
  </si>
  <si>
    <t xml:space="preserve">RevS </t>
  </si>
  <si>
    <t>Revenue Senstive Taxes (RevS)</t>
  </si>
  <si>
    <t>Before RevS</t>
  </si>
  <si>
    <t>Before</t>
  </si>
  <si>
    <t>Income Tax</t>
  </si>
  <si>
    <t>After</t>
  </si>
  <si>
    <t>B&amp;O Tax Rate</t>
  </si>
  <si>
    <t>Federal Income Tax Rate</t>
  </si>
  <si>
    <t>WUTC Fee</t>
  </si>
  <si>
    <t>City Tax</t>
  </si>
  <si>
    <t>Bad Debts</t>
  </si>
  <si>
    <t>No</t>
  </si>
  <si>
    <t>Total</t>
  </si>
  <si>
    <t>Investment</t>
  </si>
  <si>
    <t>Captial Structure Financing Investment</t>
  </si>
  <si>
    <t>Non-Public Companies</t>
  </si>
  <si>
    <t>Percent Chg</t>
  </si>
  <si>
    <t>● Minimizes impact of changes in test-year revenue from</t>
  </si>
  <si>
    <t>● Allows Income Tax Rate Changes,</t>
  </si>
  <si>
    <t xml:space="preserve">   resulting revenue requirment,</t>
  </si>
  <si>
    <t>● Corrects interest rate transposition in LG.</t>
  </si>
  <si>
    <t>nonpubco</t>
  </si>
  <si>
    <t>Capital Structure - Debt Cost</t>
  </si>
  <si>
    <t>Capital Structure - Debt %</t>
  </si>
  <si>
    <t>INPUTS - Test Year</t>
  </si>
  <si>
    <t>Cost of Capital</t>
  </si>
  <si>
    <t>Change</t>
  </si>
  <si>
    <t>Add: Revenue</t>
  </si>
  <si>
    <t xml:space="preserve"> Sensitive Taxes</t>
  </si>
  <si>
    <t>(d) + (e)</t>
  </si>
  <si>
    <t>(b) + (c)</t>
  </si>
  <si>
    <t>Historical Revenue</t>
  </si>
  <si>
    <r>
      <t xml:space="preserve">LURITO - GALLAGHER FORMULA  MODEL 2018  </t>
    </r>
    <r>
      <rPr>
        <sz val="8"/>
        <color indexed="9"/>
        <rFont val="Calibri"/>
        <family val="2"/>
      </rPr>
      <t>V5.0a</t>
    </r>
  </si>
  <si>
    <t>Check when input is complete</t>
  </si>
  <si>
    <t>For Intial input: Uncheck Checkbox Until Completed</t>
  </si>
  <si>
    <t>Revenue Increase before taxes</t>
  </si>
  <si>
    <t>Percent Increase</t>
  </si>
  <si>
    <t>Rubatino Refuse Removal, Inc.</t>
  </si>
  <si>
    <t>Results of Operations</t>
  </si>
  <si>
    <t>Per Books</t>
  </si>
  <si>
    <t>Restating Adjustments</t>
  </si>
  <si>
    <t>Pro Forma Adjustments</t>
  </si>
  <si>
    <t>Pro Forma Present</t>
  </si>
  <si>
    <t>Allocation method from Allocation Worksheet</t>
  </si>
  <si>
    <t>Non-Regulated Services</t>
  </si>
  <si>
    <t>Regulated Services at Present Rates</t>
  </si>
  <si>
    <t>Effect of Revised Rates</t>
  </si>
  <si>
    <t>Pro Forma at Revised Rates</t>
  </si>
  <si>
    <t xml:space="preserve">Regulated Residential </t>
  </si>
  <si>
    <t xml:space="preserve">Regulated Commercial </t>
  </si>
  <si>
    <t>Regulated Drop Box</t>
  </si>
  <si>
    <t>Regulated Drop Box Pass-Thru</t>
  </si>
  <si>
    <t>Regulated Residential Recycling</t>
  </si>
  <si>
    <t>Recycling-Commercial</t>
  </si>
  <si>
    <t>Recycling - Multi Family</t>
  </si>
  <si>
    <t>Regulated Residential Yard Waste</t>
  </si>
  <si>
    <t>Drop Box Recycle</t>
  </si>
  <si>
    <t>Storage Bins</t>
  </si>
  <si>
    <t xml:space="preserve">Sale-Recycle Material-Residential </t>
  </si>
  <si>
    <t>Sale-Recycle Material-Commerecial</t>
  </si>
  <si>
    <t>Sale-Recycle Material-Multi-Family</t>
  </si>
  <si>
    <t>Total Revenue</t>
  </si>
  <si>
    <t>Expenses</t>
  </si>
  <si>
    <t xml:space="preserve">Repair/Mainteance </t>
  </si>
  <si>
    <t>C</t>
  </si>
  <si>
    <t>Tires/Tubes</t>
  </si>
  <si>
    <t>Vehicle Licenses</t>
  </si>
  <si>
    <t>Driver wages</t>
  </si>
  <si>
    <t>D</t>
  </si>
  <si>
    <t>Fuel &amp; Oil</t>
  </si>
  <si>
    <t>Other Collection Expense</t>
  </si>
  <si>
    <t>Disposal Fees</t>
  </si>
  <si>
    <t>Actual</t>
  </si>
  <si>
    <t>Disposal Fees Pass Thru</t>
  </si>
  <si>
    <t>Recycling Processing Fees</t>
  </si>
  <si>
    <t>Union Employees Healthcare</t>
  </si>
  <si>
    <t>Dues</t>
  </si>
  <si>
    <t>B</t>
  </si>
  <si>
    <t>Meals/Travel/Lodging</t>
  </si>
  <si>
    <t>Advertising/Promotion</t>
  </si>
  <si>
    <t>Customer Damage</t>
  </si>
  <si>
    <t>Workers Compensation (L&amp;I)</t>
  </si>
  <si>
    <t>Insurance</t>
  </si>
  <si>
    <t>Field Employees Medical &amp; Safety Exp</t>
  </si>
  <si>
    <t>Teamsters Pension</t>
  </si>
  <si>
    <t>Salary-Officer</t>
  </si>
  <si>
    <t>Salary-Office</t>
  </si>
  <si>
    <t>Office Expense</t>
  </si>
  <si>
    <t>Charitable Contributions</t>
  </si>
  <si>
    <t>Professional Services</t>
  </si>
  <si>
    <t>Communications &amp; Utilities</t>
  </si>
  <si>
    <t>Pension-Non Union</t>
  </si>
  <si>
    <t>Employee Healthcare</t>
  </si>
  <si>
    <t>Pension - Union</t>
  </si>
  <si>
    <t>Regulatory Expense - WUTC Fee</t>
  </si>
  <si>
    <t>Depreciation</t>
  </si>
  <si>
    <t>Operating Rents</t>
  </si>
  <si>
    <t>Taxes-B&amp;O</t>
  </si>
  <si>
    <t xml:space="preserve">A </t>
  </si>
  <si>
    <t>Taxes-Employment Security</t>
  </si>
  <si>
    <t>E</t>
  </si>
  <si>
    <t>Taxes-Labor &amp; Industries</t>
  </si>
  <si>
    <t>Taxes-Licenses</t>
  </si>
  <si>
    <t>Taxes-Property</t>
  </si>
  <si>
    <t>Taxes-FICA</t>
  </si>
  <si>
    <t>Taxes-FUTA</t>
  </si>
  <si>
    <t>Total Operating Expense</t>
  </si>
  <si>
    <t>Other Income (Expense)</t>
  </si>
  <si>
    <t>Gain (Loss) Sale of Equipment</t>
  </si>
  <si>
    <t>Interest Income</t>
  </si>
  <si>
    <t>Miscellaneous Income</t>
  </si>
  <si>
    <t>Total Other Income (Expense)</t>
  </si>
  <si>
    <t>Apr 20</t>
  </si>
  <si>
    <t>May 20</t>
  </si>
  <si>
    <t>Jun 20</t>
  </si>
  <si>
    <t>Jul 20</t>
  </si>
  <si>
    <t>Aug 20</t>
  </si>
  <si>
    <t>Sep 20</t>
  </si>
  <si>
    <t>Oct 20</t>
  </si>
  <si>
    <t>Nov 20</t>
  </si>
  <si>
    <t>Dec 20</t>
  </si>
  <si>
    <t>Jan 21</t>
  </si>
  <si>
    <t>Feb 21</t>
  </si>
  <si>
    <t>Mar 21</t>
  </si>
  <si>
    <t>TOTAL</t>
  </si>
  <si>
    <t>Ordinary Income/Expense</t>
  </si>
  <si>
    <t>Income</t>
  </si>
  <si>
    <t>3100000 · Revenues</t>
  </si>
  <si>
    <t>3100100 · Revenues-Garb. Residential</t>
  </si>
  <si>
    <t>3100110 · Revenues-Garb. Commercial</t>
  </si>
  <si>
    <t>3100120 · Revenues-Roll Off</t>
  </si>
  <si>
    <t>3100200 · Revenues-Recycle Residential</t>
  </si>
  <si>
    <t>3100210 · Revenues-Recycle Commercial</t>
  </si>
  <si>
    <t>3100220 · Revenues-Recycle Multi-Family</t>
  </si>
  <si>
    <t>3100300 · Revenues-Yard Waste</t>
  </si>
  <si>
    <t>3100500 · Revenues-Common Carrier</t>
  </si>
  <si>
    <t>3100600 · Revenues-Storage Container</t>
  </si>
  <si>
    <t>Total 3100000 · Revenues</t>
  </si>
  <si>
    <t>320001 · Income from Sale of Recycle Mat</t>
  </si>
  <si>
    <t>3200200 · Recycle Residential Material</t>
  </si>
  <si>
    <t>3200210 · Recycle Commercial Material</t>
  </si>
  <si>
    <t>3200220 · Recycle Multi-Family Material</t>
  </si>
  <si>
    <t>Total 320001 · Income from Sale of Recycle Mat</t>
  </si>
  <si>
    <t>Total Income</t>
  </si>
  <si>
    <t>Gross Profit</t>
  </si>
  <si>
    <t>Expense</t>
  </si>
  <si>
    <t>4110000 · Repairs  supervision</t>
  </si>
  <si>
    <t>4120000 · Repairs  shop equipment</t>
  </si>
  <si>
    <t>4130000 · Repairs collection equipment</t>
  </si>
  <si>
    <t>4130100 · Repairs-Garb. Residential</t>
  </si>
  <si>
    <t>4130110 · Repairs -Garb. Commercial</t>
  </si>
  <si>
    <t>4130120 · Repairs-Roll Off</t>
  </si>
  <si>
    <t>4130200 · Repairs-Recycle Residential</t>
  </si>
  <si>
    <t>4130210 · Repairs-Recycle Commercial</t>
  </si>
  <si>
    <t>4130220 · Repairs-Recycle Multi-Family</t>
  </si>
  <si>
    <t>4130300 · Repairs-Yard Waste</t>
  </si>
  <si>
    <t>4130500 · Repairs-Common Carrier</t>
  </si>
  <si>
    <t>Total 4130000 · Repairs collection equipment</t>
  </si>
  <si>
    <t>4160000 · Tires and tubes</t>
  </si>
  <si>
    <t>4160100 · Garbage-Residential</t>
  </si>
  <si>
    <t>4160110 · Garbage-Commercial</t>
  </si>
  <si>
    <t>4160120 · Roll Off</t>
  </si>
  <si>
    <t>4160200 · Recycle-Residential</t>
  </si>
  <si>
    <t>4160210 · Recycle-Commercial</t>
  </si>
  <si>
    <t>4160220 · Recycle-Multi-Family</t>
  </si>
  <si>
    <t>4160300 · Yard Waste</t>
  </si>
  <si>
    <t>4160500 · Common Carrier</t>
  </si>
  <si>
    <t>Total 4160000 · Tires and tubes</t>
  </si>
  <si>
    <t>4200001 · Payroll Expense</t>
  </si>
  <si>
    <t>4213000 · Drivers Wages</t>
  </si>
  <si>
    <t>4213100 · Garbage-Residential</t>
  </si>
  <si>
    <t>4213110 · Garbage-Commercial</t>
  </si>
  <si>
    <t>4213120 · Roll Off</t>
  </si>
  <si>
    <t>4213200 · Recycle-Residential</t>
  </si>
  <si>
    <t>4213210 · Recycle-Commercial</t>
  </si>
  <si>
    <t>4213220 · Recycle Multi-Family</t>
  </si>
  <si>
    <t>4213300 · Yard Waste</t>
  </si>
  <si>
    <t>4213500 · Common Carrier</t>
  </si>
  <si>
    <t>Total 4213000 · Drivers Wages</t>
  </si>
  <si>
    <t>4540000 · L &amp; I (Workman's Compensation)</t>
  </si>
  <si>
    <t>4540100 · Garbage-Residential</t>
  </si>
  <si>
    <t>4540110 · Garbage-Commercial</t>
  </si>
  <si>
    <t>4540120 · Roll Off</t>
  </si>
  <si>
    <t>4540200 · Recycle-Residential</t>
  </si>
  <si>
    <t>4540210 · Recycle-Commercial</t>
  </si>
  <si>
    <t>4540220 · Recycle-Multi-Family</t>
  </si>
  <si>
    <t>4540300 · Yard Waste</t>
  </si>
  <si>
    <t>4540500 · Common Carrier</t>
  </si>
  <si>
    <t>4540000 · L &amp; I (Workman's Compensation) - Other</t>
  </si>
  <si>
    <t>Total 4540000 · L &amp; I (Workman's Compensation)</t>
  </si>
  <si>
    <t>4611000 · Salaries officers</t>
  </si>
  <si>
    <t>4650000 · Employee Healthcare</t>
  </si>
  <si>
    <t>4650100 · Garbage Residential</t>
  </si>
  <si>
    <t>4650110 · Garbage-Commercial</t>
  </si>
  <si>
    <t>4650120 · Roll Off</t>
  </si>
  <si>
    <t>4650200 · Recycle-Residential</t>
  </si>
  <si>
    <t>4650210 · Recycle-Commercial</t>
  </si>
  <si>
    <t>4650220 · Recycle-Multi-Family</t>
  </si>
  <si>
    <t>4650300 · Yard Waste</t>
  </si>
  <si>
    <t>4650500 · Common Carrier</t>
  </si>
  <si>
    <t>Total 4650000 · Employee Healthcare</t>
  </si>
  <si>
    <t>5240000 · FICA-employer portion</t>
  </si>
  <si>
    <t>5240100 · Garbage-Residential</t>
  </si>
  <si>
    <t>5240110 · Garbage-Commercial</t>
  </si>
  <si>
    <t>5240120 · Roll Off</t>
  </si>
  <si>
    <t>5240200 · Recycle-Residential</t>
  </si>
  <si>
    <t>5240210 · Recycle-Commercial</t>
  </si>
  <si>
    <t>5240220 · Recycle-Multi-Family</t>
  </si>
  <si>
    <t>5240300 · Yard Waste</t>
  </si>
  <si>
    <t>5240500 · Common Carrier</t>
  </si>
  <si>
    <t>Total 5240000 · FICA-employer portion</t>
  </si>
  <si>
    <t>5241000 · FUTA</t>
  </si>
  <si>
    <t>5241100 · Garbage-Residential</t>
  </si>
  <si>
    <t>5241110 · Garbage-Commercial</t>
  </si>
  <si>
    <t>5241120 · Roll Off</t>
  </si>
  <si>
    <t>5241200 · Recycle-Residential</t>
  </si>
  <si>
    <t>5241210 · Recycle-Commercial</t>
  </si>
  <si>
    <t>5241220 · Recycle-Multi-Family</t>
  </si>
  <si>
    <t>5241300 · Yard Waste</t>
  </si>
  <si>
    <t>5241500 · Common Carrier</t>
  </si>
  <si>
    <t>Total 5241000 · FUTA</t>
  </si>
  <si>
    <t>5242000 · SUTA</t>
  </si>
  <si>
    <t>5242100 · Garbage-Residential</t>
  </si>
  <si>
    <t>5242110 · Garbage-Commercial</t>
  </si>
  <si>
    <t>5242120 · Roll Off</t>
  </si>
  <si>
    <t>5242200 · Recycle-Residential</t>
  </si>
  <si>
    <t>5242210 · Recycle-Commercial</t>
  </si>
  <si>
    <t>5242220 · Recycle-Multi-Family</t>
  </si>
  <si>
    <t>5242300 · Yard Waste</t>
  </si>
  <si>
    <t>5242500 · Common Carrier</t>
  </si>
  <si>
    <t>Total 5242000 · SUTA</t>
  </si>
  <si>
    <t>4200001 · Payroll Expense - Other</t>
  </si>
  <si>
    <t>Total 4200001 · Payroll Expense</t>
  </si>
  <si>
    <t>4210000 · Supervision collection expense</t>
  </si>
  <si>
    <t>4240000 · Fuel and oil</t>
  </si>
  <si>
    <t>4240100 · Garbage-Residential</t>
  </si>
  <si>
    <t>4240110 · Garbage-Commercial</t>
  </si>
  <si>
    <t>4240120 · Roll Off</t>
  </si>
  <si>
    <t>4240200 · Recycle-Residential</t>
  </si>
  <si>
    <t>4240210 · Recycle-Commercial</t>
  </si>
  <si>
    <t>4240220 · Recycle-Multi-Family</t>
  </si>
  <si>
    <t>4240300 · Yard Waste</t>
  </si>
  <si>
    <t>4240500 · Common Carrier</t>
  </si>
  <si>
    <t>4240000 · Fuel and oil - Other</t>
  </si>
  <si>
    <t>Total 4240000 · Fuel and oil</t>
  </si>
  <si>
    <t>4280000 · Other collection expense</t>
  </si>
  <si>
    <t>4280110 · Garbage-Commercial</t>
  </si>
  <si>
    <t>4280120 · Roll Off</t>
  </si>
  <si>
    <t>Total 4280000 · Other collection expense</t>
  </si>
  <si>
    <t>4360000 · Dump fees</t>
  </si>
  <si>
    <t>4360100 · Garbage-Residential</t>
  </si>
  <si>
    <t>4360110 · Garbage-Commercial</t>
  </si>
  <si>
    <t>4360120 · Roll off</t>
  </si>
  <si>
    <t>4360200 · Recycle-Residential</t>
  </si>
  <si>
    <t>4360210 · Recycle-Commercial</t>
  </si>
  <si>
    <t>4360300 · Yard Waste</t>
  </si>
  <si>
    <t>4360400 · Medical Waste</t>
  </si>
  <si>
    <t>4360500 · Common Carrier</t>
  </si>
  <si>
    <t>Total 4360000 · Dump fees</t>
  </si>
  <si>
    <t>4370000 · Processing Fees for Recycle</t>
  </si>
  <si>
    <t>4370200 · Recycle Residential</t>
  </si>
  <si>
    <t>4370210 · Recycle-Commercial</t>
  </si>
  <si>
    <t>4370220 · Recycle-Multi-Family</t>
  </si>
  <si>
    <t>Total 4370000 · Processing Fees for Recycle</t>
  </si>
  <si>
    <t>440000 · Admin/Office</t>
  </si>
  <si>
    <t>440100 · Admin Payroll Expense</t>
  </si>
  <si>
    <t>440005 · Pension- Non Union Payable</t>
  </si>
  <si>
    <t>440010 · Management/Admin Wages</t>
  </si>
  <si>
    <t>440015 · Fica-SS</t>
  </si>
  <si>
    <t>440020 · Fica-Med</t>
  </si>
  <si>
    <t>440025 · L&amp;I</t>
  </si>
  <si>
    <t>440030 · SUTA E-ER</t>
  </si>
  <si>
    <t>440035 · FUTA</t>
  </si>
  <si>
    <t>440040 · Admin Health Insurance</t>
  </si>
  <si>
    <t>440100 · Admin Payroll Expense - Other</t>
  </si>
  <si>
    <t>Total 440100 · Admin Payroll Expense</t>
  </si>
  <si>
    <t>4430000 · Dues</t>
  </si>
  <si>
    <t>4440000 · Meals/Lodging/Travel</t>
  </si>
  <si>
    <t>4450000 · Advertising and promotion</t>
  </si>
  <si>
    <t>4480000 · Union dues</t>
  </si>
  <si>
    <t>Total 440000 · Admin/Office</t>
  </si>
  <si>
    <t>4530000 · Property Damage-liability</t>
  </si>
  <si>
    <t>4560000 · Fire, theft and collision</t>
  </si>
  <si>
    <t>4560100 · Garbage-Residential</t>
  </si>
  <si>
    <t>4560110 · Garbage-Commercial</t>
  </si>
  <si>
    <t>4560120 · Roll Off</t>
  </si>
  <si>
    <t>4560200 · Recycle-Residential</t>
  </si>
  <si>
    <t>4560210 · Recycle-Commercial</t>
  </si>
  <si>
    <t>4560220 · Recycle-Multi-Family</t>
  </si>
  <si>
    <t>4560300 · Yard Waste</t>
  </si>
  <si>
    <t>4560500 · Common Carrier</t>
  </si>
  <si>
    <t>Total 4560000 · Fire, theft and collision</t>
  </si>
  <si>
    <t>4600000 · Field Employees Expense</t>
  </si>
  <si>
    <t>4580000 · Med. &amp; Safety expense</t>
  </si>
  <si>
    <t>4653000 · Pension contTeamsters</t>
  </si>
  <si>
    <t>4653100 · Garbage-Residential</t>
  </si>
  <si>
    <t>4653110 · Garbage-Commercial</t>
  </si>
  <si>
    <t>4653120 · Roll Off</t>
  </si>
  <si>
    <t>4653200 · Recycle-Residential</t>
  </si>
  <si>
    <t>4653210 · Recycle-Commercial</t>
  </si>
  <si>
    <t>4653220 · Recycle-Multi-Family</t>
  </si>
  <si>
    <t>4653300 · Yard Waste</t>
  </si>
  <si>
    <t>4653500 · Common Carrier</t>
  </si>
  <si>
    <t>Total 4653000 · Pension contTeamsters</t>
  </si>
  <si>
    <t>Total 4600000 · Field Employees Expense</t>
  </si>
  <si>
    <t>4620000 · Office expense</t>
  </si>
  <si>
    <t>4620001 · Postage</t>
  </si>
  <si>
    <t>4620002 · Office Supplies</t>
  </si>
  <si>
    <t>4620003 · Billboard/Brochures</t>
  </si>
  <si>
    <t>4620005 · Internet/Web</t>
  </si>
  <si>
    <t>4620006 · Water</t>
  </si>
  <si>
    <t>4620007 · Dues</t>
  </si>
  <si>
    <t>4620008 · Bank/Merchant Fees</t>
  </si>
  <si>
    <t>4620009 · Small Office Furniture and Equ.</t>
  </si>
  <si>
    <t>4620010 · Security</t>
  </si>
  <si>
    <t>4620011 · Maintenance and repair</t>
  </si>
  <si>
    <t>4690000 · Other Administrative</t>
  </si>
  <si>
    <t>4710000 · Public relations</t>
  </si>
  <si>
    <t>5390000 · Rent Office Equipment</t>
  </si>
  <si>
    <t>7530000 · Charitable contributions</t>
  </si>
  <si>
    <t>4620000 · Office expense - Other</t>
  </si>
  <si>
    <t>Total 4620000 · Office expense</t>
  </si>
  <si>
    <t>4630000 · Professional services</t>
  </si>
  <si>
    <t>4630001 · Web/Internet</t>
  </si>
  <si>
    <t>4630002 · Accounting/Legal</t>
  </si>
  <si>
    <t>4630003 · DrugTest</t>
  </si>
  <si>
    <t>4630004 · Payment processing service</t>
  </si>
  <si>
    <t>4630000 · Professional services - Other</t>
  </si>
  <si>
    <t>Total 4630000 · Professional services</t>
  </si>
  <si>
    <t>4640000 · Communications and utilities</t>
  </si>
  <si>
    <t>4640001 · Water/Sewer</t>
  </si>
  <si>
    <t>4640002 · Phone/Wireless</t>
  </si>
  <si>
    <t>4640003 · Electric</t>
  </si>
  <si>
    <t>4640004 · Internet</t>
  </si>
  <si>
    <t>Total 4640000 · Communications and utilities</t>
  </si>
  <si>
    <t>4680000 · Regulatory expenses</t>
  </si>
  <si>
    <t>5000000 · Depreciation Expense</t>
  </si>
  <si>
    <t>5022000 · Collection Equipment</t>
  </si>
  <si>
    <t>5022100 · Garbage-Residential</t>
  </si>
  <si>
    <t>5022110 · Garbage-Commercial</t>
  </si>
  <si>
    <t>5022120 · Roll Off</t>
  </si>
  <si>
    <t>5022200 · Recycle-Residential</t>
  </si>
  <si>
    <t>5022210 · Recycle-Commercial</t>
  </si>
  <si>
    <t>5022300 · Yard Waste</t>
  </si>
  <si>
    <t>Total 5022000 · Collection Equipment</t>
  </si>
  <si>
    <t>5024000 · Depreciation-Containers</t>
  </si>
  <si>
    <t>5024100 · Garbage-Residential</t>
  </si>
  <si>
    <t>5024110 · Garbage-Commercial</t>
  </si>
  <si>
    <t>5024200 · Recycle-Residential</t>
  </si>
  <si>
    <t>Total 5024000 · Depreciation-Containers</t>
  </si>
  <si>
    <t>5050000 · Office Equipment</t>
  </si>
  <si>
    <t>5060000 · Misc. equipment</t>
  </si>
  <si>
    <t>5070000 · Leashold Improvements</t>
  </si>
  <si>
    <t>Total 5000000 · Depreciation Expense</t>
  </si>
  <si>
    <t>5220000 · Vehicle Licenses</t>
  </si>
  <si>
    <t>5220100 · Garbage-Residential</t>
  </si>
  <si>
    <t>5220110 · Garbage-Commercial</t>
  </si>
  <si>
    <t>5220120 · Roll Off</t>
  </si>
  <si>
    <t>5220200 · Recycle-Residential</t>
  </si>
  <si>
    <t>5220210 · Recycle-Commercial</t>
  </si>
  <si>
    <t>5220220 · Recycle-Multi-Family</t>
  </si>
  <si>
    <t>5220300 · Yard Waste</t>
  </si>
  <si>
    <t>5220500 · Common Carrier</t>
  </si>
  <si>
    <t>5220000 · Vehicle Licenses - Other</t>
  </si>
  <si>
    <t>Total 5220000 · Vehicle Licenses</t>
  </si>
  <si>
    <t>5230000 · Property taxes</t>
  </si>
  <si>
    <t>5260000 · Excise/City and B&amp;O Tax</t>
  </si>
  <si>
    <t>5260100 · Garbage-Residential</t>
  </si>
  <si>
    <t>5260110 · Garbage-Commercial</t>
  </si>
  <si>
    <t>5260120 · Roll Off</t>
  </si>
  <si>
    <t>5260200 · Recycle-Residential</t>
  </si>
  <si>
    <t>5260210 · Recycle-Commercial</t>
  </si>
  <si>
    <t>5260220 · Recycle-Multi-Family</t>
  </si>
  <si>
    <t>5260300 · Yard Waste</t>
  </si>
  <si>
    <t>5260500 · Common Carrier</t>
  </si>
  <si>
    <t>Total 5260000 · Excise/City and B&amp;O Tax</t>
  </si>
  <si>
    <t>5290000 · Licences -Business</t>
  </si>
  <si>
    <t>5300000 · Rent Expense</t>
  </si>
  <si>
    <t>5320000 · Land and structures</t>
  </si>
  <si>
    <t>5340000 · Office equipment</t>
  </si>
  <si>
    <t>5300000 · Rent Expense - Other</t>
  </si>
  <si>
    <t>Total 5300000 · Rent Expense</t>
  </si>
  <si>
    <t>Total Expense</t>
  </si>
  <si>
    <t>Net Ordinary Income</t>
  </si>
  <si>
    <t>Other Income/Expense</t>
  </si>
  <si>
    <t>Other Income</t>
  </si>
  <si>
    <t>600000 · Other Income</t>
  </si>
  <si>
    <t>6150000 · Income for Accting to other co</t>
  </si>
  <si>
    <t>6510000 · Interest income</t>
  </si>
  <si>
    <t>6550000 · Miscellaneous income</t>
  </si>
  <si>
    <t>Total 600000 · Other Income</t>
  </si>
  <si>
    <t>Total Other Income</t>
  </si>
  <si>
    <t>Net Other Income</t>
  </si>
  <si>
    <t>Common Carrier</t>
  </si>
  <si>
    <t>For the period April 1, 2020 through March 31, 2021</t>
  </si>
  <si>
    <t>Payroll Expense-Other</t>
  </si>
  <si>
    <t>Supervisor-collection expenses</t>
  </si>
  <si>
    <t>Income for Accting to other company</t>
  </si>
  <si>
    <t>Rubatino Refuse Removal</t>
  </si>
  <si>
    <t>Yd/foodwaste</t>
  </si>
  <si>
    <t>Res Recycle</t>
  </si>
  <si>
    <t>MF Recy</t>
  </si>
  <si>
    <t>Med Waste</t>
  </si>
  <si>
    <t>Com'l Rec</t>
  </si>
  <si>
    <t>CC/storage</t>
  </si>
  <si>
    <t>Non-reg/Oth</t>
  </si>
  <si>
    <t xml:space="preserve">Regulated </t>
  </si>
  <si>
    <t>Regulatory Depreciation Schedule</t>
  </si>
  <si>
    <t>First Year</t>
  </si>
  <si>
    <t>Second Year</t>
  </si>
  <si>
    <t>Mo</t>
  </si>
  <si>
    <t>Yr</t>
  </si>
  <si>
    <t>Total Allocated Year Depreciation</t>
  </si>
  <si>
    <t>Total Allocated Average Investment</t>
  </si>
  <si>
    <t>Asset Description</t>
  </si>
  <si>
    <t>Date in Service</t>
  </si>
  <si>
    <t>Original Asset Cost</t>
  </si>
  <si>
    <t>Salvage Value</t>
  </si>
  <si>
    <t>Service Life</t>
  </si>
  <si>
    <t>Fully Depreciated</t>
  </si>
  <si>
    <t>Asset Disposal</t>
  </si>
  <si>
    <t>Depreciable Cost</t>
  </si>
  <si>
    <t>Test Year Depreciation</t>
  </si>
  <si>
    <t>Accumulated Depreciation</t>
  </si>
  <si>
    <t>Average Investment</t>
  </si>
  <si>
    <t>Disposal Year Depreciation</t>
  </si>
  <si>
    <t>Total Year Depreciation</t>
  </si>
  <si>
    <t>LOB Allocation</t>
  </si>
  <si>
    <t>Regulated</t>
  </si>
  <si>
    <t>YW</t>
  </si>
  <si>
    <t>Curb</t>
  </si>
  <si>
    <t>MFR</t>
  </si>
  <si>
    <t>MW</t>
  </si>
  <si>
    <t>Oth</t>
  </si>
  <si>
    <t>Branch Allocation</t>
  </si>
  <si>
    <t>Allocated Accumulated Depreciation</t>
  </si>
  <si>
    <t>Purchase Date</t>
  </si>
  <si>
    <t>End of Test Period</t>
  </si>
  <si>
    <t>Date Fully Depreciated</t>
  </si>
  <si>
    <t>Begin of Test Period</t>
  </si>
  <si>
    <t>Disposition Date</t>
  </si>
  <si>
    <t>List</t>
  </si>
  <si>
    <t>$</t>
  </si>
  <si>
    <t>%</t>
  </si>
  <si>
    <t>Yrs.</t>
  </si>
  <si>
    <t xml:space="preserve"> Mo.</t>
  </si>
  <si>
    <t xml:space="preserve">  Yr.</t>
  </si>
  <si>
    <t>Monthly</t>
  </si>
  <si>
    <t>Yearly</t>
  </si>
  <si>
    <t>Beginning</t>
  </si>
  <si>
    <t>Ending</t>
  </si>
  <si>
    <t>A</t>
  </si>
  <si>
    <t>Residential Garbage</t>
  </si>
  <si>
    <t>Group 25000</t>
  </si>
  <si>
    <t>Truck 801 Mack</t>
  </si>
  <si>
    <t>Truck 21 2002 Mack</t>
  </si>
  <si>
    <t>2005 Isuzu 18' Box Truck #89</t>
  </si>
  <si>
    <t>Toter</t>
  </si>
  <si>
    <t xml:space="preserve">100 Toter Reside - see Toter Inv </t>
  </si>
  <si>
    <t>Crane Carrier Chassis - Leach Body</t>
  </si>
  <si>
    <t>Toter (624 96 Gal Green W/Lid)</t>
  </si>
  <si>
    <t>Collection Equipment (Capital Indust)</t>
  </si>
  <si>
    <t>Toter (Front Load Containers)</t>
  </si>
  <si>
    <t>Toter (Snap on Axle) - Containers</t>
  </si>
  <si>
    <t>Toter (Snap on Axle) - 100 Containers</t>
  </si>
  <si>
    <t>Toter (Lids)</t>
  </si>
  <si>
    <t>2021 Peterbilt F110114 w/Labrie Body</t>
  </si>
  <si>
    <t>2021 Peterbilt F110116 w/Labrie Body</t>
  </si>
  <si>
    <t>2021 Peterbilt F110115 w/Labrie Body</t>
  </si>
  <si>
    <t>Total Residential Garbage</t>
  </si>
  <si>
    <t>Security Storages</t>
  </si>
  <si>
    <t>Group 2000</t>
  </si>
  <si>
    <t>Total Security Storage</t>
  </si>
  <si>
    <t>Service Cars</t>
  </si>
  <si>
    <t>Group 2500</t>
  </si>
  <si>
    <t>Total Service Cars</t>
  </si>
  <si>
    <t>Office Equipment</t>
  </si>
  <si>
    <t>Group 3000</t>
  </si>
  <si>
    <t xml:space="preserve">FURNITURE -RECLINER                          </t>
  </si>
  <si>
    <t xml:space="preserve">BLINDS &amp; DRAPES                              </t>
  </si>
  <si>
    <t xml:space="preserve">DESK                                         </t>
  </si>
  <si>
    <t xml:space="preserve">CREDENZA                                     </t>
  </si>
  <si>
    <t xml:space="preserve">4 DESKS                                      </t>
  </si>
  <si>
    <t xml:space="preserve">SYSTEM 3 FILE CREDENZA                       </t>
  </si>
  <si>
    <t xml:space="preserve">STORAGE CREDENZA                             </t>
  </si>
  <si>
    <t xml:space="preserve">OAK DESK                                     </t>
  </si>
  <si>
    <t xml:space="preserve">HP Laser Printer ( CORE Equip)               </t>
  </si>
  <si>
    <t xml:space="preserve">EnCORE software                              </t>
  </si>
  <si>
    <t xml:space="preserve">Accounting Laptop                            </t>
  </si>
  <si>
    <t xml:space="preserve">PowerEdge R440 server                        </t>
  </si>
  <si>
    <t xml:space="preserve">6 new desktops Optiflex 5070SFF              </t>
  </si>
  <si>
    <t>Total Office Equipment</t>
  </si>
  <si>
    <t>Comm Recycle</t>
  </si>
  <si>
    <t>Group 23000</t>
  </si>
  <si>
    <t>2009 Autocar Front Loader - TRK #2</t>
  </si>
  <si>
    <t>2008 International 7300 #69</t>
  </si>
  <si>
    <t>Geo Heiser Body</t>
  </si>
  <si>
    <t>Total Comm Recycle</t>
  </si>
  <si>
    <t>Residential Recycle</t>
  </si>
  <si>
    <t>Group 26000</t>
  </si>
  <si>
    <t>Truck 165</t>
  </si>
  <si>
    <t>Truck 166</t>
  </si>
  <si>
    <t>New engine #</t>
  </si>
  <si>
    <t>Total Residential Recycle</t>
  </si>
  <si>
    <t>Yardwaste - 27000</t>
  </si>
  <si>
    <t>Mack Truck 77</t>
  </si>
  <si>
    <t>Mack Truck 78</t>
  </si>
  <si>
    <t>Truck 79</t>
  </si>
  <si>
    <t>Total Yardwaste</t>
  </si>
  <si>
    <t>Roll off Boxes 31000</t>
  </si>
  <si>
    <t>Group 31000</t>
  </si>
  <si>
    <t>2005 Boxes</t>
  </si>
  <si>
    <t>2006 Boxes</t>
  </si>
  <si>
    <t>2007 Boxes</t>
  </si>
  <si>
    <t>2008 Boxes</t>
  </si>
  <si>
    <t>Waste Water Bins</t>
  </si>
  <si>
    <t>Total Roll off Boxes 31000</t>
  </si>
  <si>
    <t>Commercial Containers 32000</t>
  </si>
  <si>
    <t>Group 32000</t>
  </si>
  <si>
    <t>2005 Containers</t>
  </si>
  <si>
    <t>2006 Containers</t>
  </si>
  <si>
    <t>2007 Containers</t>
  </si>
  <si>
    <t>2008 Containers</t>
  </si>
  <si>
    <t>2009 Containers</t>
  </si>
  <si>
    <t>2013 Containers</t>
  </si>
  <si>
    <t>2014 Containers</t>
  </si>
  <si>
    <t>2015 Containers</t>
  </si>
  <si>
    <t>2016 Containers</t>
  </si>
  <si>
    <t>2017 Containers</t>
  </si>
  <si>
    <t>2018 Containers</t>
  </si>
  <si>
    <t>2019 Containers</t>
  </si>
  <si>
    <t xml:space="preserve">Containers (Capital Industries Inc.)         </t>
  </si>
  <si>
    <t xml:space="preserve">Capital Industries (300 Lids 32X43 &amp; 34X52)  </t>
  </si>
  <si>
    <t xml:space="preserve">Capital Indsutries                           </t>
  </si>
  <si>
    <t xml:space="preserve">Capital Industries                           </t>
  </si>
  <si>
    <t>Total Commercial Containers 32000</t>
  </si>
  <si>
    <t>Commercial Recycle 33000</t>
  </si>
  <si>
    <t>Group 33000</t>
  </si>
  <si>
    <t>2014 Boxes</t>
  </si>
  <si>
    <t>Total Commercial Recycle 33000</t>
  </si>
  <si>
    <t>Group 36000</t>
  </si>
  <si>
    <t>6000 Recycle Bins</t>
  </si>
  <si>
    <t>424 96 Gal Green</t>
  </si>
  <si>
    <t>624 96 Gal Green</t>
  </si>
  <si>
    <t>Containers (6000)</t>
  </si>
  <si>
    <t>Residential Refuse</t>
  </si>
  <si>
    <t>Group 36500</t>
  </si>
  <si>
    <t>2016 Brown Toters</t>
  </si>
  <si>
    <t>2016 Brown, Bray &amp; Tan Toters</t>
  </si>
  <si>
    <t>Containers</t>
  </si>
  <si>
    <t>Total Residential Refuse</t>
  </si>
  <si>
    <t>LHI</t>
  </si>
  <si>
    <t>Group 5000</t>
  </si>
  <si>
    <t>2013</t>
  </si>
  <si>
    <t>Total LHI</t>
  </si>
  <si>
    <t>Loan Fees</t>
  </si>
  <si>
    <t>Group 6000</t>
  </si>
  <si>
    <t>Total Loan Fees</t>
  </si>
  <si>
    <t>Commercial Garbage</t>
  </si>
  <si>
    <t>Group 22000</t>
  </si>
  <si>
    <t>Truck 59</t>
  </si>
  <si>
    <t>Truck 20</t>
  </si>
  <si>
    <t>Truck 22</t>
  </si>
  <si>
    <t>2007 Mack LE</t>
  </si>
  <si>
    <t>Rear Load Repairs</t>
  </si>
  <si>
    <t>Total Commercial Garbage</t>
  </si>
  <si>
    <t>Roll-Off #21000</t>
  </si>
  <si>
    <t>Group-21000</t>
  </si>
  <si>
    <t>D-1 1997 Mack</t>
  </si>
  <si>
    <t>D-4 1997 Mack</t>
  </si>
  <si>
    <t>D-5 1997 Mack</t>
  </si>
  <si>
    <t>2-83 Ford d12-13</t>
  </si>
  <si>
    <t>D-3a</t>
  </si>
  <si>
    <t>1996 Mack Roll-Off (D-6)</t>
  </si>
  <si>
    <t xml:space="preserve">D-7 Volvo Roll </t>
  </si>
  <si>
    <t>D-9 Roll-Off Peterbilt</t>
  </si>
  <si>
    <t>Total Roll-Off #21000</t>
  </si>
  <si>
    <t>Group: 1270000 - Misc Equipment</t>
  </si>
  <si>
    <t>12 Winch's Decals</t>
  </si>
  <si>
    <t>UTC</t>
  </si>
  <si>
    <t>Yard Waste/</t>
  </si>
  <si>
    <t xml:space="preserve">Residential </t>
  </si>
  <si>
    <t>Multi-</t>
  </si>
  <si>
    <t>Commercial</t>
  </si>
  <si>
    <t>Non-Regulated</t>
  </si>
  <si>
    <t>Allocations-DEPRECIATION</t>
  </si>
  <si>
    <t>Garbage</t>
  </si>
  <si>
    <t>Food Waste</t>
  </si>
  <si>
    <t>Reycling</t>
  </si>
  <si>
    <t>Family</t>
  </si>
  <si>
    <t>Recycling</t>
  </si>
  <si>
    <t>Collection Equipment - Group 2000</t>
  </si>
  <si>
    <t>Home labor assignment</t>
  </si>
  <si>
    <t>Hire date</t>
  </si>
  <si>
    <t>Employee ID</t>
  </si>
  <si>
    <t>Status</t>
  </si>
  <si>
    <t>Termination date</t>
  </si>
  <si>
    <t>003 Residential Drivers</t>
  </si>
  <si>
    <t>96700</t>
  </si>
  <si>
    <t>Active</t>
  </si>
  <si>
    <t>002 Office/Clerical</t>
  </si>
  <si>
    <t>96739</t>
  </si>
  <si>
    <t>006 Residential Recyclers</t>
  </si>
  <si>
    <t>96738</t>
  </si>
  <si>
    <t>004 Roll Off</t>
  </si>
  <si>
    <t>4500</t>
  </si>
  <si>
    <t>010 Commercial Recycler</t>
  </si>
  <si>
    <t>96712</t>
  </si>
  <si>
    <t>96658</t>
  </si>
  <si>
    <t>96736</t>
  </si>
  <si>
    <t>011 Common Carrier</t>
  </si>
  <si>
    <t>96602</t>
  </si>
  <si>
    <t>005 Boeing</t>
  </si>
  <si>
    <t>1626</t>
  </si>
  <si>
    <t>37817</t>
  </si>
  <si>
    <t>96677</t>
  </si>
  <si>
    <t>96664</t>
  </si>
  <si>
    <t>96724</t>
  </si>
  <si>
    <t>37900</t>
  </si>
  <si>
    <t>96638</t>
  </si>
  <si>
    <t>96697</t>
  </si>
  <si>
    <t>1607</t>
  </si>
  <si>
    <t>96702</t>
  </si>
  <si>
    <t>96625</t>
  </si>
  <si>
    <t>Terminated</t>
  </si>
  <si>
    <t>96728</t>
  </si>
  <si>
    <t>Inactive</t>
  </si>
  <si>
    <t>96730</t>
  </si>
  <si>
    <t>1621</t>
  </si>
  <si>
    <t>96708</t>
  </si>
  <si>
    <t>96721</t>
  </si>
  <si>
    <t>96623</t>
  </si>
  <si>
    <t>96643</t>
  </si>
  <si>
    <t>96678</t>
  </si>
  <si>
    <t>96725</t>
  </si>
  <si>
    <t>96732</t>
  </si>
  <si>
    <t>96737</t>
  </si>
  <si>
    <t>007 Delivery</t>
  </si>
  <si>
    <t>1605</t>
  </si>
  <si>
    <t>96633</t>
  </si>
  <si>
    <t>5450</t>
  </si>
  <si>
    <t>1601</t>
  </si>
  <si>
    <t>96709</t>
  </si>
  <si>
    <t>012 Commercial Drivers</t>
  </si>
  <si>
    <t>2300</t>
  </si>
  <si>
    <t>008 Yard Waste</t>
  </si>
  <si>
    <t>96691</t>
  </si>
  <si>
    <t>96713</t>
  </si>
  <si>
    <t>96648</t>
  </si>
  <si>
    <t>001 Management</t>
  </si>
  <si>
    <t>96649</t>
  </si>
  <si>
    <t>96733</t>
  </si>
  <si>
    <t>96641</t>
  </si>
  <si>
    <t>96650</t>
  </si>
  <si>
    <t>81536</t>
  </si>
  <si>
    <t>96734</t>
  </si>
  <si>
    <t>85000</t>
  </si>
  <si>
    <t>96714</t>
  </si>
  <si>
    <t>96613</t>
  </si>
  <si>
    <t>96720</t>
  </si>
  <si>
    <t>96651</t>
  </si>
  <si>
    <t>96655</t>
  </si>
  <si>
    <t>1615</t>
  </si>
  <si>
    <t>96711</t>
  </si>
  <si>
    <t>96671</t>
  </si>
  <si>
    <t>96647</t>
  </si>
  <si>
    <t>96719</t>
  </si>
  <si>
    <t>Roll Off</t>
  </si>
  <si>
    <t>Non Regulated</t>
  </si>
  <si>
    <t>Source ADP</t>
  </si>
  <si>
    <t xml:space="preserve"> payroll reports</t>
  </si>
  <si>
    <t>Date</t>
  </si>
  <si>
    <t>Num</t>
  </si>
  <si>
    <t>Name</t>
  </si>
  <si>
    <t>Memo</t>
  </si>
  <si>
    <t>Class</t>
  </si>
  <si>
    <t>Clr</t>
  </si>
  <si>
    <t>Split</t>
  </si>
  <si>
    <t>Debit</t>
  </si>
  <si>
    <t>Credit</t>
  </si>
  <si>
    <t>Balance</t>
  </si>
  <si>
    <t>Bill</t>
  </si>
  <si>
    <t>ETJ, LLC</t>
  </si>
  <si>
    <t>Rent</t>
  </si>
  <si>
    <t>200000 · Accounts Payable</t>
  </si>
  <si>
    <t>R G Real Estate LLC</t>
  </si>
  <si>
    <t>Jan 2021 rent</t>
  </si>
  <si>
    <t>May 2020</t>
  </si>
  <si>
    <t>WA Dept of Transportation (1)</t>
  </si>
  <si>
    <t>June 2020</t>
  </si>
  <si>
    <t>July 2020</t>
  </si>
  <si>
    <t>August 2020</t>
  </si>
  <si>
    <t>September 2020</t>
  </si>
  <si>
    <t>October  2020</t>
  </si>
  <si>
    <t>November  2020</t>
  </si>
  <si>
    <t>December  2020</t>
  </si>
  <si>
    <t>January 2021</t>
  </si>
  <si>
    <t>February 2021</t>
  </si>
  <si>
    <t>March 2021</t>
  </si>
  <si>
    <t>April 2021</t>
  </si>
  <si>
    <t>Total 5320000 · Land and structures</t>
  </si>
  <si>
    <t>Lease Inception</t>
  </si>
  <si>
    <t>Landlord</t>
  </si>
  <si>
    <t>Tenant</t>
  </si>
  <si>
    <t>Lease Date</t>
  </si>
  <si>
    <t>Term</t>
  </si>
  <si>
    <t>Use</t>
  </si>
  <si>
    <t>Monthly Rent</t>
  </si>
  <si>
    <t>Annual Rent</t>
  </si>
  <si>
    <t>2715 Summit Ave, Everett</t>
  </si>
  <si>
    <t>Rubatino Refuse</t>
  </si>
  <si>
    <t>Auto Renew - 1 Year</t>
  </si>
  <si>
    <t>Truck Parking</t>
  </si>
  <si>
    <t>2812 Hoyt Ave, Everett</t>
  </si>
  <si>
    <t>Office</t>
  </si>
  <si>
    <t>3620 Railway Ave, Everett</t>
  </si>
  <si>
    <t xml:space="preserve">Parking </t>
  </si>
  <si>
    <t>3514 Everett Ave, Everett</t>
  </si>
  <si>
    <t>RG Real Estate</t>
  </si>
  <si>
    <t>Washington Dept of Transporation</t>
  </si>
  <si>
    <t>Rubatino</t>
  </si>
  <si>
    <t>Less: January 2021 Advance Payment - Double Payment</t>
  </si>
  <si>
    <t xml:space="preserve">Adjusted </t>
  </si>
  <si>
    <t>2021</t>
  </si>
  <si>
    <t>NFIB</t>
  </si>
  <si>
    <t>34462BC</t>
  </si>
  <si>
    <t>PITB</t>
  </si>
  <si>
    <t>Annual membership dues</t>
  </si>
  <si>
    <t>Solid Waste Assn of North America</t>
  </si>
  <si>
    <t>602782-2020</t>
  </si>
  <si>
    <t>U.S. Chamber of Commerce</t>
  </si>
  <si>
    <t>15409</t>
  </si>
  <si>
    <t>WRRA</t>
  </si>
  <si>
    <t>15440</t>
  </si>
  <si>
    <t>15481</t>
  </si>
  <si>
    <t>15511</t>
  </si>
  <si>
    <t>15540</t>
  </si>
  <si>
    <t>15569</t>
  </si>
  <si>
    <t>15594</t>
  </si>
  <si>
    <t>15622</t>
  </si>
  <si>
    <t>15653</t>
  </si>
  <si>
    <t>15877</t>
  </si>
  <si>
    <t>15980</t>
  </si>
  <si>
    <t>16017</t>
  </si>
  <si>
    <t>Total 4430000 · Dues</t>
  </si>
  <si>
    <t>Check</t>
  </si>
  <si>
    <t>11704</t>
  </si>
  <si>
    <t>Cassie M Rewis</t>
  </si>
  <si>
    <t>b-day snacks (Judi &amp; Chelsea)</t>
  </si>
  <si>
    <t>101000 · 1010-000 Checking</t>
  </si>
  <si>
    <t>2020</t>
  </si>
  <si>
    <t>Everett Rotary Club</t>
  </si>
  <si>
    <t>2020 Partners in excellence scholarship</t>
  </si>
  <si>
    <t>Credit Card Charge</t>
  </si>
  <si>
    <t>Everett Silvertips</t>
  </si>
  <si>
    <t>1070400 · Citi/Costco#8877</t>
  </si>
  <si>
    <t>Housing Hope</t>
  </si>
  <si>
    <t>Feb-Jun 2020</t>
  </si>
  <si>
    <t>United Way Snohomish Cty</t>
  </si>
  <si>
    <t>July 2020-B</t>
  </si>
  <si>
    <t>remaining of July</t>
  </si>
  <si>
    <t>October 2020</t>
  </si>
  <si>
    <t>October 2020 (b)</t>
  </si>
  <si>
    <t>December Pledge</t>
  </si>
  <si>
    <t>Oct-Nov</t>
  </si>
  <si>
    <t>Jan 2021</t>
  </si>
  <si>
    <t>2/21</t>
  </si>
  <si>
    <t>3/21</t>
  </si>
  <si>
    <t>Washington State Recycling Asssociation</t>
  </si>
  <si>
    <t>588</t>
  </si>
  <si>
    <t>WRRA PAC</t>
  </si>
  <si>
    <t>600</t>
  </si>
  <si>
    <t>613</t>
  </si>
  <si>
    <t>6624</t>
  </si>
  <si>
    <t>635</t>
  </si>
  <si>
    <t>46</t>
  </si>
  <si>
    <t>657</t>
  </si>
  <si>
    <t>668</t>
  </si>
  <si>
    <t>679</t>
  </si>
  <si>
    <t>690</t>
  </si>
  <si>
    <t>701</t>
  </si>
  <si>
    <t>712</t>
  </si>
  <si>
    <t>Total 4710000 · Public relations</t>
  </si>
  <si>
    <t>General Journal</t>
  </si>
  <si>
    <t>to accrue WUTC reg expense for Apr</t>
  </si>
  <si>
    <t>-SPLIT-</t>
  </si>
  <si>
    <t>to accrue WUTC reg expense for May</t>
  </si>
  <si>
    <t>to accrue WUTC reg expense for June</t>
  </si>
  <si>
    <t>EFT2020-2021</t>
  </si>
  <si>
    <t>INTERNAL REVENUE SERVICES</t>
  </si>
  <si>
    <t>Heavy highway vehicle use tax</t>
  </si>
  <si>
    <t>to accrue WUTC reg expense for July</t>
  </si>
  <si>
    <t>31301451019</t>
  </si>
  <si>
    <t>Dept of Ecology</t>
  </si>
  <si>
    <t>2019 hazardous waste fees</t>
  </si>
  <si>
    <t>EFT</t>
  </si>
  <si>
    <t>Washington State Department of Revenue</t>
  </si>
  <si>
    <t>Marysville business license</t>
  </si>
  <si>
    <t>to accrue WUTC reg expense for Aug</t>
  </si>
  <si>
    <t>to accrue WUTC reg expense for Sept</t>
  </si>
  <si>
    <t>Oct BR</t>
  </si>
  <si>
    <t>to record 10/2020 Transactions/refund for 2019 2290</t>
  </si>
  <si>
    <t>to accrue WUTC reg expense for Oct</t>
  </si>
  <si>
    <t>to accrue WUTC reg expense for Nov</t>
  </si>
  <si>
    <t>to accrue WUTC reg expense for Dec</t>
  </si>
  <si>
    <t>True up YTD</t>
  </si>
  <si>
    <t>to accrue WUTC reg expense for 2021</t>
  </si>
  <si>
    <t>2150000 · Other taxes payable</t>
  </si>
  <si>
    <t>Total 4680000 · Regulatory expenses</t>
  </si>
  <si>
    <t>Heavy Vehicle Highway Use Tax</t>
  </si>
  <si>
    <t>Ecology 2020 Hazardous Waste Fee</t>
  </si>
  <si>
    <t>Marysvillle Business license</t>
  </si>
  <si>
    <t>Rubatino Truck Miles</t>
  </si>
  <si>
    <t>For the period of 4/1/2020 through 3/31/2021</t>
  </si>
  <si>
    <t>Mileage for the Year</t>
  </si>
  <si>
    <t xml:space="preserve">Percent of </t>
  </si>
  <si>
    <t>Truck Number</t>
  </si>
  <si>
    <t>Total Miles</t>
  </si>
  <si>
    <t>Commercial Recycle</t>
  </si>
  <si>
    <t>Multi-Family Recycle</t>
  </si>
  <si>
    <t>Residential</t>
  </si>
  <si>
    <t>D-1</t>
  </si>
  <si>
    <t>Roll-Off Garbage</t>
  </si>
  <si>
    <t>D-4</t>
  </si>
  <si>
    <t>D-5</t>
  </si>
  <si>
    <t>D-6</t>
  </si>
  <si>
    <t>D-8</t>
  </si>
  <si>
    <t>D-13</t>
  </si>
  <si>
    <t>D-14</t>
  </si>
  <si>
    <t>D-15</t>
  </si>
  <si>
    <t>D-16</t>
  </si>
  <si>
    <t>D-18</t>
  </si>
  <si>
    <t>D-2</t>
  </si>
  <si>
    <t>Roll-Off Recycle</t>
  </si>
  <si>
    <t>D-3</t>
  </si>
  <si>
    <t>D-7</t>
  </si>
  <si>
    <t>D-9</t>
  </si>
  <si>
    <t>D-20</t>
  </si>
  <si>
    <t>Yard Waste</t>
  </si>
  <si>
    <t xml:space="preserve">Allocations </t>
  </si>
  <si>
    <t>UTC Garbage</t>
  </si>
  <si>
    <t>YardWaste/</t>
  </si>
  <si>
    <t>Multi-Family</t>
  </si>
  <si>
    <t>ALLOCATIONS</t>
  </si>
  <si>
    <t>Customers</t>
  </si>
  <si>
    <t>Truck Miles</t>
  </si>
  <si>
    <t>Driver Payroll Summary</t>
  </si>
  <si>
    <t>Total Payroll Hours</t>
  </si>
  <si>
    <t>Disposal</t>
  </si>
  <si>
    <t>Supervisor-collection</t>
  </si>
  <si>
    <t>Insurance Proceeds</t>
  </si>
  <si>
    <t>Health &amp; Welfare Contribution</t>
  </si>
  <si>
    <t xml:space="preserve">Pension Contribution </t>
  </si>
  <si>
    <t>Annual</t>
  </si>
  <si>
    <t>Health &amp; Welfare</t>
  </si>
  <si>
    <t>Contribution</t>
  </si>
  <si>
    <t>2020 Rate</t>
  </si>
  <si>
    <t>2021 Rate</t>
  </si>
  <si>
    <t>Increase</t>
  </si>
  <si>
    <t>Recyling Employees</t>
  </si>
  <si>
    <t>per payroll worksheet</t>
  </si>
  <si>
    <t>Garbage Employees</t>
  </si>
  <si>
    <t>Office Employees</t>
  </si>
  <si>
    <t>Pension Contribution</t>
  </si>
  <si>
    <t>Pension</t>
  </si>
  <si>
    <t>Hours</t>
  </si>
  <si>
    <t>Rubatino Refuse Removal Inc</t>
  </si>
  <si>
    <t>Employer contributions to Money Purchase Pension Plan</t>
  </si>
  <si>
    <t>Account #</t>
  </si>
  <si>
    <t>2020 Gross</t>
  </si>
  <si>
    <t>Ed Rubatino</t>
  </si>
  <si>
    <t>899-05772</t>
  </si>
  <si>
    <t>Roseanne Goulet</t>
  </si>
  <si>
    <t>899-05776</t>
  </si>
  <si>
    <t>Rhoda Jermin</t>
  </si>
  <si>
    <t>899-13950</t>
  </si>
  <si>
    <t>Chelsea Jermin-Burns</t>
  </si>
  <si>
    <t>1830-6064</t>
  </si>
  <si>
    <t>Paula Larson ??</t>
  </si>
  <si>
    <t>899-12502</t>
  </si>
  <si>
    <t>Tmothy Shriver</t>
  </si>
  <si>
    <t>899-06016</t>
  </si>
  <si>
    <t>Judith Spade</t>
  </si>
  <si>
    <t>899-05780</t>
  </si>
  <si>
    <t>Cassie Rewis</t>
  </si>
  <si>
    <t>1830-6313</t>
  </si>
  <si>
    <t xml:space="preserve">*Pay online </t>
  </si>
  <si>
    <t>**Employee hired January-June will be eligible for  6 month $ of next year pay (July-December-next year pay. Ex. Hired 6/30/16-eligible July-December 2018 pay).</t>
  </si>
  <si>
    <t>***Employee hired July-December not eligible for contribution for the next year (ex.hired 7/1/16-not eligible for 2018 contribution).</t>
  </si>
  <si>
    <t>Need to be with company 5 year to be vested</t>
  </si>
  <si>
    <t>Actual amount</t>
  </si>
  <si>
    <t>Funded amount</t>
  </si>
  <si>
    <t>Difference</t>
  </si>
  <si>
    <t>Disposal Expense</t>
  </si>
  <si>
    <t>4/20 through 3/21</t>
  </si>
  <si>
    <t>Drop Box/Roll Off</t>
  </si>
  <si>
    <t>Yard</t>
  </si>
  <si>
    <t xml:space="preserve">Food </t>
  </si>
  <si>
    <t>Contaminated</t>
  </si>
  <si>
    <t>Medical</t>
  </si>
  <si>
    <t>Dirty</t>
  </si>
  <si>
    <t xml:space="preserve">Clean </t>
  </si>
  <si>
    <t>Wood/Demo</t>
  </si>
  <si>
    <t>Asbestos</t>
  </si>
  <si>
    <t>Disposal Facility</t>
  </si>
  <si>
    <t>Month</t>
  </si>
  <si>
    <t>Tonnage</t>
  </si>
  <si>
    <t>Cost per ton</t>
  </si>
  <si>
    <t>Pass-Thru</t>
  </si>
  <si>
    <t>Waste</t>
  </si>
  <si>
    <t>Recyling</t>
  </si>
  <si>
    <t>Concrete</t>
  </si>
  <si>
    <t>Debris</t>
  </si>
  <si>
    <t>SHELCO</t>
  </si>
  <si>
    <t>April</t>
  </si>
  <si>
    <t>June</t>
  </si>
  <si>
    <t>July</t>
  </si>
  <si>
    <t>August</t>
  </si>
  <si>
    <t>September</t>
  </si>
  <si>
    <t>October</t>
  </si>
  <si>
    <t>November</t>
  </si>
  <si>
    <t>December</t>
  </si>
  <si>
    <t>January</t>
  </si>
  <si>
    <t>February</t>
  </si>
  <si>
    <t>March</t>
  </si>
  <si>
    <t>UNITED</t>
  </si>
  <si>
    <t>REGIONAL</t>
  </si>
  <si>
    <t>$754 /container</t>
  </si>
  <si>
    <t>WASTE MGMT</t>
  </si>
  <si>
    <t>May</t>
  </si>
  <si>
    <t>WM RECY AMERICA</t>
  </si>
  <si>
    <t>SNO COUNTY</t>
  </si>
  <si>
    <t>CEDAR GROVE RECY</t>
  </si>
  <si>
    <t>Trucking</t>
  </si>
  <si>
    <t>CEDAR Grove Organic</t>
  </si>
  <si>
    <t>Riverside TopSoil</t>
  </si>
  <si>
    <t>Riverside Sand</t>
  </si>
  <si>
    <t>Residential Recyling Tons at Cedar Grove</t>
  </si>
  <si>
    <t>Commercial Recyling Tons at Cedar Grove</t>
  </si>
  <si>
    <t>Trucking Loads at Cedar Grove</t>
  </si>
  <si>
    <t>Disposal Cost - Historical</t>
  </si>
  <si>
    <t>P &amp; L</t>
  </si>
  <si>
    <t>Disposal Cost - Pro Forma</t>
  </si>
  <si>
    <t>Shelco Total</t>
  </si>
  <si>
    <t>United Total</t>
  </si>
  <si>
    <t>Regional Total</t>
  </si>
  <si>
    <t>Waste Mgt Total</t>
  </si>
  <si>
    <t>WM Rey</t>
  </si>
  <si>
    <t>Restating Entries</t>
  </si>
  <si>
    <t>Pro Forma Entries</t>
  </si>
  <si>
    <t>To remove and reclassify Disposal Pass-Thru Income</t>
  </si>
  <si>
    <t>&lt;1&gt;</t>
  </si>
  <si>
    <t>&lt;2&gt;</t>
  </si>
  <si>
    <t>City of Everett Utility Tax &amp; B&amp;O Tax</t>
  </si>
  <si>
    <t>Utility Tax</t>
  </si>
  <si>
    <t>B&amp;O Tax</t>
  </si>
  <si>
    <t>Gross</t>
  </si>
  <si>
    <t>Gross Receipts</t>
  </si>
  <si>
    <t>Recepts</t>
  </si>
  <si>
    <t>Deductions</t>
  </si>
  <si>
    <t>Tax @ 6%</t>
  </si>
  <si>
    <t>Wholesale</t>
  </si>
  <si>
    <t>Retail</t>
  </si>
  <si>
    <t>Service</t>
  </si>
  <si>
    <t>Tax @ .01%</t>
  </si>
  <si>
    <t xml:space="preserve">April </t>
  </si>
  <si>
    <t>Tax included in gross receipts</t>
  </si>
  <si>
    <t>B&amp;O Tax on Gross Receipts reported quartely</t>
  </si>
  <si>
    <t xml:space="preserve">Washington State Service &amp; Refuse Collection </t>
  </si>
  <si>
    <t>Sales &amp; Use Tax</t>
  </si>
  <si>
    <t>Retailing</t>
  </si>
  <si>
    <t>Use Tax</t>
  </si>
  <si>
    <t>Local Sales Tax</t>
  </si>
  <si>
    <t>RTA</t>
  </si>
  <si>
    <t>Refuse Collection</t>
  </si>
  <si>
    <t>Calculated Taxes</t>
  </si>
  <si>
    <t>Tax Paid</t>
  </si>
  <si>
    <t>Adjust Regulatory Fee</t>
  </si>
  <si>
    <t>Rate increase</t>
  </si>
  <si>
    <t>Residential Customer Count - Everett</t>
  </si>
  <si>
    <t>For the period April 1, 2020 to March 31, 2021</t>
  </si>
  <si>
    <t>Proposed</t>
  </si>
  <si>
    <t>Proposed Revenue</t>
  </si>
  <si>
    <t xml:space="preserve">Tariff </t>
  </si>
  <si>
    <t>Recycle</t>
  </si>
  <si>
    <t>Yardwaste</t>
  </si>
  <si>
    <t>Description</t>
  </si>
  <si>
    <t>Item Number</t>
  </si>
  <si>
    <t>Count</t>
  </si>
  <si>
    <t>Rates</t>
  </si>
  <si>
    <t>Residt'l-Mini</t>
  </si>
  <si>
    <t xml:space="preserve"> 1 can Monthly</t>
  </si>
  <si>
    <t xml:space="preserve"> 1 can</t>
  </si>
  <si>
    <t xml:space="preserve"> 2 can</t>
  </si>
  <si>
    <t xml:space="preserve"> 3 can</t>
  </si>
  <si>
    <t xml:space="preserve"> 4 can</t>
  </si>
  <si>
    <t xml:space="preserve"> 5 can</t>
  </si>
  <si>
    <t xml:space="preserve"> 6 can</t>
  </si>
  <si>
    <t>recy only</t>
  </si>
  <si>
    <t>20 gal toter</t>
  </si>
  <si>
    <t>32 gal toter</t>
  </si>
  <si>
    <t>2-32 gal toter</t>
  </si>
  <si>
    <t>3-32 gal toter</t>
  </si>
  <si>
    <t>48 gal toter</t>
  </si>
  <si>
    <t>2-48 gal toter</t>
  </si>
  <si>
    <t>3-48 gal toter</t>
  </si>
  <si>
    <t>64 gal toter</t>
  </si>
  <si>
    <t>2-64 gal toter</t>
  </si>
  <si>
    <t>3-64 gal toter</t>
  </si>
  <si>
    <t>96 gal toter</t>
  </si>
  <si>
    <t>2 - 96 gal toter</t>
  </si>
  <si>
    <t>3 - 96 gal toter</t>
  </si>
  <si>
    <t>32 gal toter Monthly</t>
  </si>
  <si>
    <t>Toter Redelivery Fees</t>
  </si>
  <si>
    <t>Extras</t>
  </si>
  <si>
    <t>Commodity Credit Adj</t>
  </si>
  <si>
    <t>NSF Check Charge</t>
  </si>
  <si>
    <t>Finance Charge</t>
  </si>
  <si>
    <t>Restart Fees</t>
  </si>
  <si>
    <t>Distance 5'-25'</t>
  </si>
  <si>
    <t>Annual  Revenue</t>
  </si>
  <si>
    <t xml:space="preserve">EVERETT WITHOUT RECYCLING </t>
  </si>
  <si>
    <t xml:space="preserve"> 5 can - MF</t>
  </si>
  <si>
    <t xml:space="preserve"> 6 can - MF</t>
  </si>
  <si>
    <t>4-32 gal toter</t>
  </si>
  <si>
    <t>4-48 gal toter</t>
  </si>
  <si>
    <t>Return Trip</t>
  </si>
  <si>
    <t>Commercial Customer Count</t>
  </si>
  <si>
    <t>Current</t>
  </si>
  <si>
    <t>Annual Count</t>
  </si>
  <si>
    <t>impact</t>
  </si>
  <si>
    <t>Extra Commercial Cans</t>
  </si>
  <si>
    <t xml:space="preserve">ComCans Min </t>
  </si>
  <si>
    <t>1 Can Commercial</t>
  </si>
  <si>
    <t>2 Can Commercial</t>
  </si>
  <si>
    <t>3 Can Commercial</t>
  </si>
  <si>
    <t>4 Can Commercial</t>
  </si>
  <si>
    <t>5 Can Commercial</t>
  </si>
  <si>
    <t>6 Can Commercial</t>
  </si>
  <si>
    <t>7 Can Commercial</t>
  </si>
  <si>
    <t>8 Can Commercial</t>
  </si>
  <si>
    <t>1yd - 1x</t>
  </si>
  <si>
    <t>1yd - 2x</t>
  </si>
  <si>
    <t>1yd - 3x</t>
  </si>
  <si>
    <t>1yd - 5x</t>
  </si>
  <si>
    <t>2yd - 1x</t>
  </si>
  <si>
    <t>2yd - 2x</t>
  </si>
  <si>
    <t>2yd - 3x</t>
  </si>
  <si>
    <t>2yd - 4x</t>
  </si>
  <si>
    <t>2yd - 5x</t>
  </si>
  <si>
    <t>2yd - 6x</t>
  </si>
  <si>
    <t>3yd - 1x</t>
  </si>
  <si>
    <t>3yd - 2x</t>
  </si>
  <si>
    <t>3yd - 3x</t>
  </si>
  <si>
    <t>3yd - 4x</t>
  </si>
  <si>
    <t>3yd - 5x</t>
  </si>
  <si>
    <t>3yd - 6x</t>
  </si>
  <si>
    <t>4yd - 1x</t>
  </si>
  <si>
    <t>4yd - 2x</t>
  </si>
  <si>
    <t>4yd - 3x</t>
  </si>
  <si>
    <t>6yd - 1x</t>
  </si>
  <si>
    <t>6yd - 2x</t>
  </si>
  <si>
    <t>6yd - 3x</t>
  </si>
  <si>
    <t>6yd - 4x</t>
  </si>
  <si>
    <t>6yd - 5x</t>
  </si>
  <si>
    <t xml:space="preserve">6 yd - Monthly Rental </t>
  </si>
  <si>
    <t>8yd - 1x</t>
  </si>
  <si>
    <t>8yd - 2x</t>
  </si>
  <si>
    <t>8yd - 3x</t>
  </si>
  <si>
    <t>8yd - 5x</t>
  </si>
  <si>
    <t>32 Gallon Toter</t>
  </si>
  <si>
    <t>32 Gallon Toter 2X</t>
  </si>
  <si>
    <t>32 Gallon Toter 3X</t>
  </si>
  <si>
    <t>32 Gallon Toter 4X</t>
  </si>
  <si>
    <t xml:space="preserve">48 Gallon Toter </t>
  </si>
  <si>
    <t>48 Gallon Toter 2X</t>
  </si>
  <si>
    <t>48 Gallon Toter 3X</t>
  </si>
  <si>
    <t>48 Gallon Toter 4X</t>
  </si>
  <si>
    <t>64 gallon</t>
  </si>
  <si>
    <t>64 gallon 2x</t>
  </si>
  <si>
    <t>3-64 gallon toters</t>
  </si>
  <si>
    <t>64 gallon 4x</t>
  </si>
  <si>
    <t>96 gallon</t>
  </si>
  <si>
    <t>96 gallon 2x</t>
  </si>
  <si>
    <t>3-96 gallon toters</t>
  </si>
  <si>
    <t>4 - 96 gallon toters</t>
  </si>
  <si>
    <t>Accessorial Charges</t>
  </si>
  <si>
    <t>Extra Yardage</t>
  </si>
  <si>
    <t>Distance - Carry-out</t>
  </si>
  <si>
    <t>Container Delivery</t>
  </si>
  <si>
    <t>Commercial Yard Waste</t>
  </si>
  <si>
    <t>Restart Fee</t>
  </si>
  <si>
    <t xml:space="preserve">Total Containers &amp; Cans </t>
  </si>
  <si>
    <t xml:space="preserve">Annual </t>
  </si>
  <si>
    <t>DROP BOXES</t>
  </si>
  <si>
    <t>2 Yd Compactor</t>
  </si>
  <si>
    <t>2 Yd Compactor x4</t>
  </si>
  <si>
    <t>3 Yd Compactor</t>
  </si>
  <si>
    <t>4 Yd Compactor</t>
  </si>
  <si>
    <t>6 Yd Compactor</t>
  </si>
  <si>
    <t>10 yd - 1st Pickup</t>
  </si>
  <si>
    <t>10 yd - Additional Pickup</t>
  </si>
  <si>
    <t>20 yd - 1st Pickup</t>
  </si>
  <si>
    <t>20 yd - Additional Pickup</t>
  </si>
  <si>
    <t>25 yd - 1st Pickup</t>
  </si>
  <si>
    <t>25 yd - Additional Pickup</t>
  </si>
  <si>
    <t>30 yd - 1st Pickup</t>
  </si>
  <si>
    <t>30 yd - Additional Pickup</t>
  </si>
  <si>
    <t>35 yd - 1st Pickup</t>
  </si>
  <si>
    <t>35 yd - Additional Pickup</t>
  </si>
  <si>
    <t>40 yd - 1st Pickup</t>
  </si>
  <si>
    <t>40 yd - Additional Pickup</t>
  </si>
  <si>
    <t>20 yd compactor</t>
  </si>
  <si>
    <t>30 yd compactor</t>
  </si>
  <si>
    <t>20 yd Placement</t>
  </si>
  <si>
    <t>35 yd Placement</t>
  </si>
  <si>
    <t>40 yd Placement</t>
  </si>
  <si>
    <t>20 yd daily rent</t>
  </si>
  <si>
    <t>35 yd daily rent</t>
  </si>
  <si>
    <t>40 yd daily rent</t>
  </si>
  <si>
    <t>20 yd monthly rent</t>
  </si>
  <si>
    <t>30 yd monthly rent</t>
  </si>
  <si>
    <t>35 yd monthly rent</t>
  </si>
  <si>
    <t>40 yd monthly rent</t>
  </si>
  <si>
    <t>Mileage</t>
  </si>
  <si>
    <t>260-275</t>
  </si>
  <si>
    <t>Delivery</t>
  </si>
  <si>
    <t>Time</t>
  </si>
  <si>
    <t>Total Commercial</t>
  </si>
  <si>
    <t>Multi-Family Customer Count</t>
  </si>
  <si>
    <t>Multi-Family Recycling Services</t>
  </si>
  <si>
    <t>1yd Container</t>
  </si>
  <si>
    <t>1yd Container 2x</t>
  </si>
  <si>
    <t>1yd Container 3x</t>
  </si>
  <si>
    <t>1yd Container 6x</t>
  </si>
  <si>
    <t>2yd Container</t>
  </si>
  <si>
    <t>2yd Container 2x</t>
  </si>
  <si>
    <t>2yd Container 3x</t>
  </si>
  <si>
    <t>2yd Container 4x</t>
  </si>
  <si>
    <t>3yd Container</t>
  </si>
  <si>
    <t>3yd Container 2x</t>
  </si>
  <si>
    <t>3yd Container 3x</t>
  </si>
  <si>
    <t>3yd Container 4x</t>
  </si>
  <si>
    <t>3yd Container 5x</t>
  </si>
  <si>
    <t>4yd Container</t>
  </si>
  <si>
    <t>4yd Container 2x</t>
  </si>
  <si>
    <t>4yd Container 3x</t>
  </si>
  <si>
    <t xml:space="preserve">6yd Container </t>
  </si>
  <si>
    <t>6yd Container 2x</t>
  </si>
  <si>
    <t>6yd Container 4x</t>
  </si>
  <si>
    <t xml:space="preserve">8yd Container </t>
  </si>
  <si>
    <t>8 yd Container 3x</t>
  </si>
  <si>
    <t>Extra's</t>
  </si>
  <si>
    <t>Yardage</t>
  </si>
  <si>
    <t xml:space="preserve">Commercial Recycling Customer Count </t>
  </si>
  <si>
    <t>For the period January 1, 2018 to December 31, 2018</t>
  </si>
  <si>
    <t>Pickups</t>
  </si>
  <si>
    <t>Toters</t>
  </si>
  <si>
    <t>Revenue Comparison Between Price-Out and Financial Statement</t>
  </si>
  <si>
    <t>For the test period April 1, 2020 to March 31, 2021</t>
  </si>
  <si>
    <t>Price Out</t>
  </si>
  <si>
    <t xml:space="preserve">Garbage </t>
  </si>
  <si>
    <t xml:space="preserve">Commercial </t>
  </si>
  <si>
    <t>Drop box</t>
  </si>
  <si>
    <t>Revenue Books</t>
  </si>
  <si>
    <t>Books</t>
  </si>
  <si>
    <t>Tax Allocation</t>
  </si>
  <si>
    <t>Net After Tax</t>
  </si>
  <si>
    <t>Disposal Pass-Thru</t>
  </si>
  <si>
    <t>Adjusted Books</t>
  </si>
  <si>
    <t>YardWaste</t>
  </si>
  <si>
    <t>Sale-Recycle Mat Res</t>
  </si>
  <si>
    <t>Sale-Recycle Mat MF</t>
  </si>
  <si>
    <t>Less: Drop Box Pass Thru</t>
  </si>
  <si>
    <t>Less: B&amp;O Tax in Revenue</t>
  </si>
  <si>
    <t>Net Service Revenue</t>
  </si>
  <si>
    <t>Pay Rate 8/1/2021</t>
  </si>
  <si>
    <t>Regular Hours</t>
  </si>
  <si>
    <t>OT Hours</t>
  </si>
  <si>
    <t>Pay Rate 10/20 - 4/21</t>
  </si>
  <si>
    <t>Pay Rate 10/21</t>
  </si>
  <si>
    <t>Pay Rate 4/1/20   3/31/21</t>
  </si>
  <si>
    <t>Pay Rate 4/1/20  9/30/20</t>
  </si>
  <si>
    <t>Pay Rate 8/20 - 4/21</t>
  </si>
  <si>
    <t>Replacement for #81536</t>
  </si>
  <si>
    <t>Replacement for #8500</t>
  </si>
  <si>
    <t>Retired</t>
  </si>
  <si>
    <t>Prospective Salaries for Rate Year 10-1-21 to 9-30-22</t>
  </si>
  <si>
    <t>Test Period Earnings &amp; Reimbursements</t>
  </si>
  <si>
    <t xml:space="preserve">Payroll Summary Test Period and Pro Forma </t>
  </si>
  <si>
    <t>Test Period 4/1/2020 to 3/31/2021</t>
  </si>
  <si>
    <t>Pay Rate 4/1/20   7/31/20</t>
  </si>
  <si>
    <t>Q3 - 2020</t>
  </si>
  <si>
    <t>Q2 - 2021</t>
  </si>
  <si>
    <t>Q1 - 2021</t>
  </si>
  <si>
    <t>Q4 - 2020</t>
  </si>
  <si>
    <t>941's Wages</t>
  </si>
  <si>
    <t>Fica Wages</t>
  </si>
  <si>
    <t>Medicare Wages</t>
  </si>
  <si>
    <t>Record regulatory depreciation</t>
  </si>
  <si>
    <t>&lt;3&gt;</t>
  </si>
  <si>
    <t>Remove one month advance rent paid in January 2021</t>
  </si>
  <si>
    <t>&lt;4&gt;</t>
  </si>
  <si>
    <t>Disallowed</t>
  </si>
  <si>
    <t>Removed 11.63% of dues for lobbying expense</t>
  </si>
  <si>
    <t>Remove lobbying portion of dues</t>
  </si>
  <si>
    <t xml:space="preserve"> Rent Expense Test Period 4-1-20 -- 3/31/21 - Historical</t>
  </si>
  <si>
    <t>Appraised Rental Rate</t>
  </si>
  <si>
    <t>3615 Railway Ave, Everett</t>
  </si>
  <si>
    <t>3616 Everett Ave, Everett</t>
  </si>
  <si>
    <t>Remove all public relations from Pro Forma</t>
  </si>
  <si>
    <t>Rubatino Insurance</t>
  </si>
  <si>
    <t>Intermodal</t>
  </si>
  <si>
    <t>ETJ</t>
  </si>
  <si>
    <t>Truckcare</t>
  </si>
  <si>
    <t>Reclamation</t>
  </si>
  <si>
    <t>General Liability</t>
  </si>
  <si>
    <t>Policy period is Sept 1 to Aug 31</t>
  </si>
  <si>
    <t>(9/1/20 to 8/31/21</t>
  </si>
  <si>
    <t>General Liability (all)</t>
  </si>
  <si>
    <t>Property(all)</t>
  </si>
  <si>
    <t>Autos(rubatino)</t>
  </si>
  <si>
    <t>Property fees</t>
  </si>
  <si>
    <t>Umbrella</t>
  </si>
  <si>
    <t>Umbrella(Rubatino)</t>
  </si>
  <si>
    <t>Updated percentages per Ed</t>
  </si>
  <si>
    <t>Employer Practices Liability Policy (all)</t>
  </si>
  <si>
    <t>Total Insurance</t>
  </si>
  <si>
    <t>Pollution</t>
  </si>
  <si>
    <t>Down payment for policy</t>
  </si>
  <si>
    <t>Crime</t>
  </si>
  <si>
    <t>Down payment for Mark</t>
  </si>
  <si>
    <t>Down payment for Property</t>
  </si>
  <si>
    <t>Total Down payment</t>
  </si>
  <si>
    <t>Interest</t>
  </si>
  <si>
    <t>Auto</t>
  </si>
  <si>
    <t>Monthly payment</t>
  </si>
  <si>
    <t>Total payments</t>
  </si>
  <si>
    <t xml:space="preserve">Total of payment is </t>
  </si>
  <si>
    <t>Difference is $6.00 EFT Fee</t>
  </si>
  <si>
    <t>Subtotal</t>
  </si>
  <si>
    <t>Down Payment</t>
  </si>
  <si>
    <t>Total Cost for 12 month</t>
  </si>
  <si>
    <t>Total cost per month</t>
  </si>
  <si>
    <t>Monthly Entry</t>
  </si>
  <si>
    <t>Rubatino's</t>
  </si>
  <si>
    <t>1 month</t>
  </si>
  <si>
    <t>Insurance Expense</t>
  </si>
  <si>
    <t>GARBAGE RESID</t>
  </si>
  <si>
    <t>month</t>
  </si>
  <si>
    <t xml:space="preserve">  Prepaid</t>
  </si>
  <si>
    <t>GARBAGE COMMER</t>
  </si>
  <si>
    <t>Receivable</t>
  </si>
  <si>
    <t>ROLL OFF</t>
  </si>
  <si>
    <t>INSURANCE Ex</t>
  </si>
  <si>
    <t>RECYCLE RESID</t>
  </si>
  <si>
    <t>RECYCLE COMM</t>
  </si>
  <si>
    <t xml:space="preserve">  Liability</t>
  </si>
  <si>
    <t>RECYCLE MULTI-FAM</t>
  </si>
  <si>
    <t>Prepaid</t>
  </si>
  <si>
    <t>YARD WASTER</t>
  </si>
  <si>
    <t>COMMON CARRIER</t>
  </si>
  <si>
    <t>4 payments in 2020 each $40,543.20</t>
  </si>
  <si>
    <t>Down payment</t>
  </si>
  <si>
    <t>Total payments towards new policy</t>
  </si>
  <si>
    <t>Total cost in 2020 of new policy</t>
  </si>
  <si>
    <t>Prepaid balance at 12.31.18</t>
  </si>
  <si>
    <t>12/31/18 Balance</t>
  </si>
  <si>
    <t>Jan exp.</t>
  </si>
  <si>
    <t>Jan payments</t>
  </si>
  <si>
    <t>1/31/19 balance</t>
  </si>
  <si>
    <t>Cost on Pro Forma AC 4560000 Fire Theft &amp; Collision</t>
  </si>
  <si>
    <t>Overall difference</t>
  </si>
  <si>
    <t>274140</t>
  </si>
  <si>
    <t>Anderson Hunter Law Firm</t>
  </si>
  <si>
    <t>277352</t>
  </si>
  <si>
    <t>280412</t>
  </si>
  <si>
    <t>04/01-04/30</t>
  </si>
  <si>
    <t>Audit &amp; Adjustment Company, Inc.</t>
  </si>
  <si>
    <t>collection</t>
  </si>
  <si>
    <t>06/01-06/30</t>
  </si>
  <si>
    <t>07/01-07/31/20</t>
  </si>
  <si>
    <t>09/01-09/30</t>
  </si>
  <si>
    <t>10/1-10/31/20</t>
  </si>
  <si>
    <t>02/01-02/28</t>
  </si>
  <si>
    <t>01/01/20-3/31/20</t>
  </si>
  <si>
    <t>Capital Group Retirement Plan Services</t>
  </si>
  <si>
    <t>1355477-01</t>
  </si>
  <si>
    <t>1355477-01 2020</t>
  </si>
  <si>
    <t>92718226</t>
  </si>
  <si>
    <t>49528</t>
  </si>
  <si>
    <t>Davis Grimm Payne &amp; Marra</t>
  </si>
  <si>
    <t>PPP</t>
  </si>
  <si>
    <t>49670</t>
  </si>
  <si>
    <t>Human resources</t>
  </si>
  <si>
    <t>April 2020</t>
  </si>
  <si>
    <t>Merchants Credit Association</t>
  </si>
  <si>
    <t>JULY 2020</t>
  </si>
  <si>
    <t>102039863</t>
  </si>
  <si>
    <t>Moss Adams LLP</t>
  </si>
  <si>
    <t>assistance with COVID-19 small business issues, progress billing for 2019 tax returns</t>
  </si>
  <si>
    <t>102054247</t>
  </si>
  <si>
    <t>preparation of section 163(j)</t>
  </si>
  <si>
    <t>102063715</t>
  </si>
  <si>
    <t>progress billing for 2019 tax returns</t>
  </si>
  <si>
    <t>102074126</t>
  </si>
  <si>
    <t>102085668</t>
  </si>
  <si>
    <t>final billing for 2019 tax returns</t>
  </si>
  <si>
    <t>102094342</t>
  </si>
  <si>
    <t>3rd Qtr 2020</t>
  </si>
  <si>
    <t>102115508</t>
  </si>
  <si>
    <t>updated fixed assets, business planning</t>
  </si>
  <si>
    <t>102121188</t>
  </si>
  <si>
    <t>planning related to valuation report</t>
  </si>
  <si>
    <t>102121426</t>
  </si>
  <si>
    <t>planning related to valuation report, data research services</t>
  </si>
  <si>
    <t>102125158</t>
  </si>
  <si>
    <t>year end tax projection calculations</t>
  </si>
  <si>
    <t>102134733</t>
  </si>
  <si>
    <t>102143982</t>
  </si>
  <si>
    <t>84732</t>
  </si>
  <si>
    <t>Thorson McDonald Whitman &amp; Curnutt, PC</t>
  </si>
  <si>
    <t>pension plans</t>
  </si>
  <si>
    <t>86066</t>
  </si>
  <si>
    <t>86606</t>
  </si>
  <si>
    <t>June &amp; July 2020</t>
  </si>
  <si>
    <t>Weldon T Burton CPA</t>
  </si>
  <si>
    <t>revised tariff UTC</t>
  </si>
  <si>
    <t>Sept 2020- Feb 2021</t>
  </si>
  <si>
    <t>602651</t>
  </si>
  <si>
    <t>Williams, Kastner &amp; Gibbs PLLC</t>
  </si>
  <si>
    <t>Westsisde Waste Protest</t>
  </si>
  <si>
    <t>603998</t>
  </si>
  <si>
    <t>605346</t>
  </si>
  <si>
    <t>REGULATED RATE ADVISORY</t>
  </si>
  <si>
    <t>606726</t>
  </si>
  <si>
    <t>610349</t>
  </si>
  <si>
    <t>Regulated rate advisory</t>
  </si>
  <si>
    <t>613310</t>
  </si>
  <si>
    <t>614819</t>
  </si>
  <si>
    <t>616083</t>
  </si>
  <si>
    <t>Paychex</t>
  </si>
  <si>
    <t>paychex</t>
  </si>
  <si>
    <t>1065000 · 1065-000- Payroll</t>
  </si>
  <si>
    <t>Apr BR</t>
  </si>
  <si>
    <t>to record 4/2020 Transactions</t>
  </si>
  <si>
    <t>May BR</t>
  </si>
  <si>
    <t>to record 5/2020 Transactions</t>
  </si>
  <si>
    <t>June BR</t>
  </si>
  <si>
    <t>to record 6/2020 Transactions</t>
  </si>
  <si>
    <t>July BR</t>
  </si>
  <si>
    <t>to record 7/2020 Transactions</t>
  </si>
  <si>
    <t>Aug BR</t>
  </si>
  <si>
    <t>to record 8/2020 Transactions</t>
  </si>
  <si>
    <t>Sep BR</t>
  </si>
  <si>
    <t>to record 10/2020 Transactions</t>
  </si>
  <si>
    <t>Nov BR</t>
  </si>
  <si>
    <t>Dec BR</t>
  </si>
  <si>
    <t>to record 12/2020 Transactions</t>
  </si>
  <si>
    <t>Jan BR</t>
  </si>
  <si>
    <t>to record 1/2021 Transactions</t>
  </si>
  <si>
    <t>Feb BR</t>
  </si>
  <si>
    <t>to record 2/2021 Transactions</t>
  </si>
  <si>
    <t>Mar BR</t>
  </si>
  <si>
    <t>to record 3/2021 Transactions</t>
  </si>
  <si>
    <t>Total 4630002 · Accounting/Legal</t>
  </si>
  <si>
    <t>Vendor Detail</t>
  </si>
  <si>
    <t>Paychex - Payroll Processing</t>
  </si>
  <si>
    <t>Estimation of Rate Case Expenses</t>
  </si>
  <si>
    <t>Test Period Ended March 31, 2021</t>
  </si>
  <si>
    <t xml:space="preserve">Accounting </t>
  </si>
  <si>
    <t>Legal</t>
  </si>
  <si>
    <t>Notice</t>
  </si>
  <si>
    <t>Notice Printing</t>
  </si>
  <si>
    <t>Amortize over 3 years</t>
  </si>
  <si>
    <t>&lt;5&gt;</t>
  </si>
  <si>
    <t>Test Period Ending March 31, 2021</t>
  </si>
  <si>
    <t>Commercial Garbage 22000</t>
  </si>
  <si>
    <t>Roll off Boxes 21000</t>
  </si>
  <si>
    <t xml:space="preserve">Misc Equipment </t>
  </si>
  <si>
    <t>Allocations-AVERAGE INVESTMENT</t>
  </si>
  <si>
    <t xml:space="preserve">Correct posting errors </t>
  </si>
  <si>
    <t>Taxes B&amp;O</t>
  </si>
  <si>
    <t>To remove City &amp; State Excise Taxes incldued in revenue</t>
  </si>
  <si>
    <t>&lt;6&gt;</t>
  </si>
  <si>
    <t>&lt;7&gt;</t>
  </si>
  <si>
    <t>Income for accounting to other companies</t>
  </si>
  <si>
    <t xml:space="preserve">Office </t>
  </si>
  <si>
    <t>To reclassify accounting services to other entities</t>
  </si>
  <si>
    <t>Public Relations</t>
  </si>
  <si>
    <t>&lt;8&gt;</t>
  </si>
  <si>
    <t>Meals/Lodging/Travel</t>
  </si>
  <si>
    <t>Advertising and promotion</t>
  </si>
  <si>
    <t>..</t>
  </si>
  <si>
    <t>Remove expense items not allowable in regulatory rate making</t>
  </si>
  <si>
    <t>Actual fee for 2020 was $102,519.95 - Reduce $6,592.04</t>
  </si>
  <si>
    <t>&lt;9&gt;</t>
  </si>
  <si>
    <t xml:space="preserve">Adjust regulatory expense accrual to actual </t>
  </si>
  <si>
    <t>Legal &amp; Accounting</t>
  </si>
  <si>
    <t>Cost on Pro Forma AC 4530000 Property Damage - Liability</t>
  </si>
  <si>
    <t>Combined</t>
  </si>
  <si>
    <t>Reduction</t>
  </si>
  <si>
    <t>&lt;10&gt;</t>
  </si>
  <si>
    <t xml:space="preserve">Insurance </t>
  </si>
  <si>
    <t>Recognize reduced insurance cost</t>
  </si>
  <si>
    <t>Adjustment</t>
  </si>
  <si>
    <t>&lt;11&gt;</t>
  </si>
  <si>
    <t>Taxes - FICA</t>
  </si>
  <si>
    <t>Record adjustment for FICA Taxes</t>
  </si>
  <si>
    <t>Refuse Drivers Wage Increase</t>
  </si>
  <si>
    <t>Recycling Drivers Wage Increase</t>
  </si>
  <si>
    <t>Toters - Rehrig Pacific</t>
  </si>
  <si>
    <t>(1)</t>
  </si>
  <si>
    <t>(2)</t>
  </si>
  <si>
    <t>Driver Wages</t>
  </si>
  <si>
    <t>Total of Drivers</t>
  </si>
  <si>
    <t xml:space="preserve">Per P&amp;L </t>
  </si>
  <si>
    <t>Differnece Pass</t>
  </si>
  <si>
    <t>Officer</t>
  </si>
  <si>
    <t>Admin</t>
  </si>
  <si>
    <t>Officer Wages</t>
  </si>
  <si>
    <t>Replacement for #37900</t>
  </si>
  <si>
    <t>Record salary increases for prospective rate year</t>
  </si>
  <si>
    <t>Record prospective health care costs</t>
  </si>
  <si>
    <t>(3)</t>
  </si>
  <si>
    <t xml:space="preserve">Union Employee Retirement Plan </t>
  </si>
  <si>
    <t>Pension - Non Union</t>
  </si>
  <si>
    <t>Record prospective pension costs</t>
  </si>
  <si>
    <t>Per Books Amount</t>
  </si>
  <si>
    <t>Fuel Refund</t>
  </si>
  <si>
    <t>Supervisor Fuel</t>
  </si>
  <si>
    <t>U87 10% ETH</t>
  </si>
  <si>
    <t>DEF Bulk</t>
  </si>
  <si>
    <t>Diesel</t>
  </si>
  <si>
    <t>Total 1/1/21 - 3/31/21</t>
  </si>
  <si>
    <t>Total 4/1/20 - 12/31/20</t>
  </si>
  <si>
    <t>Sales Tax</t>
  </si>
  <si>
    <t>Local Tax</t>
  </si>
  <si>
    <t>State Tax</t>
  </si>
  <si>
    <t>Federal Tax</t>
  </si>
  <si>
    <t>Sale Amount</t>
  </si>
  <si>
    <t>Price Per Gallon</t>
  </si>
  <si>
    <t>Gallons</t>
  </si>
  <si>
    <t>Type of Fuel</t>
  </si>
  <si>
    <t>Petro</t>
  </si>
  <si>
    <t>Nelson</t>
  </si>
  <si>
    <t>Invoice Date</t>
  </si>
  <si>
    <t>For the period January 2019 - April 16, 2019</t>
  </si>
  <si>
    <t>Fuel</t>
  </si>
  <si>
    <t>Percentage</t>
  </si>
  <si>
    <t>Company Per Books</t>
  </si>
  <si>
    <t>SubTotal</t>
  </si>
  <si>
    <t xml:space="preserve">Recycling </t>
  </si>
  <si>
    <t xml:space="preserve">Recycing </t>
  </si>
  <si>
    <t>Foodwaste</t>
  </si>
  <si>
    <t xml:space="preserve"> Roll Off</t>
  </si>
  <si>
    <t>Garbage Residental</t>
  </si>
  <si>
    <t>4/1/2020-12/31/20</t>
  </si>
  <si>
    <t xml:space="preserve">For the period April 2020 - Dec 2020 </t>
  </si>
  <si>
    <t>Suppliers</t>
  </si>
  <si>
    <t>&lt;12&gt;</t>
  </si>
  <si>
    <t>Adjust Fuel Cost Increase</t>
  </si>
  <si>
    <t>FICA</t>
  </si>
  <si>
    <t>(4)</t>
  </si>
  <si>
    <t>(5)</t>
  </si>
  <si>
    <t>(6)</t>
  </si>
  <si>
    <t>(7)</t>
  </si>
  <si>
    <t>(8)</t>
  </si>
  <si>
    <t>To record anticipated rate case costs</t>
  </si>
  <si>
    <t>For the test period April 1, 2020 through March 31, 2021</t>
  </si>
  <si>
    <t>Customer Pickup Count Summary</t>
  </si>
  <si>
    <t>Residential Recycling</t>
  </si>
  <si>
    <t>Multi-Family Recycling</t>
  </si>
  <si>
    <t>&lt;13&gt;</t>
  </si>
  <si>
    <t>Correct and reclassify revenue categories</t>
  </si>
  <si>
    <t>Computation of revised shop rate for TruckCare, LLC</t>
  </si>
  <si>
    <t>For the test year ended December 31, 2018</t>
  </si>
  <si>
    <t>As background, TruckCare, LLC provides all truck and container repair services to its affiliate Rubatino Refuse Removal, Inc.  TruckCare, LLC is signatory to a collective bargaining agreement with the International Association of Machinists and Aerospace Workers which has required contributions for nine TruckCare, LLC employees to The Automotive Machinists Pension Trust.</t>
  </si>
  <si>
    <t xml:space="preserve">The covered employees have now voted to withdraw from The Automotive Machinists Pension Trust as of January 1, 2019.  That triggers an automatic withdrawal liability obligation to the Trust.  The withdrawal liability is generally paid over time, with annual installments equal to the highest contribution rate paid by the employer during the last 10 years, times the employer’s average contributory hours during the highest three consecutive years out of the last 10 years. </t>
  </si>
  <si>
    <t>Based on the most recent withdrawal liability calculation provided by the Trust, TruckCare, LLC’s withdrawal liability is $5,484,959. The annual withdrawal liability payment is $144,735 for 20 years. The net present value of 20 payments of $144,735 discounted at 6.5%, is $1,698,423.</t>
  </si>
  <si>
    <t>If the company makes a lump-sum payment of a maximum of $1,698,423, the withdrawal liability of $5,484,959 will be satisfied.</t>
  </si>
  <si>
    <t xml:space="preserve">The company has elected to obtain funding, a loan of $1,700,000 payable over 10 years at 5%, annual payments of $216,173 to pay the lump sum amount, extinguish the withdrawal liability and amortize that cost within its rate structure over a period of 10 years. The amortization amount under the current pension administration calculation would be $216,173 per year.   </t>
  </si>
  <si>
    <t>TruckCare, LLC  billed 15,820 hours in the test year of 2018 to Rubatino Refuse Removal, Inc. @ $106.00 per hour.</t>
  </si>
  <si>
    <t>The proposed adjustment for the rate year for TruckCare's repair charges as impacted by the above calculation is as follows:</t>
  </si>
  <si>
    <t>Current Rate</t>
  </si>
  <si>
    <t>per hour</t>
  </si>
  <si>
    <t>Amortize $216,173 /15,820 = $13.67 per hour</t>
  </si>
  <si>
    <t xml:space="preserve">TruckCare, LLC Shop Rate effective </t>
  </si>
  <si>
    <t>Pro Forma Adjustment is $13.67 x 15820 hours</t>
  </si>
  <si>
    <t>Comparable Truck Shop Repair Rates in the Everett area are currenly:</t>
  </si>
  <si>
    <t>Motor Trucks</t>
  </si>
  <si>
    <t>Cummins Sales and Service</t>
  </si>
  <si>
    <t>Dunkin Diesel</t>
  </si>
  <si>
    <t>Auto-Truck Service</t>
  </si>
  <si>
    <t>Thus, the average rate of the above four shops labor rates are $140.25 per hour.</t>
  </si>
  <si>
    <t>Based on the above, it is evident TruckCare, LLC has a significantly lower hourly labor rate than comparable truck repair shops in Everett, even as proposed as a proforma adjustment.</t>
  </si>
  <si>
    <t>TruckCare, LLC</t>
  </si>
  <si>
    <t xml:space="preserve">Affiliated Interest Information. </t>
  </si>
  <si>
    <t>Services provided during the test period 4/1/2020 to 3/31/2021</t>
  </si>
  <si>
    <t>Mechanics Labor</t>
  </si>
  <si>
    <t>Non-Mechanics Labor</t>
  </si>
  <si>
    <t>Parts</t>
  </si>
  <si>
    <t xml:space="preserve">Freight </t>
  </si>
  <si>
    <t>Notice Mailing</t>
  </si>
  <si>
    <t>Terminations</t>
  </si>
  <si>
    <t>Mar 31, 21</t>
  </si>
  <si>
    <t>ASSETS</t>
  </si>
  <si>
    <t>Current Assets</t>
  </si>
  <si>
    <t>Checking/Savings</t>
  </si>
  <si>
    <t>1000000-Bank Accounts</t>
  </si>
  <si>
    <t>1025000 · 1025-000- Refunds</t>
  </si>
  <si>
    <t>1035000 · 1035-000- Electronic Savings</t>
  </si>
  <si>
    <t>1095000 · 1095-000- XL Savings</t>
  </si>
  <si>
    <t>Total 1000000-Bank Accounts</t>
  </si>
  <si>
    <t>Total Checking/Savings</t>
  </si>
  <si>
    <t>Accounts Receivable</t>
  </si>
  <si>
    <t>111000 · Account Receivable Manual</t>
  </si>
  <si>
    <t>Total Accounts Receivable</t>
  </si>
  <si>
    <t>Other Current Assets</t>
  </si>
  <si>
    <t>1100000 · Receivable  from RECLAMATION</t>
  </si>
  <si>
    <t>1110000 · Rcvable for pension  Truckcare</t>
  </si>
  <si>
    <t>1115000 · Notes RecAffiliates(Legal)-ETJ</t>
  </si>
  <si>
    <t>1120001 · Rec(Payable)Insurance Truckcare</t>
  </si>
  <si>
    <t>1120002 · Rec.(Payable) Insurance ETJ</t>
  </si>
  <si>
    <t>1120003 · Rec(Payable) Insur. Intermodal</t>
  </si>
  <si>
    <t>1120004 · Rec(Payable)Insur. Reclamation</t>
  </si>
  <si>
    <t>1120005 · Due from IMS for accounting</t>
  </si>
  <si>
    <t>1160001 · Prepaid Expenses</t>
  </si>
  <si>
    <t>1160000 · Prepaid insurance</t>
  </si>
  <si>
    <t>1170000 · Vehicle Licenses</t>
  </si>
  <si>
    <t>Total 1160001 · Prepaid Expenses</t>
  </si>
  <si>
    <t>Total Other Current Assets</t>
  </si>
  <si>
    <t>Total Current Assets</t>
  </si>
  <si>
    <t>Fixed Assets</t>
  </si>
  <si>
    <t>120001 · Fixed Assets</t>
  </si>
  <si>
    <t>1220000 · Collection equipment</t>
  </si>
  <si>
    <t>1230000 · Security storage boxes</t>
  </si>
  <si>
    <t>1240000 · Service cars</t>
  </si>
  <si>
    <t>1260000 · Office furniture and equipment</t>
  </si>
  <si>
    <t>1270000 · Miscellaneous equipment</t>
  </si>
  <si>
    <t>1280000 · Leasehold improvements</t>
  </si>
  <si>
    <t>1290000 · Containers</t>
  </si>
  <si>
    <t>Total 120001 · Fixed Assets</t>
  </si>
  <si>
    <t>130001 · Accumulated Depreciation</t>
  </si>
  <si>
    <t>1320000 · Collection equipment</t>
  </si>
  <si>
    <t>1330000 · Security storage box</t>
  </si>
  <si>
    <t>1340000 · Service cars</t>
  </si>
  <si>
    <t>1360000 · Office furniture</t>
  </si>
  <si>
    <t>1370000 · Miscellaneous equip</t>
  </si>
  <si>
    <t>1390000 · Containers</t>
  </si>
  <si>
    <t>Total 130001 · Accumulated Depreciation</t>
  </si>
  <si>
    <t>Total Fixed Assets</t>
  </si>
  <si>
    <t>Other Assets</t>
  </si>
  <si>
    <t>1520000 · Franchises and permits</t>
  </si>
  <si>
    <t>Total Other Assets</t>
  </si>
  <si>
    <t>TOTAL ASSETS</t>
  </si>
  <si>
    <t>LIABILITIES &amp; EQUITY</t>
  </si>
  <si>
    <t>Liabilities</t>
  </si>
  <si>
    <t>Current Liabilities</t>
  </si>
  <si>
    <t>Accounts Payable</t>
  </si>
  <si>
    <t>Total Accounts Payable</t>
  </si>
  <si>
    <t>Credit Cards</t>
  </si>
  <si>
    <t>1070000 · Credit Cards</t>
  </si>
  <si>
    <t>1070100 · Capital One # 1790</t>
  </si>
  <si>
    <t>1070200 · Citi Card #6801/6653</t>
  </si>
  <si>
    <t>Total 1070000 · Credit Cards</t>
  </si>
  <si>
    <t>Total Credit Cards</t>
  </si>
  <si>
    <t>Other Current Liabilities</t>
  </si>
  <si>
    <t>2080000 · Payroll Liabilities</t>
  </si>
  <si>
    <t>2080045 · E-Drive</t>
  </si>
  <si>
    <t>Total 2080000 · Payroll Liabilities</t>
  </si>
  <si>
    <t>2120000 · Labor &amp; industry taxes payable</t>
  </si>
  <si>
    <t>2190000 · Money Purchase Plan-10% Wages</t>
  </si>
  <si>
    <t>25000 · Proceeds from PPP</t>
  </si>
  <si>
    <t>25500 · Sales Tax Payable</t>
  </si>
  <si>
    <t>Total Other Current Liabilities</t>
  </si>
  <si>
    <t>Total Current Liabilities</t>
  </si>
  <si>
    <t>Total Liabilities</t>
  </si>
  <si>
    <t>2700000 · Common stock</t>
  </si>
  <si>
    <t>2750000 · Treasury Stock</t>
  </si>
  <si>
    <t>2950000 · Distributions</t>
  </si>
  <si>
    <t>32000 · *Retained Earnings</t>
  </si>
  <si>
    <t>Total Equity</t>
  </si>
  <si>
    <t>TOTAL LIABILITIES &amp; EQUITY</t>
  </si>
  <si>
    <t>Reclassification</t>
  </si>
  <si>
    <t>1380000 · Leasehold improvement</t>
  </si>
  <si>
    <t>1395000 · Accum Amor Intangibles</t>
  </si>
  <si>
    <t>1550000 · Loan Fees Intangibles</t>
  </si>
  <si>
    <t>1620000 · SH receivable-Ed for Lexus purc</t>
  </si>
  <si>
    <t>Peterbilt</t>
  </si>
  <si>
    <t>Average</t>
  </si>
  <si>
    <t>The average rate of the above five shops labor rates are $155.40 per hour.</t>
  </si>
  <si>
    <t>Motor Trucks, Cummins and Peterbilt are truck dealers along with service.</t>
  </si>
  <si>
    <t>Dunkin Diesel &amp; Auto-Truck Service are repair service only as is TruckCare.</t>
  </si>
  <si>
    <t>The average rate for the two repair service entities are $136.50</t>
  </si>
  <si>
    <t>Billed Hours</t>
  </si>
  <si>
    <t>Hourly Rate</t>
  </si>
  <si>
    <t>Total Cost</t>
  </si>
  <si>
    <t>To record additional repair cost from TruckCare, LLC</t>
  </si>
  <si>
    <t>Revenue Per Price-Out Residential</t>
  </si>
  <si>
    <t>Revenue Per Price-Out Commercial</t>
  </si>
  <si>
    <t>Revenus Per Price-Out Multi-Family</t>
  </si>
  <si>
    <t>Drop Box Disposal Revenue</t>
  </si>
  <si>
    <t>Revenue Per Price-Out Drop Box Services</t>
  </si>
  <si>
    <t>Adjust Res Cust</t>
  </si>
  <si>
    <t xml:space="preserve">Regulated Residential Recycing </t>
  </si>
  <si>
    <t xml:space="preserve">To record reductiono in commodity credit reduction from $2.34 per customer </t>
  </si>
  <si>
    <t>to $1.48 per customer in Docket TG-210510</t>
  </si>
  <si>
    <t>Prospective</t>
  </si>
  <si>
    <t>Lurito Consolidated</t>
  </si>
  <si>
    <t>Employee Name Provided during site visit or in camera to examiner</t>
  </si>
  <si>
    <t>XXXXXXXXXXXXXXXXXXXXX</t>
  </si>
  <si>
    <t>Procedure followed from prior rate case</t>
  </si>
  <si>
    <t xml:space="preserve">Reclamation, Inc. </t>
  </si>
  <si>
    <t>Recycling and other services provided during the test period 4/1/2020 to 3/31/2021</t>
  </si>
  <si>
    <t>Mixed Paper</t>
  </si>
  <si>
    <t>Bailing Expenses</t>
  </si>
  <si>
    <t>Toter Washing</t>
  </si>
  <si>
    <t>Commodity Adjustment</t>
  </si>
  <si>
    <t xml:space="preserve">Embedded Recycling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</si>
</sst>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0.000_);\(#,##0.000\)"/>
    <numFmt numFmtId="165" formatCode="#,##0.0000_);\(#,##0.0000\)"/>
    <numFmt numFmtId="166" formatCode="#,##0.00000_);\(#,##0.00000\)"/>
    <numFmt numFmtId="167" formatCode="0.00000"/>
    <numFmt numFmtId="168" formatCode="0.000%"/>
    <numFmt numFmtId="169" formatCode="_(* #,##0_);_(* \(#,##0\);_(* &quot;-&quot;??_);_(@_)"/>
    <numFmt numFmtId="170" formatCode="General_)"/>
    <numFmt numFmtId="171" formatCode="#,##0.00;\-#,##0.00"/>
    <numFmt numFmtId="172" formatCode="_(&quot;$&quot;* #,##0_);_(&quot;$&quot;* \(#,##0\);_(&quot;$&quot;* &quot;-&quot;??_);_(@_)"/>
    <numFmt numFmtId="173" formatCode="mm/dd/yyyy"/>
    <numFmt numFmtId="174" formatCode="&quot;$&quot;#,##0.00"/>
    <numFmt numFmtId="175" formatCode="0.0%"/>
    <numFmt numFmtId="176" formatCode="[$-409]mmmm\-yy;@"/>
    <numFmt numFmtId="177" formatCode="0.0000%"/>
    <numFmt numFmtId="178" formatCode="0.00_)"/>
    <numFmt numFmtId="179" formatCode="m/d/yyyy;@"/>
  </numFmts>
  <fonts count="103">
    <font>
      <sz val="12"/>
      <name val="SWISS"/>
    </font>
    <font>
      <sz val="11"/>
      <color theme="1"/>
      <name val="Calibri"/>
      <family val="2"/>
    </font>
    <font>
      <sz val="11"/>
      <color theme="1"/>
      <name val="Calibri"/>
      <family val="2"/>
    </font>
    <font>
      <sz val="10"/>
      <name val="Times New Roman"/>
      <family val="1"/>
    </font>
    <font>
      <sz val="10"/>
      <color indexed="39"/>
      <name val="Times New Roman"/>
      <family val="1"/>
    </font>
    <font>
      <sz val="12"/>
      <color indexed="39"/>
      <name val="SWISS"/>
    </font>
    <font>
      <sz val="12"/>
      <color indexed="10"/>
      <name val="SWISS"/>
    </font>
    <font>
      <sz val="12"/>
      <color indexed="8"/>
      <name val="SWISS"/>
    </font>
    <font>
      <sz val="10"/>
      <color indexed="18"/>
      <name val="Times New Roman"/>
      <family val="1"/>
    </font>
    <font>
      <sz val="12"/>
      <color indexed="18"/>
      <name val="SWISS"/>
    </font>
    <font>
      <sz val="12"/>
      <color indexed="32"/>
      <name val="SWISS"/>
    </font>
    <font>
      <b/>
      <sz val="14"/>
      <name val="SWISS"/>
    </font>
    <font>
      <sz val="12"/>
      <color indexed="12"/>
      <name val="SWISS"/>
    </font>
    <font>
      <i/>
      <sz val="12"/>
      <name val="SWISS"/>
    </font>
    <font>
      <sz val="12"/>
      <color indexed="56"/>
      <name val="SWISS"/>
    </font>
    <font>
      <b/>
      <sz val="12"/>
      <name val="SWISS"/>
    </font>
    <font>
      <sz val="11"/>
      <color indexed="8"/>
      <name val="Calibri"/>
      <family val="2"/>
    </font>
    <font>
      <sz val="12"/>
      <name val="Times New Roman"/>
      <family val="1"/>
    </font>
    <font>
      <sz val="12"/>
      <color indexed="18"/>
      <name val="Times New Roman"/>
      <family val="1"/>
    </font>
    <font>
      <sz val="12"/>
      <color indexed="8"/>
      <name val="Times New Roman"/>
      <family val="1"/>
    </font>
    <font>
      <sz val="12"/>
      <color indexed="39"/>
      <name val="Times New Roman"/>
      <family val="1"/>
    </font>
    <font>
      <b/>
      <sz val="12"/>
      <color indexed="12"/>
      <name val="Times New Roman"/>
      <family val="1"/>
    </font>
    <font>
      <b/>
      <sz val="12"/>
      <color indexed="39"/>
      <name val="Times New Roman"/>
      <family val="1"/>
    </font>
    <font>
      <u/>
      <sz val="12"/>
      <color indexed="12"/>
      <name val="Times New Roman"/>
      <family val="1"/>
    </font>
    <font>
      <u/>
      <sz val="12"/>
      <color indexed="8"/>
      <name val="Times New Roman"/>
      <family val="1"/>
    </font>
    <font>
      <sz val="14"/>
      <color indexed="9"/>
      <name val="Calibri"/>
      <family val="2"/>
    </font>
    <font>
      <b/>
      <u/>
      <sz val="12"/>
      <color indexed="39"/>
      <name val="Times New Roman"/>
      <family val="1"/>
    </font>
    <font>
      <sz val="9"/>
      <color indexed="39"/>
      <name val="Times New Roman"/>
      <family val="1"/>
    </font>
    <font>
      <sz val="11"/>
      <color theme="0"/>
      <name val="Calibri"/>
      <family val="2"/>
      <scheme val="minor"/>
    </font>
    <font>
      <sz val="11"/>
      <name val="Times New Roman"/>
      <family val="1"/>
    </font>
    <font>
      <sz val="12"/>
      <name val="SWISS"/>
    </font>
    <font>
      <sz val="8"/>
      <color indexed="9"/>
      <name val="Calibri"/>
      <family val="2"/>
    </font>
    <font>
      <b/>
      <sz val="10"/>
      <name val="SWISS"/>
    </font>
    <font>
      <sz val="9"/>
      <color rgb="FF0070C0"/>
      <name val="SWISS"/>
    </font>
    <font>
      <sz val="12"/>
      <name val="Helv"/>
    </font>
    <font>
      <b/>
      <sz val="12"/>
      <color theme="1"/>
      <name val="Calibri"/>
      <family val="2"/>
      <scheme val="minor"/>
    </font>
    <font>
      <sz val="12"/>
      <name val="Arial"/>
      <family val="2"/>
    </font>
    <font>
      <b/>
      <sz val="8"/>
      <color rgb="FF323232"/>
      <name val="Arial"/>
      <family val="2"/>
    </font>
    <font>
      <sz val="8"/>
      <color rgb="FF323232"/>
      <name val="Arial"/>
      <family val="2"/>
    </font>
    <font>
      <sz val="10"/>
      <name val="Calibri Light"/>
      <family val="2"/>
      <scheme val="major"/>
    </font>
    <font>
      <sz val="10"/>
      <name val="Calibri Light"/>
      <family val="2"/>
    </font>
    <font>
      <sz val="10"/>
      <name val="SWISS"/>
    </font>
    <font>
      <b/>
      <sz val="10"/>
      <color indexed="8"/>
      <name val="Calibri Light"/>
      <family val="2"/>
      <scheme val="major"/>
    </font>
    <font>
      <sz val="10"/>
      <color indexed="8"/>
      <name val="Calibri Light"/>
      <family val="2"/>
      <scheme val="major"/>
    </font>
    <font>
      <sz val="10"/>
      <name val="Calibri"/>
      <family val="2"/>
    </font>
    <font>
      <i/>
      <sz val="10"/>
      <color indexed="8"/>
      <name val="Calibri Light"/>
      <family val="2"/>
      <scheme val="major"/>
    </font>
    <font>
      <b/>
      <u/>
      <sz val="10"/>
      <name val="Calibri Light"/>
      <family val="2"/>
    </font>
    <font>
      <b/>
      <sz val="11"/>
      <name val="Calibri"/>
      <family val="2"/>
      <scheme val="minor"/>
    </font>
    <font>
      <sz val="10"/>
      <name val="Arial"/>
      <family val="2"/>
    </font>
    <font>
      <sz val="11"/>
      <name val="Calibri"/>
      <family val="2"/>
      <scheme val="minor"/>
    </font>
    <font>
      <sz val="11"/>
      <color theme="1"/>
      <name val="Calibri"/>
      <family val="2"/>
      <scheme val="minor"/>
    </font>
    <font>
      <b/>
      <sz val="11"/>
      <color theme="1"/>
      <name val="Calibri"/>
      <family val="2"/>
      <scheme val="minor"/>
    </font>
    <font>
      <sz val="11"/>
      <color indexed="12"/>
      <name val="Calibri"/>
      <family val="2"/>
      <scheme val="minor"/>
    </font>
    <font>
      <b/>
      <sz val="9"/>
      <color indexed="81"/>
      <name val="Tahoma"/>
      <family val="2"/>
    </font>
    <font>
      <sz val="9"/>
      <color indexed="81"/>
      <name val="Tahoma"/>
      <family val="2"/>
    </font>
    <font>
      <sz val="11"/>
      <color rgb="FF9C0006"/>
      <name val="Calibri"/>
      <family val="2"/>
    </font>
    <font>
      <sz val="11"/>
      <color indexed="8"/>
      <name val="Calibri"/>
      <family val="2"/>
      <scheme val="minor"/>
    </font>
    <font>
      <sz val="10"/>
      <color theme="1"/>
      <name val="Calibri"/>
      <family val="2"/>
    </font>
    <font>
      <sz val="10"/>
      <color rgb="FF323232"/>
      <name val="Calibri"/>
      <family val="2"/>
    </font>
    <font>
      <sz val="10"/>
      <color rgb="FF323232"/>
      <name val="Arial"/>
      <family val="2"/>
    </font>
    <font>
      <sz val="12"/>
      <name val="Calibri"/>
      <family val="2"/>
    </font>
    <font>
      <sz val="10"/>
      <color rgb="FF323232"/>
      <name val="Calibri"/>
      <family val="2"/>
      <scheme val="minor"/>
    </font>
    <font>
      <sz val="10"/>
      <name val="Calibri"/>
      <family val="2"/>
      <scheme val="minor"/>
    </font>
    <font>
      <b/>
      <sz val="10"/>
      <color rgb="FF323232"/>
      <name val="Calibri"/>
      <family val="2"/>
      <scheme val="minor"/>
    </font>
    <font>
      <sz val="10"/>
      <color theme="1"/>
      <name val="Calibri"/>
      <family val="2"/>
      <scheme val="minor"/>
    </font>
    <font>
      <b/>
      <sz val="11"/>
      <color indexed="8"/>
      <name val="Calibri"/>
      <family val="2"/>
      <scheme val="minor"/>
    </font>
    <font>
      <i/>
      <sz val="11"/>
      <color indexed="8"/>
      <name val="Calibri"/>
      <family val="2"/>
      <scheme val="minor"/>
    </font>
    <font>
      <b/>
      <u val="double"/>
      <sz val="11"/>
      <name val="Calibri"/>
      <family val="2"/>
      <scheme val="minor"/>
    </font>
    <font>
      <b/>
      <sz val="16"/>
      <color theme="1"/>
      <name val="Calibri"/>
      <family val="2"/>
      <scheme val="minor"/>
    </font>
    <font>
      <b/>
      <sz val="12"/>
      <color rgb="FFFF0000"/>
      <name val="Calibri"/>
      <family val="2"/>
      <scheme val="minor"/>
    </font>
    <font>
      <b/>
      <i/>
      <sz val="14"/>
      <color theme="1"/>
      <name val="Calibri"/>
      <family val="2"/>
      <scheme val="minor"/>
    </font>
    <font>
      <sz val="11"/>
      <color rgb="FF9C0006"/>
      <name val="Calibri"/>
      <family val="2"/>
      <scheme val="minor"/>
    </font>
    <font>
      <sz val="12"/>
      <name val="Calibri"/>
      <family val="2"/>
      <scheme val="minor"/>
    </font>
    <font>
      <i/>
      <sz val="10"/>
      <name val="Calibri Light"/>
      <family val="2"/>
      <scheme val="major"/>
    </font>
    <font>
      <sz val="11"/>
      <name val="Calibri Light"/>
      <family val="2"/>
      <scheme val="major"/>
    </font>
    <font>
      <sz val="9"/>
      <name val="Arial"/>
      <family val="2"/>
    </font>
    <font>
      <b/>
      <sz val="9"/>
      <color theme="1"/>
      <name val="Arial"/>
      <family val="2"/>
    </font>
    <font>
      <sz val="9"/>
      <color theme="1"/>
      <name val="Arial"/>
      <family val="2"/>
    </font>
    <font>
      <b/>
      <sz val="9"/>
      <name val="Arial"/>
      <family val="2"/>
    </font>
    <font>
      <b/>
      <u/>
      <sz val="9"/>
      <name val="Arial"/>
      <family val="2"/>
    </font>
    <font>
      <b/>
      <sz val="10"/>
      <color theme="1"/>
      <name val="Calibri"/>
      <family val="2"/>
      <scheme val="minor"/>
    </font>
    <font>
      <b/>
      <sz val="10"/>
      <name val="Calibri"/>
      <family val="2"/>
      <scheme val="minor"/>
    </font>
    <font>
      <b/>
      <sz val="14"/>
      <name val="Calibri"/>
      <family val="2"/>
      <scheme val="minor"/>
    </font>
    <font>
      <sz val="11"/>
      <name val="Calibri"/>
      <family val="2"/>
    </font>
    <font>
      <u/>
      <sz val="12"/>
      <color theme="10"/>
      <name val="SWISS"/>
    </font>
    <font>
      <u/>
      <sz val="10"/>
      <name val="Calibri"/>
      <family val="2"/>
    </font>
    <font>
      <b/>
      <sz val="10"/>
      <color rgb="FFFF0000"/>
      <name val="Calibri"/>
      <family val="2"/>
      <scheme val="minor"/>
    </font>
    <font>
      <b/>
      <i/>
      <sz val="10"/>
      <color rgb="FF0606BA"/>
      <name val="Calibri"/>
      <family val="2"/>
      <scheme val="minor"/>
    </font>
    <font>
      <u/>
      <sz val="10"/>
      <color theme="10"/>
      <name val="Calibri"/>
      <family val="2"/>
      <scheme val="minor"/>
    </font>
    <font>
      <b/>
      <i/>
      <sz val="10"/>
      <name val="Calibri"/>
      <family val="2"/>
      <scheme val="minor"/>
    </font>
    <font>
      <b/>
      <u/>
      <sz val="10"/>
      <color rgb="FF323232"/>
      <name val="Calibri"/>
      <family val="2"/>
      <scheme val="minor"/>
    </font>
    <font>
      <b/>
      <i/>
      <sz val="11"/>
      <name val="Calibri Light"/>
      <family val="2"/>
      <scheme val="major"/>
    </font>
    <font>
      <b/>
      <sz val="11"/>
      <name val="Calibri Light"/>
      <family val="2"/>
      <scheme val="major"/>
    </font>
    <font>
      <b/>
      <u/>
      <sz val="11"/>
      <name val="Calibri Light"/>
      <family val="2"/>
      <scheme val="major"/>
    </font>
    <font>
      <i/>
      <sz val="11"/>
      <color theme="1"/>
      <name val="Calibri"/>
      <family val="2"/>
      <scheme val="minor"/>
    </font>
    <font>
      <i/>
      <sz val="11"/>
      <name val="Calibri"/>
      <family val="2"/>
      <scheme val="minor"/>
    </font>
    <font>
      <i/>
      <sz val="11"/>
      <name val="Calibri"/>
      <family val="2"/>
    </font>
    <font>
      <b/>
      <sz val="11"/>
      <color indexed="8"/>
      <name val="Calibri"/>
      <family val="2"/>
    </font>
    <font>
      <b/>
      <sz val="12"/>
      <name val="Arial"/>
      <family val="2"/>
    </font>
    <font>
      <b/>
      <sz val="12"/>
      <name val="Calibri"/>
      <family val="2"/>
      <scheme val="minor"/>
    </font>
    <font>
      <sz val="8"/>
      <color theme="1"/>
      <name val="Arial"/>
      <family val="2"/>
    </font>
    <font>
      <sz val="8"/>
      <color theme="1"/>
      <name val="Calibri"/>
      <family val="2"/>
      <scheme val="minor"/>
    </font>
    <font>
      <sz val="12"/>
      <color theme="1"/>
      <name val="Calibri"/>
      <family val="2"/>
      <scheme val="minor"/>
    </font>
  </fonts>
  <fills count="10">
    <fill>
      <patternFill patternType="none"/>
    </fill>
    <fill>
      <patternFill patternType="gray125"/>
    </fill>
    <fill>
      <patternFill patternType="solid">
        <fgColor indexed="9"/>
      </patternFill>
    </fill>
    <fill>
      <patternFill patternType="solid">
        <fgColor indexed="9"/>
        <bgColor indexed="64"/>
      </patternFill>
    </fill>
    <fill>
      <patternFill patternType="solid">
        <fgColor indexed="15"/>
        <bgColor indexed="64"/>
      </patternFill>
    </fill>
    <fill>
      <patternFill patternType="solid">
        <fgColor indexed="9"/>
        <bgColor indexed="8"/>
      </patternFill>
    </fill>
    <fill>
      <patternFill patternType="solid">
        <fgColor theme="8"/>
      </patternFill>
    </fill>
    <fill>
      <patternFill patternType="solid">
        <fgColor rgb="FFFFFF00"/>
        <bgColor indexed="64"/>
      </patternFill>
    </fill>
    <fill>
      <patternFill patternType="solid">
        <fgColor rgb="FFFFC7CE"/>
      </patternFill>
    </fill>
    <fill>
      <patternFill patternType="solid">
        <fgColor theme="0"/>
        <bgColor indexed="64"/>
      </patternFill>
    </fill>
  </fills>
  <borders count="74">
    <border>
      <left/>
      <right/>
      <top/>
      <bottom/>
      <diagonal/>
    </border>
    <border>
      <left/>
      <right/>
      <top style="thin">
        <color indexed="49"/>
      </top>
      <bottom style="double">
        <color indexed="49"/>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right/>
      <top style="thin">
        <color theme="4" tint="-0.24994659260841701"/>
      </top>
      <bottom style="double">
        <color theme="4" tint="-0.24994659260841701"/>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auto="1"/>
      </top>
      <bottom style="thin">
        <color auto="1"/>
      </bottom>
      <diagonal/>
    </border>
    <border>
      <left/>
      <right/>
      <top/>
      <bottom style="double">
        <color indexed="64"/>
      </bottom>
      <diagonal/>
    </border>
    <border>
      <left/>
      <right/>
      <top/>
      <bottom style="thick">
        <color indexed="64"/>
      </bottom>
      <diagonal/>
    </border>
    <border>
      <left/>
      <right/>
      <top style="medium">
        <color indexed="64"/>
      </top>
      <bottom/>
      <diagonal/>
    </border>
    <border>
      <left/>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auto="1"/>
      </top>
      <bottom style="thin">
        <color auto="1"/>
      </bottom>
      <diagonal/>
    </border>
    <border>
      <left/>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s>
  <cellStyleXfs count="24">
    <xf numFmtId="0" fontId="0" fillId="2" borderId="0"/>
    <xf numFmtId="0" fontId="28" fillId="6" borderId="0" applyNumberFormat="0" applyBorder="0" applyAlignment="0" applyProtection="0"/>
    <xf numFmtId="41" fontId="3" fillId="3" borderId="0">
      <alignment horizontal="left"/>
    </xf>
    <xf numFmtId="10" fontId="3" fillId="3" borderId="0"/>
    <xf numFmtId="9" fontId="16" fillId="0" borderId="0" applyFont="0" applyFill="0" applyBorder="0" applyAlignment="0" applyProtection="0"/>
    <xf numFmtId="0" fontId="30" fillId="2" borderId="0"/>
    <xf numFmtId="170" fontId="34" fillId="0" borderId="0"/>
    <xf numFmtId="41" fontId="3" fillId="3" borderId="0">
      <alignment horizontal="left"/>
    </xf>
    <xf numFmtId="0" fontId="36" fillId="0" borderId="0"/>
    <xf numFmtId="0" fontId="34" fillId="0" borderId="0"/>
    <xf numFmtId="44" fontId="48" fillId="0" borderId="0" applyFont="0" applyFill="0" applyBorder="0" applyAlignment="0" applyProtection="0"/>
    <xf numFmtId="44" fontId="48" fillId="0" borderId="0" applyFont="0" applyFill="0" applyBorder="0" applyAlignment="0" applyProtection="0"/>
    <xf numFmtId="0" fontId="55" fillId="8" borderId="0" applyNumberFormat="0" applyBorder="0" applyAlignment="0" applyProtection="0"/>
    <xf numFmtId="0" fontId="36" fillId="0" borderId="0"/>
    <xf numFmtId="0" fontId="48" fillId="0" borderId="0"/>
    <xf numFmtId="0" fontId="48"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84" fillId="2" borderId="0" applyNumberFormat="0" applyFill="0" applyBorder="0" applyAlignment="0" applyProtection="0"/>
    <xf numFmtId="0" fontId="1" fillId="0" borderId="0"/>
    <xf numFmtId="43" fontId="1" fillId="0" borderId="0" applyFont="0" applyFill="0" applyBorder="0" applyAlignment="0" applyProtection="0"/>
    <xf numFmtId="9" fontId="48" fillId="0" borderId="0" applyFont="0" applyFill="0" applyBorder="0" applyAlignment="0" applyProtection="0"/>
    <xf numFmtId="0" fontId="36" fillId="0" borderId="0"/>
  </cellStyleXfs>
  <cellXfs count="879">
    <xf numFmtId="0" fontId="0" fillId="2" borderId="0" xfId="0" applyNumberFormat="1"/>
    <xf numFmtId="165" fontId="0" fillId="2" borderId="5" xfId="0" applyNumberFormat="1" applyBorder="1"/>
    <xf numFmtId="37" fontId="0" fillId="2" borderId="0" xfId="0" applyNumberFormat="1"/>
    <xf numFmtId="165" fontId="0" fillId="2" borderId="0" xfId="0" applyNumberFormat="1"/>
    <xf numFmtId="41" fontId="0" fillId="2" borderId="0" xfId="0" applyNumberFormat="1"/>
    <xf numFmtId="10" fontId="3" fillId="3" borderId="0" xfId="3"/>
    <xf numFmtId="39" fontId="0" fillId="2" borderId="0" xfId="0" applyNumberFormat="1"/>
    <xf numFmtId="164" fontId="0" fillId="2" borderId="0" xfId="0" applyNumberFormat="1"/>
    <xf numFmtId="10" fontId="0" fillId="2" borderId="3" xfId="0" applyNumberFormat="1" applyBorder="1"/>
    <xf numFmtId="166" fontId="0" fillId="2" borderId="0" xfId="0" applyNumberFormat="1"/>
    <xf numFmtId="10" fontId="0" fillId="4" borderId="0" xfId="0" applyNumberFormat="1" applyFill="1"/>
    <xf numFmtId="2" fontId="10" fillId="4" borderId="0" xfId="0" applyNumberFormat="1" applyFont="1" applyFill="1"/>
    <xf numFmtId="41" fontId="0" fillId="4" borderId="0" xfId="0" applyNumberFormat="1" applyFill="1"/>
    <xf numFmtId="167" fontId="0" fillId="2" borderId="0" xfId="0" applyNumberFormat="1"/>
    <xf numFmtId="167" fontId="0" fillId="2" borderId="3" xfId="0" applyNumberFormat="1" applyBorder="1" applyAlignment="1">
      <alignment horizontal="center"/>
    </xf>
    <xf numFmtId="167" fontId="0" fillId="2" borderId="6" xfId="0" applyNumberFormat="1" applyBorder="1" applyAlignment="1">
      <alignment horizontal="center"/>
    </xf>
    <xf numFmtId="10" fontId="0" fillId="2" borderId="0" xfId="0" applyNumberFormat="1" applyAlignment="1">
      <alignment horizontal="center"/>
    </xf>
    <xf numFmtId="167" fontId="14" fillId="2" borderId="3" xfId="0" applyNumberFormat="1" applyFont="1" applyBorder="1" applyAlignment="1">
      <alignment horizontal="center"/>
    </xf>
    <xf numFmtId="167" fontId="14" fillId="2" borderId="5" xfId="0" applyNumberFormat="1" applyFont="1" applyBorder="1" applyAlignment="1">
      <alignment horizontal="left"/>
    </xf>
    <xf numFmtId="41" fontId="17" fillId="2" borderId="0" xfId="0" applyNumberFormat="1" applyFont="1"/>
    <xf numFmtId="41" fontId="20" fillId="2" borderId="0" xfId="0" applyNumberFormat="1" applyFont="1"/>
    <xf numFmtId="10" fontId="20" fillId="2" borderId="0" xfId="0" applyNumberFormat="1" applyFont="1" applyAlignment="1">
      <alignment horizontal="right"/>
    </xf>
    <xf numFmtId="41" fontId="23" fillId="2" borderId="0" xfId="0" applyNumberFormat="1" applyFont="1" applyAlignment="1">
      <alignment horizontal="center"/>
    </xf>
    <xf numFmtId="10" fontId="20" fillId="2" borderId="0" xfId="0" applyNumberFormat="1" applyFont="1" applyAlignment="1">
      <alignment horizontal="center"/>
    </xf>
    <xf numFmtId="10" fontId="20" fillId="2" borderId="0" xfId="0" applyNumberFormat="1" applyFont="1"/>
    <xf numFmtId="41" fontId="20" fillId="2" borderId="5" xfId="0" applyNumberFormat="1" applyFont="1" applyBorder="1" applyProtection="1">
      <protection locked="0"/>
    </xf>
    <xf numFmtId="9" fontId="20" fillId="2" borderId="0" xfId="0" applyNumberFormat="1" applyFont="1" applyAlignment="1">
      <alignment horizontal="center"/>
    </xf>
    <xf numFmtId="39" fontId="20" fillId="2" borderId="0" xfId="0" applyNumberFormat="1" applyFont="1"/>
    <xf numFmtId="0" fontId="25" fillId="6" borderId="11" xfId="1" applyNumberFormat="1" applyFont="1" applyBorder="1" applyAlignment="1">
      <alignment horizontal="centerContinuous"/>
    </xf>
    <xf numFmtId="0" fontId="25" fillId="6" borderId="11" xfId="1" applyNumberFormat="1" applyFont="1" applyBorder="1" applyAlignment="1">
      <alignment horizontal="left"/>
    </xf>
    <xf numFmtId="41" fontId="20" fillId="2" borderId="1" xfId="0" applyNumberFormat="1" applyFont="1" applyBorder="1"/>
    <xf numFmtId="168" fontId="29" fillId="3" borderId="3" xfId="3" applyNumberFormat="1" applyFont="1" applyBorder="1"/>
    <xf numFmtId="10" fontId="29" fillId="3" borderId="5" xfId="3" applyFont="1" applyBorder="1"/>
    <xf numFmtId="10" fontId="29" fillId="3" borderId="6" xfId="3" applyFont="1" applyBorder="1"/>
    <xf numFmtId="2" fontId="0" fillId="2" borderId="14" xfId="0" applyNumberFormat="1" applyBorder="1" applyAlignment="1">
      <alignment horizontal="center"/>
    </xf>
    <xf numFmtId="165" fontId="0" fillId="2" borderId="15" xfId="0" applyNumberFormat="1" applyBorder="1"/>
    <xf numFmtId="10" fontId="6" fillId="2" borderId="15" xfId="0" applyNumberFormat="1" applyFont="1" applyBorder="1"/>
    <xf numFmtId="41" fontId="0" fillId="2" borderId="16" xfId="0" applyNumberFormat="1" applyBorder="1"/>
    <xf numFmtId="41" fontId="0" fillId="2" borderId="14" xfId="0" applyNumberFormat="1" applyBorder="1"/>
    <xf numFmtId="41" fontId="0" fillId="2" borderId="15" xfId="0" applyNumberFormat="1" applyBorder="1"/>
    <xf numFmtId="2" fontId="0" fillId="2" borderId="2" xfId="0" applyNumberFormat="1" applyBorder="1" applyAlignment="1">
      <alignment horizontal="center"/>
    </xf>
    <xf numFmtId="41" fontId="0" fillId="2" borderId="3" xfId="0" applyNumberFormat="1" applyBorder="1"/>
    <xf numFmtId="41" fontId="0" fillId="2" borderId="2" xfId="0" applyNumberFormat="1" applyBorder="1"/>
    <xf numFmtId="168" fontId="20" fillId="2" borderId="0" xfId="0" applyNumberFormat="1" applyFont="1"/>
    <xf numFmtId="41" fontId="17" fillId="0" borderId="6" xfId="2" applyFont="1" applyFill="1" applyBorder="1">
      <alignment horizontal="left"/>
    </xf>
    <xf numFmtId="41" fontId="17" fillId="0" borderId="17" xfId="2" applyFont="1" applyFill="1" applyBorder="1">
      <alignment horizontal="left"/>
    </xf>
    <xf numFmtId="10" fontId="17" fillId="0" borderId="17" xfId="3" applyFont="1" applyFill="1" applyBorder="1"/>
    <xf numFmtId="168" fontId="17" fillId="0" borderId="17" xfId="3" applyNumberFormat="1" applyFont="1" applyFill="1" applyBorder="1"/>
    <xf numFmtId="0" fontId="25" fillId="6" borderId="18" xfId="1" applyNumberFormat="1" applyFont="1" applyBorder="1" applyAlignment="1">
      <alignment horizontal="left"/>
    </xf>
    <xf numFmtId="41" fontId="20" fillId="2" borderId="19" xfId="0" applyNumberFormat="1" applyFont="1" applyBorder="1"/>
    <xf numFmtId="168" fontId="20" fillId="2" borderId="19" xfId="0" applyNumberFormat="1" applyFont="1" applyBorder="1"/>
    <xf numFmtId="10" fontId="20" fillId="2" borderId="19" xfId="0" applyNumberFormat="1" applyFont="1" applyBorder="1" applyAlignment="1">
      <alignment horizontal="center"/>
    </xf>
    <xf numFmtId="10" fontId="29" fillId="3" borderId="3" xfId="3" applyFont="1" applyBorder="1"/>
    <xf numFmtId="39" fontId="0" fillId="2" borderId="5" xfId="0" applyNumberFormat="1" applyBorder="1"/>
    <xf numFmtId="164" fontId="0" fillId="2" borderId="5" xfId="0" applyNumberFormat="1" applyBorder="1"/>
    <xf numFmtId="165" fontId="0" fillId="2" borderId="6" xfId="0" applyNumberFormat="1" applyBorder="1"/>
    <xf numFmtId="10" fontId="0" fillId="2" borderId="5" xfId="0" applyNumberFormat="1" applyBorder="1"/>
    <xf numFmtId="10" fontId="0" fillId="2" borderId="3" xfId="0" applyNumberFormat="1" applyBorder="1" applyAlignment="1">
      <alignment horizontal="right"/>
    </xf>
    <xf numFmtId="0" fontId="31" fillId="6" borderId="12" xfId="1" applyNumberFormat="1" applyFont="1" applyBorder="1" applyAlignment="1">
      <alignment horizontal="centerContinuous"/>
    </xf>
    <xf numFmtId="0" fontId="25" fillId="6" borderId="7" xfId="1" applyNumberFormat="1" applyFont="1" applyBorder="1" applyAlignment="1">
      <alignment horizontal="left"/>
    </xf>
    <xf numFmtId="10" fontId="20" fillId="2" borderId="0" xfId="5" applyNumberFormat="1" applyFont="1" applyAlignment="1">
      <alignment horizontal="right"/>
    </xf>
    <xf numFmtId="41" fontId="17" fillId="3" borderId="0" xfId="7" applyFont="1" applyAlignment="1">
      <alignment horizontal="right"/>
    </xf>
    <xf numFmtId="41" fontId="20" fillId="2" borderId="3" xfId="5" applyNumberFormat="1" applyFont="1" applyBorder="1"/>
    <xf numFmtId="41" fontId="22" fillId="2" borderId="22" xfId="5" applyNumberFormat="1" applyFont="1" applyBorder="1"/>
    <xf numFmtId="41" fontId="22" fillId="2" borderId="23" xfId="5" applyNumberFormat="1" applyFont="1" applyBorder="1"/>
    <xf numFmtId="10" fontId="22" fillId="2" borderId="5" xfId="5" applyNumberFormat="1" applyFont="1" applyBorder="1" applyAlignment="1">
      <alignment horizontal="center" vertical="center"/>
    </xf>
    <xf numFmtId="0" fontId="0" fillId="0" borderId="0" xfId="0" applyNumberFormat="1" applyFill="1"/>
    <xf numFmtId="0" fontId="0" fillId="2" borderId="0" xfId="0"/>
    <xf numFmtId="0" fontId="0" fillId="0" borderId="0" xfId="0" applyFill="1"/>
    <xf numFmtId="0" fontId="35" fillId="0" borderId="0" xfId="0" applyFont="1" applyFill="1" applyAlignment="1">
      <alignment horizontal="centerContinuous"/>
    </xf>
    <xf numFmtId="0" fontId="0" fillId="0" borderId="0" xfId="0" applyFill="1" applyAlignment="1">
      <alignment horizontal="centerContinuous"/>
    </xf>
    <xf numFmtId="49" fontId="37" fillId="0" borderId="0" xfId="0" applyNumberFormat="1" applyFont="1" applyFill="1"/>
    <xf numFmtId="171" fontId="38" fillId="0" borderId="0" xfId="0" applyNumberFormat="1" applyFont="1" applyFill="1"/>
    <xf numFmtId="171" fontId="38" fillId="0" borderId="8" xfId="0" applyNumberFormat="1" applyFont="1" applyFill="1" applyBorder="1"/>
    <xf numFmtId="171" fontId="38" fillId="0" borderId="32" xfId="0" applyNumberFormat="1" applyFont="1" applyFill="1" applyBorder="1"/>
    <xf numFmtId="171" fontId="38" fillId="0" borderId="11" xfId="0" applyNumberFormat="1" applyFont="1" applyFill="1" applyBorder="1"/>
    <xf numFmtId="0" fontId="37" fillId="0" borderId="0" xfId="0" applyFont="1" applyFill="1"/>
    <xf numFmtId="171" fontId="37" fillId="0" borderId="33" xfId="0" applyNumberFormat="1" applyFont="1" applyFill="1" applyBorder="1"/>
    <xf numFmtId="0" fontId="39" fillId="0" borderId="0" xfId="0" applyFont="1" applyFill="1"/>
    <xf numFmtId="0" fontId="39" fillId="0" borderId="25" xfId="0" applyFont="1" applyFill="1" applyBorder="1" applyAlignment="1">
      <alignment horizontal="center"/>
    </xf>
    <xf numFmtId="0" fontId="39" fillId="0" borderId="25" xfId="0" applyFont="1" applyFill="1" applyBorder="1" applyAlignment="1">
      <alignment horizontal="center" wrapText="1"/>
    </xf>
    <xf numFmtId="0" fontId="40" fillId="0" borderId="25" xfId="0" applyFont="1" applyFill="1" applyBorder="1" applyAlignment="1">
      <alignment horizontal="center" wrapText="1"/>
    </xf>
    <xf numFmtId="0" fontId="39" fillId="0" borderId="26" xfId="0" applyFont="1" applyFill="1" applyBorder="1" applyAlignment="1">
      <alignment horizontal="center" wrapText="1"/>
    </xf>
    <xf numFmtId="0" fontId="39" fillId="0" borderId="27" xfId="0" applyFont="1" applyFill="1" applyBorder="1" applyAlignment="1">
      <alignment horizontal="center" wrapText="1"/>
    </xf>
    <xf numFmtId="0" fontId="39" fillId="0" borderId="28" xfId="0" applyFont="1" applyFill="1" applyBorder="1" applyAlignment="1">
      <alignment horizontal="center" wrapText="1"/>
    </xf>
    <xf numFmtId="0" fontId="41" fillId="0" borderId="0" xfId="0" applyFont="1" applyFill="1"/>
    <xf numFmtId="0" fontId="41" fillId="2" borderId="0" xfId="0" applyNumberFormat="1" applyFont="1"/>
    <xf numFmtId="0" fontId="42" fillId="0" borderId="0" xfId="8" applyFont="1" applyFill="1"/>
    <xf numFmtId="3" fontId="39" fillId="0" borderId="0" xfId="0" applyNumberFormat="1" applyFont="1" applyFill="1"/>
    <xf numFmtId="0" fontId="43" fillId="0" borderId="0" xfId="8" applyFont="1" applyFill="1" applyAlignment="1">
      <alignment horizontal="left" indent="1"/>
    </xf>
    <xf numFmtId="3" fontId="40" fillId="0" borderId="0" xfId="0" applyNumberFormat="1" applyFont="1" applyFill="1"/>
    <xf numFmtId="0" fontId="40" fillId="0" borderId="0" xfId="0" applyFont="1" applyFill="1"/>
    <xf numFmtId="0" fontId="44" fillId="0" borderId="0" xfId="0" applyFont="1" applyFill="1"/>
    <xf numFmtId="49" fontId="43" fillId="0" borderId="0" xfId="8" applyNumberFormat="1" applyFont="1" applyFill="1" applyAlignment="1">
      <alignment horizontal="left" indent="1"/>
    </xf>
    <xf numFmtId="3" fontId="39" fillId="0" borderId="5" xfId="0" applyNumberFormat="1" applyFont="1" applyFill="1" applyBorder="1"/>
    <xf numFmtId="3" fontId="40" fillId="0" borderId="5" xfId="0" applyNumberFormat="1" applyFont="1" applyFill="1" applyBorder="1"/>
    <xf numFmtId="0" fontId="40" fillId="0" borderId="5" xfId="0" applyFont="1" applyFill="1" applyBorder="1"/>
    <xf numFmtId="0" fontId="45" fillId="0" borderId="0" xfId="8" applyFont="1" applyFill="1"/>
    <xf numFmtId="3" fontId="44" fillId="0" borderId="0" xfId="0" applyNumberFormat="1" applyFont="1" applyFill="1"/>
    <xf numFmtId="3" fontId="46" fillId="0" borderId="0" xfId="0" applyNumberFormat="1" applyFont="1" applyFill="1" applyAlignment="1">
      <alignment horizontal="center" vertical="center"/>
    </xf>
    <xf numFmtId="3" fontId="46" fillId="0" borderId="0" xfId="0" applyNumberFormat="1" applyFont="1" applyFill="1" applyAlignment="1">
      <alignment horizontal="center"/>
    </xf>
    <xf numFmtId="0" fontId="46" fillId="0" borderId="0" xfId="0" applyFont="1" applyFill="1" applyAlignment="1">
      <alignment horizontal="center"/>
    </xf>
    <xf numFmtId="0" fontId="46" fillId="0" borderId="5" xfId="0" applyFont="1" applyFill="1" applyBorder="1" applyAlignment="1">
      <alignment horizontal="center"/>
    </xf>
    <xf numFmtId="3" fontId="39" fillId="0" borderId="29" xfId="0" applyNumberFormat="1" applyFont="1" applyFill="1" applyBorder="1"/>
    <xf numFmtId="3" fontId="40" fillId="0" borderId="29" xfId="0" applyNumberFormat="1" applyFont="1" applyFill="1" applyBorder="1"/>
    <xf numFmtId="3" fontId="39" fillId="0" borderId="30" xfId="0" applyNumberFormat="1" applyFont="1" applyFill="1" applyBorder="1"/>
    <xf numFmtId="10" fontId="39" fillId="0" borderId="0" xfId="0" applyNumberFormat="1" applyFont="1" applyFill="1"/>
    <xf numFmtId="0" fontId="41" fillId="0" borderId="0" xfId="0" applyNumberFormat="1" applyFont="1" applyFill="1"/>
    <xf numFmtId="0" fontId="47" fillId="0" borderId="0" xfId="8" applyFont="1" applyAlignment="1">
      <alignment horizontal="centerContinuous" vertical="center"/>
    </xf>
    <xf numFmtId="0" fontId="47" fillId="0" borderId="0" xfId="9" applyFont="1" applyAlignment="1">
      <alignment horizontal="centerContinuous"/>
    </xf>
    <xf numFmtId="172" fontId="47" fillId="0" borderId="0" xfId="10" applyNumberFormat="1" applyFont="1" applyAlignment="1">
      <alignment horizontal="centerContinuous"/>
    </xf>
    <xf numFmtId="0" fontId="49" fillId="0" borderId="0" xfId="9" applyFont="1"/>
    <xf numFmtId="0" fontId="49" fillId="0" borderId="0" xfId="9" quotePrefix="1" applyFont="1"/>
    <xf numFmtId="172" fontId="49" fillId="0" borderId="0" xfId="10" applyNumberFormat="1" applyFont="1"/>
    <xf numFmtId="10" fontId="49" fillId="3" borderId="0" xfId="3" applyFont="1"/>
    <xf numFmtId="0" fontId="49" fillId="0" borderId="0" xfId="9" applyFont="1" applyAlignment="1">
      <alignment horizontal="left"/>
    </xf>
    <xf numFmtId="172" fontId="49" fillId="0" borderId="0" xfId="10" applyNumberFormat="1" applyFont="1" applyFill="1"/>
    <xf numFmtId="10" fontId="49" fillId="0" borderId="0" xfId="3" applyFont="1" applyFill="1"/>
    <xf numFmtId="0" fontId="50" fillId="0" borderId="0" xfId="9" applyFont="1"/>
    <xf numFmtId="172" fontId="50" fillId="0" borderId="0" xfId="10" applyNumberFormat="1" applyFont="1" applyFill="1"/>
    <xf numFmtId="10" fontId="3" fillId="0" borderId="0" xfId="3" applyFill="1"/>
    <xf numFmtId="0" fontId="50" fillId="0" borderId="0" xfId="9" applyFont="1" applyAlignment="1">
      <alignment horizontal="left"/>
    </xf>
    <xf numFmtId="0" fontId="50" fillId="0" borderId="24" xfId="9" applyFont="1" applyBorder="1" applyAlignment="1">
      <alignment horizontal="center"/>
    </xf>
    <xf numFmtId="172" fontId="50" fillId="0" borderId="0" xfId="10" applyNumberFormat="1" applyFont="1" applyFill="1" applyAlignment="1">
      <alignment horizontal="center"/>
    </xf>
    <xf numFmtId="0" fontId="50" fillId="0" borderId="0" xfId="9" applyFont="1" applyAlignment="1">
      <alignment horizontal="center"/>
    </xf>
    <xf numFmtId="10" fontId="3" fillId="0" borderId="0" xfId="3" applyFill="1" applyAlignment="1">
      <alignment horizontal="center"/>
    </xf>
    <xf numFmtId="172" fontId="50" fillId="0" borderId="24" xfId="10" applyNumberFormat="1" applyFont="1" applyFill="1" applyBorder="1" applyAlignment="1">
      <alignment horizontal="center" wrapText="1"/>
    </xf>
    <xf numFmtId="0" fontId="50" fillId="0" borderId="24" xfId="9" applyFont="1" applyBorder="1" applyAlignment="1">
      <alignment horizontal="center" wrapText="1"/>
    </xf>
    <xf numFmtId="172" fontId="50" fillId="0" borderId="24" xfId="11" applyNumberFormat="1" applyFont="1" applyFill="1" applyBorder="1" applyAlignment="1">
      <alignment horizontal="center" wrapText="1"/>
    </xf>
    <xf numFmtId="172" fontId="50" fillId="0" borderId="13" xfId="11" applyNumberFormat="1" applyFont="1" applyFill="1" applyBorder="1" applyAlignment="1">
      <alignment horizontal="center" wrapText="1"/>
    </xf>
    <xf numFmtId="172" fontId="50" fillId="0" borderId="24" xfId="10" applyNumberFormat="1" applyFont="1" applyFill="1" applyBorder="1" applyAlignment="1">
      <alignment horizontal="center"/>
    </xf>
    <xf numFmtId="172" fontId="50" fillId="0" borderId="24" xfId="11" applyNumberFormat="1" applyFont="1" applyFill="1" applyBorder="1" applyAlignment="1">
      <alignment horizontal="center"/>
    </xf>
    <xf numFmtId="10" fontId="3" fillId="0" borderId="24" xfId="3" applyFill="1" applyBorder="1" applyAlignment="1">
      <alignment horizontal="center"/>
    </xf>
    <xf numFmtId="10" fontId="3" fillId="0" borderId="24" xfId="3" applyFill="1" applyBorder="1" applyAlignment="1">
      <alignment horizontal="center" wrapText="1"/>
    </xf>
    <xf numFmtId="0" fontId="51" fillId="0" borderId="0" xfId="9" applyFont="1" applyAlignment="1">
      <alignment horizontal="left"/>
    </xf>
    <xf numFmtId="172" fontId="50" fillId="0" borderId="0" xfId="10" applyNumberFormat="1" applyFont="1" applyFill="1" applyAlignment="1">
      <alignment horizontal="center" wrapText="1"/>
    </xf>
    <xf numFmtId="0" fontId="50" fillId="0" borderId="0" xfId="9" applyFont="1" applyAlignment="1">
      <alignment horizontal="center" wrapText="1"/>
    </xf>
    <xf numFmtId="172" fontId="50" fillId="0" borderId="0" xfId="11" applyNumberFormat="1" applyFont="1" applyFill="1" applyAlignment="1">
      <alignment horizontal="center" wrapText="1"/>
    </xf>
    <xf numFmtId="172" fontId="50" fillId="0" borderId="0" xfId="11" applyNumberFormat="1" applyFont="1" applyFill="1" applyAlignment="1">
      <alignment horizontal="center"/>
    </xf>
    <xf numFmtId="3" fontId="50" fillId="0" borderId="0" xfId="10" applyNumberFormat="1" applyFont="1" applyFill="1"/>
    <xf numFmtId="3" fontId="3" fillId="0" borderId="0" xfId="2" applyNumberFormat="1" applyFill="1" applyAlignment="1"/>
    <xf numFmtId="41" fontId="3" fillId="0" borderId="0" xfId="2" applyFill="1" applyAlignment="1"/>
    <xf numFmtId="1" fontId="50" fillId="0" borderId="0" xfId="9" applyNumberFormat="1" applyFont="1"/>
    <xf numFmtId="172" fontId="50" fillId="0" borderId="0" xfId="10" applyNumberFormat="1" applyFont="1" applyFill="1" applyBorder="1"/>
    <xf numFmtId="172" fontId="50" fillId="0" borderId="5" xfId="10" applyNumberFormat="1" applyFont="1" applyFill="1" applyBorder="1"/>
    <xf numFmtId="3" fontId="50" fillId="0" borderId="5" xfId="10" applyNumberFormat="1" applyFont="1" applyFill="1" applyBorder="1"/>
    <xf numFmtId="3" fontId="50" fillId="0" borderId="0" xfId="10" applyNumberFormat="1" applyFont="1" applyFill="1" applyAlignment="1">
      <alignment horizontal="center"/>
    </xf>
    <xf numFmtId="3" fontId="3" fillId="0" borderId="0" xfId="2" applyNumberFormat="1" applyFill="1" applyAlignment="1">
      <alignment horizontal="center" wrapText="1"/>
    </xf>
    <xf numFmtId="3" fontId="3" fillId="0" borderId="0" xfId="2" applyNumberFormat="1" applyFill="1" applyAlignment="1">
      <alignment horizontal="center"/>
    </xf>
    <xf numFmtId="41" fontId="3" fillId="0" borderId="0" xfId="2" applyFill="1" applyAlignment="1">
      <alignment horizontal="center" wrapText="1"/>
    </xf>
    <xf numFmtId="41" fontId="3" fillId="0" borderId="0" xfId="2" applyFill="1" applyAlignment="1">
      <alignment horizontal="center"/>
    </xf>
    <xf numFmtId="3" fontId="50" fillId="0" borderId="0" xfId="10" applyNumberFormat="1" applyFont="1" applyFill="1" applyBorder="1"/>
    <xf numFmtId="0" fontId="50" fillId="0" borderId="0" xfId="9" quotePrefix="1" applyFont="1" applyAlignment="1">
      <alignment horizontal="left"/>
    </xf>
    <xf numFmtId="0" fontId="52" fillId="0" borderId="0" xfId="9" applyFont="1"/>
    <xf numFmtId="3" fontId="50" fillId="0" borderId="0" xfId="9" applyNumberFormat="1" applyFont="1"/>
    <xf numFmtId="3" fontId="49" fillId="0" borderId="0" xfId="0" applyNumberFormat="1" applyFont="1" applyFill="1"/>
    <xf numFmtId="3" fontId="50" fillId="0" borderId="0" xfId="0" applyNumberFormat="1" applyFont="1" applyFill="1"/>
    <xf numFmtId="0" fontId="50" fillId="0" borderId="0" xfId="0" applyFont="1" applyFill="1"/>
    <xf numFmtId="3" fontId="50" fillId="0" borderId="34" xfId="0" applyNumberFormat="1" applyFont="1" applyFill="1" applyBorder="1" applyAlignment="1">
      <alignment horizontal="center"/>
    </xf>
    <xf numFmtId="3" fontId="50" fillId="0" borderId="32" xfId="0" applyNumberFormat="1" applyFont="1" applyFill="1" applyBorder="1" applyAlignment="1">
      <alignment horizontal="center"/>
    </xf>
    <xf numFmtId="3" fontId="50" fillId="0" borderId="35" xfId="0" applyNumberFormat="1" applyFont="1" applyFill="1" applyBorder="1" applyAlignment="1">
      <alignment horizontal="center"/>
    </xf>
    <xf numFmtId="3" fontId="51" fillId="0" borderId="0" xfId="0" applyNumberFormat="1" applyFont="1" applyFill="1"/>
    <xf numFmtId="3" fontId="50" fillId="0" borderId="36" xfId="0" applyNumberFormat="1" applyFont="1" applyFill="1" applyBorder="1" applyAlignment="1">
      <alignment horizontal="center"/>
    </xf>
    <xf numFmtId="3" fontId="50" fillId="0" borderId="8" xfId="0" applyNumberFormat="1" applyFont="1" applyFill="1" applyBorder="1" applyAlignment="1">
      <alignment horizontal="center"/>
    </xf>
    <xf numFmtId="3" fontId="50" fillId="0" borderId="37" xfId="0" applyNumberFormat="1" applyFont="1" applyFill="1" applyBorder="1" applyAlignment="1">
      <alignment horizontal="center"/>
    </xf>
    <xf numFmtId="3" fontId="49" fillId="2" borderId="0" xfId="0" applyNumberFormat="1" applyFont="1"/>
    <xf numFmtId="49" fontId="57" fillId="0" borderId="0" xfId="0" applyNumberFormat="1" applyFont="1" applyFill="1" applyAlignment="1">
      <alignment horizontal="center"/>
    </xf>
    <xf numFmtId="49" fontId="58" fillId="0" borderId="31" xfId="0" applyNumberFormat="1" applyFont="1" applyFill="1" applyBorder="1" applyAlignment="1">
      <alignment horizontal="center"/>
    </xf>
    <xf numFmtId="0" fontId="57" fillId="0" borderId="0" xfId="0" applyFont="1" applyFill="1" applyAlignment="1">
      <alignment horizontal="center"/>
    </xf>
    <xf numFmtId="49" fontId="58" fillId="0" borderId="0" xfId="0" applyNumberFormat="1" applyFont="1" applyFill="1"/>
    <xf numFmtId="173" fontId="58" fillId="0" borderId="0" xfId="0" applyNumberFormat="1" applyFont="1" applyFill="1"/>
    <xf numFmtId="171" fontId="58" fillId="0" borderId="0" xfId="0" applyNumberFormat="1" applyFont="1" applyFill="1"/>
    <xf numFmtId="0" fontId="57" fillId="0" borderId="0" xfId="0" applyFont="1" applyFill="1"/>
    <xf numFmtId="49" fontId="58" fillId="0" borderId="0" xfId="0" applyNumberFormat="1" applyFont="1" applyFill="1" applyAlignment="1">
      <alignment horizontal="centerContinuous"/>
    </xf>
    <xf numFmtId="171" fontId="58" fillId="0" borderId="32" xfId="0" applyNumberFormat="1" applyFont="1" applyFill="1" applyBorder="1"/>
    <xf numFmtId="171" fontId="58" fillId="0" borderId="38" xfId="0" applyNumberFormat="1" applyFont="1" applyFill="1" applyBorder="1"/>
    <xf numFmtId="49" fontId="58" fillId="0" borderId="5" xfId="0" applyNumberFormat="1" applyFont="1" applyFill="1" applyBorder="1"/>
    <xf numFmtId="171" fontId="58" fillId="0" borderId="0" xfId="0" applyNumberFormat="1" applyFont="1" applyFill="1" applyBorder="1"/>
    <xf numFmtId="49" fontId="58" fillId="0" borderId="0" xfId="0" applyNumberFormat="1" applyFont="1" applyFill="1" applyBorder="1"/>
    <xf numFmtId="0" fontId="59" fillId="0" borderId="0" xfId="0" applyFont="1" applyFill="1"/>
    <xf numFmtId="4" fontId="57" fillId="0" borderId="5" xfId="0" applyNumberFormat="1" applyFont="1" applyFill="1" applyBorder="1"/>
    <xf numFmtId="4" fontId="57" fillId="0" borderId="0" xfId="0" applyNumberFormat="1" applyFont="1" applyFill="1"/>
    <xf numFmtId="0" fontId="44" fillId="0" borderId="0" xfId="0" applyFont="1" applyFill="1" applyAlignment="1">
      <alignment horizontal="centerContinuous"/>
    </xf>
    <xf numFmtId="0" fontId="44" fillId="0" borderId="0" xfId="0" applyFont="1" applyFill="1" applyAlignment="1">
      <alignment horizontal="center"/>
    </xf>
    <xf numFmtId="14" fontId="44" fillId="0" borderId="0" xfId="0" applyNumberFormat="1" applyFont="1" applyFill="1"/>
    <xf numFmtId="4" fontId="44" fillId="0" borderId="0" xfId="0" applyNumberFormat="1" applyFont="1" applyFill="1"/>
    <xf numFmtId="4" fontId="44" fillId="0" borderId="5" xfId="0" applyNumberFormat="1" applyFont="1" applyFill="1" applyBorder="1"/>
    <xf numFmtId="0" fontId="44" fillId="0" borderId="0" xfId="0" applyNumberFormat="1" applyFont="1" applyFill="1"/>
    <xf numFmtId="0" fontId="60" fillId="0" borderId="0" xfId="0" applyNumberFormat="1" applyFont="1" applyFill="1"/>
    <xf numFmtId="4" fontId="48" fillId="0" borderId="0" xfId="0" applyNumberFormat="1" applyFont="1" applyFill="1"/>
    <xf numFmtId="41" fontId="2" fillId="0" borderId="0" xfId="2" applyFont="1" applyFill="1" applyAlignment="1"/>
    <xf numFmtId="10" fontId="2" fillId="0" borderId="0" xfId="3" applyFont="1" applyFill="1"/>
    <xf numFmtId="43" fontId="0" fillId="0" borderId="0" xfId="0" applyNumberFormat="1" applyFill="1"/>
    <xf numFmtId="49" fontId="62" fillId="0" borderId="0" xfId="0" applyNumberFormat="1" applyFont="1" applyFill="1" applyAlignment="1">
      <alignment horizontal="center"/>
    </xf>
    <xf numFmtId="49" fontId="63" fillId="0" borderId="31" xfId="0" applyNumberFormat="1" applyFont="1" applyFill="1" applyBorder="1" applyAlignment="1">
      <alignment horizontal="center"/>
    </xf>
    <xf numFmtId="49" fontId="63" fillId="0" borderId="0" xfId="0" applyNumberFormat="1" applyFont="1" applyFill="1"/>
    <xf numFmtId="173" fontId="63" fillId="0" borderId="0" xfId="0" applyNumberFormat="1" applyFont="1" applyFill="1"/>
    <xf numFmtId="171" fontId="63" fillId="0" borderId="0" xfId="0" applyNumberFormat="1" applyFont="1" applyFill="1"/>
    <xf numFmtId="49" fontId="61" fillId="0" borderId="0" xfId="0" applyNumberFormat="1" applyFont="1" applyFill="1"/>
    <xf numFmtId="173" fontId="61" fillId="0" borderId="0" xfId="0" applyNumberFormat="1" applyFont="1" applyFill="1"/>
    <xf numFmtId="49" fontId="61" fillId="0" borderId="0" xfId="0" applyNumberFormat="1" applyFont="1" applyFill="1" applyAlignment="1">
      <alignment horizontal="centerContinuous"/>
    </xf>
    <xf numFmtId="171" fontId="61" fillId="0" borderId="0" xfId="0" applyNumberFormat="1" applyFont="1" applyFill="1"/>
    <xf numFmtId="171" fontId="61" fillId="0" borderId="32" xfId="0" applyNumberFormat="1" applyFont="1" applyFill="1" applyBorder="1"/>
    <xf numFmtId="171" fontId="63" fillId="0" borderId="33" xfId="0" applyNumberFormat="1" applyFont="1" applyFill="1" applyBorder="1"/>
    <xf numFmtId="0" fontId="62" fillId="0" borderId="0" xfId="0" applyFont="1" applyFill="1"/>
    <xf numFmtId="0" fontId="64" fillId="0" borderId="0" xfId="0" applyFont="1" applyFill="1"/>
    <xf numFmtId="4" fontId="64" fillId="0" borderId="0" xfId="0" applyNumberFormat="1" applyFont="1" applyFill="1"/>
    <xf numFmtId="0" fontId="49" fillId="0" borderId="0" xfId="0" applyFont="1" applyFill="1"/>
    <xf numFmtId="3" fontId="62" fillId="0" borderId="0" xfId="0" applyNumberFormat="1" applyFont="1" applyFill="1"/>
    <xf numFmtId="0" fontId="62" fillId="0" borderId="14" xfId="0" applyFont="1" applyFill="1" applyBorder="1" applyAlignment="1">
      <alignment horizontal="centerContinuous"/>
    </xf>
    <xf numFmtId="0" fontId="62" fillId="0" borderId="15" xfId="0" applyFont="1" applyFill="1" applyBorder="1" applyAlignment="1">
      <alignment horizontal="centerContinuous"/>
    </xf>
    <xf numFmtId="0" fontId="62" fillId="0" borderId="16" xfId="0" applyFont="1" applyFill="1" applyBorder="1" applyAlignment="1">
      <alignment horizontal="centerContinuous"/>
    </xf>
    <xf numFmtId="0" fontId="62" fillId="0" borderId="0" xfId="0" applyFont="1" applyFill="1" applyAlignment="1">
      <alignment horizontal="center"/>
    </xf>
    <xf numFmtId="0" fontId="62" fillId="0" borderId="4" xfId="0" applyFont="1" applyFill="1" applyBorder="1" applyAlignment="1">
      <alignment horizontal="center"/>
    </xf>
    <xf numFmtId="0" fontId="62" fillId="0" borderId="5" xfId="0" applyFont="1" applyFill="1" applyBorder="1" applyAlignment="1">
      <alignment horizontal="center"/>
    </xf>
    <xf numFmtId="0" fontId="62" fillId="0" borderId="6" xfId="0" applyFont="1" applyFill="1" applyBorder="1" applyAlignment="1">
      <alignment horizontal="center"/>
    </xf>
    <xf numFmtId="3" fontId="62" fillId="0" borderId="0" xfId="0" applyNumberFormat="1" applyFont="1" applyFill="1" applyAlignment="1">
      <alignment horizontal="center"/>
    </xf>
    <xf numFmtId="0" fontId="62" fillId="0" borderId="0" xfId="14" applyFont="1" applyFill="1" applyAlignment="1">
      <alignment horizontal="center"/>
    </xf>
    <xf numFmtId="10" fontId="62" fillId="0" borderId="0" xfId="0" applyNumberFormat="1" applyFont="1" applyFill="1"/>
    <xf numFmtId="0" fontId="62" fillId="0" borderId="0" xfId="15" applyFont="1" applyFill="1" applyAlignment="1">
      <alignment horizontal="center"/>
    </xf>
    <xf numFmtId="0" fontId="62" fillId="0" borderId="0" xfId="14" applyFont="1" applyFill="1"/>
    <xf numFmtId="3" fontId="62" fillId="0" borderId="5" xfId="0" applyNumberFormat="1" applyFont="1" applyFill="1" applyBorder="1"/>
    <xf numFmtId="10" fontId="62" fillId="0" borderId="5" xfId="0" applyNumberFormat="1" applyFont="1" applyFill="1" applyBorder="1"/>
    <xf numFmtId="9" fontId="62" fillId="0" borderId="0" xfId="0" applyNumberFormat="1" applyFont="1" applyFill="1"/>
    <xf numFmtId="3" fontId="49" fillId="0" borderId="0" xfId="0" applyNumberFormat="1" applyFont="1" applyFill="1" applyAlignment="1">
      <alignment horizontal="centerContinuous"/>
    </xf>
    <xf numFmtId="3" fontId="65" fillId="0" borderId="0" xfId="8" applyNumberFormat="1" applyFont="1" applyFill="1"/>
    <xf numFmtId="3" fontId="56" fillId="0" borderId="0" xfId="8" applyNumberFormat="1" applyFont="1" applyFill="1" applyAlignment="1">
      <alignment horizontal="left" indent="1"/>
    </xf>
    <xf numFmtId="3" fontId="49" fillId="0" borderId="5" xfId="0" applyNumberFormat="1" applyFont="1" applyFill="1" applyBorder="1"/>
    <xf numFmtId="3" fontId="66" fillId="0" borderId="0" xfId="8" applyNumberFormat="1" applyFont="1" applyFill="1"/>
    <xf numFmtId="3" fontId="56" fillId="0" borderId="0" xfId="8" applyNumberFormat="1" applyFont="1" applyFill="1"/>
    <xf numFmtId="3" fontId="67" fillId="0" borderId="0" xfId="0" applyNumberFormat="1" applyFont="1" applyFill="1" applyAlignment="1">
      <alignment horizontal="center"/>
    </xf>
    <xf numFmtId="10" fontId="49" fillId="0" borderId="0" xfId="0" applyNumberFormat="1" applyFont="1" applyFill="1"/>
    <xf numFmtId="3" fontId="47" fillId="0" borderId="0" xfId="0" applyNumberFormat="1" applyFont="1" applyFill="1" applyAlignment="1">
      <alignment horizontal="center"/>
    </xf>
    <xf numFmtId="3" fontId="49" fillId="0" borderId="29" xfId="0" applyNumberFormat="1" applyFont="1" applyFill="1" applyBorder="1"/>
    <xf numFmtId="4" fontId="48" fillId="0" borderId="0" xfId="0" applyNumberFormat="1" applyFont="1" applyFill="1" applyAlignment="1">
      <alignment horizontal="centerContinuous"/>
    </xf>
    <xf numFmtId="4" fontId="48" fillId="0" borderId="0" xfId="0" applyNumberFormat="1" applyFont="1" applyFill="1" applyAlignment="1">
      <alignment horizontal="center"/>
    </xf>
    <xf numFmtId="4" fontId="48" fillId="0" borderId="5" xfId="0" applyNumberFormat="1" applyFont="1" applyFill="1" applyBorder="1"/>
    <xf numFmtId="43" fontId="50" fillId="0" borderId="24" xfId="18" applyFont="1" applyFill="1" applyBorder="1"/>
    <xf numFmtId="14" fontId="49" fillId="0" borderId="0" xfId="12" applyNumberFormat="1" applyFont="1" applyFill="1" applyAlignment="1">
      <alignment horizontal="center"/>
    </xf>
    <xf numFmtId="2" fontId="49" fillId="0" borderId="0" xfId="12" applyNumberFormat="1" applyFont="1" applyFill="1"/>
    <xf numFmtId="174" fontId="49" fillId="0" borderId="0" xfId="12" applyNumberFormat="1" applyFont="1" applyFill="1"/>
    <xf numFmtId="174" fontId="71" fillId="0" borderId="0" xfId="12" applyNumberFormat="1" applyFont="1" applyFill="1"/>
    <xf numFmtId="0" fontId="71" fillId="0" borderId="0" xfId="12" applyFont="1" applyFill="1"/>
    <xf numFmtId="14" fontId="50" fillId="0" borderId="0" xfId="12" applyNumberFormat="1" applyFont="1" applyFill="1" applyAlignment="1">
      <alignment horizontal="center"/>
    </xf>
    <xf numFmtId="0" fontId="50" fillId="0" borderId="0" xfId="12" applyFont="1" applyFill="1"/>
    <xf numFmtId="174" fontId="50" fillId="0" borderId="0" xfId="12" applyNumberFormat="1" applyFont="1" applyFill="1"/>
    <xf numFmtId="0" fontId="49" fillId="0" borderId="0" xfId="0" applyFont="1" applyFill="1" applyAlignment="1">
      <alignment horizontal="center"/>
    </xf>
    <xf numFmtId="0" fontId="51" fillId="0" borderId="0" xfId="0" applyFont="1" applyFill="1" applyAlignment="1">
      <alignment horizontal="right"/>
    </xf>
    <xf numFmtId="0" fontId="49" fillId="0" borderId="0" xfId="0" applyFont="1" applyFill="1" applyAlignment="1">
      <alignment horizontal="centerContinuous"/>
    </xf>
    <xf numFmtId="0" fontId="51" fillId="0" borderId="0" xfId="0" applyFont="1" applyFill="1" applyAlignment="1">
      <alignment horizontal="center"/>
    </xf>
    <xf numFmtId="0" fontId="51" fillId="0" borderId="0" xfId="0" applyFont="1" applyFill="1" applyAlignment="1">
      <alignment horizontal="center" wrapText="1"/>
    </xf>
    <xf numFmtId="0" fontId="51" fillId="0" borderId="0" xfId="0" applyFont="1" applyFill="1"/>
    <xf numFmtId="0" fontId="51" fillId="0" borderId="0" xfId="0" applyFont="1" applyFill="1" applyAlignment="1">
      <alignment wrapText="1"/>
    </xf>
    <xf numFmtId="17" fontId="49" fillId="0" borderId="0" xfId="0" applyNumberFormat="1" applyFont="1" applyFill="1" applyAlignment="1">
      <alignment horizontal="center"/>
    </xf>
    <xf numFmtId="174" fontId="49" fillId="0" borderId="0" xfId="0" applyNumberFormat="1" applyFont="1" applyFill="1"/>
    <xf numFmtId="0" fontId="71" fillId="0" borderId="0" xfId="12" applyFont="1" applyFill="1" applyAlignment="1">
      <alignment horizontal="center"/>
    </xf>
    <xf numFmtId="0" fontId="50" fillId="0" borderId="0" xfId="12" applyFont="1" applyFill="1" applyAlignment="1">
      <alignment horizontal="center"/>
    </xf>
    <xf numFmtId="14" fontId="49" fillId="0" borderId="0" xfId="0" applyNumberFormat="1" applyFont="1" applyFill="1" applyAlignment="1">
      <alignment horizontal="center"/>
    </xf>
    <xf numFmtId="0" fontId="49" fillId="0" borderId="0" xfId="12" applyFont="1" applyFill="1"/>
    <xf numFmtId="176" fontId="49" fillId="0" borderId="0" xfId="0" applyNumberFormat="1" applyFont="1" applyFill="1" applyAlignment="1">
      <alignment horizontal="center"/>
    </xf>
    <xf numFmtId="176" fontId="71" fillId="0" borderId="0" xfId="12" applyNumberFormat="1" applyFont="1" applyFill="1" applyAlignment="1">
      <alignment horizontal="center"/>
    </xf>
    <xf numFmtId="174" fontId="51" fillId="0" borderId="0" xfId="0" applyNumberFormat="1" applyFont="1" applyFill="1" applyAlignment="1">
      <alignment horizontal="center"/>
    </xf>
    <xf numFmtId="174" fontId="49" fillId="0" borderId="0" xfId="0" applyNumberFormat="1" applyFont="1" applyFill="1" applyAlignment="1">
      <alignment horizontal="center"/>
    </xf>
    <xf numFmtId="174" fontId="0" fillId="0" borderId="0" xfId="0" applyNumberFormat="1" applyFill="1"/>
    <xf numFmtId="4" fontId="49" fillId="0" borderId="0" xfId="12" applyNumberFormat="1" applyFont="1" applyFill="1"/>
    <xf numFmtId="174" fontId="49" fillId="0" borderId="5" xfId="0" applyNumberFormat="1" applyFont="1" applyFill="1" applyBorder="1"/>
    <xf numFmtId="0" fontId="49" fillId="0" borderId="0" xfId="0" applyFont="1" applyFill="1" applyAlignment="1">
      <alignment horizontal="left"/>
    </xf>
    <xf numFmtId="4" fontId="49" fillId="0" borderId="5" xfId="0" applyNumberFormat="1" applyFont="1" applyFill="1" applyBorder="1"/>
    <xf numFmtId="0" fontId="49" fillId="0" borderId="5" xfId="0" applyFont="1" applyFill="1" applyBorder="1"/>
    <xf numFmtId="0" fontId="49" fillId="0" borderId="0" xfId="12" applyFont="1" applyFill="1" applyAlignment="1">
      <alignment horizontal="center"/>
    </xf>
    <xf numFmtId="3" fontId="41" fillId="2" borderId="0" xfId="0" applyNumberFormat="1" applyFont="1"/>
    <xf numFmtId="10" fontId="41" fillId="2" borderId="0" xfId="0" applyNumberFormat="1" applyFont="1"/>
    <xf numFmtId="0" fontId="72" fillId="0" borderId="0" xfId="0" applyNumberFormat="1" applyFont="1" applyFill="1"/>
    <xf numFmtId="0" fontId="73" fillId="0" borderId="0" xfId="0" applyFont="1" applyFill="1"/>
    <xf numFmtId="3" fontId="0" fillId="0" borderId="0" xfId="0" applyNumberFormat="1" applyFill="1"/>
    <xf numFmtId="3" fontId="49" fillId="0" borderId="0" xfId="0" applyNumberFormat="1" applyFont="1" applyFill="1" applyBorder="1"/>
    <xf numFmtId="0" fontId="74" fillId="0" borderId="0" xfId="0" applyNumberFormat="1" applyFont="1" applyFill="1"/>
    <xf numFmtId="3" fontId="74" fillId="0" borderId="0" xfId="0" applyNumberFormat="1" applyFont="1" applyFill="1"/>
    <xf numFmtId="0" fontId="74" fillId="0" borderId="0" xfId="0" applyFont="1" applyFill="1" applyAlignment="1">
      <alignment horizontal="centerContinuous"/>
    </xf>
    <xf numFmtId="0" fontId="74" fillId="0" borderId="0" xfId="0" applyNumberFormat="1" applyFont="1" applyFill="1" applyAlignment="1">
      <alignment horizontal="centerContinuous"/>
    </xf>
    <xf numFmtId="0" fontId="74" fillId="0" borderId="0" xfId="0" applyFont="1" applyFill="1"/>
    <xf numFmtId="3" fontId="74" fillId="0" borderId="5" xfId="0" applyNumberFormat="1" applyFont="1" applyFill="1" applyBorder="1"/>
    <xf numFmtId="3" fontId="74" fillId="0" borderId="29" xfId="0" applyNumberFormat="1" applyFont="1" applyFill="1" applyBorder="1"/>
    <xf numFmtId="0" fontId="75" fillId="0" borderId="0" xfId="0" applyFont="1" applyFill="1" applyAlignment="1">
      <alignment horizontal="centerContinuous"/>
    </xf>
    <xf numFmtId="0" fontId="75" fillId="0" borderId="0" xfId="0" applyFont="1" applyFill="1"/>
    <xf numFmtId="0" fontId="75" fillId="0" borderId="0" xfId="0" applyFont="1" applyFill="1" applyAlignment="1">
      <alignment horizontal="center"/>
    </xf>
    <xf numFmtId="2" fontId="75" fillId="0" borderId="0" xfId="0" applyNumberFormat="1" applyFont="1" applyFill="1" applyAlignment="1">
      <alignment horizontal="centerContinuous"/>
    </xf>
    <xf numFmtId="4" fontId="75" fillId="0" borderId="0" xfId="0" applyNumberFormat="1" applyFont="1" applyFill="1"/>
    <xf numFmtId="4" fontId="75" fillId="0" borderId="5" xfId="0" applyNumberFormat="1" applyFont="1" applyFill="1" applyBorder="1"/>
    <xf numFmtId="4" fontId="0" fillId="0" borderId="0" xfId="0" applyNumberFormat="1" applyFill="1"/>
    <xf numFmtId="0" fontId="72" fillId="0" borderId="0" xfId="0" applyFont="1" applyFill="1"/>
    <xf numFmtId="0" fontId="49" fillId="0" borderId="0" xfId="0" applyNumberFormat="1" applyFont="1" applyFill="1"/>
    <xf numFmtId="0" fontId="49" fillId="0" borderId="0" xfId="0" applyFont="1" applyFill="1" applyAlignment="1">
      <alignment horizontal="center" wrapText="1"/>
    </xf>
    <xf numFmtId="4" fontId="49" fillId="0" borderId="0" xfId="0" applyNumberFormat="1" applyFont="1" applyFill="1"/>
    <xf numFmtId="177" fontId="49" fillId="0" borderId="0" xfId="0" applyNumberFormat="1" applyFont="1" applyFill="1"/>
    <xf numFmtId="4" fontId="62" fillId="0" borderId="0" xfId="0" applyNumberFormat="1" applyFont="1" applyFill="1"/>
    <xf numFmtId="0" fontId="51" fillId="2" borderId="0" xfId="0" applyFont="1" applyAlignment="1">
      <alignment horizontal="centerContinuous"/>
    </xf>
    <xf numFmtId="37" fontId="49" fillId="0" borderId="0" xfId="13" applyNumberFormat="1" applyFont="1" applyAlignment="1">
      <alignment horizontal="centerContinuous"/>
    </xf>
    <xf numFmtId="41" fontId="49" fillId="3" borderId="0" xfId="7" applyFont="1" applyAlignment="1">
      <alignment horizontal="centerContinuous"/>
    </xf>
    <xf numFmtId="0" fontId="49" fillId="0" borderId="0" xfId="13" applyFont="1" applyAlignment="1">
      <alignment horizontal="centerContinuous"/>
    </xf>
    <xf numFmtId="0" fontId="49" fillId="2" borderId="0" xfId="0" applyFont="1"/>
    <xf numFmtId="10" fontId="49" fillId="2" borderId="0" xfId="0" applyNumberFormat="1" applyFont="1"/>
    <xf numFmtId="0" fontId="49" fillId="2" borderId="0" xfId="0" applyFont="1" applyAlignment="1">
      <alignment horizontal="centerContinuous"/>
    </xf>
    <xf numFmtId="37" fontId="49" fillId="0" borderId="0" xfId="13" applyNumberFormat="1" applyFont="1"/>
    <xf numFmtId="37" fontId="49" fillId="0" borderId="0" xfId="13" applyNumberFormat="1" applyFont="1" applyAlignment="1">
      <alignment horizontal="center"/>
    </xf>
    <xf numFmtId="37" fontId="49" fillId="0" borderId="5" xfId="13" applyNumberFormat="1" applyFont="1" applyBorder="1" applyAlignment="1">
      <alignment horizontal="center"/>
    </xf>
    <xf numFmtId="37" fontId="49" fillId="0" borderId="0" xfId="13" applyNumberFormat="1" applyFont="1" applyAlignment="1">
      <alignment horizontal="left"/>
    </xf>
    <xf numFmtId="37" fontId="49" fillId="0" borderId="0" xfId="13" applyNumberFormat="1" applyFont="1" applyAlignment="1">
      <alignment horizontal="right"/>
    </xf>
    <xf numFmtId="39" fontId="49" fillId="0" borderId="0" xfId="13" applyNumberFormat="1" applyFont="1"/>
    <xf numFmtId="39" fontId="49" fillId="0" borderId="0" xfId="7" applyNumberFormat="1" applyFont="1" applyFill="1" applyAlignment="1"/>
    <xf numFmtId="169" fontId="49" fillId="0" borderId="0" xfId="7" applyNumberFormat="1" applyFont="1" applyFill="1" applyAlignment="1"/>
    <xf numFmtId="37" fontId="49" fillId="0" borderId="5" xfId="13" applyNumberFormat="1" applyFont="1" applyBorder="1"/>
    <xf numFmtId="169" fontId="49" fillId="0" borderId="5" xfId="7" applyNumberFormat="1" applyFont="1" applyFill="1" applyBorder="1" applyAlignment="1"/>
    <xf numFmtId="169" fontId="49" fillId="3" borderId="5" xfId="7" applyNumberFormat="1" applyFont="1" applyBorder="1" applyAlignment="1"/>
    <xf numFmtId="0" fontId="49" fillId="0" borderId="0" xfId="13" applyFont="1"/>
    <xf numFmtId="37" fontId="47" fillId="0" borderId="0" xfId="13" applyNumberFormat="1" applyFont="1"/>
    <xf numFmtId="41" fontId="49" fillId="3" borderId="0" xfId="7" applyFont="1" applyAlignment="1"/>
    <xf numFmtId="37" fontId="47" fillId="0" borderId="0" xfId="13" applyNumberFormat="1" applyFont="1" applyAlignment="1">
      <alignment horizontal="centerContinuous"/>
    </xf>
    <xf numFmtId="0" fontId="47" fillId="0" borderId="0" xfId="13" applyFont="1" applyAlignment="1">
      <alignment horizontal="centerContinuous"/>
    </xf>
    <xf numFmtId="41" fontId="47" fillId="3" borderId="0" xfId="7" applyFont="1" applyAlignment="1">
      <alignment horizontal="centerContinuous"/>
    </xf>
    <xf numFmtId="0" fontId="47" fillId="2" borderId="0" xfId="0" applyFont="1" applyAlignment="1">
      <alignment horizontal="centerContinuous"/>
    </xf>
    <xf numFmtId="1" fontId="49" fillId="2" borderId="0" xfId="0" applyNumberFormat="1" applyFont="1"/>
    <xf numFmtId="39" fontId="49" fillId="0" borderId="5" xfId="13" applyNumberFormat="1" applyFont="1" applyBorder="1"/>
    <xf numFmtId="3" fontId="49" fillId="2" borderId="5" xfId="0" applyNumberFormat="1" applyFont="1" applyBorder="1"/>
    <xf numFmtId="0" fontId="49" fillId="2" borderId="5" xfId="0" applyFont="1" applyBorder="1"/>
    <xf numFmtId="37" fontId="49" fillId="2" borderId="0" xfId="0" applyNumberFormat="1" applyFont="1"/>
    <xf numFmtId="0" fontId="76" fillId="0" borderId="0" xfId="0" applyFont="1" applyFill="1" applyAlignment="1">
      <alignment horizontal="centerContinuous"/>
    </xf>
    <xf numFmtId="0" fontId="51" fillId="0" borderId="0" xfId="0" applyFont="1" applyFill="1" applyAlignment="1">
      <alignment horizontal="centerContinuous"/>
    </xf>
    <xf numFmtId="37" fontId="75" fillId="0" borderId="0" xfId="13" applyNumberFormat="1" applyFont="1" applyFill="1" applyAlignment="1">
      <alignment horizontal="left"/>
    </xf>
    <xf numFmtId="37" fontId="75" fillId="0" borderId="0" xfId="13" applyNumberFormat="1" applyFont="1" applyFill="1"/>
    <xf numFmtId="37" fontId="75" fillId="0" borderId="0" xfId="13" quotePrefix="1" applyNumberFormat="1" applyFont="1" applyFill="1" applyAlignment="1">
      <alignment horizontal="left"/>
    </xf>
    <xf numFmtId="37" fontId="75" fillId="0" borderId="0" xfId="13" applyNumberFormat="1" applyFont="1" applyFill="1" applyAlignment="1">
      <alignment horizontal="center"/>
    </xf>
    <xf numFmtId="37" fontId="75" fillId="0" borderId="5" xfId="13" applyNumberFormat="1" applyFont="1" applyFill="1" applyBorder="1" applyAlignment="1">
      <alignment horizontal="center"/>
    </xf>
    <xf numFmtId="37" fontId="75" fillId="0" borderId="0" xfId="13" applyNumberFormat="1" applyFont="1" applyFill="1" applyAlignment="1">
      <alignment horizontal="right"/>
    </xf>
    <xf numFmtId="39" fontId="75" fillId="0" borderId="0" xfId="13" applyNumberFormat="1" applyFont="1" applyFill="1"/>
    <xf numFmtId="10" fontId="75" fillId="0" borderId="0" xfId="13" applyNumberFormat="1" applyFont="1" applyFill="1"/>
    <xf numFmtId="1" fontId="49" fillId="0" borderId="0" xfId="0" applyNumberFormat="1" applyFont="1" applyFill="1"/>
    <xf numFmtId="37" fontId="49" fillId="0" borderId="0" xfId="13" applyNumberFormat="1" applyFont="1" applyFill="1"/>
    <xf numFmtId="37" fontId="0" fillId="0" borderId="0" xfId="0" applyNumberFormat="1" applyFill="1"/>
    <xf numFmtId="178" fontId="75" fillId="0" borderId="0" xfId="13" applyNumberFormat="1" applyFont="1" applyFill="1"/>
    <xf numFmtId="4" fontId="75" fillId="0" borderId="0" xfId="13" applyNumberFormat="1" applyFont="1" applyFill="1"/>
    <xf numFmtId="37" fontId="75" fillId="0" borderId="5" xfId="13" applyNumberFormat="1" applyFont="1" applyFill="1" applyBorder="1"/>
    <xf numFmtId="0" fontId="77" fillId="0" borderId="0" xfId="0" applyFont="1" applyFill="1"/>
    <xf numFmtId="37" fontId="77" fillId="0" borderId="0" xfId="0" applyNumberFormat="1" applyFont="1" applyFill="1"/>
    <xf numFmtId="3" fontId="75" fillId="0" borderId="0" xfId="13" applyNumberFormat="1" applyFont="1" applyFill="1"/>
    <xf numFmtId="175" fontId="75" fillId="0" borderId="0" xfId="4" applyNumberFormat="1" applyFont="1" applyFill="1"/>
    <xf numFmtId="37" fontId="78" fillId="0" borderId="5" xfId="13" applyNumberFormat="1" applyFont="1" applyFill="1" applyBorder="1" applyAlignment="1">
      <alignment horizontal="left"/>
    </xf>
    <xf numFmtId="39" fontId="75" fillId="0" borderId="5" xfId="13" applyNumberFormat="1" applyFont="1" applyFill="1" applyBorder="1"/>
    <xf numFmtId="37" fontId="75" fillId="0" borderId="39" xfId="13" applyNumberFormat="1" applyFont="1" applyFill="1" applyBorder="1"/>
    <xf numFmtId="37" fontId="78" fillId="0" borderId="0" xfId="13" applyNumberFormat="1" applyFont="1" applyFill="1" applyAlignment="1">
      <alignment horizontal="center"/>
    </xf>
    <xf numFmtId="37" fontId="79" fillId="0" borderId="0" xfId="13" applyNumberFormat="1" applyFont="1" applyFill="1" applyAlignment="1">
      <alignment horizontal="left"/>
    </xf>
    <xf numFmtId="0" fontId="80" fillId="0" borderId="0" xfId="0" applyFont="1" applyFill="1" applyAlignment="1">
      <alignment horizontal="left"/>
    </xf>
    <xf numFmtId="4" fontId="62" fillId="0" borderId="5" xfId="0" applyNumberFormat="1" applyFont="1" applyFill="1" applyBorder="1"/>
    <xf numFmtId="0" fontId="81" fillId="0" borderId="0" xfId="0" applyFont="1" applyFill="1"/>
    <xf numFmtId="173" fontId="62" fillId="0" borderId="0" xfId="0" applyNumberFormat="1" applyFont="1" applyFill="1"/>
    <xf numFmtId="174" fontId="62" fillId="0" borderId="0" xfId="0" applyNumberFormat="1" applyFont="1" applyFill="1"/>
    <xf numFmtId="0" fontId="81" fillId="0" borderId="0" xfId="0" applyFont="1" applyFill="1" applyAlignment="1">
      <alignment horizontal="center" wrapText="1"/>
    </xf>
    <xf numFmtId="0" fontId="81" fillId="0" borderId="0" xfId="0" applyFont="1" applyFill="1" applyAlignment="1">
      <alignment horizontal="center"/>
    </xf>
    <xf numFmtId="4" fontId="81" fillId="0" borderId="39" xfId="0" applyNumberFormat="1" applyFont="1" applyFill="1" applyBorder="1" applyAlignment="1">
      <alignment horizontal="right"/>
    </xf>
    <xf numFmtId="4" fontId="81" fillId="0" borderId="0" xfId="0" applyNumberFormat="1" applyFont="1" applyFill="1"/>
    <xf numFmtId="0" fontId="62" fillId="0" borderId="0" xfId="0" applyNumberFormat="1" applyFont="1" applyFill="1"/>
    <xf numFmtId="0" fontId="62" fillId="0" borderId="0" xfId="0" applyFont="1" applyFill="1" applyAlignment="1">
      <alignment horizontal="center" wrapText="1"/>
    </xf>
    <xf numFmtId="0" fontId="62" fillId="0" borderId="0" xfId="0" applyNumberFormat="1" applyFont="1" applyFill="1" applyAlignment="1">
      <alignment horizontal="center" wrapText="1"/>
    </xf>
    <xf numFmtId="4" fontId="62" fillId="0" borderId="0" xfId="0" applyNumberFormat="1" applyFont="1" applyFill="1" applyAlignment="1">
      <alignment horizontal="center" wrapText="1"/>
    </xf>
    <xf numFmtId="0" fontId="62" fillId="2" borderId="0" xfId="0" applyNumberFormat="1" applyFont="1"/>
    <xf numFmtId="0" fontId="81" fillId="0" borderId="0" xfId="0" applyNumberFormat="1" applyFont="1" applyFill="1" applyAlignment="1">
      <alignment horizontal="center"/>
    </xf>
    <xf numFmtId="0" fontId="82" fillId="0" borderId="0" xfId="0" applyNumberFormat="1" applyFont="1" applyFill="1" applyAlignment="1">
      <alignment horizontal="centerContinuous"/>
    </xf>
    <xf numFmtId="49" fontId="37" fillId="0" borderId="0" xfId="0" applyNumberFormat="1" applyFont="1" applyFill="1" applyAlignment="1">
      <alignment horizontal="center"/>
    </xf>
    <xf numFmtId="49" fontId="37" fillId="0" borderId="31" xfId="0" applyNumberFormat="1" applyFont="1" applyFill="1" applyBorder="1" applyAlignment="1">
      <alignment horizontal="center"/>
    </xf>
    <xf numFmtId="0" fontId="0" fillId="0" borderId="0" xfId="0" applyFill="1" applyAlignment="1">
      <alignment horizontal="center"/>
    </xf>
    <xf numFmtId="0" fontId="57" fillId="0" borderId="0" xfId="0" applyFont="1" applyFill="1" applyAlignment="1">
      <alignment horizontal="centerContinuous"/>
    </xf>
    <xf numFmtId="0" fontId="44" fillId="0" borderId="0" xfId="0" applyNumberFormat="1" applyFont="1" applyFill="1" applyAlignment="1">
      <alignment horizontal="centerContinuous"/>
    </xf>
    <xf numFmtId="0" fontId="62" fillId="0" borderId="0" xfId="0" applyNumberFormat="1" applyFont="1" applyFill="1" applyAlignment="1">
      <alignment horizontal="center"/>
    </xf>
    <xf numFmtId="0" fontId="85" fillId="0" borderId="0" xfId="0" applyNumberFormat="1" applyFont="1" applyFill="1" applyAlignment="1">
      <alignment horizontal="centerContinuous"/>
    </xf>
    <xf numFmtId="49" fontId="64" fillId="0" borderId="0" xfId="0" applyNumberFormat="1" applyFont="1" applyFill="1" applyAlignment="1">
      <alignment horizontal="center"/>
    </xf>
    <xf numFmtId="0" fontId="64" fillId="0" borderId="0" xfId="0" applyFont="1" applyFill="1" applyAlignment="1">
      <alignment horizontal="center"/>
    </xf>
    <xf numFmtId="0" fontId="63" fillId="0" borderId="0" xfId="0" applyFont="1" applyFill="1"/>
    <xf numFmtId="171" fontId="61" fillId="0" borderId="5" xfId="0" applyNumberFormat="1" applyFont="1" applyFill="1" applyBorder="1"/>
    <xf numFmtId="171" fontId="62" fillId="0" borderId="0" xfId="0" applyNumberFormat="1" applyFont="1" applyFill="1"/>
    <xf numFmtId="0" fontId="72" fillId="2" borderId="0" xfId="0" applyNumberFormat="1" applyFont="1" applyAlignment="1">
      <alignment horizontal="center" vertical="center"/>
    </xf>
    <xf numFmtId="41" fontId="50" fillId="0" borderId="0" xfId="2" applyFont="1" applyFill="1" applyAlignment="1"/>
    <xf numFmtId="10" fontId="50" fillId="0" borderId="0" xfId="3" applyFont="1" applyFill="1"/>
    <xf numFmtId="0" fontId="62" fillId="2" borderId="0" xfId="0" applyFont="1" applyProtection="1">
      <protection locked="0"/>
    </xf>
    <xf numFmtId="43" fontId="62" fillId="0" borderId="0" xfId="18" applyFont="1" applyFill="1" applyProtection="1">
      <protection locked="0"/>
    </xf>
    <xf numFmtId="0" fontId="62" fillId="0" borderId="0" xfId="0" applyFont="1" applyFill="1" applyProtection="1">
      <protection locked="0"/>
    </xf>
    <xf numFmtId="43" fontId="62" fillId="0" borderId="24" xfId="18" applyFont="1" applyFill="1" applyBorder="1" applyProtection="1">
      <protection locked="0"/>
    </xf>
    <xf numFmtId="0" fontId="80" fillId="0" borderId="25" xfId="0" applyFont="1" applyFill="1" applyBorder="1" applyProtection="1">
      <protection locked="0"/>
    </xf>
    <xf numFmtId="14" fontId="62" fillId="0" borderId="0" xfId="0" applyNumberFormat="1" applyFont="1" applyFill="1" applyProtection="1">
      <protection locked="0"/>
    </xf>
    <xf numFmtId="4" fontId="62" fillId="0" borderId="0" xfId="0" applyNumberFormat="1" applyFont="1" applyFill="1" applyProtection="1">
      <protection locked="0"/>
    </xf>
    <xf numFmtId="4" fontId="62" fillId="2" borderId="0" xfId="0" applyNumberFormat="1" applyFont="1" applyProtection="1">
      <protection locked="0"/>
    </xf>
    <xf numFmtId="0" fontId="80" fillId="0" borderId="2"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wrapText="1"/>
      <protection locked="0"/>
    </xf>
    <xf numFmtId="0" fontId="80" fillId="0" borderId="24" xfId="0" applyFont="1" applyFill="1" applyBorder="1" applyAlignment="1" applyProtection="1">
      <alignment horizontal="center" vertical="center" wrapText="1"/>
      <protection locked="0"/>
    </xf>
    <xf numFmtId="0" fontId="62" fillId="0" borderId="24" xfId="0" applyFont="1" applyFill="1" applyBorder="1" applyProtection="1">
      <protection locked="0"/>
    </xf>
    <xf numFmtId="43" fontId="64" fillId="0" borderId="0" xfId="18" applyFont="1" applyFill="1" applyProtection="1">
      <protection locked="0"/>
    </xf>
    <xf numFmtId="9" fontId="62" fillId="0" borderId="24" xfId="17" applyFont="1" applyFill="1" applyBorder="1" applyProtection="1">
      <protection locked="0"/>
    </xf>
    <xf numFmtId="9" fontId="62" fillId="0" borderId="0" xfId="0" applyNumberFormat="1" applyFont="1" applyFill="1" applyProtection="1">
      <protection locked="0"/>
    </xf>
    <xf numFmtId="43" fontId="62" fillId="0" borderId="24" xfId="0" applyNumberFormat="1" applyFont="1" applyFill="1" applyBorder="1" applyProtection="1">
      <protection locked="0"/>
    </xf>
    <xf numFmtId="43" fontId="62" fillId="0" borderId="7" xfId="0" applyNumberFormat="1" applyFont="1" applyFill="1" applyBorder="1" applyProtection="1">
      <protection locked="0"/>
    </xf>
    <xf numFmtId="43" fontId="62" fillId="0" borderId="0" xfId="0" applyNumberFormat="1" applyFont="1" applyFill="1" applyProtection="1">
      <protection locked="0"/>
    </xf>
    <xf numFmtId="43" fontId="62" fillId="0" borderId="0" xfId="18" applyFont="1" applyFill="1" applyBorder="1" applyProtection="1">
      <protection locked="0"/>
    </xf>
    <xf numFmtId="43" fontId="80" fillId="0" borderId="24" xfId="18" applyFont="1" applyFill="1" applyBorder="1" applyProtection="1">
      <protection locked="0"/>
    </xf>
    <xf numFmtId="43" fontId="64" fillId="0" borderId="24" xfId="18" applyFont="1" applyFill="1" applyBorder="1" applyProtection="1">
      <protection locked="0"/>
    </xf>
    <xf numFmtId="0" fontId="80" fillId="0" borderId="0" xfId="0" applyFont="1" applyFill="1" applyProtection="1">
      <protection locked="0"/>
    </xf>
    <xf numFmtId="0" fontId="80" fillId="0" borderId="0" xfId="0" applyFont="1" applyFill="1" applyAlignment="1" applyProtection="1">
      <alignment horizontal="right"/>
      <protection locked="0"/>
    </xf>
    <xf numFmtId="43" fontId="80" fillId="0" borderId="22" xfId="18" applyFont="1" applyFill="1" applyBorder="1" applyProtection="1">
      <protection locked="0"/>
    </xf>
    <xf numFmtId="43" fontId="80" fillId="0" borderId="0" xfId="18" applyFont="1" applyFill="1" applyBorder="1" applyProtection="1">
      <protection locked="0"/>
    </xf>
    <xf numFmtId="43" fontId="80" fillId="0" borderId="22" xfId="0" applyNumberFormat="1" applyFont="1" applyFill="1" applyBorder="1" applyProtection="1">
      <protection locked="0"/>
    </xf>
    <xf numFmtId="43" fontId="80" fillId="0" borderId="0" xfId="0" applyNumberFormat="1" applyFont="1" applyFill="1" applyProtection="1">
      <protection locked="0"/>
    </xf>
    <xf numFmtId="43" fontId="62" fillId="0" borderId="22" xfId="0" applyNumberFormat="1" applyFont="1" applyFill="1" applyBorder="1" applyProtection="1">
      <protection locked="0"/>
    </xf>
    <xf numFmtId="43" fontId="80" fillId="0" borderId="0" xfId="18" applyFont="1" applyFill="1" applyProtection="1">
      <protection locked="0"/>
    </xf>
    <xf numFmtId="9" fontId="62" fillId="0" borderId="0" xfId="18" applyNumberFormat="1" applyFont="1" applyFill="1" applyProtection="1">
      <protection locked="0"/>
    </xf>
    <xf numFmtId="43" fontId="62" fillId="0" borderId="24" xfId="17" applyNumberFormat="1" applyFont="1" applyFill="1" applyBorder="1" applyProtection="1">
      <protection locked="0"/>
    </xf>
    <xf numFmtId="43" fontId="64" fillId="0" borderId="0" xfId="0" applyNumberFormat="1" applyFont="1" applyFill="1" applyProtection="1">
      <protection locked="0"/>
    </xf>
    <xf numFmtId="43" fontId="86" fillId="0" borderId="0" xfId="0" applyNumberFormat="1" applyFont="1" applyFill="1" applyProtection="1">
      <protection locked="0"/>
    </xf>
    <xf numFmtId="43" fontId="87" fillId="0" borderId="24" xfId="0" applyNumberFormat="1" applyFont="1" applyFill="1" applyBorder="1" applyProtection="1">
      <protection locked="0"/>
    </xf>
    <xf numFmtId="43" fontId="87" fillId="0" borderId="0" xfId="0" applyNumberFormat="1" applyFont="1" applyFill="1" applyProtection="1">
      <protection locked="0"/>
    </xf>
    <xf numFmtId="43" fontId="80" fillId="0" borderId="24" xfId="0" applyNumberFormat="1" applyFont="1" applyFill="1" applyBorder="1" applyProtection="1">
      <protection locked="0"/>
    </xf>
    <xf numFmtId="0" fontId="88" fillId="0" borderId="0" xfId="19" applyFont="1" applyFill="1" applyProtection="1">
      <protection locked="0"/>
    </xf>
    <xf numFmtId="0" fontId="87" fillId="0" borderId="0" xfId="0" applyFont="1" applyFill="1" applyAlignment="1" applyProtection="1">
      <alignment horizontal="right"/>
      <protection locked="0"/>
    </xf>
    <xf numFmtId="37" fontId="62" fillId="0" borderId="0" xfId="0" applyNumberFormat="1" applyFont="1" applyFill="1" applyProtection="1">
      <protection locked="0"/>
    </xf>
    <xf numFmtId="4" fontId="80" fillId="0" borderId="0" xfId="0" applyNumberFormat="1" applyFont="1" applyFill="1" applyProtection="1">
      <protection locked="0"/>
    </xf>
    <xf numFmtId="0" fontId="62" fillId="0" borderId="0" xfId="0" applyFont="1" applyFill="1" applyAlignment="1" applyProtection="1">
      <alignment horizontal="right"/>
      <protection locked="0"/>
    </xf>
    <xf numFmtId="4" fontId="62" fillId="0" borderId="11" xfId="0" applyNumberFormat="1" applyFont="1" applyFill="1" applyBorder="1" applyProtection="1">
      <protection locked="0"/>
    </xf>
    <xf numFmtId="43" fontId="62" fillId="0" borderId="40" xfId="0" applyNumberFormat="1" applyFont="1" applyFill="1" applyBorder="1" applyProtection="1">
      <protection locked="0"/>
    </xf>
    <xf numFmtId="43" fontId="62" fillId="0" borderId="30" xfId="0" applyNumberFormat="1" applyFont="1" applyFill="1" applyBorder="1" applyProtection="1">
      <protection locked="0"/>
    </xf>
    <xf numFmtId="43" fontId="89" fillId="7" borderId="24" xfId="0" applyNumberFormat="1" applyFont="1" applyFill="1" applyBorder="1" applyProtection="1">
      <protection locked="0"/>
    </xf>
    <xf numFmtId="43" fontId="80" fillId="0" borderId="5" xfId="0" applyNumberFormat="1" applyFont="1" applyFill="1" applyBorder="1" applyProtection="1">
      <protection locked="0"/>
    </xf>
    <xf numFmtId="49" fontId="61" fillId="0" borderId="0" xfId="0" applyNumberFormat="1" applyFont="1" applyFill="1" applyAlignment="1">
      <alignment wrapText="1"/>
    </xf>
    <xf numFmtId="49" fontId="64" fillId="0" borderId="0" xfId="0" applyNumberFormat="1" applyFont="1" applyFill="1"/>
    <xf numFmtId="49" fontId="90" fillId="0" borderId="0" xfId="0" applyNumberFormat="1" applyFont="1" applyFill="1"/>
    <xf numFmtId="4" fontId="64" fillId="0" borderId="5" xfId="0" applyNumberFormat="1" applyFont="1" applyFill="1" applyBorder="1"/>
    <xf numFmtId="179" fontId="62" fillId="0" borderId="0" xfId="0" applyNumberFormat="1" applyFont="1" applyFill="1"/>
    <xf numFmtId="179" fontId="0" fillId="0" borderId="0" xfId="0" applyNumberFormat="1" applyFill="1"/>
    <xf numFmtId="4" fontId="62" fillId="0" borderId="39" xfId="0" applyNumberFormat="1" applyFont="1" applyFill="1" applyBorder="1"/>
    <xf numFmtId="0" fontId="91" fillId="0" borderId="0" xfId="0" applyNumberFormat="1" applyFont="1" applyFill="1" applyAlignment="1">
      <alignment horizontal="centerContinuous"/>
    </xf>
    <xf numFmtId="49" fontId="49" fillId="0" borderId="0" xfId="0" applyNumberFormat="1" applyFont="1" applyFill="1" applyAlignment="1">
      <alignment horizontal="left"/>
    </xf>
    <xf numFmtId="0" fontId="50" fillId="0" borderId="0" xfId="9" applyFont="1" applyFill="1" applyAlignment="1">
      <alignment horizontal="left"/>
    </xf>
    <xf numFmtId="0" fontId="49" fillId="0" borderId="0" xfId="9" applyFont="1" applyFill="1" applyAlignment="1">
      <alignment horizontal="left"/>
    </xf>
    <xf numFmtId="3" fontId="72" fillId="0" borderId="0" xfId="0" applyNumberFormat="1" applyFont="1" applyFill="1"/>
    <xf numFmtId="3" fontId="50" fillId="0" borderId="0" xfId="9" applyNumberFormat="1" applyFont="1" applyAlignment="1">
      <alignment horizontal="center"/>
    </xf>
    <xf numFmtId="3" fontId="50" fillId="0" borderId="0" xfId="10" applyNumberFormat="1" applyFont="1" applyFill="1" applyAlignment="1">
      <alignment horizontal="center" wrapText="1"/>
    </xf>
    <xf numFmtId="3" fontId="50" fillId="0" borderId="0" xfId="9" applyNumberFormat="1" applyFont="1" applyAlignment="1">
      <alignment horizontal="center" wrapText="1"/>
    </xf>
    <xf numFmtId="3" fontId="0" fillId="0" borderId="0" xfId="9" applyNumberFormat="1" applyFont="1"/>
    <xf numFmtId="3" fontId="0" fillId="2" borderId="0" xfId="0" applyNumberFormat="1"/>
    <xf numFmtId="3" fontId="72" fillId="0" borderId="5" xfId="0" applyNumberFormat="1" applyFont="1" applyFill="1" applyBorder="1"/>
    <xf numFmtId="0" fontId="47" fillId="0" borderId="0" xfId="8" applyFont="1" applyFill="1" applyAlignment="1">
      <alignment horizontal="left" vertical="center"/>
    </xf>
    <xf numFmtId="10" fontId="47" fillId="0" borderId="0" xfId="3" applyFont="1" applyFill="1" applyAlignment="1">
      <alignment horizontal="left" vertical="center"/>
    </xf>
    <xf numFmtId="10" fontId="49" fillId="0" borderId="0" xfId="9" applyNumberFormat="1" applyFont="1"/>
    <xf numFmtId="0" fontId="92" fillId="0" borderId="0" xfId="0" applyNumberFormat="1" applyFont="1" applyFill="1" applyAlignment="1">
      <alignment horizontal="centerContinuous"/>
    </xf>
    <xf numFmtId="0" fontId="91" fillId="0" borderId="0" xfId="0" applyFont="1" applyFill="1"/>
    <xf numFmtId="0" fontId="92" fillId="0" borderId="0" xfId="0" applyFont="1" applyFill="1"/>
    <xf numFmtId="0" fontId="93" fillId="0" borderId="0" xfId="0" applyFont="1" applyFill="1"/>
    <xf numFmtId="3" fontId="74" fillId="0" borderId="39" xfId="0" applyNumberFormat="1" applyFont="1" applyFill="1" applyBorder="1"/>
    <xf numFmtId="49" fontId="74" fillId="0" borderId="0" xfId="0" applyNumberFormat="1" applyFont="1" applyFill="1"/>
    <xf numFmtId="3" fontId="62" fillId="0" borderId="0" xfId="0" applyNumberFormat="1" applyFont="1" applyFill="1" applyProtection="1">
      <protection locked="0"/>
    </xf>
    <xf numFmtId="3" fontId="74" fillId="0" borderId="0" xfId="0" applyNumberFormat="1" applyFont="1" applyFill="1" applyProtection="1">
      <protection locked="0"/>
    </xf>
    <xf numFmtId="43" fontId="80" fillId="0" borderId="0" xfId="0" applyNumberFormat="1" applyFont="1" applyFill="1" applyBorder="1" applyProtection="1">
      <protection locked="0"/>
    </xf>
    <xf numFmtId="37" fontId="74" fillId="0" borderId="0" xfId="0" applyNumberFormat="1" applyFont="1" applyFill="1"/>
    <xf numFmtId="0" fontId="72" fillId="0" borderId="0" xfId="0" applyNumberFormat="1" applyFont="1" applyFill="1" applyAlignment="1">
      <alignment horizontal="center"/>
    </xf>
    <xf numFmtId="4" fontId="49" fillId="0" borderId="0" xfId="0" applyNumberFormat="1" applyFont="1" applyFill="1" applyAlignment="1">
      <alignment horizontal="center"/>
    </xf>
    <xf numFmtId="3" fontId="50" fillId="0" borderId="0" xfId="11" applyNumberFormat="1" applyFont="1" applyFill="1" applyAlignment="1">
      <alignment horizontal="right"/>
    </xf>
    <xf numFmtId="3" fontId="50" fillId="0" borderId="5" xfId="11" applyNumberFormat="1" applyFont="1" applyFill="1" applyBorder="1" applyAlignment="1">
      <alignment horizontal="right"/>
    </xf>
    <xf numFmtId="3" fontId="50" fillId="0" borderId="0" xfId="10" applyNumberFormat="1" applyFont="1" applyFill="1" applyAlignment="1">
      <alignment horizontal="right"/>
    </xf>
    <xf numFmtId="3" fontId="50" fillId="0" borderId="0" xfId="10" applyNumberFormat="1" applyFont="1" applyFill="1" applyAlignment="1">
      <alignment horizontal="right" wrapText="1"/>
    </xf>
    <xf numFmtId="3" fontId="50" fillId="0" borderId="0" xfId="11" applyNumberFormat="1" applyFont="1" applyFill="1" applyBorder="1" applyAlignment="1">
      <alignment horizontal="right"/>
    </xf>
    <xf numFmtId="3" fontId="0" fillId="2" borderId="0" xfId="0" applyNumberFormat="1" applyAlignment="1">
      <alignment horizontal="right"/>
    </xf>
    <xf numFmtId="3" fontId="50" fillId="0" borderId="0" xfId="9" applyNumberFormat="1" applyFont="1" applyBorder="1" applyAlignment="1">
      <alignment horizontal="center"/>
    </xf>
    <xf numFmtId="3" fontId="50" fillId="0" borderId="0" xfId="10" applyNumberFormat="1" applyFont="1" applyFill="1" applyBorder="1" applyAlignment="1">
      <alignment horizontal="center"/>
    </xf>
    <xf numFmtId="0" fontId="74" fillId="0" borderId="0" xfId="0" quotePrefix="1" applyNumberFormat="1" applyFont="1" applyFill="1" applyAlignment="1">
      <alignment horizontal="centerContinuous"/>
    </xf>
    <xf numFmtId="0" fontId="49" fillId="0" borderId="0" xfId="0" applyNumberFormat="1" applyFont="1" applyFill="1" applyAlignment="1">
      <alignment horizontal="centerContinuous"/>
    </xf>
    <xf numFmtId="3" fontId="47" fillId="0" borderId="0" xfId="0" applyNumberFormat="1" applyFont="1" applyFill="1"/>
    <xf numFmtId="0" fontId="35" fillId="0" borderId="0" xfId="16" applyFont="1" applyFill="1"/>
    <xf numFmtId="0" fontId="35" fillId="0" borderId="24" xfId="16" applyFont="1" applyFill="1" applyBorder="1" applyAlignment="1">
      <alignment horizontal="center" vertical="center" wrapText="1"/>
    </xf>
    <xf numFmtId="9" fontId="35" fillId="0" borderId="24" xfId="17" applyFont="1" applyFill="1" applyBorder="1" applyAlignment="1">
      <alignment horizontal="center" vertical="center" wrapText="1"/>
    </xf>
    <xf numFmtId="0" fontId="50" fillId="0" borderId="24" xfId="16" applyFill="1" applyBorder="1"/>
    <xf numFmtId="4" fontId="50" fillId="0" borderId="24" xfId="16" applyNumberFormat="1" applyFill="1" applyBorder="1"/>
    <xf numFmtId="174" fontId="50" fillId="0" borderId="24" xfId="16" applyNumberFormat="1" applyFill="1" applyBorder="1"/>
    <xf numFmtId="0" fontId="35" fillId="0" borderId="24" xfId="16" applyFont="1" applyFill="1" applyBorder="1" applyAlignment="1">
      <alignment horizontal="right" indent="2"/>
    </xf>
    <xf numFmtId="43" fontId="51" fillId="0" borderId="24" xfId="18" applyFont="1" applyFill="1" applyBorder="1"/>
    <xf numFmtId="0" fontId="69" fillId="0" borderId="0" xfId="0" applyFont="1" applyFill="1"/>
    <xf numFmtId="0" fontId="70" fillId="0" borderId="0" xfId="0" applyFont="1" applyFill="1" applyAlignment="1">
      <alignment wrapText="1"/>
    </xf>
    <xf numFmtId="0" fontId="70" fillId="0" borderId="0" xfId="0" applyFont="1" applyFill="1"/>
    <xf numFmtId="41" fontId="70" fillId="0" borderId="0" xfId="2" applyFont="1" applyFill="1" applyAlignment="1"/>
    <xf numFmtId="39" fontId="2" fillId="0" borderId="0" xfId="2" applyNumberFormat="1" applyFont="1" applyFill="1" applyAlignment="1"/>
    <xf numFmtId="39" fontId="50" fillId="0" borderId="0" xfId="2" applyNumberFormat="1" applyFont="1" applyFill="1" applyAlignment="1"/>
    <xf numFmtId="39" fontId="50" fillId="0" borderId="5" xfId="2" applyNumberFormat="1" applyFont="1" applyFill="1" applyBorder="1" applyAlignment="1"/>
    <xf numFmtId="0" fontId="1" fillId="0" borderId="0" xfId="20"/>
    <xf numFmtId="2" fontId="83" fillId="0" borderId="0" xfId="20" applyNumberFormat="1" applyFont="1"/>
    <xf numFmtId="4" fontId="83" fillId="0" borderId="0" xfId="20" applyNumberFormat="1" applyFont="1"/>
    <xf numFmtId="43" fontId="83" fillId="0" borderId="0" xfId="21" applyFont="1"/>
    <xf numFmtId="169" fontId="83" fillId="0" borderId="0" xfId="21" applyNumberFormat="1" applyFont="1"/>
    <xf numFmtId="0" fontId="83" fillId="0" borderId="0" xfId="20" applyFont="1"/>
    <xf numFmtId="14" fontId="83" fillId="0" borderId="0" xfId="20" applyNumberFormat="1" applyFont="1"/>
    <xf numFmtId="4" fontId="83" fillId="0" borderId="5" xfId="20" applyNumberFormat="1" applyFont="1" applyBorder="1"/>
    <xf numFmtId="43" fontId="49" fillId="0" borderId="0" xfId="21" applyFont="1"/>
    <xf numFmtId="43" fontId="83" fillId="0" borderId="0" xfId="20" applyNumberFormat="1" applyFont="1"/>
    <xf numFmtId="2" fontId="1" fillId="0" borderId="0" xfId="20" applyNumberFormat="1"/>
    <xf numFmtId="43" fontId="65" fillId="0" borderId="5" xfId="21" applyFont="1" applyBorder="1"/>
    <xf numFmtId="43" fontId="65" fillId="0" borderId="5" xfId="21" applyFont="1" applyBorder="1" applyAlignment="1">
      <alignment horizontal="center" wrapText="1"/>
    </xf>
    <xf numFmtId="43" fontId="65" fillId="0" borderId="5" xfId="21" applyFont="1" applyBorder="1" applyAlignment="1">
      <alignment horizontal="center"/>
    </xf>
    <xf numFmtId="2" fontId="49" fillId="0" borderId="0" xfId="20" applyNumberFormat="1" applyFont="1"/>
    <xf numFmtId="0" fontId="49" fillId="0" borderId="0" xfId="20" applyFont="1"/>
    <xf numFmtId="43" fontId="49" fillId="0" borderId="0" xfId="20" applyNumberFormat="1" applyFont="1"/>
    <xf numFmtId="43" fontId="83" fillId="0" borderId="0" xfId="21" applyFont="1" applyBorder="1"/>
    <xf numFmtId="2" fontId="94" fillId="0" borderId="0" xfId="20" applyNumberFormat="1" applyFont="1" applyAlignment="1">
      <alignment horizontal="center"/>
    </xf>
    <xf numFmtId="0" fontId="95" fillId="0" borderId="0" xfId="20" applyFont="1" applyAlignment="1">
      <alignment horizontal="center"/>
    </xf>
    <xf numFmtId="0" fontId="65" fillId="0" borderId="5" xfId="20" applyFont="1" applyBorder="1" applyAlignment="1">
      <alignment horizontal="right"/>
    </xf>
    <xf numFmtId="0" fontId="49" fillId="0" borderId="0" xfId="20" applyFont="1" applyAlignment="1">
      <alignment horizontal="centerContinuous"/>
    </xf>
    <xf numFmtId="0" fontId="51" fillId="0" borderId="0" xfId="20" applyFont="1" applyAlignment="1">
      <alignment horizontal="centerContinuous"/>
    </xf>
    <xf numFmtId="10" fontId="83" fillId="0" borderId="0" xfId="22" applyNumberFormat="1" applyFont="1"/>
    <xf numFmtId="9" fontId="83" fillId="0" borderId="0" xfId="22" applyFont="1"/>
    <xf numFmtId="0" fontId="83" fillId="0" borderId="0" xfId="22" applyNumberFormat="1" applyFont="1"/>
    <xf numFmtId="43" fontId="83" fillId="0" borderId="0" xfId="21" applyFont="1" applyFill="1"/>
    <xf numFmtId="4" fontId="83" fillId="0" borderId="0" xfId="22" applyNumberFormat="1" applyFont="1" applyFill="1"/>
    <xf numFmtId="169" fontId="83" fillId="0" borderId="0" xfId="21" applyNumberFormat="1" applyFont="1" applyFill="1"/>
    <xf numFmtId="0" fontId="16" fillId="0" borderId="0" xfId="23" applyFont="1"/>
    <xf numFmtId="2" fontId="83" fillId="0" borderId="0" xfId="21" applyNumberFormat="1" applyFont="1"/>
    <xf numFmtId="169" fontId="83" fillId="3" borderId="0" xfId="7" applyNumberFormat="1" applyFont="1" applyAlignment="1">
      <alignment horizontal="center"/>
    </xf>
    <xf numFmtId="0" fontId="83" fillId="0" borderId="0" xfId="13" applyFont="1"/>
    <xf numFmtId="0" fontId="83" fillId="0" borderId="5" xfId="13" applyFont="1" applyBorder="1" applyAlignment="1">
      <alignment horizontal="center"/>
    </xf>
    <xf numFmtId="0" fontId="83" fillId="0" borderId="5" xfId="20" applyFont="1" applyBorder="1"/>
    <xf numFmtId="43" fontId="83" fillId="0" borderId="0" xfId="21" applyFont="1" applyAlignment="1">
      <alignment horizontal="center"/>
    </xf>
    <xf numFmtId="0" fontId="96" fillId="0" borderId="0" xfId="20" applyFont="1" applyAlignment="1">
      <alignment horizontal="center"/>
    </xf>
    <xf numFmtId="43" fontId="97" fillId="0" borderId="5" xfId="21" applyFont="1" applyBorder="1"/>
    <xf numFmtId="43" fontId="97" fillId="0" borderId="5" xfId="21" applyFont="1" applyBorder="1" applyAlignment="1">
      <alignment horizontal="center" wrapText="1"/>
    </xf>
    <xf numFmtId="43" fontId="97" fillId="0" borderId="5" xfId="21" applyFont="1" applyBorder="1" applyAlignment="1">
      <alignment horizontal="center"/>
    </xf>
    <xf numFmtId="0" fontId="97" fillId="0" borderId="5" xfId="20" applyFont="1" applyBorder="1" applyAlignment="1">
      <alignment horizontal="right"/>
    </xf>
    <xf numFmtId="0" fontId="1" fillId="0" borderId="0" xfId="20" applyAlignment="1">
      <alignment horizontal="centerContinuous"/>
    </xf>
    <xf numFmtId="0" fontId="35" fillId="0" borderId="0" xfId="20" applyFont="1" applyAlignment="1">
      <alignment horizontal="centerContinuous"/>
    </xf>
    <xf numFmtId="2" fontId="98" fillId="0" borderId="0" xfId="20" applyNumberFormat="1" applyFont="1" applyAlignment="1">
      <alignment horizontal="centerContinuous" vertical="justify"/>
    </xf>
    <xf numFmtId="0" fontId="99" fillId="0" borderId="0" xfId="20" applyFont="1" applyAlignment="1">
      <alignment horizontal="centerContinuous" vertical="justify"/>
    </xf>
    <xf numFmtId="43" fontId="83" fillId="0" borderId="5" xfId="21" applyFont="1" applyBorder="1"/>
    <xf numFmtId="0" fontId="92" fillId="0" borderId="0" xfId="0" applyNumberFormat="1" applyFont="1" applyFill="1" applyAlignment="1">
      <alignment horizontal="center"/>
    </xf>
    <xf numFmtId="0" fontId="49" fillId="0" borderId="0" xfId="0" quotePrefix="1" applyNumberFormat="1" applyFont="1" applyFill="1" applyAlignment="1">
      <alignment horizontal="centerContinuous"/>
    </xf>
    <xf numFmtId="3" fontId="49" fillId="0" borderId="39" xfId="0" applyNumberFormat="1" applyFont="1" applyFill="1" applyBorder="1"/>
    <xf numFmtId="4" fontId="72" fillId="0" borderId="0" xfId="0" applyNumberFormat="1" applyFont="1" applyFill="1"/>
    <xf numFmtId="10" fontId="72" fillId="0" borderId="0" xfId="0" applyNumberFormat="1" applyFont="1" applyFill="1"/>
    <xf numFmtId="0" fontId="49" fillId="0" borderId="5" xfId="0" applyNumberFormat="1" applyFont="1" applyFill="1" applyBorder="1" applyAlignment="1">
      <alignment horizontal="center"/>
    </xf>
    <xf numFmtId="0" fontId="49" fillId="0" borderId="5" xfId="0" applyNumberFormat="1" applyFont="1" applyFill="1" applyBorder="1" applyAlignment="1">
      <alignment horizontal="center" wrapText="1"/>
    </xf>
    <xf numFmtId="0" fontId="43" fillId="0" borderId="0" xfId="8" applyFont="1" applyAlignment="1">
      <alignment horizontal="left" indent="1"/>
    </xf>
    <xf numFmtId="3" fontId="74" fillId="0" borderId="41" xfId="0" applyNumberFormat="1" applyFont="1" applyFill="1" applyBorder="1"/>
    <xf numFmtId="0" fontId="72" fillId="2" borderId="0" xfId="0" applyNumberFormat="1" applyFont="1"/>
    <xf numFmtId="3" fontId="50" fillId="0" borderId="41" xfId="10" applyNumberFormat="1" applyFont="1" applyFill="1" applyBorder="1"/>
    <xf numFmtId="0" fontId="36" fillId="0" borderId="0" xfId="13"/>
    <xf numFmtId="0" fontId="49" fillId="0" borderId="0" xfId="13" applyFont="1" applyAlignment="1">
      <alignment vertical="center" wrapText="1"/>
    </xf>
    <xf numFmtId="0" fontId="49" fillId="0" borderId="0" xfId="13" applyFont="1" applyAlignment="1">
      <alignment wrapText="1"/>
    </xf>
    <xf numFmtId="0" fontId="49" fillId="0" borderId="0" xfId="13" applyFont="1" applyAlignment="1">
      <alignment horizontal="left" wrapText="1"/>
    </xf>
    <xf numFmtId="4" fontId="49" fillId="0" borderId="0" xfId="13" applyNumberFormat="1" applyFont="1"/>
    <xf numFmtId="7" fontId="49" fillId="0" borderId="0" xfId="13" applyNumberFormat="1" applyFont="1"/>
    <xf numFmtId="7" fontId="49" fillId="0" borderId="5" xfId="13" applyNumberFormat="1" applyFont="1" applyBorder="1"/>
    <xf numFmtId="5" fontId="49" fillId="0" borderId="0" xfId="13" applyNumberFormat="1" applyFont="1"/>
    <xf numFmtId="0" fontId="49" fillId="0" borderId="0" xfId="13" applyFont="1" applyAlignment="1">
      <alignment vertical="center"/>
    </xf>
    <xf numFmtId="7" fontId="49" fillId="0" borderId="0" xfId="13" applyNumberFormat="1" applyFont="1" applyAlignment="1">
      <alignment vertical="center"/>
    </xf>
    <xf numFmtId="4" fontId="72" fillId="0" borderId="5" xfId="0" applyNumberFormat="1" applyFont="1" applyFill="1" applyBorder="1"/>
    <xf numFmtId="4" fontId="62" fillId="0" borderId="39" xfId="0" applyNumberFormat="1" applyFont="1" applyFill="1" applyBorder="1" applyAlignment="1">
      <alignment horizontal="right"/>
    </xf>
    <xf numFmtId="0" fontId="0" fillId="4" borderId="0" xfId="0" applyFill="1"/>
    <xf numFmtId="0" fontId="12" fillId="4" borderId="0" xfId="0" applyFont="1" applyFill="1"/>
    <xf numFmtId="0" fontId="12" fillId="4" borderId="8" xfId="0" applyFont="1" applyFill="1" applyBorder="1"/>
    <xf numFmtId="0" fontId="12" fillId="0" borderId="2" xfId="0" applyFont="1" applyFill="1" applyBorder="1"/>
    <xf numFmtId="0" fontId="12" fillId="0" borderId="0" xfId="0" applyFont="1" applyFill="1" applyAlignment="1">
      <alignment horizontal="center"/>
    </xf>
    <xf numFmtId="0" fontId="12" fillId="0" borderId="0" xfId="0" applyFont="1" applyFill="1"/>
    <xf numFmtId="0" fontId="0" fillId="2" borderId="2" xfId="0" applyBorder="1"/>
    <xf numFmtId="0" fontId="11" fillId="2" borderId="7" xfId="0" applyFont="1" applyBorder="1" applyAlignment="1">
      <alignment horizontal="centerContinuous"/>
    </xf>
    <xf numFmtId="0" fontId="11" fillId="2" borderId="17" xfId="0" applyFont="1" applyBorder="1" applyAlignment="1">
      <alignment horizontal="centerContinuous"/>
    </xf>
    <xf numFmtId="0" fontId="0" fillId="2" borderId="17" xfId="0" applyBorder="1" applyAlignment="1">
      <alignment horizontal="centerContinuous"/>
    </xf>
    <xf numFmtId="0" fontId="17" fillId="2" borderId="20" xfId="0" applyFont="1" applyBorder="1"/>
    <xf numFmtId="0" fontId="17" fillId="2" borderId="0" xfId="0" applyFont="1"/>
    <xf numFmtId="0" fontId="33" fillId="2" borderId="0" xfId="0" applyFont="1" applyAlignment="1">
      <alignment horizontal="center"/>
    </xf>
    <xf numFmtId="0" fontId="0" fillId="2" borderId="0" xfId="0" applyAlignment="1">
      <alignment horizontal="center"/>
    </xf>
    <xf numFmtId="0" fontId="0" fillId="7" borderId="0" xfId="0" applyFill="1"/>
    <xf numFmtId="0" fontId="17" fillId="2" borderId="2" xfId="0" applyFont="1" applyBorder="1"/>
    <xf numFmtId="0" fontId="21" fillId="5" borderId="0" xfId="0" applyFont="1" applyFill="1" applyAlignment="1">
      <alignment horizontal="center"/>
    </xf>
    <xf numFmtId="0" fontId="5" fillId="4" borderId="0" xfId="0" applyFont="1" applyFill="1"/>
    <xf numFmtId="0" fontId="20" fillId="2" borderId="9" xfId="0" applyFont="1" applyBorder="1" applyAlignment="1">
      <alignment horizontal="right"/>
    </xf>
    <xf numFmtId="0" fontId="20" fillId="2" borderId="2" xfId="0" applyFont="1" applyBorder="1"/>
    <xf numFmtId="0" fontId="20" fillId="2" borderId="0" xfId="0" applyFont="1"/>
    <xf numFmtId="0" fontId="22" fillId="5" borderId="0" xfId="0" applyFont="1" applyFill="1" applyAlignment="1">
      <alignment horizontal="center"/>
    </xf>
    <xf numFmtId="0" fontId="3" fillId="2" borderId="0" xfId="0" applyFont="1"/>
    <xf numFmtId="0" fontId="20" fillId="2" borderId="4" xfId="0" applyFont="1" applyBorder="1"/>
    <xf numFmtId="0" fontId="21" fillId="5" borderId="5" xfId="0" applyFont="1" applyFill="1" applyBorder="1"/>
    <xf numFmtId="0" fontId="22" fillId="5" borderId="5" xfId="0" applyFont="1" applyFill="1" applyBorder="1" applyAlignment="1">
      <alignment horizontal="center"/>
    </xf>
    <xf numFmtId="0" fontId="22" fillId="5" borderId="5" xfId="0" applyFont="1" applyFill="1" applyBorder="1"/>
    <xf numFmtId="0" fontId="0" fillId="2" borderId="14" xfId="0" applyBorder="1" applyAlignment="1">
      <alignment horizontal="center"/>
    </xf>
    <xf numFmtId="0" fontId="20" fillId="2" borderId="21" xfId="0" applyFont="1" applyBorder="1" applyAlignment="1">
      <alignment horizontal="center"/>
    </xf>
    <xf numFmtId="0" fontId="20" fillId="2" borderId="0" xfId="0" applyFont="1" applyAlignment="1">
      <alignment horizontal="right"/>
    </xf>
    <xf numFmtId="0" fontId="7" fillId="2" borderId="2" xfId="0" applyFont="1" applyBorder="1" applyAlignment="1">
      <alignment horizontal="center"/>
    </xf>
    <xf numFmtId="10" fontId="6" fillId="2" borderId="0" xfId="0" applyNumberFormat="1" applyFont="1"/>
    <xf numFmtId="0" fontId="20" fillId="2" borderId="9" xfId="0" applyFont="1" applyBorder="1" applyAlignment="1">
      <alignment horizontal="center"/>
    </xf>
    <xf numFmtId="0" fontId="0" fillId="2" borderId="2" xfId="0" applyBorder="1" applyAlignment="1">
      <alignment horizontal="center"/>
    </xf>
    <xf numFmtId="41" fontId="20" fillId="2" borderId="41" xfId="0" applyNumberFormat="1" applyFont="1" applyBorder="1"/>
    <xf numFmtId="5" fontId="20" fillId="2" borderId="41" xfId="0" applyNumberFormat="1" applyFont="1" applyBorder="1"/>
    <xf numFmtId="0" fontId="0" fillId="2" borderId="4" xfId="0" applyBorder="1" applyAlignment="1">
      <alignment horizontal="center"/>
    </xf>
    <xf numFmtId="0" fontId="22" fillId="2" borderId="9" xfId="0" applyFont="1" applyBorder="1" applyAlignment="1">
      <alignment horizontal="right"/>
    </xf>
    <xf numFmtId="165" fontId="7" fillId="2" borderId="0" xfId="0" applyNumberFormat="1" applyFont="1"/>
    <xf numFmtId="0" fontId="20" fillId="2" borderId="13" xfId="0" applyFont="1" applyBorder="1" applyAlignment="1">
      <alignment horizontal="right"/>
    </xf>
    <xf numFmtId="0" fontId="20" fillId="2" borderId="42" xfId="5" applyFont="1" applyBorder="1" applyAlignment="1">
      <alignment horizontal="right"/>
    </xf>
    <xf numFmtId="0" fontId="20" fillId="2" borderId="0" xfId="5" applyFont="1" applyAlignment="1">
      <alignment horizontal="right"/>
    </xf>
    <xf numFmtId="0" fontId="30" fillId="2" borderId="0" xfId="5" applyAlignment="1">
      <alignment horizontal="right"/>
    </xf>
    <xf numFmtId="0" fontId="0" fillId="2" borderId="43" xfId="0" applyBorder="1" applyAlignment="1">
      <alignment horizontal="center"/>
    </xf>
    <xf numFmtId="2" fontId="0" fillId="2" borderId="43" xfId="0" applyNumberFormat="1" applyBorder="1" applyAlignment="1">
      <alignment horizontal="center"/>
    </xf>
    <xf numFmtId="165" fontId="0" fillId="2" borderId="44" xfId="0" applyNumberFormat="1" applyBorder="1"/>
    <xf numFmtId="10" fontId="6" fillId="2" borderId="44" xfId="0" applyNumberFormat="1" applyFont="1" applyBorder="1"/>
    <xf numFmtId="41" fontId="0" fillId="2" borderId="45" xfId="0" applyNumberFormat="1" applyBorder="1"/>
    <xf numFmtId="41" fontId="0" fillId="2" borderId="43" xfId="0" applyNumberFormat="1" applyBorder="1"/>
    <xf numFmtId="41" fontId="0" fillId="2" borderId="44" xfId="0" applyNumberFormat="1" applyBorder="1"/>
    <xf numFmtId="0" fontId="17" fillId="2" borderId="0" xfId="5" applyFont="1"/>
    <xf numFmtId="0" fontId="30" fillId="2" borderId="0" xfId="5"/>
    <xf numFmtId="0" fontId="21" fillId="5" borderId="43" xfId="5" applyFont="1" applyFill="1" applyBorder="1" applyAlignment="1">
      <alignment horizontal="left"/>
    </xf>
    <xf numFmtId="0" fontId="30" fillId="2" borderId="44" xfId="5" applyBorder="1"/>
    <xf numFmtId="0" fontId="30" fillId="2" borderId="45" xfId="5" applyBorder="1"/>
    <xf numFmtId="0" fontId="17" fillId="2" borderId="2" xfId="5" applyFont="1" applyBorder="1"/>
    <xf numFmtId="41" fontId="20" fillId="2" borderId="0" xfId="5" applyNumberFormat="1" applyFont="1"/>
    <xf numFmtId="0" fontId="27" fillId="2" borderId="0" xfId="5" applyFont="1" applyAlignment="1">
      <alignment horizontal="left"/>
    </xf>
    <xf numFmtId="0" fontId="15" fillId="4" borderId="0" xfId="0" applyFont="1" applyFill="1"/>
    <xf numFmtId="0" fontId="22" fillId="2" borderId="0" xfId="5" applyFont="1" applyAlignment="1">
      <alignment horizontal="right"/>
    </xf>
    <xf numFmtId="0" fontId="30" fillId="2" borderId="4" xfId="5" applyBorder="1"/>
    <xf numFmtId="0" fontId="30" fillId="2" borderId="5" xfId="5" applyBorder="1"/>
    <xf numFmtId="0" fontId="20" fillId="2" borderId="5" xfId="5" applyFont="1" applyBorder="1" applyAlignment="1">
      <alignment horizontal="right" vertical="center"/>
    </xf>
    <xf numFmtId="0" fontId="30" fillId="2" borderId="6" xfId="5" applyBorder="1"/>
    <xf numFmtId="0" fontId="21" fillId="5" borderId="0" xfId="0" applyFont="1" applyFill="1" applyAlignment="1">
      <alignment horizontal="right"/>
    </xf>
    <xf numFmtId="0" fontId="21" fillId="3" borderId="0" xfId="0" applyFont="1" applyFill="1" applyAlignment="1">
      <alignment horizontal="centerContinuous"/>
    </xf>
    <xf numFmtId="0" fontId="23" fillId="2" borderId="0" xfId="0" applyFont="1" applyAlignment="1">
      <alignment horizontal="right"/>
    </xf>
    <xf numFmtId="0" fontId="23" fillId="2" borderId="0" xfId="0" applyFont="1" applyAlignment="1">
      <alignment horizontal="center"/>
    </xf>
    <xf numFmtId="41" fontId="20" fillId="2" borderId="0" xfId="0" applyNumberFormat="1" applyFont="1" applyProtection="1">
      <protection locked="0"/>
    </xf>
    <xf numFmtId="0" fontId="17" fillId="2" borderId="0" xfId="0" applyFont="1" applyAlignment="1">
      <alignment horizontal="right"/>
    </xf>
    <xf numFmtId="0" fontId="22" fillId="2" borderId="0" xfId="0" applyFont="1" applyAlignment="1">
      <alignment horizontal="center"/>
    </xf>
    <xf numFmtId="0" fontId="26" fillId="2" borderId="0" xfId="0" applyFont="1"/>
    <xf numFmtId="0" fontId="22" fillId="2" borderId="0" xfId="0" applyFont="1"/>
    <xf numFmtId="0" fontId="26" fillId="2" borderId="0" xfId="0" applyFont="1" applyAlignment="1">
      <alignment horizontal="right"/>
    </xf>
    <xf numFmtId="0" fontId="20" fillId="2" borderId="0" xfId="0" quotePrefix="1" applyFont="1" applyAlignment="1">
      <alignment horizontal="left"/>
    </xf>
    <xf numFmtId="0" fontId="18" fillId="2" borderId="0" xfId="0" applyFont="1"/>
    <xf numFmtId="0" fontId="0" fillId="2" borderId="9" xfId="0" applyBorder="1"/>
    <xf numFmtId="0" fontId="24" fillId="2" borderId="0" xfId="0" applyFont="1"/>
    <xf numFmtId="0" fontId="0" fillId="2" borderId="43" xfId="0" applyBorder="1" applyAlignment="1">
      <alignment horizontal="centerContinuous"/>
    </xf>
    <xf numFmtId="0" fontId="0" fillId="2" borderId="45" xfId="0" applyBorder="1" applyAlignment="1">
      <alignment horizontal="centerContinuous"/>
    </xf>
    <xf numFmtId="0" fontId="0" fillId="2" borderId="44" xfId="0" applyBorder="1"/>
    <xf numFmtId="0" fontId="0" fillId="2" borderId="45" xfId="0" applyBorder="1"/>
    <xf numFmtId="0" fontId="22" fillId="2" borderId="5" xfId="0" applyFont="1" applyBorder="1" applyAlignment="1">
      <alignment horizontal="right"/>
    </xf>
    <xf numFmtId="0" fontId="22" fillId="2" borderId="5" xfId="0" applyFont="1" applyBorder="1" applyAlignment="1">
      <alignment horizontal="center"/>
    </xf>
    <xf numFmtId="0" fontId="0" fillId="2" borderId="2" xfId="0" applyBorder="1" applyAlignment="1">
      <alignment horizontal="centerContinuous"/>
    </xf>
    <xf numFmtId="0" fontId="0" fillId="2" borderId="3" xfId="0" applyBorder="1" applyAlignment="1">
      <alignment horizontal="centerContinuous"/>
    </xf>
    <xf numFmtId="0" fontId="0" fillId="2" borderId="3" xfId="0" applyBorder="1"/>
    <xf numFmtId="0" fontId="19" fillId="2" borderId="0" xfId="0" applyFont="1"/>
    <xf numFmtId="169" fontId="20" fillId="2" borderId="0" xfId="0" applyNumberFormat="1" applyFont="1" applyProtection="1">
      <protection locked="0"/>
    </xf>
    <xf numFmtId="0" fontId="0" fillId="2" borderId="3" xfId="0" applyBorder="1" applyAlignment="1">
      <alignment horizontal="center"/>
    </xf>
    <xf numFmtId="0" fontId="0" fillId="2" borderId="0" xfId="0" quotePrefix="1" applyAlignment="1">
      <alignment horizontal="right"/>
    </xf>
    <xf numFmtId="0" fontId="0" fillId="2" borderId="6" xfId="0" applyBorder="1" applyAlignment="1">
      <alignment horizontal="center"/>
    </xf>
    <xf numFmtId="0" fontId="0" fillId="2" borderId="5" xfId="0" applyBorder="1"/>
    <xf numFmtId="0" fontId="0" fillId="2" borderId="6" xfId="0" applyBorder="1"/>
    <xf numFmtId="39" fontId="0" fillId="2" borderId="43" xfId="0" applyNumberFormat="1" applyBorder="1" applyAlignment="1">
      <alignment horizontal="center"/>
    </xf>
    <xf numFmtId="0" fontId="0" fillId="2" borderId="44" xfId="0" quotePrefix="1" applyBorder="1" applyAlignment="1">
      <alignment horizontal="left"/>
    </xf>
    <xf numFmtId="0" fontId="0" fillId="2" borderId="0" xfId="0" quotePrefix="1" applyAlignment="1">
      <alignment horizontal="left"/>
    </xf>
    <xf numFmtId="0" fontId="10" fillId="4" borderId="0" xfId="0" applyFont="1" applyFill="1"/>
    <xf numFmtId="10" fontId="0" fillId="2" borderId="4" xfId="0" applyNumberFormat="1" applyBorder="1" applyAlignment="1">
      <alignment horizontal="center"/>
    </xf>
    <xf numFmtId="0" fontId="9" fillId="2" borderId="6" xfId="0" applyFont="1" applyBorder="1"/>
    <xf numFmtId="0" fontId="9" fillId="4" borderId="0" xfId="0" applyFont="1" applyFill="1"/>
    <xf numFmtId="0" fontId="15" fillId="2" borderId="0" xfId="0" applyFont="1" applyAlignment="1">
      <alignment horizontal="centerContinuous"/>
    </xf>
    <xf numFmtId="0" fontId="0" fillId="2" borderId="0" xfId="0" applyAlignment="1">
      <alignment horizontal="centerContinuous"/>
    </xf>
    <xf numFmtId="0" fontId="0" fillId="4" borderId="0" xfId="0" applyFill="1" applyAlignment="1">
      <alignment horizontal="right"/>
    </xf>
    <xf numFmtId="0" fontId="0" fillId="2" borderId="43" xfId="0" applyBorder="1"/>
    <xf numFmtId="0" fontId="32" fillId="2" borderId="44" xfId="0" applyFont="1" applyBorder="1" applyAlignment="1">
      <alignment horizontal="center"/>
    </xf>
    <xf numFmtId="0" fontId="32" fillId="2" borderId="45" xfId="0" applyFont="1" applyBorder="1" applyAlignment="1">
      <alignment horizontal="center"/>
    </xf>
    <xf numFmtId="0" fontId="0" fillId="2" borderId="43" xfId="0" applyBorder="1" applyAlignment="1">
      <alignment horizontal="left"/>
    </xf>
    <xf numFmtId="167" fontId="14" fillId="2" borderId="44" xfId="0" applyNumberFormat="1" applyFont="1" applyBorder="1" applyAlignment="1">
      <alignment horizontal="center"/>
    </xf>
    <xf numFmtId="0" fontId="0" fillId="2" borderId="44" xfId="0" applyBorder="1" applyAlignment="1">
      <alignment horizontal="left"/>
    </xf>
    <xf numFmtId="167" fontId="14" fillId="2" borderId="45" xfId="0" applyNumberFormat="1" applyFont="1" applyBorder="1" applyAlignment="1">
      <alignment horizontal="center"/>
    </xf>
    <xf numFmtId="10" fontId="0" fillId="2" borderId="0" xfId="0" applyNumberFormat="1"/>
    <xf numFmtId="0" fontId="0" fillId="2" borderId="2" xfId="0" applyBorder="1" applyAlignment="1">
      <alignment horizontal="left"/>
    </xf>
    <xf numFmtId="167" fontId="14" fillId="2" borderId="0" xfId="0" applyNumberFormat="1" applyFont="1" applyAlignment="1">
      <alignment horizontal="center"/>
    </xf>
    <xf numFmtId="0" fontId="0" fillId="2" borderId="0" xfId="0" applyAlignment="1">
      <alignment horizontal="left"/>
    </xf>
    <xf numFmtId="0" fontId="13" fillId="2" borderId="0" xfId="0" applyFont="1" applyAlignment="1">
      <alignment horizontal="centerContinuous"/>
    </xf>
    <xf numFmtId="0" fontId="9" fillId="4" borderId="0" xfId="0" applyFont="1" applyFill="1" applyAlignment="1">
      <alignment horizontal="fill"/>
    </xf>
    <xf numFmtId="10" fontId="29" fillId="3" borderId="0" xfId="3" applyFont="1"/>
    <xf numFmtId="0" fontId="0" fillId="2" borderId="4" xfId="0" applyBorder="1"/>
    <xf numFmtId="0" fontId="0" fillId="2" borderId="5" xfId="0" applyBorder="1" applyAlignment="1">
      <alignment horizontal="right"/>
    </xf>
    <xf numFmtId="0" fontId="4" fillId="2" borderId="44" xfId="0" applyFont="1" applyBorder="1"/>
    <xf numFmtId="0" fontId="4" fillId="2" borderId="2" xfId="0" applyFont="1" applyBorder="1"/>
    <xf numFmtId="0" fontId="4" fillId="2" borderId="0" xfId="0" applyFont="1"/>
    <xf numFmtId="0" fontId="4" fillId="2" borderId="3" xfId="0" applyFont="1" applyBorder="1"/>
    <xf numFmtId="0" fontId="0" fillId="3" borderId="0" xfId="0" applyFill="1"/>
    <xf numFmtId="0" fontId="8" fillId="2" borderId="0" xfId="0" applyFont="1"/>
    <xf numFmtId="0" fontId="11" fillId="2" borderId="47" xfId="0" applyFont="1" applyBorder="1" applyAlignment="1">
      <alignment horizontal="centerContinuous"/>
    </xf>
    <xf numFmtId="0" fontId="11" fillId="2" borderId="48" xfId="0" applyFont="1" applyBorder="1" applyAlignment="1">
      <alignment horizontal="centerContinuous"/>
    </xf>
    <xf numFmtId="0" fontId="0" fillId="2" borderId="48" xfId="0" applyBorder="1" applyAlignment="1">
      <alignment horizontal="centerContinuous"/>
    </xf>
    <xf numFmtId="0" fontId="25" fillId="6" borderId="47" xfId="1" applyNumberFormat="1" applyFont="1" applyBorder="1" applyAlignment="1">
      <alignment horizontal="left"/>
    </xf>
    <xf numFmtId="41" fontId="17" fillId="0" borderId="48" xfId="2" applyFont="1" applyFill="1" applyBorder="1">
      <alignment horizontal="left"/>
    </xf>
    <xf numFmtId="0" fontId="20" fillId="2" borderId="49" xfId="0" applyFont="1" applyBorder="1" applyAlignment="1">
      <alignment horizontal="center"/>
    </xf>
    <xf numFmtId="10" fontId="17" fillId="0" borderId="48" xfId="3" applyFont="1" applyFill="1" applyBorder="1"/>
    <xf numFmtId="41" fontId="20" fillId="2" borderId="46" xfId="0" applyNumberFormat="1" applyFont="1" applyBorder="1"/>
    <xf numFmtId="5" fontId="20" fillId="2" borderId="46" xfId="0" applyNumberFormat="1" applyFont="1" applyBorder="1"/>
    <xf numFmtId="168" fontId="17" fillId="0" borderId="48" xfId="3" applyNumberFormat="1" applyFont="1" applyFill="1" applyBorder="1"/>
    <xf numFmtId="41" fontId="20" fillId="2" borderId="50" xfId="0" applyNumberFormat="1" applyFont="1" applyBorder="1"/>
    <xf numFmtId="0" fontId="20" fillId="2" borderId="51" xfId="5" applyFont="1" applyBorder="1" applyAlignment="1">
      <alignment horizontal="right"/>
    </xf>
    <xf numFmtId="0" fontId="0" fillId="2" borderId="52" xfId="0" applyBorder="1" applyAlignment="1">
      <alignment horizontal="center"/>
    </xf>
    <xf numFmtId="2" fontId="0" fillId="2" borderId="52" xfId="0" applyNumberFormat="1" applyBorder="1" applyAlignment="1">
      <alignment horizontal="center"/>
    </xf>
    <xf numFmtId="165" fontId="0" fillId="2" borderId="53" xfId="0" applyNumberFormat="1" applyBorder="1"/>
    <xf numFmtId="10" fontId="6" fillId="2" borderId="53" xfId="0" applyNumberFormat="1" applyFont="1" applyBorder="1"/>
    <xf numFmtId="41" fontId="0" fillId="2" borderId="54" xfId="0" applyNumberFormat="1" applyBorder="1"/>
    <xf numFmtId="41" fontId="0" fillId="2" borderId="52" xfId="0" applyNumberFormat="1" applyBorder="1"/>
    <xf numFmtId="41" fontId="0" fillId="2" borderId="53" xfId="0" applyNumberFormat="1" applyBorder="1"/>
    <xf numFmtId="0" fontId="21" fillId="5" borderId="52" xfId="5" applyFont="1" applyFill="1" applyBorder="1" applyAlignment="1">
      <alignment horizontal="left"/>
    </xf>
    <xf numFmtId="0" fontId="30" fillId="2" borderId="53" xfId="5" applyBorder="1"/>
    <xf numFmtId="0" fontId="30" fillId="2" borderId="54" xfId="5" applyBorder="1"/>
    <xf numFmtId="0" fontId="0" fillId="2" borderId="52" xfId="0" applyBorder="1" applyAlignment="1">
      <alignment horizontal="centerContinuous"/>
    </xf>
    <xf numFmtId="0" fontId="0" fillId="2" borderId="54" xfId="0" applyBorder="1" applyAlignment="1">
      <alignment horizontal="centerContinuous"/>
    </xf>
    <xf numFmtId="0" fontId="0" fillId="2" borderId="53" xfId="0" applyBorder="1"/>
    <xf numFmtId="0" fontId="0" fillId="2" borderId="54" xfId="0" applyBorder="1"/>
    <xf numFmtId="39" fontId="0" fillId="2" borderId="52" xfId="0" applyNumberFormat="1" applyBorder="1" applyAlignment="1">
      <alignment horizontal="center"/>
    </xf>
    <xf numFmtId="0" fontId="0" fillId="2" borderId="53" xfId="0" quotePrefix="1" applyBorder="1" applyAlignment="1">
      <alignment horizontal="left"/>
    </xf>
    <xf numFmtId="0" fontId="0" fillId="2" borderId="52" xfId="0" applyBorder="1"/>
    <xf numFmtId="0" fontId="32" fillId="2" borderId="53" xfId="0" applyFont="1" applyBorder="1" applyAlignment="1">
      <alignment horizontal="center"/>
    </xf>
    <xf numFmtId="0" fontId="32" fillId="2" borderId="54" xfId="0" applyFont="1" applyBorder="1" applyAlignment="1">
      <alignment horizontal="center"/>
    </xf>
    <xf numFmtId="0" fontId="0" fillId="2" borderId="52" xfId="0" applyBorder="1" applyAlignment="1">
      <alignment horizontal="left"/>
    </xf>
    <xf numFmtId="167" fontId="14" fillId="2" borderId="53" xfId="0" applyNumberFormat="1" applyFont="1" applyBorder="1" applyAlignment="1">
      <alignment horizontal="center"/>
    </xf>
    <xf numFmtId="0" fontId="0" fillId="2" borderId="53" xfId="0" applyBorder="1" applyAlignment="1">
      <alignment horizontal="left"/>
    </xf>
    <xf numFmtId="167" fontId="14" fillId="2" borderId="54" xfId="0" applyNumberFormat="1" applyFont="1" applyBorder="1" applyAlignment="1">
      <alignment horizontal="center"/>
    </xf>
    <xf numFmtId="0" fontId="4" fillId="2" borderId="53" xfId="0" applyFont="1" applyBorder="1"/>
    <xf numFmtId="0" fontId="11" fillId="2" borderId="56" xfId="0" applyFont="1" applyBorder="1" applyAlignment="1">
      <alignment horizontal="centerContinuous"/>
    </xf>
    <xf numFmtId="0" fontId="11" fillId="2" borderId="57" xfId="0" applyFont="1" applyBorder="1" applyAlignment="1">
      <alignment horizontal="centerContinuous"/>
    </xf>
    <xf numFmtId="0" fontId="0" fillId="2" borderId="57" xfId="0" applyBorder="1" applyAlignment="1">
      <alignment horizontal="centerContinuous"/>
    </xf>
    <xf numFmtId="0" fontId="25" fillId="6" borderId="56" xfId="1" applyNumberFormat="1" applyFont="1" applyBorder="1" applyAlignment="1">
      <alignment horizontal="left"/>
    </xf>
    <xf numFmtId="41" fontId="17" fillId="0" borderId="57" xfId="2" applyFont="1" applyFill="1" applyBorder="1">
      <alignment horizontal="left"/>
    </xf>
    <xf numFmtId="0" fontId="20" fillId="2" borderId="58" xfId="0" applyFont="1" applyBorder="1" applyAlignment="1">
      <alignment horizontal="center"/>
    </xf>
    <xf numFmtId="10" fontId="17" fillId="0" borderId="57" xfId="3" applyFont="1" applyFill="1" applyBorder="1"/>
    <xf numFmtId="41" fontId="20" fillId="2" borderId="55" xfId="0" applyNumberFormat="1" applyFont="1" applyBorder="1"/>
    <xf numFmtId="5" fontId="20" fillId="2" borderId="55" xfId="0" applyNumberFormat="1" applyFont="1" applyBorder="1"/>
    <xf numFmtId="168" fontId="17" fillId="0" borderId="57" xfId="3" applyNumberFormat="1" applyFont="1" applyFill="1" applyBorder="1"/>
    <xf numFmtId="41" fontId="20" fillId="2" borderId="59" xfId="0" applyNumberFormat="1" applyFont="1" applyBorder="1"/>
    <xf numFmtId="0" fontId="20" fillId="2" borderId="60" xfId="5" applyFont="1" applyBorder="1" applyAlignment="1">
      <alignment horizontal="right"/>
    </xf>
    <xf numFmtId="0" fontId="0" fillId="2" borderId="61" xfId="0" applyBorder="1" applyAlignment="1">
      <alignment horizontal="center"/>
    </xf>
    <xf numFmtId="2" fontId="0" fillId="2" borderId="61" xfId="0" applyNumberFormat="1" applyBorder="1" applyAlignment="1">
      <alignment horizontal="center"/>
    </xf>
    <xf numFmtId="165" fontId="0" fillId="2" borderId="62" xfId="0" applyNumberFormat="1" applyBorder="1"/>
    <xf numFmtId="10" fontId="6" fillId="2" borderId="62" xfId="0" applyNumberFormat="1" applyFont="1" applyBorder="1"/>
    <xf numFmtId="41" fontId="0" fillId="2" borderId="63" xfId="0" applyNumberFormat="1" applyBorder="1"/>
    <xf numFmtId="41" fontId="0" fillId="2" borderId="61" xfId="0" applyNumberFormat="1" applyBorder="1"/>
    <xf numFmtId="41" fontId="0" fillId="2" borderId="62" xfId="0" applyNumberFormat="1" applyBorder="1"/>
    <xf numFmtId="0" fontId="21" fillId="5" borderId="61" xfId="5" applyFont="1" applyFill="1" applyBorder="1" applyAlignment="1">
      <alignment horizontal="left"/>
    </xf>
    <xf numFmtId="0" fontId="30" fillId="2" borderId="62" xfId="5" applyBorder="1"/>
    <xf numFmtId="0" fontId="30" fillId="2" borderId="63" xfId="5" applyBorder="1"/>
    <xf numFmtId="0" fontId="0" fillId="2" borderId="61" xfId="0" applyBorder="1" applyAlignment="1">
      <alignment horizontal="centerContinuous"/>
    </xf>
    <xf numFmtId="0" fontId="0" fillId="2" borderId="63" xfId="0" applyBorder="1" applyAlignment="1">
      <alignment horizontal="centerContinuous"/>
    </xf>
    <xf numFmtId="0" fontId="0" fillId="2" borderId="62" xfId="0" applyBorder="1"/>
    <xf numFmtId="0" fontId="0" fillId="2" borderId="63" xfId="0" applyBorder="1"/>
    <xf numFmtId="39" fontId="0" fillId="2" borderId="61" xfId="0" applyNumberFormat="1" applyBorder="1" applyAlignment="1">
      <alignment horizontal="center"/>
    </xf>
    <xf numFmtId="0" fontId="0" fillId="2" borderId="62" xfId="0" quotePrefix="1" applyBorder="1" applyAlignment="1">
      <alignment horizontal="left"/>
    </xf>
    <xf numFmtId="0" fontId="0" fillId="2" borderId="61" xfId="0" applyBorder="1"/>
    <xf numFmtId="0" fontId="32" fillId="2" borderId="62" xfId="0" applyFont="1" applyBorder="1" applyAlignment="1">
      <alignment horizontal="center"/>
    </xf>
    <xf numFmtId="0" fontId="32" fillId="2" borderId="63" xfId="0" applyFont="1" applyBorder="1" applyAlignment="1">
      <alignment horizontal="center"/>
    </xf>
    <xf numFmtId="0" fontId="0" fillId="2" borderId="61" xfId="0" applyBorder="1" applyAlignment="1">
      <alignment horizontal="left"/>
    </xf>
    <xf numFmtId="167" fontId="14" fillId="2" borderId="62" xfId="0" applyNumberFormat="1" applyFont="1" applyBorder="1" applyAlignment="1">
      <alignment horizontal="center"/>
    </xf>
    <xf numFmtId="0" fontId="0" fillId="2" borderId="62" xfId="0" applyBorder="1" applyAlignment="1">
      <alignment horizontal="left"/>
    </xf>
    <xf numFmtId="167" fontId="14" fillId="2" borderId="63" xfId="0" applyNumberFormat="1" applyFont="1" applyBorder="1" applyAlignment="1">
      <alignment horizontal="center"/>
    </xf>
    <xf numFmtId="0" fontId="4" fillId="2" borderId="62" xfId="0" applyFont="1" applyBorder="1"/>
    <xf numFmtId="0" fontId="11" fillId="2" borderId="65" xfId="0" applyFont="1" applyBorder="1" applyAlignment="1">
      <alignment horizontal="centerContinuous"/>
    </xf>
    <xf numFmtId="0" fontId="11" fillId="2" borderId="66" xfId="0" applyFont="1" applyBorder="1" applyAlignment="1">
      <alignment horizontal="centerContinuous"/>
    </xf>
    <xf numFmtId="0" fontId="0" fillId="2" borderId="66" xfId="0" applyBorder="1" applyAlignment="1">
      <alignment horizontal="centerContinuous"/>
    </xf>
    <xf numFmtId="0" fontId="25" fillId="6" borderId="65" xfId="1" applyNumberFormat="1" applyFont="1" applyBorder="1" applyAlignment="1">
      <alignment horizontal="left"/>
    </xf>
    <xf numFmtId="41" fontId="17" fillId="0" borderId="66" xfId="2" applyFont="1" applyFill="1" applyBorder="1">
      <alignment horizontal="left"/>
    </xf>
    <xf numFmtId="0" fontId="20" fillId="2" borderId="67" xfId="0" applyFont="1" applyBorder="1" applyAlignment="1">
      <alignment horizontal="center"/>
    </xf>
    <xf numFmtId="10" fontId="17" fillId="0" borderId="66" xfId="3" applyFont="1" applyFill="1" applyBorder="1"/>
    <xf numFmtId="41" fontId="20" fillId="2" borderId="64" xfId="0" applyNumberFormat="1" applyFont="1" applyBorder="1"/>
    <xf numFmtId="5" fontId="20" fillId="2" borderId="64" xfId="0" applyNumberFormat="1" applyFont="1" applyBorder="1"/>
    <xf numFmtId="168" fontId="17" fillId="0" borderId="66" xfId="3" applyNumberFormat="1" applyFont="1" applyFill="1" applyBorder="1"/>
    <xf numFmtId="41" fontId="20" fillId="2" borderId="68" xfId="0" applyNumberFormat="1" applyFont="1" applyBorder="1"/>
    <xf numFmtId="0" fontId="20" fillId="2" borderId="69" xfId="5" applyFont="1" applyBorder="1" applyAlignment="1">
      <alignment horizontal="right"/>
    </xf>
    <xf numFmtId="0" fontId="0" fillId="2" borderId="70" xfId="0" applyBorder="1" applyAlignment="1">
      <alignment horizontal="center"/>
    </xf>
    <xf numFmtId="2" fontId="0" fillId="2" borderId="70" xfId="0" applyNumberFormat="1" applyBorder="1" applyAlignment="1">
      <alignment horizontal="center"/>
    </xf>
    <xf numFmtId="165" fontId="0" fillId="2" borderId="71" xfId="0" applyNumberFormat="1" applyBorder="1"/>
    <xf numFmtId="10" fontId="6" fillId="2" borderId="71" xfId="0" applyNumberFormat="1" applyFont="1" applyBorder="1"/>
    <xf numFmtId="41" fontId="0" fillId="2" borderId="72" xfId="0" applyNumberFormat="1" applyBorder="1"/>
    <xf numFmtId="41" fontId="0" fillId="2" borderId="70" xfId="0" applyNumberFormat="1" applyBorder="1"/>
    <xf numFmtId="41" fontId="0" fillId="2" borderId="71" xfId="0" applyNumberFormat="1" applyBorder="1"/>
    <xf numFmtId="0" fontId="21" fillId="5" borderId="70" xfId="5" applyFont="1" applyFill="1" applyBorder="1" applyAlignment="1">
      <alignment horizontal="left"/>
    </xf>
    <xf numFmtId="0" fontId="30" fillId="2" borderId="71" xfId="5" applyBorder="1"/>
    <xf numFmtId="0" fontId="30" fillId="2" borderId="72" xfId="5" applyBorder="1"/>
    <xf numFmtId="0" fontId="0" fillId="2" borderId="70" xfId="0" applyBorder="1" applyAlignment="1">
      <alignment horizontal="centerContinuous"/>
    </xf>
    <xf numFmtId="0" fontId="0" fillId="2" borderId="72" xfId="0" applyBorder="1" applyAlignment="1">
      <alignment horizontal="centerContinuous"/>
    </xf>
    <xf numFmtId="0" fontId="0" fillId="2" borderId="71" xfId="0" applyBorder="1"/>
    <xf numFmtId="0" fontId="0" fillId="2" borderId="72" xfId="0" applyBorder="1"/>
    <xf numFmtId="39" fontId="0" fillId="2" borderId="70" xfId="0" applyNumberFormat="1" applyBorder="1" applyAlignment="1">
      <alignment horizontal="center"/>
    </xf>
    <xf numFmtId="0" fontId="0" fillId="2" borderId="71" xfId="0" quotePrefix="1" applyBorder="1" applyAlignment="1">
      <alignment horizontal="left"/>
    </xf>
    <xf numFmtId="0" fontId="0" fillId="2" borderId="70" xfId="0" applyBorder="1"/>
    <xf numFmtId="0" fontId="32" fillId="2" borderId="71" xfId="0" applyFont="1" applyBorder="1" applyAlignment="1">
      <alignment horizontal="center"/>
    </xf>
    <xf numFmtId="0" fontId="32" fillId="2" borderId="72" xfId="0" applyFont="1" applyBorder="1" applyAlignment="1">
      <alignment horizontal="center"/>
    </xf>
    <xf numFmtId="0" fontId="0" fillId="2" borderId="70" xfId="0" applyBorder="1" applyAlignment="1">
      <alignment horizontal="left"/>
    </xf>
    <xf numFmtId="167" fontId="14" fillId="2" borderId="71" xfId="0" applyNumberFormat="1" applyFont="1" applyBorder="1" applyAlignment="1">
      <alignment horizontal="center"/>
    </xf>
    <xf numFmtId="0" fontId="0" fillId="2" borderId="71" xfId="0" applyBorder="1" applyAlignment="1">
      <alignment horizontal="left"/>
    </xf>
    <xf numFmtId="167" fontId="14" fillId="2" borderId="72" xfId="0" applyNumberFormat="1" applyFont="1" applyBorder="1" applyAlignment="1">
      <alignment horizontal="center"/>
    </xf>
    <xf numFmtId="0" fontId="4" fillId="2" borderId="71" xfId="0" applyFont="1" applyBorder="1"/>
    <xf numFmtId="49" fontId="37" fillId="0" borderId="0" xfId="16" applyNumberFormat="1" applyFont="1" applyAlignment="1">
      <alignment horizontal="center"/>
    </xf>
    <xf numFmtId="49" fontId="37" fillId="0" borderId="31" xfId="16" applyNumberFormat="1" applyFont="1" applyBorder="1" applyAlignment="1">
      <alignment horizontal="center"/>
    </xf>
    <xf numFmtId="0" fontId="50" fillId="0" borderId="0" xfId="16" applyAlignment="1">
      <alignment horizontal="center"/>
    </xf>
    <xf numFmtId="49" fontId="37" fillId="0" borderId="0" xfId="16" applyNumberFormat="1" applyFont="1"/>
    <xf numFmtId="171" fontId="38" fillId="0" borderId="0" xfId="16" applyNumberFormat="1" applyFont="1"/>
    <xf numFmtId="0" fontId="50" fillId="0" borderId="0" xfId="16"/>
    <xf numFmtId="171" fontId="38" fillId="0" borderId="11" xfId="16" applyNumberFormat="1" applyFont="1" applyBorder="1"/>
    <xf numFmtId="171" fontId="38" fillId="0" borderId="8" xfId="16" applyNumberFormat="1" applyFont="1" applyBorder="1"/>
    <xf numFmtId="171" fontId="38" fillId="0" borderId="32" xfId="16" applyNumberFormat="1" applyFont="1" applyBorder="1"/>
    <xf numFmtId="171" fontId="37" fillId="0" borderId="33" xfId="16" applyNumberFormat="1" applyFont="1" applyBorder="1"/>
    <xf numFmtId="0" fontId="37" fillId="0" borderId="0" xfId="16" applyFont="1"/>
    <xf numFmtId="39" fontId="50" fillId="0" borderId="0" xfId="16" applyNumberFormat="1"/>
    <xf numFmtId="0" fontId="101" fillId="0" borderId="0" xfId="16" applyFont="1"/>
    <xf numFmtId="39" fontId="101" fillId="0" borderId="5" xfId="16" applyNumberFormat="1" applyFont="1" applyBorder="1"/>
    <xf numFmtId="39" fontId="101" fillId="0" borderId="0" xfId="16" applyNumberFormat="1" applyFont="1"/>
    <xf numFmtId="171" fontId="101" fillId="0" borderId="0" xfId="16" applyNumberFormat="1" applyFont="1"/>
    <xf numFmtId="0" fontId="101" fillId="0" borderId="5" xfId="16" applyFont="1" applyBorder="1"/>
    <xf numFmtId="39" fontId="101" fillId="0" borderId="0" xfId="16" applyNumberFormat="1" applyFont="1" applyBorder="1"/>
    <xf numFmtId="39" fontId="101" fillId="0" borderId="8" xfId="16" applyNumberFormat="1" applyFont="1" applyBorder="1"/>
    <xf numFmtId="39" fontId="101" fillId="0" borderId="11" xfId="16" applyNumberFormat="1" applyFont="1" applyBorder="1"/>
    <xf numFmtId="39" fontId="101" fillId="0" borderId="30" xfId="16" applyNumberFormat="1" applyFont="1" applyBorder="1"/>
    <xf numFmtId="0" fontId="101" fillId="0" borderId="8" xfId="16" applyFont="1" applyBorder="1"/>
    <xf numFmtId="171" fontId="101" fillId="0" borderId="11" xfId="16" applyNumberFormat="1" applyFont="1" applyBorder="1"/>
    <xf numFmtId="171" fontId="37" fillId="0" borderId="30" xfId="16" applyNumberFormat="1" applyFont="1" applyBorder="1"/>
    <xf numFmtId="171" fontId="100" fillId="0" borderId="8" xfId="16" applyNumberFormat="1" applyFont="1" applyBorder="1"/>
    <xf numFmtId="39" fontId="101" fillId="0" borderId="40" xfId="16" applyNumberFormat="1" applyFont="1" applyBorder="1"/>
    <xf numFmtId="10" fontId="37" fillId="0" borderId="0" xfId="16" applyNumberFormat="1" applyFont="1"/>
    <xf numFmtId="7" fontId="49" fillId="0" borderId="5" xfId="13" applyNumberFormat="1" applyFont="1" applyBorder="1" applyAlignment="1">
      <alignment vertical="center"/>
    </xf>
    <xf numFmtId="3" fontId="49" fillId="0" borderId="73" xfId="0" applyNumberFormat="1" applyFont="1" applyFill="1" applyBorder="1"/>
    <xf numFmtId="43" fontId="20" fillId="2" borderId="0" xfId="0" applyNumberFormat="1" applyFont="1"/>
    <xf numFmtId="3" fontId="72" fillId="2" borderId="0" xfId="0" applyNumberFormat="1" applyFont="1"/>
    <xf numFmtId="37" fontId="49" fillId="9" borderId="0" xfId="13" applyNumberFormat="1" applyFont="1" applyFill="1"/>
    <xf numFmtId="3" fontId="49" fillId="0" borderId="0" xfId="13" applyNumberFormat="1" applyFont="1"/>
    <xf numFmtId="3" fontId="72" fillId="2" borderId="5" xfId="0" applyNumberFormat="1" applyFont="1" applyBorder="1"/>
    <xf numFmtId="0" fontId="50" fillId="0" borderId="0" xfId="9" applyNumberFormat="1" applyFont="1"/>
    <xf numFmtId="0" fontId="50" fillId="0" borderId="0" xfId="9" applyNumberFormat="1" applyFont="1" applyBorder="1"/>
    <xf numFmtId="0" fontId="50" fillId="0" borderId="0" xfId="9" applyNumberFormat="1" applyFont="1" applyAlignment="1">
      <alignment horizontal="center"/>
    </xf>
    <xf numFmtId="0" fontId="17" fillId="4" borderId="46" xfId="0" applyFont="1" applyFill="1" applyBorder="1" applyAlignment="1">
      <alignment horizontal="center"/>
    </xf>
    <xf numFmtId="0" fontId="15" fillId="4" borderId="0" xfId="0" applyFont="1" applyFill="1" applyAlignment="1">
      <alignment horizontal="center"/>
    </xf>
    <xf numFmtId="0" fontId="0" fillId="2" borderId="10" xfId="0" applyBorder="1" applyAlignment="1">
      <alignment horizontal="center"/>
    </xf>
    <xf numFmtId="0" fontId="0" fillId="2" borderId="11" xfId="0" applyBorder="1" applyAlignment="1">
      <alignment horizontal="center"/>
    </xf>
    <xf numFmtId="0" fontId="0" fillId="2" borderId="12" xfId="0" applyBorder="1" applyAlignment="1">
      <alignment horizontal="center"/>
    </xf>
    <xf numFmtId="0" fontId="17" fillId="4" borderId="0" xfId="0" applyFont="1" applyFill="1" applyAlignment="1">
      <alignment horizontal="center"/>
    </xf>
    <xf numFmtId="0" fontId="17" fillId="4" borderId="44" xfId="0" applyFont="1" applyFill="1" applyBorder="1" applyAlignment="1">
      <alignment horizontal="center"/>
    </xf>
    <xf numFmtId="0" fontId="17" fillId="4" borderId="55" xfId="0" applyFont="1" applyFill="1" applyBorder="1" applyAlignment="1">
      <alignment horizontal="center"/>
    </xf>
    <xf numFmtId="0" fontId="17" fillId="4" borderId="53" xfId="0" applyFont="1" applyFill="1" applyBorder="1" applyAlignment="1">
      <alignment horizontal="center"/>
    </xf>
    <xf numFmtId="0" fontId="17" fillId="4" borderId="64" xfId="0" applyFont="1" applyFill="1" applyBorder="1" applyAlignment="1">
      <alignment horizontal="center"/>
    </xf>
    <xf numFmtId="0" fontId="17" fillId="4" borderId="62" xfId="0" applyFont="1" applyFill="1" applyBorder="1" applyAlignment="1">
      <alignment horizontal="center"/>
    </xf>
    <xf numFmtId="0" fontId="17" fillId="4" borderId="73" xfId="0" applyFont="1" applyFill="1" applyBorder="1" applyAlignment="1">
      <alignment horizontal="center"/>
    </xf>
    <xf numFmtId="0" fontId="17" fillId="4" borderId="71" xfId="0" applyFont="1" applyFill="1" applyBorder="1" applyAlignment="1">
      <alignment horizontal="center"/>
    </xf>
    <xf numFmtId="172" fontId="50" fillId="0" borderId="4" xfId="11" applyNumberFormat="1" applyFont="1" applyFill="1" applyBorder="1" applyAlignment="1">
      <alignment horizontal="center" wrapText="1"/>
    </xf>
    <xf numFmtId="172" fontId="50" fillId="0" borderId="6" xfId="11" applyNumberFormat="1" applyFont="1" applyFill="1" applyBorder="1" applyAlignment="1">
      <alignment horizontal="center" wrapText="1"/>
    </xf>
    <xf numFmtId="0" fontId="50" fillId="0" borderId="24" xfId="9" applyFont="1" applyBorder="1" applyAlignment="1">
      <alignment horizontal="center" wrapText="1"/>
    </xf>
    <xf numFmtId="10" fontId="3" fillId="0" borderId="0" xfId="3" applyFill="1" applyAlignment="1">
      <alignment horizontal="center"/>
    </xf>
    <xf numFmtId="172" fontId="50" fillId="0" borderId="5" xfId="11" applyNumberFormat="1" applyFont="1" applyFill="1" applyBorder="1" applyAlignment="1">
      <alignment horizontal="center" wrapText="1"/>
    </xf>
    <xf numFmtId="172" fontId="50" fillId="0" borderId="24" xfId="10" applyNumberFormat="1" applyFont="1" applyFill="1" applyBorder="1" applyAlignment="1">
      <alignment horizontal="center" wrapText="1"/>
    </xf>
    <xf numFmtId="172" fontId="50" fillId="0" borderId="7" xfId="10" applyNumberFormat="1" applyFont="1" applyFill="1" applyBorder="1" applyAlignment="1">
      <alignment horizontal="center" wrapText="1"/>
    </xf>
    <xf numFmtId="172" fontId="50" fillId="0" borderId="17" xfId="10" applyNumberFormat="1" applyFont="1" applyFill="1" applyBorder="1" applyAlignment="1">
      <alignment horizontal="center" wrapText="1"/>
    </xf>
    <xf numFmtId="0" fontId="68" fillId="0" borderId="0" xfId="16" applyFont="1" applyFill="1" applyAlignment="1">
      <alignment horizontal="center"/>
    </xf>
    <xf numFmtId="0" fontId="68" fillId="0" borderId="0" xfId="16" applyFont="1" applyFill="1" applyAlignment="1">
      <alignment horizontal="center" vertical="center" wrapText="1"/>
    </xf>
    <xf numFmtId="0" fontId="50" fillId="0" borderId="0" xfId="16" applyFill="1" applyAlignment="1">
      <alignment horizontal="center" vertical="center" wrapText="1"/>
    </xf>
    <xf numFmtId="0" fontId="89" fillId="7" borderId="0" xfId="0" applyFont="1" applyFill="1" applyAlignment="1" applyProtection="1">
      <alignment horizontal="right"/>
      <protection locked="0"/>
    </xf>
    <xf numFmtId="0" fontId="89" fillId="7" borderId="3" xfId="0" applyFont="1" applyFill="1" applyBorder="1" applyAlignment="1" applyProtection="1">
      <alignment horizontal="right"/>
      <protection locked="0"/>
    </xf>
    <xf numFmtId="0" fontId="87" fillId="0" borderId="0" xfId="0" applyFont="1" applyFill="1" applyAlignment="1" applyProtection="1">
      <alignment horizontal="right"/>
      <protection locked="0"/>
    </xf>
    <xf numFmtId="0" fontId="87" fillId="0" borderId="3" xfId="0" applyFont="1" applyFill="1" applyBorder="1" applyAlignment="1" applyProtection="1">
      <alignment horizontal="right"/>
      <protection locked="0"/>
    </xf>
    <xf numFmtId="0" fontId="62" fillId="0" borderId="0" xfId="0" applyFont="1" applyFill="1" applyAlignment="1" applyProtection="1">
      <alignment horizontal="center"/>
      <protection locked="0"/>
    </xf>
    <xf numFmtId="0" fontId="62" fillId="0" borderId="3" xfId="0" applyFont="1" applyFill="1" applyBorder="1" applyAlignment="1" applyProtection="1">
      <alignment horizontal="center"/>
      <protection locked="0"/>
    </xf>
    <xf numFmtId="0" fontId="49" fillId="0" borderId="0" xfId="13" applyFont="1" applyAlignment="1">
      <alignment horizontal="center" vertical="center" wrapText="1"/>
    </xf>
    <xf numFmtId="0" fontId="49" fillId="0" borderId="0" xfId="0" applyNumberFormat="1" applyFont="1" applyFill="1" applyAlignment="1">
      <alignment horizontal="center" wrapText="1"/>
    </xf>
    <xf numFmtId="0" fontId="49" fillId="0" borderId="0" xfId="0" applyNumberFormat="1" applyFont="1" applyFill="1" applyAlignment="1">
      <alignment horizontal="center"/>
    </xf>
    <xf numFmtId="0" fontId="49" fillId="2" borderId="0" xfId="0" applyNumberFormat="1" applyFont="1"/>
    <xf numFmtId="41" fontId="72" fillId="2" borderId="0" xfId="0" applyNumberFormat="1" applyFont="1"/>
    <xf numFmtId="0" fontId="72" fillId="0" borderId="0" xfId="13" applyFont="1" applyFill="1"/>
    <xf numFmtId="0" fontId="72" fillId="0" borderId="0" xfId="13" applyFont="1" applyFill="1" applyAlignment="1">
      <alignment horizontal="center"/>
    </xf>
    <xf numFmtId="0" fontId="30" fillId="0" borderId="0" xfId="0" applyNumberFormat="1" applyFont="1" applyFill="1"/>
    <xf numFmtId="169" fontId="72" fillId="0" borderId="0" xfId="2" applyNumberFormat="1" applyFont="1" applyFill="1" applyAlignment="1">
      <alignment horizontal="center"/>
    </xf>
    <xf numFmtId="169" fontId="72" fillId="0" borderId="0" xfId="2" applyNumberFormat="1" applyFont="1" applyFill="1" applyAlignment="1"/>
    <xf numFmtId="169" fontId="102" fillId="0" borderId="0" xfId="0" applyNumberFormat="1" applyFont="1" applyFill="1" applyAlignment="1">
      <alignment horizontal="center"/>
    </xf>
    <xf numFmtId="169" fontId="102" fillId="0" borderId="0" xfId="0" applyNumberFormat="1" applyFont="1" applyFill="1"/>
    <xf numFmtId="169" fontId="102" fillId="0" borderId="5" xfId="0" applyNumberFormat="1" applyFont="1" applyFill="1" applyBorder="1" applyAlignment="1">
      <alignment horizontal="center"/>
    </xf>
    <xf numFmtId="169" fontId="102" fillId="0" borderId="5" xfId="0" applyNumberFormat="1" applyFont="1" applyFill="1" applyBorder="1"/>
    <xf numFmtId="169" fontId="72" fillId="0" borderId="0" xfId="2" quotePrefix="1" applyNumberFormat="1" applyFont="1" applyFill="1" applyAlignment="1">
      <alignment horizontal="center"/>
    </xf>
    <xf numFmtId="175" fontId="72" fillId="0" borderId="5" xfId="4" applyNumberFormat="1" applyFont="1" applyFill="1" applyBorder="1"/>
    <xf numFmtId="169" fontId="72" fillId="0" borderId="5" xfId="2" applyNumberFormat="1" applyFont="1" applyFill="1" applyBorder="1" applyAlignment="1"/>
    <xf numFmtId="3" fontId="72" fillId="0" borderId="0" xfId="2" applyNumberFormat="1" applyFont="1" applyFill="1" applyAlignment="1"/>
    <xf numFmtId="0" fontId="72" fillId="0" borderId="0" xfId="0" applyFont="1" applyFill="1" applyAlignment="1">
      <alignment horizontal="center"/>
    </xf>
    <xf numFmtId="0" fontId="49" fillId="0" borderId="0" xfId="0" applyNumberFormat="1" applyFont="1" applyFill="1" applyAlignment="1"/>
    <xf numFmtId="4" fontId="72" fillId="2" borderId="0" xfId="0" applyNumberFormat="1" applyFont="1"/>
  </cellXfs>
  <cellStyles count="24">
    <cellStyle name="Accent5" xfId="1" builtinId="45"/>
    <cellStyle name="Bad" xfId="12" builtinId="27"/>
    <cellStyle name="Comma" xfId="2" builtinId="3"/>
    <cellStyle name="Comma 2" xfId="7" xr:uid="{00000000-0005-0000-0000-000002000000}"/>
    <cellStyle name="Comma 3" xfId="18" xr:uid="{02800B3E-D361-47AF-88E0-D2C6D48C1E88}"/>
    <cellStyle name="Comma 4" xfId="21" xr:uid="{E1527558-6A12-49B9-A4E2-99DC5DBE0D61}"/>
    <cellStyle name="Currency 2 3" xfId="11" xr:uid="{349D63F8-E2E0-4DC3-8CA7-F46022F114D6}"/>
    <cellStyle name="Currency 5" xfId="10" xr:uid="{2CD9F9C6-CD09-4CEF-99A8-64E3F172901E}"/>
    <cellStyle name="Hyperlink" xfId="19" builtinId="8"/>
    <cellStyle name="Normal" xfId="0" builtinId="0"/>
    <cellStyle name="Normal 10" xfId="14" xr:uid="{93FE703B-D742-4324-B0F2-4CCC5B0ECB5F}"/>
    <cellStyle name="Normal 2" xfId="5" xr:uid="{00000000-0005-0000-0000-000004000000}"/>
    <cellStyle name="Normal 21" xfId="15" xr:uid="{9E4C48D4-87CD-4A5A-81C0-DC36313B63DC}"/>
    <cellStyle name="Normal 3" xfId="6" xr:uid="{00000000-0005-0000-0000-000005000000}"/>
    <cellStyle name="Normal 4" xfId="13" xr:uid="{ECE5ADEA-DB8B-44BB-9A82-1D3292C8418E}"/>
    <cellStyle name="Normal 5" xfId="20" xr:uid="{59640E71-9538-4301-930C-7C4F45CFCD1C}"/>
    <cellStyle name="Normal 5 2" xfId="23" xr:uid="{D2BEBC22-D984-4ADE-BC9E-DD2D11530A1F}"/>
    <cellStyle name="Normal 6" xfId="8" xr:uid="{52545FD5-79F0-40E1-8E8A-AFD4B1C914C9}"/>
    <cellStyle name="Normal 7" xfId="16" xr:uid="{73314CE2-A701-4B50-B636-63B946AB37A3}"/>
    <cellStyle name="Normal_DEPN2K" xfId="9" xr:uid="{55CF4B8C-D083-4F2E-A948-2CD846D0511D}"/>
    <cellStyle name="Percent" xfId="3" builtinId="5"/>
    <cellStyle name="Percent 2" xfId="4" xr:uid="{00000000-0005-0000-0000-000007000000}"/>
    <cellStyle name="Percent 2 2" xfId="22" xr:uid="{7418A642-ADFB-4C68-9343-C546E64CC7E0}"/>
    <cellStyle name="Percent 3" xfId="17" xr:uid="{4A8736F6-7DF1-4528-8BCD-082849E5868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14</xdr:row>
          <xdr:rowOff>171450</xdr:rowOff>
        </xdr:from>
        <xdr:to>
          <xdr:col>2</xdr:col>
          <xdr:colOff>361950</xdr:colOff>
          <xdr:row>16</xdr:row>
          <xdr:rowOff>28575</xdr:rowOff>
        </xdr:to>
        <xdr:sp macro="" textlink="">
          <xdr:nvSpPr>
            <xdr:cNvPr id="108545" name="CheckBox1" hidden="1">
              <a:extLst>
                <a:ext uri="{63B3BB69-23CF-44E3-9099-C40C66FF867C}">
                  <a14:compatExt spid="_x0000_s108545"/>
                </a:ext>
                <a:ext uri="{FF2B5EF4-FFF2-40B4-BE49-F238E27FC236}">
                  <a16:creationId xmlns:a16="http://schemas.microsoft.com/office/drawing/2014/main" id="{00000000-0008-0000-0000-000001A8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35</xdr:row>
      <xdr:rowOff>30480</xdr:rowOff>
    </xdr:from>
    <xdr:to>
      <xdr:col>1</xdr:col>
      <xdr:colOff>563880</xdr:colOff>
      <xdr:row>76</xdr:row>
      <xdr:rowOff>68580</xdr:rowOff>
    </xdr:to>
    <xdr:sp macro="" textlink="">
      <xdr:nvSpPr>
        <xdr:cNvPr id="2" name="Object 1" hidden="1">
          <a:extLst>
            <a:ext uri="{63B3BB69-23CF-44E3-9099-C40C66FF867C}">
              <a14:compatExt xmlns:a14="http://schemas.microsoft.com/office/drawing/2010/main" spid="_x0000_s73729"/>
            </a:ext>
            <a:ext uri="{FF2B5EF4-FFF2-40B4-BE49-F238E27FC236}">
              <a16:creationId xmlns:a16="http://schemas.microsoft.com/office/drawing/2014/main" id="{00000000-0008-0000-2800-000002000000}"/>
            </a:ext>
          </a:extLst>
        </xdr:cNvPr>
        <xdr:cNvSpPr/>
      </xdr:nvSpPr>
      <xdr:spPr bwMode="auto">
        <a:xfrm>
          <a:off x="0" y="9317355"/>
          <a:ext cx="7317105" cy="7915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35</xdr:row>
      <xdr:rowOff>38100</xdr:rowOff>
    </xdr:from>
    <xdr:to>
      <xdr:col>1</xdr:col>
      <xdr:colOff>704850</xdr:colOff>
      <xdr:row>76</xdr:row>
      <xdr:rowOff>85725</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24975"/>
          <a:ext cx="7458075" cy="792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14</xdr:row>
          <xdr:rowOff>171450</xdr:rowOff>
        </xdr:from>
        <xdr:to>
          <xdr:col>2</xdr:col>
          <xdr:colOff>361950</xdr:colOff>
          <xdr:row>16</xdr:row>
          <xdr:rowOff>28575</xdr:rowOff>
        </xdr:to>
        <xdr:sp macro="" textlink="">
          <xdr:nvSpPr>
            <xdr:cNvPr id="109569" name="CheckBox1" hidden="1">
              <a:extLst>
                <a:ext uri="{63B3BB69-23CF-44E3-9099-C40C66FF867C}">
                  <a14:compatExt spid="_x0000_s109569"/>
                </a:ext>
                <a:ext uri="{FF2B5EF4-FFF2-40B4-BE49-F238E27FC236}">
                  <a16:creationId xmlns:a16="http://schemas.microsoft.com/office/drawing/2014/main" id="{00000000-0008-0000-0100-000001AC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14</xdr:row>
          <xdr:rowOff>171450</xdr:rowOff>
        </xdr:from>
        <xdr:to>
          <xdr:col>2</xdr:col>
          <xdr:colOff>361950</xdr:colOff>
          <xdr:row>16</xdr:row>
          <xdr:rowOff>28575</xdr:rowOff>
        </xdr:to>
        <xdr:sp macro="" textlink="">
          <xdr:nvSpPr>
            <xdr:cNvPr id="110593" name="CheckBox1" hidden="1">
              <a:extLst>
                <a:ext uri="{63B3BB69-23CF-44E3-9099-C40C66FF867C}">
                  <a14:compatExt spid="_x0000_s110593"/>
                </a:ext>
                <a:ext uri="{FF2B5EF4-FFF2-40B4-BE49-F238E27FC236}">
                  <a16:creationId xmlns:a16="http://schemas.microsoft.com/office/drawing/2014/main" id="{00000000-0008-0000-0200-000001B0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14</xdr:row>
          <xdr:rowOff>171450</xdr:rowOff>
        </xdr:from>
        <xdr:to>
          <xdr:col>2</xdr:col>
          <xdr:colOff>361950</xdr:colOff>
          <xdr:row>16</xdr:row>
          <xdr:rowOff>28575</xdr:rowOff>
        </xdr:to>
        <xdr:sp macro="" textlink="">
          <xdr:nvSpPr>
            <xdr:cNvPr id="111617" name="CheckBox1" hidden="1">
              <a:extLst>
                <a:ext uri="{63B3BB69-23CF-44E3-9099-C40C66FF867C}">
                  <a14:compatExt spid="_x0000_s111617"/>
                </a:ext>
                <a:ext uri="{FF2B5EF4-FFF2-40B4-BE49-F238E27FC236}">
                  <a16:creationId xmlns:a16="http://schemas.microsoft.com/office/drawing/2014/main" id="{00000000-0008-0000-0300-000001B40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76200</xdr:colOff>
          <xdr:row>1</xdr:row>
          <xdr:rowOff>38100</xdr:rowOff>
        </xdr:to>
        <xdr:sp macro="" textlink="">
          <xdr:nvSpPr>
            <xdr:cNvPr id="112641" name="FILTER" hidden="1">
              <a:extLst>
                <a:ext uri="{63B3BB69-23CF-44E3-9099-C40C66FF867C}">
                  <a14:compatExt spid="_x0000_s112641"/>
                </a:ext>
                <a:ext uri="{FF2B5EF4-FFF2-40B4-BE49-F238E27FC236}">
                  <a16:creationId xmlns:a16="http://schemas.microsoft.com/office/drawing/2014/main" id="{00000000-0008-0000-0400-000001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76200</xdr:colOff>
          <xdr:row>1</xdr:row>
          <xdr:rowOff>38100</xdr:rowOff>
        </xdr:to>
        <xdr:sp macro="" textlink="">
          <xdr:nvSpPr>
            <xdr:cNvPr id="112642" name="HEADER" hidden="1">
              <a:extLst>
                <a:ext uri="{63B3BB69-23CF-44E3-9099-C40C66FF867C}">
                  <a14:compatExt spid="_x0000_s112642"/>
                </a:ext>
                <a:ext uri="{FF2B5EF4-FFF2-40B4-BE49-F238E27FC236}">
                  <a16:creationId xmlns:a16="http://schemas.microsoft.com/office/drawing/2014/main" id="{00000000-0008-0000-0400-000002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14</xdr:row>
      <xdr:rowOff>66675</xdr:rowOff>
    </xdr:from>
    <xdr:to>
      <xdr:col>7</xdr:col>
      <xdr:colOff>114300</xdr:colOff>
      <xdr:row>53</xdr:row>
      <xdr:rowOff>180975</xdr:rowOff>
    </xdr:to>
    <xdr:sp macro="" textlink="">
      <xdr:nvSpPr>
        <xdr:cNvPr id="2" name="Object 2" hidden="1">
          <a:extLst>
            <a:ext uri="{FF2B5EF4-FFF2-40B4-BE49-F238E27FC236}">
              <a16:creationId xmlns:a16="http://schemas.microsoft.com/office/drawing/2014/main" id="{00000000-0008-0000-1400-000002000000}"/>
            </a:ext>
          </a:extLst>
        </xdr:cNvPr>
        <xdr:cNvSpPr>
          <a:spLocks noChangeArrowheads="1"/>
        </xdr:cNvSpPr>
      </xdr:nvSpPr>
      <xdr:spPr bwMode="auto">
        <a:xfrm>
          <a:off x="171450" y="2733675"/>
          <a:ext cx="5829300" cy="7543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247650</xdr:colOff>
          <xdr:row>15</xdr:row>
          <xdr:rowOff>0</xdr:rowOff>
        </xdr:from>
        <xdr:to>
          <xdr:col>7</xdr:col>
          <xdr:colOff>190500</xdr:colOff>
          <xdr:row>54</xdr:row>
          <xdr:rowOff>114300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14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276225</xdr:colOff>
      <xdr:row>7</xdr:row>
      <xdr:rowOff>114300</xdr:rowOff>
    </xdr:from>
    <xdr:to>
      <xdr:col>7</xdr:col>
      <xdr:colOff>219075</xdr:colOff>
      <xdr:row>47</xdr:row>
      <xdr:rowOff>38100</xdr:rowOff>
    </xdr:to>
    <xdr:sp macro="" textlink="">
      <xdr:nvSpPr>
        <xdr:cNvPr id="5" name="Object 2" hidden="1">
          <a:extLst>
            <a:ext uri="{FF2B5EF4-FFF2-40B4-BE49-F238E27FC236}">
              <a16:creationId xmlns:a16="http://schemas.microsoft.com/office/drawing/2014/main" id="{00000000-0008-0000-1500-000005000000}"/>
            </a:ext>
          </a:extLst>
        </xdr:cNvPr>
        <xdr:cNvSpPr>
          <a:spLocks noChangeArrowheads="1"/>
        </xdr:cNvSpPr>
      </xdr:nvSpPr>
      <xdr:spPr bwMode="auto">
        <a:xfrm>
          <a:off x="276225" y="1447800"/>
          <a:ext cx="5829300" cy="7543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180975</xdr:rowOff>
        </xdr:from>
        <xdr:to>
          <xdr:col>7</xdr:col>
          <xdr:colOff>733425</xdr:colOff>
          <xdr:row>47</xdr:row>
          <xdr:rowOff>104775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0</xdr:rowOff>
        </xdr:from>
        <xdr:to>
          <xdr:col>15</xdr:col>
          <xdr:colOff>161925</xdr:colOff>
          <xdr:row>47</xdr:row>
          <xdr:rowOff>114300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361950</xdr:colOff>
      <xdr:row>7</xdr:row>
      <xdr:rowOff>152400</xdr:rowOff>
    </xdr:from>
    <xdr:to>
      <xdr:col>7</xdr:col>
      <xdr:colOff>38100</xdr:colOff>
      <xdr:row>47</xdr:row>
      <xdr:rowOff>76200</xdr:rowOff>
    </xdr:to>
    <xdr:sp macro="" textlink="">
      <xdr:nvSpPr>
        <xdr:cNvPr id="2" name="Object 1" hidden="1">
          <a:extLst>
            <a:ext uri="{FF2B5EF4-FFF2-40B4-BE49-F238E27FC236}">
              <a16:creationId xmlns:a16="http://schemas.microsoft.com/office/drawing/2014/main" id="{00000000-0008-0000-1600-000002000000}"/>
            </a:ext>
          </a:extLst>
        </xdr:cNvPr>
        <xdr:cNvSpPr>
          <a:spLocks noChangeArrowheads="1"/>
        </xdr:cNvSpPr>
      </xdr:nvSpPr>
      <xdr:spPr bwMode="auto">
        <a:xfrm>
          <a:off x="361950" y="1485900"/>
          <a:ext cx="5562600" cy="7543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390525</xdr:colOff>
      <xdr:row>50</xdr:row>
      <xdr:rowOff>142875</xdr:rowOff>
    </xdr:from>
    <xdr:to>
      <xdr:col>7</xdr:col>
      <xdr:colOff>28575</xdr:colOff>
      <xdr:row>90</xdr:row>
      <xdr:rowOff>66675</xdr:rowOff>
    </xdr:to>
    <xdr:sp macro="" textlink="">
      <xdr:nvSpPr>
        <xdr:cNvPr id="3" name="Object 2" hidden="1">
          <a:extLst>
            <a:ext uri="{FF2B5EF4-FFF2-40B4-BE49-F238E27FC236}">
              <a16:creationId xmlns:a16="http://schemas.microsoft.com/office/drawing/2014/main" id="{00000000-0008-0000-1600-000003000000}"/>
            </a:ext>
          </a:extLst>
        </xdr:cNvPr>
        <xdr:cNvSpPr>
          <a:spLocks noChangeArrowheads="1"/>
        </xdr:cNvSpPr>
      </xdr:nvSpPr>
      <xdr:spPr bwMode="auto">
        <a:xfrm>
          <a:off x="390525" y="9667875"/>
          <a:ext cx="5524500" cy="7543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485775</xdr:colOff>
      <xdr:row>50</xdr:row>
      <xdr:rowOff>180975</xdr:rowOff>
    </xdr:from>
    <xdr:to>
      <xdr:col>7</xdr:col>
      <xdr:colOff>38100</xdr:colOff>
      <xdr:row>90</xdr:row>
      <xdr:rowOff>85725</xdr:rowOff>
    </xdr:to>
    <xdr:pic>
      <xdr:nvPicPr>
        <xdr:cNvPr id="4" name="Picture 8">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9705975"/>
          <a:ext cx="5438775" cy="7524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7</xdr:col>
          <xdr:colOff>704850</xdr:colOff>
          <xdr:row>47</xdr:row>
          <xdr:rowOff>114300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6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16</xdr:col>
          <xdr:colOff>495300</xdr:colOff>
          <xdr:row>47</xdr:row>
          <xdr:rowOff>114300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6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52</xdr:row>
          <xdr:rowOff>0</xdr:rowOff>
        </xdr:from>
        <xdr:to>
          <xdr:col>12</xdr:col>
          <xdr:colOff>38100</xdr:colOff>
          <xdr:row>91</xdr:row>
          <xdr:rowOff>19050</xdr:rowOff>
        </xdr:to>
        <xdr:sp macro="" textlink="">
          <xdr:nvSpPr>
            <xdr:cNvPr id="59394" name="Object 2" hidden="1">
              <a:extLst>
                <a:ext uri="{63B3BB69-23CF-44E3-9099-C40C66FF867C}">
                  <a14:compatExt spid="_x0000_s59394"/>
                </a:ext>
                <a:ext uri="{FF2B5EF4-FFF2-40B4-BE49-F238E27FC236}">
                  <a16:creationId xmlns:a16="http://schemas.microsoft.com/office/drawing/2014/main" id="{00000000-0008-0000-1900-000002E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lient%20Data/Rubatino%20Refuse%20Removal,%20Inc/2019%20Rate%20Case/Zip%20File/Pro%20Forma%20for%20UTC%20%2012-3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eldon/AppData/Local/Temp/Temp1_Rubatino%20Refuse%20Removal,%20Inc.%20.zip/Pro%20Forma%20for%20UTC%20%2012-3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lient%20Data/Rubatino%20Refuse%20Removal,%20Inc/2019%20Rate%20Case/Staff%20Pro%20Forma%20-%20Final/Final%20Staff%20-%20%20Pro%20Forma%20for%20UTC%20%2012-31-18%20TG-1905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verett%20%20Dept%20of%20Rev%20Report%20Summar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tomer%20Census%20-%20Weld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dex"/>
      <sheetName val="LG Consolidated"/>
      <sheetName val="LG - Refuse"/>
      <sheetName val="LG - Recycling"/>
      <sheetName val="LG - Yardwaste"/>
      <sheetName val="Balance Sheet 12-31-18"/>
      <sheetName val="12 Month P&amp;L"/>
      <sheetName val="Pro Forma"/>
      <sheetName val="Restating Entries"/>
      <sheetName val="Restating Entries - Explanation"/>
      <sheetName val="Pro Forma Entries "/>
      <sheetName val="Pro Forma Entries - Explanation"/>
      <sheetName val="Allocations"/>
      <sheetName val="Regulatory Depreciation "/>
      <sheetName val="Fuel Cost 12-18"/>
      <sheetName val="Payroll Hours"/>
      <sheetName val="Garbage Payroll"/>
      <sheetName val="Recycling Payroll"/>
      <sheetName val="Payroll Summary"/>
      <sheetName val="Health &amp; Welfare"/>
      <sheetName val="Pension Recycle"/>
      <sheetName val="Pension Garbage"/>
      <sheetName val="Pension Admin"/>
      <sheetName val="Pension Admin Ledger"/>
      <sheetName val="Disposal"/>
      <sheetName val="Revenue Summary Worksheet"/>
      <sheetName val="Price-Out vs Book Comparison"/>
      <sheetName val="Residential Everett"/>
      <sheetName val="Commercial Everett"/>
      <sheetName val="Residential Mukilteo"/>
      <sheetName val="Commercial Mukilteo"/>
      <sheetName val="Commercial Recycling"/>
      <sheetName val="Customer Summary"/>
      <sheetName val="Mukilteo Utility Franchise Tax"/>
      <sheetName val="Everett Utility-B&amp;O"/>
      <sheetName val="Washington Service B&amp;O"/>
      <sheetName val="Rents"/>
      <sheetName val="Dues"/>
      <sheetName val="Public Relations"/>
      <sheetName val="TruckCare Pension"/>
      <sheetName val="Regulatory Fees"/>
      <sheetName val="Recycle Revenue"/>
      <sheetName val="Truck Mileage"/>
      <sheetName val="Rate Case Costs"/>
      <sheetName val="City of Mukilteo Contract Loss"/>
    </sheetNames>
    <sheetDataSet>
      <sheetData sheetId="0"/>
      <sheetData sheetId="1">
        <row r="55">
          <cell r="X55">
            <v>5.7225999999999999</v>
          </cell>
          <cell r="Z55">
            <v>5.6985000000000001</v>
          </cell>
        </row>
        <row r="56">
          <cell r="X56">
            <v>5.7082699999999997</v>
          </cell>
          <cell r="Z56">
            <v>5.6921999999999997</v>
          </cell>
        </row>
        <row r="58">
          <cell r="Y58">
            <v>0.68367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dex"/>
      <sheetName val="LG Consolidated"/>
      <sheetName val="LG - Refuse"/>
      <sheetName val="LG - Recycling"/>
      <sheetName val="LG - Yardwaste"/>
      <sheetName val="Balance Sheet 12-31-18"/>
      <sheetName val="12 Month P&amp;L"/>
      <sheetName val="Pro Forma"/>
      <sheetName val="Restating Entries"/>
      <sheetName val="Restating Entries - Explanation"/>
      <sheetName val="Pro Forma Entries "/>
      <sheetName val="Pro Forma Entries - Explanation"/>
      <sheetName val="Allocations"/>
      <sheetName val="Regulatory Depreciation "/>
      <sheetName val="Fuel Cost 12-18"/>
      <sheetName val="Payroll Hours"/>
      <sheetName val="Garbage Payroll"/>
      <sheetName val="Recycling Payroll"/>
      <sheetName val="Payroll Summary"/>
      <sheetName val="Health &amp; Welfare"/>
      <sheetName val="Pension Recycle"/>
      <sheetName val="Pension Garbage"/>
      <sheetName val="Pension Admin"/>
      <sheetName val="Pension Admin Ledger"/>
      <sheetName val="Disposal"/>
      <sheetName val="Revenue Summary Worksheet"/>
      <sheetName val="Price-Out vs Book Comparison"/>
      <sheetName val="Residential Everett"/>
      <sheetName val="Commercial Everett"/>
      <sheetName val="Residential Mukilteo"/>
      <sheetName val="Commercial Mukilteo"/>
      <sheetName val="Commercial Recycling"/>
      <sheetName val="Customer Summary"/>
      <sheetName val="Mukilteo Utility Franchise Tax"/>
      <sheetName val="Everett Utility-B&amp;O"/>
      <sheetName val="Washington Service B&amp;O"/>
      <sheetName val="Rents"/>
      <sheetName val="Dues"/>
      <sheetName val="Public Relations"/>
      <sheetName val="TruckCare Pension"/>
      <sheetName val="Regulatory Fees"/>
      <sheetName val="Recycle Revenue"/>
      <sheetName val="Truck Mileage"/>
      <sheetName val="Rate Case Costs"/>
      <sheetName val="City of Mukilteo Contract Los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dex"/>
      <sheetName val="LG Consolidated"/>
      <sheetName val="LG - Refuse"/>
      <sheetName val="LG - Recycling"/>
      <sheetName val="LG - Yardwaste"/>
      <sheetName val="Balance Sheet 12-31-18"/>
      <sheetName val="12 Month P&amp;L"/>
      <sheetName val="Pro Forma"/>
      <sheetName val="Staff Adj"/>
      <sheetName val="Staff Adjustments"/>
      <sheetName val="Restating Entries"/>
      <sheetName val="Restating Entries - Explanation"/>
      <sheetName val="Pro Forma Entries "/>
      <sheetName val="Pro Forma Entries - Explanation"/>
      <sheetName val="Allocations"/>
      <sheetName val="Regulatory Depreciation "/>
      <sheetName val="Fuel Cost 12-18"/>
      <sheetName val="Payroll Hours"/>
      <sheetName val="Garbage Payroll"/>
      <sheetName val="Recycling Payroll"/>
      <sheetName val="Payroll Summary"/>
      <sheetName val="Health &amp; Welfare"/>
      <sheetName val="Pension Recycle"/>
      <sheetName val="Pension Garbage"/>
      <sheetName val="Pension Admin"/>
      <sheetName val="Pension Admin Ledger"/>
      <sheetName val="Disposal"/>
      <sheetName val="Revenue Summary Worksheet"/>
      <sheetName val="Price-Out vs Book Comparison"/>
      <sheetName val="Rates"/>
      <sheetName val="Reference"/>
      <sheetName val="Staff Price-Out Garbage"/>
      <sheetName val="Staff Price-Out Recycle"/>
      <sheetName val="Staff Price-Out Yardwaste"/>
      <sheetName val="Residential Everett"/>
      <sheetName val="Commercial Everett"/>
      <sheetName val="Residential Mukilteo"/>
      <sheetName val="Commercial Mukilteo"/>
      <sheetName val="Commercial Recycling"/>
      <sheetName val="Customer Summary"/>
      <sheetName val="Mukilteo Utility Franchise Tax"/>
      <sheetName val="Everett Utility-B&amp;O"/>
      <sheetName val="Washington Service B&amp;O"/>
      <sheetName val="Rents"/>
      <sheetName val="Dues"/>
      <sheetName val="Public Relations"/>
      <sheetName val="TruckCare Pension"/>
      <sheetName val="Regulatory Fees"/>
      <sheetName val="Recycle Revenue"/>
      <sheetName val="Truck Mileage"/>
      <sheetName val="Rate Case Costs"/>
      <sheetName val="City of Mukilteo Contract Loss"/>
    </sheetNames>
    <sheetDataSet>
      <sheetData sheetId="0"/>
      <sheetData sheetId="1"/>
      <sheetData sheetId="2"/>
      <sheetData sheetId="3"/>
      <sheetData sheetId="4"/>
      <sheetData sheetId="5"/>
      <sheetData sheetId="6"/>
      <sheetData sheetId="7"/>
      <sheetData sheetId="8"/>
      <sheetData sheetId="9">
        <row r="37">
          <cell r="D3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of Everett"/>
      <sheetName val="Washington B&amp;O Tax Return"/>
    </sheetNames>
    <sheetDataSet>
      <sheetData sheetId="0">
        <row r="24">
          <cell r="E24">
            <v>1197983.51874</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sheetName val="Commercial"/>
      <sheetName val="Multi-Family"/>
      <sheetName val="Comm Recycling Customer Count"/>
      <sheetName val="Sheet1"/>
      <sheetName val="Sheet2"/>
      <sheetName val="Sheet3"/>
    </sheetNames>
    <sheetDataSet>
      <sheetData sheetId="0">
        <row r="73">
          <cell r="H73">
            <v>4447145.1899999995</v>
          </cell>
          <cell r="I73">
            <v>1386625.45</v>
          </cell>
          <cell r="J73">
            <v>1342515.2</v>
          </cell>
        </row>
      </sheetData>
      <sheetData sheetId="1">
        <row r="71">
          <cell r="E71">
            <v>4615715.315100003</v>
          </cell>
        </row>
        <row r="112">
          <cell r="E112">
            <v>1491001.5900000005</v>
          </cell>
        </row>
      </sheetData>
      <sheetData sheetId="2">
        <row r="33">
          <cell r="E33">
            <v>902464.02000000014</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7.vml"/><Relationship Id="rId1" Type="http://schemas.openxmlformats.org/officeDocument/2006/relationships/drawing" Target="../drawings/drawing6.xml"/><Relationship Id="rId4" Type="http://schemas.openxmlformats.org/officeDocument/2006/relationships/image" Target="../media/image4.emf"/></Relationships>
</file>

<file path=xl/worksheets/_rels/sheet18.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8.vml"/><Relationship Id="rId1" Type="http://schemas.openxmlformats.org/officeDocument/2006/relationships/drawing" Target="../drawings/drawing7.xml"/><Relationship Id="rId6" Type="http://schemas.openxmlformats.org/officeDocument/2006/relationships/image" Target="../media/image6.emf"/><Relationship Id="rId5" Type="http://schemas.openxmlformats.org/officeDocument/2006/relationships/oleObject" Target="../embeddings/oleObject3.bin"/><Relationship Id="rId4" Type="http://schemas.openxmlformats.org/officeDocument/2006/relationships/image" Target="../media/image5.emf"/></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9.vml"/><Relationship Id="rId1" Type="http://schemas.openxmlformats.org/officeDocument/2006/relationships/drawing" Target="../drawings/drawing8.xml"/><Relationship Id="rId6" Type="http://schemas.openxmlformats.org/officeDocument/2006/relationships/image" Target="../media/image8.emf"/><Relationship Id="rId5" Type="http://schemas.openxmlformats.org/officeDocument/2006/relationships/oleObject" Target="../embeddings/oleObject5.bin"/><Relationship Id="rId4" Type="http://schemas.openxmlformats.org/officeDocument/2006/relationships/image" Target="../media/image7.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5" Type="http://schemas.openxmlformats.org/officeDocument/2006/relationships/image" Target="../media/image10.emf"/><Relationship Id="rId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control" Target="../activeX/activeX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6.xml"/><Relationship Id="rId5" Type="http://schemas.openxmlformats.org/officeDocument/2006/relationships/image" Target="../media/image2.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80879-6A1C-4813-BBC5-FDB62B381ECF}">
  <sheetPr codeName="Sheet43">
    <pageSetUpPr fitToPage="1"/>
  </sheetPr>
  <dimension ref="A1:AT113"/>
  <sheetViews>
    <sheetView showGridLines="0" showOutlineSymbols="0" topLeftCell="A7" zoomScale="120" zoomScaleNormal="120" workbookViewId="0">
      <selection activeCell="J21" sqref="J21"/>
    </sheetView>
  </sheetViews>
  <sheetFormatPr defaultColWidth="13" defaultRowHeight="15"/>
  <cols>
    <col min="1" max="1" width="3.77734375" style="67" customWidth="1"/>
    <col min="2" max="2" width="26.109375" style="681" bestFit="1" customWidth="1"/>
    <col min="3" max="3" width="16.5546875" style="681" customWidth="1"/>
    <col min="4" max="4" width="16.5546875" style="681" hidden="1" customWidth="1"/>
    <col min="5" max="5" width="5.6640625" style="681" customWidth="1"/>
    <col min="6" max="6" width="4.44140625" style="67" customWidth="1"/>
    <col min="7" max="7" width="6.6640625" style="67" customWidth="1"/>
    <col min="8" max="8" width="11.6640625" style="67" customWidth="1"/>
    <col min="9" max="9" width="13.77734375" style="67" customWidth="1"/>
    <col min="10" max="10" width="10.33203125" style="67" customWidth="1"/>
    <col min="11" max="11" width="11.77734375" style="67" bestFit="1" customWidth="1"/>
    <col min="12" max="13" width="14.33203125" style="67" customWidth="1"/>
    <col min="14" max="14" width="4.77734375" style="67" customWidth="1"/>
    <col min="15" max="15" width="4.88671875" style="681" customWidth="1"/>
    <col min="16" max="16" width="31.44140625" style="681" customWidth="1"/>
    <col min="17" max="17" width="13" style="563"/>
    <col min="18" max="18" width="10.77734375" style="570" customWidth="1"/>
    <col min="19" max="19" width="13" style="67"/>
    <col min="20" max="20" width="10.44140625" style="67" customWidth="1"/>
    <col min="21" max="21" width="12.21875" style="67" customWidth="1"/>
    <col min="22" max="22" width="13" style="67"/>
    <col min="23" max="24" width="13.77734375" style="67" customWidth="1"/>
    <col min="25" max="25" width="12.44140625" style="67" customWidth="1"/>
    <col min="26" max="26" width="13" style="67"/>
    <col min="27" max="27" width="12.33203125" style="67" customWidth="1"/>
    <col min="28" max="29" width="13" style="67"/>
    <col min="30" max="30" width="12.77734375" style="67" customWidth="1"/>
    <col min="31" max="31" width="13.44140625" style="67" customWidth="1"/>
    <col min="32" max="32" width="16.109375" style="67" customWidth="1"/>
    <col min="33" max="33" width="14.109375" style="67" customWidth="1"/>
    <col min="34" max="34" width="12.77734375" style="67" customWidth="1"/>
    <col min="35" max="35" width="13" style="67"/>
    <col min="36" max="36" width="10.77734375" style="67" customWidth="1"/>
    <col min="37" max="37" width="12.77734375" style="67" customWidth="1"/>
    <col min="38" max="49" width="11.77734375" style="67" customWidth="1"/>
    <col min="50" max="16384" width="13" style="67"/>
  </cols>
  <sheetData>
    <row r="1" spans="1:35" s="562" customFormat="1" ht="15.75" thickBot="1">
      <c r="A1" s="557"/>
      <c r="B1" s="558"/>
      <c r="C1" s="558"/>
      <c r="D1" s="558"/>
      <c r="E1" s="558"/>
      <c r="F1" s="558"/>
      <c r="G1" s="558"/>
      <c r="H1" s="558"/>
      <c r="I1" s="559"/>
      <c r="J1" s="559"/>
      <c r="K1" s="559"/>
      <c r="L1" s="559"/>
      <c r="M1" s="559"/>
      <c r="N1" s="559"/>
      <c r="O1" s="558"/>
      <c r="P1" s="558"/>
      <c r="Q1" s="560"/>
      <c r="R1" s="561"/>
    </row>
    <row r="2" spans="1:35" ht="19.5" thickBot="1">
      <c r="A2" s="557"/>
      <c r="B2" s="829" t="s">
        <v>106</v>
      </c>
      <c r="C2" s="829"/>
      <c r="D2" s="557"/>
      <c r="E2" s="557"/>
      <c r="F2" s="58" t="s">
        <v>112</v>
      </c>
      <c r="G2" s="28"/>
      <c r="H2" s="28"/>
      <c r="I2" s="29" t="s">
        <v>123</v>
      </c>
      <c r="J2" s="28"/>
      <c r="K2" s="28"/>
      <c r="L2" s="28"/>
      <c r="M2" s="58" t="s">
        <v>112</v>
      </c>
      <c r="O2" s="557"/>
      <c r="P2" s="557"/>
      <c r="R2" s="564" t="s">
        <v>1</v>
      </c>
      <c r="S2" s="565"/>
      <c r="T2" s="566"/>
      <c r="AF2" s="830" t="s">
        <v>92</v>
      </c>
      <c r="AG2" s="831"/>
      <c r="AH2" s="831"/>
      <c r="AI2" s="832"/>
    </row>
    <row r="3" spans="1:35" ht="15.75">
      <c r="A3" s="557"/>
      <c r="B3" s="557"/>
      <c r="C3" s="557"/>
      <c r="D3" s="557"/>
      <c r="E3" s="557"/>
      <c r="F3" s="567"/>
      <c r="G3" s="568"/>
      <c r="K3" s="569" t="s">
        <v>121</v>
      </c>
      <c r="M3" s="569" t="s">
        <v>120</v>
      </c>
      <c r="O3" s="557"/>
      <c r="P3" s="557"/>
      <c r="R3" s="67"/>
      <c r="T3" s="67" t="s">
        <v>8</v>
      </c>
      <c r="V3" s="570" t="s">
        <v>8</v>
      </c>
      <c r="W3" s="570" t="s">
        <v>8</v>
      </c>
      <c r="X3" s="570" t="s">
        <v>8</v>
      </c>
      <c r="Y3" s="570" t="s">
        <v>9</v>
      </c>
      <c r="Z3" s="570" t="s">
        <v>9</v>
      </c>
      <c r="AA3" s="570" t="s">
        <v>9</v>
      </c>
      <c r="AB3" s="570" t="s">
        <v>9</v>
      </c>
      <c r="AC3" s="570" t="s">
        <v>9</v>
      </c>
      <c r="AD3" s="570" t="s">
        <v>9</v>
      </c>
      <c r="AE3" s="570" t="s">
        <v>86</v>
      </c>
      <c r="AF3" s="570" t="s">
        <v>12</v>
      </c>
      <c r="AG3" s="570" t="s">
        <v>89</v>
      </c>
      <c r="AH3" s="570"/>
    </row>
    <row r="4" spans="1:35" ht="19.5" thickBot="1">
      <c r="A4" s="557"/>
      <c r="B4" s="48" t="s">
        <v>115</v>
      </c>
      <c r="C4" s="59"/>
      <c r="D4" s="571"/>
      <c r="E4" s="557"/>
      <c r="F4" s="572"/>
      <c r="G4" s="568"/>
      <c r="H4" s="573" t="s">
        <v>2</v>
      </c>
      <c r="I4" s="573" t="s">
        <v>3</v>
      </c>
      <c r="J4" s="573" t="s">
        <v>4</v>
      </c>
      <c r="K4" s="573" t="s">
        <v>5</v>
      </c>
      <c r="L4" s="573" t="s">
        <v>6</v>
      </c>
      <c r="M4" s="573" t="s">
        <v>7</v>
      </c>
      <c r="O4" s="574"/>
      <c r="P4" s="557"/>
      <c r="R4" s="67"/>
      <c r="T4" s="570" t="s">
        <v>14</v>
      </c>
      <c r="V4" s="570" t="s">
        <v>15</v>
      </c>
      <c r="W4" s="570" t="s">
        <v>16</v>
      </c>
      <c r="X4" s="570" t="s">
        <v>17</v>
      </c>
      <c r="Y4" s="570" t="s">
        <v>18</v>
      </c>
      <c r="Z4" s="570" t="s">
        <v>18</v>
      </c>
      <c r="AA4" s="570" t="s">
        <v>18</v>
      </c>
      <c r="AB4" s="570" t="s">
        <v>16</v>
      </c>
      <c r="AC4" s="570" t="s">
        <v>14</v>
      </c>
      <c r="AD4" s="570" t="s">
        <v>14</v>
      </c>
      <c r="AE4" s="570" t="s">
        <v>93</v>
      </c>
      <c r="AF4" s="570" t="s">
        <v>88</v>
      </c>
      <c r="AG4" s="570" t="s">
        <v>90</v>
      </c>
      <c r="AH4" s="570" t="s">
        <v>91</v>
      </c>
      <c r="AI4" s="570" t="s">
        <v>87</v>
      </c>
    </row>
    <row r="5" spans="1:35" ht="15.75">
      <c r="A5" s="557"/>
      <c r="B5" s="575" t="s">
        <v>32</v>
      </c>
      <c r="C5" s="44">
        <f>+'Pro Forma'!I21</f>
        <v>17505389.650000002</v>
      </c>
      <c r="D5" s="571"/>
      <c r="E5" s="557"/>
      <c r="F5" s="576" t="s">
        <v>10</v>
      </c>
      <c r="G5" s="577"/>
      <c r="H5" s="577"/>
      <c r="I5" s="573" t="s">
        <v>11</v>
      </c>
      <c r="J5" s="573" t="s">
        <v>12</v>
      </c>
      <c r="K5" s="578" t="s">
        <v>13</v>
      </c>
      <c r="L5" s="578" t="s">
        <v>118</v>
      </c>
      <c r="M5" s="578" t="s">
        <v>12</v>
      </c>
      <c r="O5" s="12"/>
      <c r="P5" s="557"/>
      <c r="R5" s="579"/>
      <c r="T5" s="570" t="s">
        <v>22</v>
      </c>
      <c r="U5" s="570" t="s">
        <v>23</v>
      </c>
      <c r="V5" s="570" t="s">
        <v>24</v>
      </c>
      <c r="W5" s="570" t="s">
        <v>25</v>
      </c>
      <c r="X5" s="570" t="s">
        <v>26</v>
      </c>
      <c r="Y5" s="570" t="s">
        <v>27</v>
      </c>
      <c r="Z5" s="570" t="s">
        <v>28</v>
      </c>
      <c r="AA5" s="570" t="s">
        <v>29</v>
      </c>
      <c r="AB5" s="570" t="s">
        <v>30</v>
      </c>
      <c r="AC5" s="570" t="s">
        <v>22</v>
      </c>
      <c r="AD5" s="570" t="s">
        <v>31</v>
      </c>
      <c r="AE5" s="570" t="s">
        <v>20</v>
      </c>
      <c r="AF5" s="570" t="s">
        <v>85</v>
      </c>
      <c r="AG5" s="570" t="s">
        <v>85</v>
      </c>
      <c r="AH5" s="570" t="s">
        <v>20</v>
      </c>
      <c r="AI5" s="570" t="s">
        <v>86</v>
      </c>
    </row>
    <row r="6" spans="1:35" ht="15.75">
      <c r="A6" s="557"/>
      <c r="B6" s="575" t="s">
        <v>33</v>
      </c>
      <c r="C6" s="45">
        <f>+'Pro Forma'!I64</f>
        <v>18817599.698390938</v>
      </c>
      <c r="D6" s="571"/>
      <c r="E6" s="557"/>
      <c r="F6" s="580" t="s">
        <v>19</v>
      </c>
      <c r="G6" s="577"/>
      <c r="H6" s="577"/>
      <c r="I6" s="581"/>
      <c r="J6" s="582" t="s">
        <v>117</v>
      </c>
      <c r="K6" s="583"/>
      <c r="L6" s="582" t="s">
        <v>119</v>
      </c>
      <c r="M6" s="582" t="s">
        <v>21</v>
      </c>
      <c r="O6" s="12"/>
      <c r="P6" s="557"/>
      <c r="R6" s="584">
        <v>1</v>
      </c>
      <c r="S6" s="34">
        <f>Revenue/Investment*100</f>
        <v>698.26212787106806</v>
      </c>
      <c r="T6" s="35">
        <f>EXP(y_inter1-(slope*LN(+S6)))</f>
        <v>3.4747493532300706</v>
      </c>
      <c r="U6" s="36">
        <f>(+S6*T6/100)/100</f>
        <v>0.24262858772050466</v>
      </c>
      <c r="V6" s="36">
        <f>regDebt_weighted</f>
        <v>3.5860000000000003E-2</v>
      </c>
      <c r="W6" s="36">
        <f>+U6-V6</f>
        <v>0.20676858772050466</v>
      </c>
      <c r="X6" s="36">
        <f>+((W6*(1-0.34))-Pfd_weighted)/Equity_percent</f>
        <v>0.37871298806841008</v>
      </c>
      <c r="Y6" s="36">
        <f>X6*equityP</f>
        <v>0.22722779284104605</v>
      </c>
      <c r="Z6" s="36">
        <f>+Y6/(1-taxrate)</f>
        <v>0.28763011752031142</v>
      </c>
      <c r="AA6" s="36">
        <f>debtP*Debt_Rate</f>
        <v>1.5959999999999998E-2</v>
      </c>
      <c r="AB6" s="36">
        <f>AA6+Z6</f>
        <v>0.3035901175203114</v>
      </c>
      <c r="AC6" s="36">
        <f>AB6/(S6/100)</f>
        <v>4.3477958405953872E-2</v>
      </c>
      <c r="AD6" s="36">
        <f>1-AC6</f>
        <v>0.95652204159404608</v>
      </c>
      <c r="AE6" s="37">
        <f>expenses/(AD6)</f>
        <v>19672938.918408368</v>
      </c>
      <c r="AF6" s="38">
        <f>+AE6-Revenue</f>
        <v>2167549.2684083655</v>
      </c>
      <c r="AG6" s="39">
        <f ca="1">+AF6/$J$49</f>
        <v>2309664.2599173123</v>
      </c>
      <c r="AH6" s="39">
        <f ca="1">+AG6*$J$47</f>
        <v>52198.41227413126</v>
      </c>
      <c r="AI6" s="37">
        <f ca="1">ROUND(+AH6+AE6,5)</f>
        <v>19725137.330680002</v>
      </c>
    </row>
    <row r="7" spans="1:35" ht="15.75">
      <c r="A7" s="557"/>
      <c r="B7" s="575" t="s">
        <v>104</v>
      </c>
      <c r="C7" s="45">
        <v>2506994</v>
      </c>
      <c r="D7" s="571"/>
      <c r="E7" s="557"/>
      <c r="F7" s="585">
        <v>1</v>
      </c>
      <c r="G7" s="577"/>
      <c r="H7" s="586" t="s">
        <v>32</v>
      </c>
      <c r="I7" s="20">
        <f>IF(A65=TRUE,C5,0)</f>
        <v>17505389.650000002</v>
      </c>
      <c r="J7" s="20">
        <f ca="1">(+$I8/($R51))-I7</f>
        <v>2076490.8440746702</v>
      </c>
      <c r="K7" s="20">
        <f ca="1">+I7+J7</f>
        <v>19581880.494074672</v>
      </c>
      <c r="L7" s="20">
        <f ca="1">((+J7/J49*K35)-J7)</f>
        <v>50005.564691066276</v>
      </c>
      <c r="M7" s="20">
        <f ca="1">IFERROR(+K7+L7,0.00001)</f>
        <v>19631886.058765739</v>
      </c>
      <c r="O7" s="12"/>
      <c r="P7" s="557"/>
      <c r="R7" s="587">
        <v>2</v>
      </c>
      <c r="S7" s="40">
        <f>Revenue/Investment*100</f>
        <v>698.26212787106806</v>
      </c>
      <c r="T7" s="3">
        <f>EXP(y_inter1-(slope*LN(+S7)))</f>
        <v>3.4747493532300706</v>
      </c>
      <c r="U7" s="588">
        <f t="shared" ref="U7:U9" si="0">(+S7*T7/100)/100</f>
        <v>0.24262858772050466</v>
      </c>
      <c r="V7" s="588">
        <f>regDebt_weighted</f>
        <v>3.5860000000000003E-2</v>
      </c>
      <c r="W7" s="588">
        <f t="shared" ref="W7:W9" si="1">+U7-V7</f>
        <v>0.20676858772050466</v>
      </c>
      <c r="X7" s="588">
        <f>+((W7*(1-0.34))-Pfd_weighted)/Equity_percent</f>
        <v>0.37871298806841008</v>
      </c>
      <c r="Y7" s="588">
        <f>X7*equityP</f>
        <v>0.22722779284104605</v>
      </c>
      <c r="Z7" s="588">
        <f>+Y7/(1-taxrate)</f>
        <v>0.28763011752031142</v>
      </c>
      <c r="AA7" s="588">
        <f>debtP*Debt_Rate</f>
        <v>1.5959999999999998E-2</v>
      </c>
      <c r="AB7" s="588">
        <f t="shared" ref="AB7:AB9" si="2">AA7+Z7</f>
        <v>0.3035901175203114</v>
      </c>
      <c r="AC7" s="588">
        <f t="shared" ref="AC7:AC9" si="3">AB7/(S7/100)</f>
        <v>4.3477958405953872E-2</v>
      </c>
      <c r="AD7" s="588">
        <f t="shared" ref="AD7:AD9" si="4">1-AC7</f>
        <v>0.95652204159404608</v>
      </c>
      <c r="AE7" s="41">
        <f>expenses/(AD7)</f>
        <v>19672938.918408368</v>
      </c>
      <c r="AF7" s="42">
        <f>+AE7-Revenue</f>
        <v>2167549.2684083655</v>
      </c>
      <c r="AG7" s="4">
        <f ca="1">+AF7/$J$49</f>
        <v>2309664.2599173123</v>
      </c>
      <c r="AH7" s="4">
        <f ca="1">+AG7*$J$47</f>
        <v>52198.41227413126</v>
      </c>
      <c r="AI7" s="41">
        <f t="shared" ref="AI7:AI9" ca="1" si="5">ROUND(+AH7+AE7,5)</f>
        <v>19725137.330680002</v>
      </c>
    </row>
    <row r="8" spans="1:35" ht="15.75">
      <c r="A8" s="557"/>
      <c r="B8" s="575" t="s">
        <v>114</v>
      </c>
      <c r="C8" s="46">
        <v>0.4</v>
      </c>
      <c r="D8" s="571"/>
      <c r="E8" s="557"/>
      <c r="F8" s="589">
        <f>+F7+1</f>
        <v>2</v>
      </c>
      <c r="G8" s="577"/>
      <c r="H8" s="586" t="s">
        <v>33</v>
      </c>
      <c r="I8" s="20">
        <f>IF(A65=TRUE,C6,0)</f>
        <v>18817599.698390938</v>
      </c>
      <c r="J8" s="568"/>
      <c r="K8" s="20">
        <f>+I8</f>
        <v>18817599.698390938</v>
      </c>
      <c r="L8" s="20">
        <f ca="1">+L7</f>
        <v>50005.564691066276</v>
      </c>
      <c r="M8" s="20">
        <f ca="1">IFERROR(+K8+L8,0.00001)</f>
        <v>18867605.263082005</v>
      </c>
      <c r="O8" s="12"/>
      <c r="P8" s="557"/>
      <c r="R8" s="590">
        <v>3</v>
      </c>
      <c r="S8" s="40">
        <f>Revenue/Investment*100</f>
        <v>698.26212787106806</v>
      </c>
      <c r="T8" s="3">
        <f>EXP(y_inter1-(slope*LN(+S8)))</f>
        <v>3.4747493532300706</v>
      </c>
      <c r="U8" s="588">
        <f t="shared" si="0"/>
        <v>0.24262858772050466</v>
      </c>
      <c r="V8" s="588">
        <f>regDebt_weighted</f>
        <v>3.5860000000000003E-2</v>
      </c>
      <c r="W8" s="588">
        <f t="shared" si="1"/>
        <v>0.20676858772050466</v>
      </c>
      <c r="X8" s="588">
        <f>+((W8*(1-0.34))-Pfd_weighted)/Equity_percent</f>
        <v>0.37871298806841008</v>
      </c>
      <c r="Y8" s="588">
        <f>X8*equityP</f>
        <v>0.22722779284104605</v>
      </c>
      <c r="Z8" s="588">
        <f>+Y8/(1-taxrate)</f>
        <v>0.28763011752031142</v>
      </c>
      <c r="AA8" s="588">
        <f>debtP*Debt_Rate</f>
        <v>1.5959999999999998E-2</v>
      </c>
      <c r="AB8" s="588">
        <f t="shared" si="2"/>
        <v>0.3035901175203114</v>
      </c>
      <c r="AC8" s="588">
        <f t="shared" si="3"/>
        <v>4.3477958405953872E-2</v>
      </c>
      <c r="AD8" s="588">
        <f t="shared" si="4"/>
        <v>0.95652204159404608</v>
      </c>
      <c r="AE8" s="41">
        <f>expenses/(AD8)</f>
        <v>19672938.918408368</v>
      </c>
      <c r="AF8" s="42">
        <f>+AE8-Revenue</f>
        <v>2167549.2684083655</v>
      </c>
      <c r="AG8" s="4">
        <f ca="1">+AF8/$J$49</f>
        <v>2309664.2599173123</v>
      </c>
      <c r="AH8" s="4">
        <f ca="1">+AG8*$J$47</f>
        <v>52198.41227413126</v>
      </c>
      <c r="AI8" s="41">
        <f t="shared" ca="1" si="5"/>
        <v>19725137.330680002</v>
      </c>
    </row>
    <row r="9" spans="1:35" ht="15.75">
      <c r="A9" s="557"/>
      <c r="B9" s="575" t="s">
        <v>113</v>
      </c>
      <c r="C9" s="46">
        <v>3.9899999999999998E-2</v>
      </c>
      <c r="D9" s="571"/>
      <c r="E9" s="557"/>
      <c r="F9" s="589">
        <f t="shared" ref="F9:F49" si="6">+F8+1</f>
        <v>3</v>
      </c>
      <c r="G9" s="577"/>
      <c r="H9" s="586" t="s">
        <v>34</v>
      </c>
      <c r="I9" s="591">
        <f>+I7-I8</f>
        <v>-1312210.0483909361</v>
      </c>
      <c r="J9" s="568"/>
      <c r="K9" s="591">
        <f ca="1">+K7-K8</f>
        <v>764280.79568373412</v>
      </c>
      <c r="L9" s="577"/>
      <c r="M9" s="592">
        <f ca="1">+M7-M8</f>
        <v>764280.79568373412</v>
      </c>
      <c r="O9" s="12"/>
      <c r="P9" s="557"/>
      <c r="R9" s="593">
        <v>4</v>
      </c>
      <c r="S9" s="40">
        <f>Revenue/Investment*100</f>
        <v>698.26212787106806</v>
      </c>
      <c r="T9" s="3">
        <f>EXP(y_inter1-(slope*LN(+S9)))</f>
        <v>3.4747493532300706</v>
      </c>
      <c r="U9" s="588">
        <f t="shared" si="0"/>
        <v>0.24262858772050466</v>
      </c>
      <c r="V9" s="588">
        <f>regDebt_weighted</f>
        <v>3.5860000000000003E-2</v>
      </c>
      <c r="W9" s="588">
        <f t="shared" si="1"/>
        <v>0.20676858772050466</v>
      </c>
      <c r="X9" s="588">
        <f>+((W9*(1-0.34))-Pfd_weighted)/Equity_percent</f>
        <v>0.37871298806841008</v>
      </c>
      <c r="Y9" s="588">
        <f>X9*equityP</f>
        <v>0.22722779284104605</v>
      </c>
      <c r="Z9" s="588">
        <f>+Y9/(1-taxrate)</f>
        <v>0.28763011752031142</v>
      </c>
      <c r="AA9" s="588">
        <f>debtP*Debt_Rate</f>
        <v>1.5959999999999998E-2</v>
      </c>
      <c r="AB9" s="588">
        <f t="shared" si="2"/>
        <v>0.3035901175203114</v>
      </c>
      <c r="AC9" s="588">
        <f t="shared" si="3"/>
        <v>4.3477958405953872E-2</v>
      </c>
      <c r="AD9" s="588">
        <f t="shared" si="4"/>
        <v>0.95652204159404608</v>
      </c>
      <c r="AE9" s="41">
        <f>expenses/(AD9)</f>
        <v>19672938.918408368</v>
      </c>
      <c r="AF9" s="42">
        <f>+AE9-Revenue</f>
        <v>2167549.2684083655</v>
      </c>
      <c r="AG9" s="4">
        <f ca="1">+AF9/$J$49</f>
        <v>2309664.2599173123</v>
      </c>
      <c r="AH9" s="4">
        <f ca="1">+AG9*$J$47</f>
        <v>52198.41227413126</v>
      </c>
      <c r="AI9" s="41">
        <f t="shared" ca="1" si="5"/>
        <v>19725137.330680002</v>
      </c>
    </row>
    <row r="10" spans="1:35" ht="15.75">
      <c r="A10" s="557"/>
      <c r="B10" s="594" t="s">
        <v>98</v>
      </c>
      <c r="C10" s="46">
        <v>0.21</v>
      </c>
      <c r="D10" s="571"/>
      <c r="E10" s="557"/>
      <c r="F10" s="589">
        <f t="shared" si="6"/>
        <v>4</v>
      </c>
      <c r="G10" s="577"/>
      <c r="H10" s="577"/>
      <c r="I10" s="568"/>
      <c r="J10" s="568"/>
      <c r="K10" s="20"/>
      <c r="L10" s="577"/>
      <c r="M10" s="577"/>
      <c r="N10" s="577"/>
      <c r="O10" s="12"/>
      <c r="P10" s="557"/>
      <c r="R10" s="570" t="s">
        <v>36</v>
      </c>
    </row>
    <row r="11" spans="1:35" ht="15.75">
      <c r="A11" s="557"/>
      <c r="B11" s="575" t="s">
        <v>97</v>
      </c>
      <c r="C11" s="47">
        <v>1.7500000000000002E-2</v>
      </c>
      <c r="D11" s="571"/>
      <c r="E11" s="557"/>
      <c r="F11" s="589">
        <f t="shared" si="6"/>
        <v>5</v>
      </c>
      <c r="G11" s="577"/>
      <c r="H11" s="586" t="s">
        <v>35</v>
      </c>
      <c r="I11" s="20">
        <f>+K11</f>
        <v>40011.624240000005</v>
      </c>
      <c r="J11" s="568"/>
      <c r="K11" s="20">
        <f>+M27</f>
        <v>40011.624240000005</v>
      </c>
      <c r="L11" s="577"/>
      <c r="M11" s="20">
        <f>+K11</f>
        <v>40011.624240000005</v>
      </c>
      <c r="O11" s="12"/>
      <c r="P11" s="557"/>
      <c r="R11" s="584">
        <v>1</v>
      </c>
      <c r="S11" s="34">
        <f ca="1">IF((AI6/Investment*100)&gt;0,(AI6/Investment*100),0)</f>
        <v>786.80432943517224</v>
      </c>
      <c r="T11" s="35">
        <f ca="1">EXP(y_inter1-(slope*LN(S11)))</f>
        <v>3.2024059745089071</v>
      </c>
      <c r="U11" s="36">
        <f ca="1">(+S11*T11/100)/100</f>
        <v>0.25196668853526699</v>
      </c>
      <c r="V11" s="36">
        <f>regDebt_weighted</f>
        <v>3.5860000000000003E-2</v>
      </c>
      <c r="W11" s="36">
        <f ca="1">+U11-V11</f>
        <v>0.21610668853526699</v>
      </c>
      <c r="X11" s="36">
        <f ca="1">+((W11*(1-0.34))-Pfd_weighted)/Equity_percent</f>
        <v>0.39662911172464016</v>
      </c>
      <c r="Y11" s="36">
        <f ca="1">+X11*equityP</f>
        <v>0.23797746703478409</v>
      </c>
      <c r="Z11" s="36">
        <f ca="1">+Y11/(1-taxrate)</f>
        <v>0.30123730004403049</v>
      </c>
      <c r="AA11" s="36">
        <f>debtP*Debt_Rate</f>
        <v>1.5959999999999998E-2</v>
      </c>
      <c r="AB11" s="36">
        <f ca="1">+AA11+Z11</f>
        <v>0.31719730004403046</v>
      </c>
      <c r="AC11" s="36">
        <f ca="1">+AB11/(S11/100)</f>
        <v>4.0314635822065022E-2</v>
      </c>
      <c r="AD11" s="36">
        <f ca="1">1-AC11</f>
        <v>0.95968536417793493</v>
      </c>
      <c r="AE11" s="37">
        <f ca="1">expenses/(AD11)</f>
        <v>19608092.819577452</v>
      </c>
      <c r="AF11" s="38">
        <f ca="1">+AE11-Revenue</f>
        <v>2102703.1695774496</v>
      </c>
      <c r="AG11" s="39">
        <f ca="1">+AF11/$J$49</f>
        <v>2240566.5378734623</v>
      </c>
      <c r="AH11" s="39">
        <f ca="1">+AG11*$J$47</f>
        <v>50636.803755940251</v>
      </c>
      <c r="AI11" s="37">
        <f ca="1">ROUND(+AH11+AE11,5)</f>
        <v>19658729.623330001</v>
      </c>
    </row>
    <row r="12" spans="1:35" ht="15.75">
      <c r="A12" s="557"/>
      <c r="B12" s="575" t="s">
        <v>99</v>
      </c>
      <c r="C12" s="47">
        <v>5.1000000000000004E-3</v>
      </c>
      <c r="D12" s="571"/>
      <c r="E12" s="557"/>
      <c r="F12" s="589">
        <f t="shared" si="6"/>
        <v>6</v>
      </c>
      <c r="G12" s="577"/>
      <c r="H12" s="586" t="s">
        <v>37</v>
      </c>
      <c r="I12" s="20">
        <f>+J38*I9</f>
        <v>-275564.11016209656</v>
      </c>
      <c r="J12" s="20">
        <f ca="1">+K12-I12</f>
        <v>427660.63616528071</v>
      </c>
      <c r="K12" s="20">
        <f ca="1">+(K9-K11)*taxrate</f>
        <v>152096.52600318415</v>
      </c>
      <c r="L12" s="577"/>
      <c r="M12" s="20">
        <f ca="1">+K12</f>
        <v>152096.52600318415</v>
      </c>
      <c r="O12" s="12"/>
      <c r="P12" s="557"/>
      <c r="R12" s="587">
        <v>2</v>
      </c>
      <c r="S12" s="40">
        <f ca="1">IF((AI7/Investment*100)&gt;0,(AI7/Investment*100),0)</f>
        <v>786.80432943517224</v>
      </c>
      <c r="T12" s="595">
        <f ca="1">EXP(y_inter2-(slope*LN(+S12)))</f>
        <v>3.1568427371836827</v>
      </c>
      <c r="U12" s="588">
        <f ca="1">(+S12*T12/100)/100</f>
        <v>0.24838175329621012</v>
      </c>
      <c r="V12" s="588">
        <f>regDebt_weighted</f>
        <v>3.5860000000000003E-2</v>
      </c>
      <c r="W12" s="588">
        <f ca="1">+U12-V12</f>
        <v>0.21252175329621012</v>
      </c>
      <c r="X12" s="588">
        <f ca="1">+((W12*(1-0.34))-Pfd_weighted)/Equity_percent</f>
        <v>0.38975103830086821</v>
      </c>
      <c r="Y12" s="588">
        <f ca="1">+X12*equityP</f>
        <v>0.23385062298052092</v>
      </c>
      <c r="Z12" s="588">
        <f ca="1">+Y12/(1-taxrate)</f>
        <v>0.29601344681078595</v>
      </c>
      <c r="AA12" s="588">
        <f>debtP*Debt_Rate</f>
        <v>1.5959999999999998E-2</v>
      </c>
      <c r="AB12" s="588">
        <f ca="1">+AA12+Z12</f>
        <v>0.31197344681078593</v>
      </c>
      <c r="AC12" s="588">
        <f ca="1">+AB12/(S12/100)</f>
        <v>3.9650702867222921E-2</v>
      </c>
      <c r="AD12" s="588">
        <f ca="1">1-AC12</f>
        <v>0.96034929713277706</v>
      </c>
      <c r="AE12" s="41">
        <f ca="1">expenses/(AD12)</f>
        <v>19594536.857134007</v>
      </c>
      <c r="AF12" s="42">
        <f ca="1">+AE12-Revenue</f>
        <v>2089147.2071340047</v>
      </c>
      <c r="AG12" s="4">
        <f ca="1">+AF12/$J$49</f>
        <v>2226121.7811056511</v>
      </c>
      <c r="AH12" s="4">
        <f ca="1">+AG12*$J$47</f>
        <v>50310.352252987715</v>
      </c>
      <c r="AI12" s="41">
        <f t="shared" ref="AI12:AI14" ca="1" si="7">ROUND(+AH12+AE12,5)</f>
        <v>19644847.20939</v>
      </c>
    </row>
    <row r="13" spans="1:35" ht="15.75">
      <c r="A13" s="557"/>
      <c r="B13" s="575" t="s">
        <v>100</v>
      </c>
      <c r="C13" s="47">
        <v>0</v>
      </c>
      <c r="D13" s="571"/>
      <c r="E13" s="557"/>
      <c r="F13" s="589">
        <f t="shared" si="6"/>
        <v>7</v>
      </c>
      <c r="G13" s="577"/>
      <c r="H13" s="577"/>
      <c r="I13" s="568"/>
      <c r="J13" s="568"/>
      <c r="K13" s="20"/>
      <c r="L13" s="577"/>
      <c r="M13" s="577"/>
      <c r="O13" s="12"/>
      <c r="P13" s="557"/>
      <c r="R13" s="590">
        <v>3</v>
      </c>
      <c r="S13" s="40">
        <f ca="1">IF((AI8/Investment*100)&gt;0,(AI8/Investment*100),0)</f>
        <v>786.80432943517224</v>
      </c>
      <c r="T13" s="3">
        <f ca="1">EXP(y_inter3-(slope*LN(S13)))</f>
        <v>3.1261505590692176</v>
      </c>
      <c r="U13" s="588">
        <f ca="1">(+S13*T13/100)/100</f>
        <v>0.24596687943418444</v>
      </c>
      <c r="V13" s="588">
        <f>regDebt_weighted</f>
        <v>3.5860000000000003E-2</v>
      </c>
      <c r="W13" s="588">
        <f ca="1">+U13-V13</f>
        <v>0.21010687943418443</v>
      </c>
      <c r="X13" s="588">
        <f ca="1">+((W13*(1-0.34))-Pfd_weighted)/Equity_percent</f>
        <v>0.38511785007721433</v>
      </c>
      <c r="Y13" s="588">
        <f ca="1">+X13*equityP</f>
        <v>0.23107071004632859</v>
      </c>
      <c r="Z13" s="588">
        <f ca="1">+Y13/(1-taxrate)</f>
        <v>0.29249456967889692</v>
      </c>
      <c r="AA13" s="588">
        <f>debtP*Debt_Rate</f>
        <v>1.5959999999999998E-2</v>
      </c>
      <c r="AB13" s="588">
        <f ca="1">+AA13+Z13</f>
        <v>0.30845456967889689</v>
      </c>
      <c r="AC13" s="588">
        <f ca="1">+AB13/(S13/100)</f>
        <v>3.9203466241769278E-2</v>
      </c>
      <c r="AD13" s="588">
        <f ca="1">1-AC13</f>
        <v>0.96079653375823071</v>
      </c>
      <c r="AE13" s="41">
        <f ca="1">expenses/(AD13)</f>
        <v>19585415.889027439</v>
      </c>
      <c r="AF13" s="42">
        <f ca="1">+AE13-Revenue</f>
        <v>2080026.2390274368</v>
      </c>
      <c r="AG13" s="4">
        <f ca="1">+AF13/$J$49</f>
        <v>2216402.7983085243</v>
      </c>
      <c r="AH13" s="4">
        <f ca="1">+AG13*$J$47</f>
        <v>50090.703241772651</v>
      </c>
      <c r="AI13" s="41">
        <f t="shared" ca="1" si="7"/>
        <v>19635506.592270002</v>
      </c>
    </row>
    <row r="14" spans="1:35" ht="16.5" thickBot="1">
      <c r="A14" s="557"/>
      <c r="B14" s="596" t="s">
        <v>101</v>
      </c>
      <c r="C14" s="47">
        <v>0</v>
      </c>
      <c r="D14" s="571"/>
      <c r="E14" s="557"/>
      <c r="F14" s="589">
        <f t="shared" si="6"/>
        <v>8</v>
      </c>
      <c r="G14" s="577"/>
      <c r="H14" s="577" t="s">
        <v>38</v>
      </c>
      <c r="I14" s="30">
        <f>+I9-SUM(I11:I13)</f>
        <v>-1076657.5624688396</v>
      </c>
      <c r="J14" s="568"/>
      <c r="K14" s="30">
        <f ca="1">+K9-SUM(K11:K13)</f>
        <v>572172.64544054994</v>
      </c>
      <c r="L14" s="577"/>
      <c r="M14" s="30">
        <f ca="1">+M9-SUM(M11:M13)</f>
        <v>572172.64544054994</v>
      </c>
      <c r="O14" s="12"/>
      <c r="P14" s="557"/>
      <c r="R14" s="593">
        <v>4</v>
      </c>
      <c r="S14" s="40">
        <f ca="1">IF((AI9/Investment*100)&gt;0,(AI9/Investment*100),0)</f>
        <v>786.80432943517224</v>
      </c>
      <c r="T14" s="1">
        <f ca="1">EXP(y_inter4-(slope*LN(S14)))</f>
        <v>3.1065177189290973</v>
      </c>
      <c r="U14" s="588">
        <f ca="1">(+S14*T14/100)/100</f>
        <v>0.24442215907204889</v>
      </c>
      <c r="V14" s="588">
        <f>regDebt_weighted</f>
        <v>3.5860000000000003E-2</v>
      </c>
      <c r="W14" s="588">
        <f ca="1">+U14-V14</f>
        <v>0.20856215907204889</v>
      </c>
      <c r="X14" s="588">
        <f ca="1">+((W14*(1-0.34))-Pfd_weighted)/Equity_percent</f>
        <v>0.38215414240567513</v>
      </c>
      <c r="Y14" s="588">
        <f ca="1">+X14*equityP</f>
        <v>0.22929248544340508</v>
      </c>
      <c r="Z14" s="588">
        <f ca="1">+Y14/(1-taxrate)</f>
        <v>0.29024365246000644</v>
      </c>
      <c r="AA14" s="588">
        <f>debtP*Debt_Rate</f>
        <v>1.5959999999999998E-2</v>
      </c>
      <c r="AB14" s="588">
        <f ca="1">+AA14+Z14</f>
        <v>0.30620365246000641</v>
      </c>
      <c r="AC14" s="588">
        <f ca="1">+AB14/(S14/100)</f>
        <v>3.8917382760186713E-2</v>
      </c>
      <c r="AD14" s="588">
        <f ca="1">1-AC14</f>
        <v>0.96108261723981325</v>
      </c>
      <c r="AE14" s="41">
        <f ca="1">expenses/(AD14)</f>
        <v>19579585.938651405</v>
      </c>
      <c r="AF14" s="42">
        <f ca="1">+AE14-Revenue</f>
        <v>2074196.288651403</v>
      </c>
      <c r="AG14" s="4">
        <f ca="1">+AF14/$J$49</f>
        <v>2210190.6082481323</v>
      </c>
      <c r="AH14" s="4">
        <f ca="1">+AG14*$J$47</f>
        <v>49950.307746407794</v>
      </c>
      <c r="AI14" s="41">
        <f t="shared" ca="1" si="7"/>
        <v>19629536.246399999</v>
      </c>
    </row>
    <row r="15" spans="1:35" ht="16.5" thickTop="1">
      <c r="A15" s="557"/>
      <c r="B15" s="833"/>
      <c r="C15" s="833"/>
      <c r="D15" s="557"/>
      <c r="E15" s="557"/>
      <c r="F15" s="589">
        <f t="shared" si="6"/>
        <v>9</v>
      </c>
      <c r="G15" s="568"/>
      <c r="H15" s="568"/>
      <c r="I15" s="568"/>
      <c r="J15" s="568"/>
      <c r="K15" s="19"/>
      <c r="L15" s="568"/>
      <c r="M15" s="568"/>
      <c r="O15" s="12"/>
      <c r="P15" s="557"/>
      <c r="R15" s="570" t="s">
        <v>40</v>
      </c>
    </row>
    <row r="16" spans="1:35" ht="15.75">
      <c r="A16" s="557"/>
      <c r="B16" s="597" t="s">
        <v>124</v>
      </c>
      <c r="C16" s="833"/>
      <c r="D16" s="833"/>
      <c r="E16" s="557"/>
      <c r="F16" s="589">
        <f t="shared" si="6"/>
        <v>10</v>
      </c>
      <c r="G16" s="568"/>
      <c r="H16" s="598" t="s">
        <v>39</v>
      </c>
      <c r="I16" s="60">
        <f>+I8/I7</f>
        <v>1.0749603450495566</v>
      </c>
      <c r="J16" s="61"/>
      <c r="K16" s="60">
        <f ca="1">+K8/K7</f>
        <v>0.96096999999999999</v>
      </c>
      <c r="L16" s="599"/>
      <c r="M16" s="60">
        <f ca="1">+M8/M7</f>
        <v>0.96106941567427862</v>
      </c>
      <c r="O16" s="12"/>
      <c r="P16" s="557"/>
      <c r="R16" s="600">
        <v>1</v>
      </c>
      <c r="S16" s="601">
        <f ca="1">AI11/Investment*100</f>
        <v>784.15543169748321</v>
      </c>
      <c r="T16" s="602">
        <f ca="1">EXP(y_inter1-(slope*LN(+S16)))</f>
        <v>3.2097978423228821</v>
      </c>
      <c r="U16" s="603">
        <f ca="1">(+S16*T16/100)/100</f>
        <v>0.251698041270835</v>
      </c>
      <c r="V16" s="603">
        <f>regDebt_weighted</f>
        <v>3.5860000000000003E-2</v>
      </c>
      <c r="W16" s="603">
        <f ca="1">+U16-V16</f>
        <v>0.215838041270835</v>
      </c>
      <c r="X16" s="603">
        <f ca="1">+((W16*(1-0.34))-Pfd_weighted)/Equity_percent</f>
        <v>0.3961136838335787</v>
      </c>
      <c r="Y16" s="603">
        <f ca="1">+X16*equityP</f>
        <v>0.2376682103001472</v>
      </c>
      <c r="Z16" s="603">
        <f ca="1">+Y16/(1-taxrate)</f>
        <v>0.30084583582297114</v>
      </c>
      <c r="AA16" s="603">
        <f>debtP*Debt_Rate</f>
        <v>1.5959999999999998E-2</v>
      </c>
      <c r="AB16" s="603">
        <f ca="1">+AA16+Z16</f>
        <v>0.31680583582297112</v>
      </c>
      <c r="AC16" s="603">
        <f ca="1">+AB16/(S16/100)</f>
        <v>4.0400897961922248E-2</v>
      </c>
      <c r="AD16" s="603">
        <f ca="1">1-AC16</f>
        <v>0.95959910203807774</v>
      </c>
      <c r="AE16" s="604">
        <f ca="1">expenses/(AD16)</f>
        <v>19609855.468210138</v>
      </c>
      <c r="AF16" s="605">
        <f ca="1">+AE16-Revenue</f>
        <v>2104465.8182101361</v>
      </c>
      <c r="AG16" s="606">
        <f ca="1">+AF16/$J$49</f>
        <v>2242444.7542577651</v>
      </c>
      <c r="AH16" s="606">
        <f ca="1">+AG16*$J$47</f>
        <v>50679.251446225499</v>
      </c>
      <c r="AI16" s="604">
        <f ca="1">ROUND(+AH16+AE16,5)</f>
        <v>19660534.719659999</v>
      </c>
    </row>
    <row r="17" spans="1:35" ht="15.75">
      <c r="A17" s="557"/>
      <c r="B17" s="834"/>
      <c r="C17" s="833"/>
      <c r="D17" s="557" t="s">
        <v>102</v>
      </c>
      <c r="E17" s="557"/>
      <c r="F17" s="589">
        <f t="shared" si="6"/>
        <v>11</v>
      </c>
      <c r="G17" s="568"/>
      <c r="H17" s="607"/>
      <c r="I17" s="607"/>
      <c r="J17" s="608"/>
      <c r="K17" s="607"/>
      <c r="L17" s="598"/>
      <c r="M17" s="598"/>
      <c r="N17" s="21"/>
      <c r="O17" s="557"/>
      <c r="P17" s="557"/>
      <c r="R17" s="587">
        <v>2</v>
      </c>
      <c r="S17" s="40">
        <f ca="1">AI12/Investment*100</f>
        <v>783.60168430359226</v>
      </c>
      <c r="T17" s="595">
        <f ca="1">EXP(y_inter2-(slope*LN(+S17)))</f>
        <v>3.1656579458792087</v>
      </c>
      <c r="U17" s="588">
        <f ca="1">(+S17*T17/100)/100</f>
        <v>0.24806148983199983</v>
      </c>
      <c r="V17" s="588">
        <f>regDebt_weighted</f>
        <v>3.5860000000000003E-2</v>
      </c>
      <c r="W17" s="588">
        <f ca="1">+U17-V17</f>
        <v>0.21220148983199982</v>
      </c>
      <c r="X17" s="588">
        <f ca="1">+((W17*(1-0.34))-Pfd_weighted)/Equity_percent</f>
        <v>0.38913657932883683</v>
      </c>
      <c r="Y17" s="588">
        <f ca="1">+X17*equityP</f>
        <v>0.23348194759730209</v>
      </c>
      <c r="Z17" s="588">
        <f ca="1">+Y17/(1-taxrate)</f>
        <v>0.29554676911050898</v>
      </c>
      <c r="AA17" s="588">
        <f>debtP*Debt_Rate</f>
        <v>1.5959999999999998E-2</v>
      </c>
      <c r="AB17" s="588">
        <f ca="1">+AA17+Z17</f>
        <v>0.31150676911050895</v>
      </c>
      <c r="AC17" s="588">
        <f ca="1">+AB17/(S17/100)</f>
        <v>3.9753203106927128E-2</v>
      </c>
      <c r="AD17" s="588">
        <f ca="1">1-AC17</f>
        <v>0.96024679689307291</v>
      </c>
      <c r="AE17" s="41">
        <f ca="1">expenses/(AD17)</f>
        <v>19596628.449348889</v>
      </c>
      <c r="AF17" s="42">
        <f ca="1">+AE17-Revenue</f>
        <v>2091238.7993488871</v>
      </c>
      <c r="AG17" s="4">
        <f ca="1">+AF17/$J$49</f>
        <v>2228350.5082010133</v>
      </c>
      <c r="AH17" s="4">
        <f ca="1">+AG17*$J$47</f>
        <v>50360.721485342903</v>
      </c>
      <c r="AI17" s="41">
        <f t="shared" ref="AI17:AI19" ca="1" si="8">ROUND(+AH17+AE17,5)</f>
        <v>19646989.17083</v>
      </c>
    </row>
    <row r="18" spans="1:35" ht="15.75">
      <c r="A18" s="557"/>
      <c r="B18" s="828" t="s">
        <v>125</v>
      </c>
      <c r="C18" s="828"/>
      <c r="D18" s="557"/>
      <c r="E18" s="557"/>
      <c r="F18" s="589">
        <f t="shared" si="6"/>
        <v>12</v>
      </c>
      <c r="G18" s="568"/>
      <c r="H18" s="609" t="s">
        <v>83</v>
      </c>
      <c r="I18" s="610"/>
      <c r="J18" s="610"/>
      <c r="K18" s="610"/>
      <c r="L18" s="610"/>
      <c r="M18" s="611"/>
      <c r="N18" s="608"/>
      <c r="O18" s="557"/>
      <c r="P18" s="557"/>
      <c r="R18" s="590">
        <v>3</v>
      </c>
      <c r="S18" s="40">
        <f ca="1">AI13/Investment*100</f>
        <v>783.22910195517034</v>
      </c>
      <c r="T18" s="3">
        <f ca="1">EXP(y_inter3-(slope*LN(S18)))</f>
        <v>3.1358995179552815</v>
      </c>
      <c r="U18" s="588">
        <f ca="1">(+S18*T18/100)/100</f>
        <v>0.24561277632697667</v>
      </c>
      <c r="V18" s="588">
        <f>regDebt_weighted</f>
        <v>3.5860000000000003E-2</v>
      </c>
      <c r="W18" s="588">
        <f ca="1">+U18-V18</f>
        <v>0.20975277632697667</v>
      </c>
      <c r="X18" s="588">
        <f ca="1">+((W18*(1-0.34))-Pfd_weighted)/Equity_percent</f>
        <v>0.38443846620873429</v>
      </c>
      <c r="Y18" s="588">
        <f ca="1">+X18*equityP</f>
        <v>0.23066307972524056</v>
      </c>
      <c r="Z18" s="588">
        <f ca="1">+Y18/(1-taxrate)</f>
        <v>0.29197858193068421</v>
      </c>
      <c r="AA18" s="588">
        <f>debtP*Debt_Rate</f>
        <v>1.5959999999999998E-2</v>
      </c>
      <c r="AB18" s="588">
        <f ca="1">+AA18+Z18</f>
        <v>0.30793858193068419</v>
      </c>
      <c r="AC18" s="588">
        <f ca="1">+AB18/(S18/100)</f>
        <v>3.9316539842809577E-2</v>
      </c>
      <c r="AD18" s="588">
        <f ca="1">1-AC18</f>
        <v>0.96068346015719042</v>
      </c>
      <c r="AE18" s="41">
        <f ca="1">expenses/(AD18)</f>
        <v>19587721.116081186</v>
      </c>
      <c r="AF18" s="42">
        <f ca="1">+AE18-Revenue</f>
        <v>2082331.4660811834</v>
      </c>
      <c r="AG18" s="4">
        <f ca="1">+AF18/$J$49</f>
        <v>2218859.1671738755</v>
      </c>
      <c r="AH18" s="4">
        <f ca="1">+AG18*$J$47</f>
        <v>50146.217178129591</v>
      </c>
      <c r="AI18" s="41">
        <f t="shared" ca="1" si="8"/>
        <v>19637867.33326</v>
      </c>
    </row>
    <row r="19" spans="1:35" ht="15.75">
      <c r="A19" s="557"/>
      <c r="B19" s="557"/>
      <c r="C19" s="557"/>
      <c r="D19" s="557"/>
      <c r="E19" s="557"/>
      <c r="F19" s="589">
        <f t="shared" si="6"/>
        <v>13</v>
      </c>
      <c r="G19" s="568"/>
      <c r="H19" s="612"/>
      <c r="I19" s="598" t="s">
        <v>122</v>
      </c>
      <c r="J19" s="613">
        <f>+Revenue</f>
        <v>17505389.650000002</v>
      </c>
      <c r="K19" s="614"/>
      <c r="L19" s="598" t="s">
        <v>126</v>
      </c>
      <c r="M19" s="62">
        <f ca="1">+J7</f>
        <v>2076490.8440746702</v>
      </c>
      <c r="O19" s="557"/>
      <c r="P19" s="557"/>
      <c r="R19" s="593">
        <v>4</v>
      </c>
      <c r="S19" s="40">
        <f ca="1">AI14/Investment*100</f>
        <v>782.99095436207665</v>
      </c>
      <c r="T19" s="1">
        <f ca="1">EXP(y_inter4-(slope*LN(S19)))</f>
        <v>3.1168534019500229</v>
      </c>
      <c r="U19" s="588">
        <f ca="1">(+S19*T19/100)/100</f>
        <v>0.24404680197995338</v>
      </c>
      <c r="V19" s="588">
        <f>regDebt_weighted</f>
        <v>3.5860000000000003E-2</v>
      </c>
      <c r="W19" s="588">
        <f ca="1">+U19-V19</f>
        <v>0.20818680197995337</v>
      </c>
      <c r="X19" s="588">
        <f ca="1">+((W19*(1-0.34))-Pfd_weighted)/Equity_percent</f>
        <v>0.38143398054293376</v>
      </c>
      <c r="Y19" s="588">
        <f ca="1">+X19*equityP</f>
        <v>0.22886038832576025</v>
      </c>
      <c r="Z19" s="588">
        <f ca="1">+Y19/(1-taxrate)</f>
        <v>0.28969669408324084</v>
      </c>
      <c r="AA19" s="588">
        <f>debtP*Debt_Rate</f>
        <v>1.5959999999999998E-2</v>
      </c>
      <c r="AB19" s="588">
        <f ca="1">+AA19+Z19</f>
        <v>0.30565669408324081</v>
      </c>
      <c r="AC19" s="588">
        <f ca="1">+AB19/(S19/100)</f>
        <v>3.9037065802665291E-2</v>
      </c>
      <c r="AD19" s="588">
        <f ca="1">1-AC19</f>
        <v>0.96096293419733469</v>
      </c>
      <c r="AE19" s="41">
        <f ca="1">expenses/(AD19)</f>
        <v>19582024.476426605</v>
      </c>
      <c r="AF19" s="42">
        <f ca="1">+AE19-Revenue</f>
        <v>2076634.8264266029</v>
      </c>
      <c r="AG19" s="4">
        <f ca="1">+AF19/$J$49</f>
        <v>2212789.0283292467</v>
      </c>
      <c r="AH19" s="4">
        <f ca="1">+AG19*$J$47</f>
        <v>50009.032040240978</v>
      </c>
      <c r="AI19" s="41">
        <f t="shared" ca="1" si="8"/>
        <v>19632033.508469999</v>
      </c>
    </row>
    <row r="20" spans="1:35" ht="15.75">
      <c r="A20" s="557"/>
      <c r="B20" s="615"/>
      <c r="C20" s="557"/>
      <c r="D20" s="557"/>
      <c r="E20" s="557"/>
      <c r="F20" s="589">
        <f t="shared" si="6"/>
        <v>14</v>
      </c>
      <c r="G20" s="568"/>
      <c r="H20" s="612"/>
      <c r="I20" s="598" t="s">
        <v>42</v>
      </c>
      <c r="J20" s="613">
        <f ca="1">+J21-J19</f>
        <v>2126496.408765737</v>
      </c>
      <c r="K20" s="614"/>
      <c r="L20" s="598" t="s">
        <v>41</v>
      </c>
      <c r="M20" s="62">
        <f ca="1">+L8</f>
        <v>50005.564691066276</v>
      </c>
      <c r="O20" s="557"/>
      <c r="P20" s="557"/>
      <c r="R20" s="570" t="s">
        <v>43</v>
      </c>
    </row>
    <row r="21" spans="1:35" ht="16.5" thickBot="1">
      <c r="A21" s="557"/>
      <c r="B21" s="615" t="s">
        <v>0</v>
      </c>
      <c r="C21" s="557"/>
      <c r="D21" s="557"/>
      <c r="E21" s="557"/>
      <c r="F21" s="589">
        <f t="shared" si="6"/>
        <v>15</v>
      </c>
      <c r="G21" s="568"/>
      <c r="H21" s="612"/>
      <c r="I21" s="616" t="s">
        <v>83</v>
      </c>
      <c r="J21" s="63">
        <f ca="1">+M7</f>
        <v>19631886.058765739</v>
      </c>
      <c r="K21" s="608"/>
      <c r="L21" s="616" t="s">
        <v>42</v>
      </c>
      <c r="M21" s="64">
        <f ca="1">+M19+M20</f>
        <v>2126496.4087657365</v>
      </c>
      <c r="O21" s="557"/>
      <c r="P21" s="557"/>
      <c r="R21" s="600">
        <v>1</v>
      </c>
      <c r="S21" s="601">
        <f ca="1">AI16/Investment*100</f>
        <v>784.22743411671502</v>
      </c>
      <c r="T21" s="602">
        <f ca="1">EXP(y_inter1-(slope*LN(+S21)))</f>
        <v>3.2095963606405067</v>
      </c>
      <c r="U21" s="603">
        <f ca="1">(+S21*T21/100)/100</f>
        <v>0.25170535184554516</v>
      </c>
      <c r="V21" s="603">
        <f>regDebt_weighted</f>
        <v>3.5860000000000003E-2</v>
      </c>
      <c r="W21" s="603">
        <f ca="1">+U21-V21</f>
        <v>0.21584535184554515</v>
      </c>
      <c r="X21" s="603">
        <f ca="1">+((W21*(1-0.34))-Pfd_weighted)/Equity_percent</f>
        <v>0.39612770993622032</v>
      </c>
      <c r="Y21" s="603">
        <f ca="1">+X21*equityP</f>
        <v>0.23767662596173217</v>
      </c>
      <c r="Z21" s="603">
        <f ca="1">+Y21/(1-taxrate)</f>
        <v>0.30085648855915464</v>
      </c>
      <c r="AA21" s="603">
        <f>debtP*Debt_Rate</f>
        <v>1.5959999999999998E-2</v>
      </c>
      <c r="AB21" s="603">
        <f ca="1">+AA21+Z21</f>
        <v>0.31681648855915462</v>
      </c>
      <c r="AC21" s="603">
        <f ca="1">+AB21/(S21/100)</f>
        <v>4.0398547000078992E-2</v>
      </c>
      <c r="AD21" s="603">
        <f ca="1">1-AC21</f>
        <v>0.95960145299992106</v>
      </c>
      <c r="AE21" s="604">
        <f ca="1">expenses/(AD21)</f>
        <v>19609807.425325446</v>
      </c>
      <c r="AF21" s="605">
        <f ca="1">+AE21-Revenue</f>
        <v>2104417.7753254436</v>
      </c>
      <c r="AG21" s="606">
        <f ca="1">+AF21/$J$49</f>
        <v>2242393.5614496777</v>
      </c>
      <c r="AH21" s="606">
        <f ca="1">+AG21*$J$47</f>
        <v>50678.094488762719</v>
      </c>
      <c r="AI21" s="604">
        <f ca="1">ROUND(+AH21+AE21,5)</f>
        <v>19660485.519809999</v>
      </c>
    </row>
    <row r="22" spans="1:35" ht="16.5" thickTop="1">
      <c r="A22" s="557"/>
      <c r="B22" s="557" t="s">
        <v>109</v>
      </c>
      <c r="C22" s="557"/>
      <c r="D22" s="557"/>
      <c r="E22" s="557"/>
      <c r="F22" s="589">
        <f t="shared" si="6"/>
        <v>16</v>
      </c>
      <c r="G22" s="568"/>
      <c r="H22" s="617"/>
      <c r="I22" s="618"/>
      <c r="J22" s="619" t="s">
        <v>127</v>
      </c>
      <c r="K22" s="65">
        <f ca="1">+(J21/J19)-1</f>
        <v>0.12147666811665259</v>
      </c>
      <c r="L22" s="618"/>
      <c r="M22" s="620"/>
      <c r="O22" s="557"/>
      <c r="P22" s="557"/>
      <c r="R22" s="587">
        <v>2</v>
      </c>
      <c r="S22" s="40">
        <f ca="1">AI17/Investment*100</f>
        <v>783.68712373583662</v>
      </c>
      <c r="T22" s="595">
        <f ca="1">EXP(y_inter2-(slope*LN(+S22)))</f>
        <v>3.1654219884577204</v>
      </c>
      <c r="U22" s="588">
        <f ca="1">(+S22*T22/100)/100</f>
        <v>0.24807004535446037</v>
      </c>
      <c r="V22" s="588">
        <f>regDebt_weighted</f>
        <v>3.5860000000000003E-2</v>
      </c>
      <c r="W22" s="588">
        <f ca="1">+U22-V22</f>
        <v>0.21221004535446036</v>
      </c>
      <c r="X22" s="588">
        <f ca="1">+((W22*(1-0.34))-Pfd_weighted)/Equity_percent</f>
        <v>0.38915299399402281</v>
      </c>
      <c r="Y22" s="588">
        <f ca="1">+X22*equityP</f>
        <v>0.23349179639641368</v>
      </c>
      <c r="Z22" s="588">
        <f ca="1">+Y22/(1-taxrate)</f>
        <v>0.29555923594482741</v>
      </c>
      <c r="AA22" s="588">
        <f>debtP*Debt_Rate</f>
        <v>1.5959999999999998E-2</v>
      </c>
      <c r="AB22" s="588">
        <f ca="1">+AA22+Z22</f>
        <v>0.31151923594482739</v>
      </c>
      <c r="AC22" s="588">
        <f ca="1">+AB22/(S22/100)</f>
        <v>3.9750459910559095E-2</v>
      </c>
      <c r="AD22" s="588">
        <f ca="1">1-AC22</f>
        <v>0.96024954008944086</v>
      </c>
      <c r="AE22" s="41">
        <f ca="1">expenses/(AD22)</f>
        <v>19596572.466609258</v>
      </c>
      <c r="AF22" s="42">
        <f ca="1">+AE22-Revenue</f>
        <v>2091182.816609256</v>
      </c>
      <c r="AG22" s="4">
        <f ca="1">+AF22/$J$49</f>
        <v>2228290.8549627769</v>
      </c>
      <c r="AH22" s="4">
        <f ca="1">+AG22*$J$47</f>
        <v>50359.373322158761</v>
      </c>
      <c r="AI22" s="41">
        <f t="shared" ref="AI22:AI24" ca="1" si="9">ROUND(+AH22+AE22,5)</f>
        <v>19646931.839930002</v>
      </c>
    </row>
    <row r="23" spans="1:35" ht="15.75">
      <c r="A23" s="557"/>
      <c r="B23" s="557" t="s">
        <v>108</v>
      </c>
      <c r="C23" s="557"/>
      <c r="D23" s="557"/>
      <c r="E23" s="557"/>
      <c r="F23" s="589">
        <f t="shared" si="6"/>
        <v>17</v>
      </c>
      <c r="H23" s="568"/>
      <c r="I23" s="568"/>
      <c r="J23" s="568"/>
      <c r="K23" s="568"/>
      <c r="L23" s="568"/>
      <c r="M23" s="568"/>
      <c r="N23" s="568"/>
      <c r="O23" s="557"/>
      <c r="P23" s="557"/>
      <c r="R23" s="590">
        <v>3</v>
      </c>
      <c r="S23" s="40">
        <f ca="1">AI18/Investment*100</f>
        <v>783.32326815540841</v>
      </c>
      <c r="T23" s="3">
        <f ca="1">EXP(y_inter3-(slope*LN(S23)))</f>
        <v>3.1356417844155584</v>
      </c>
      <c r="U23" s="588">
        <f ca="1">(+S23*T23/100)/100</f>
        <v>0.24562211703330519</v>
      </c>
      <c r="V23" s="588">
        <f>regDebt_weighted</f>
        <v>3.5860000000000003E-2</v>
      </c>
      <c r="W23" s="588">
        <f ca="1">+U23-V23</f>
        <v>0.20976211703330519</v>
      </c>
      <c r="X23" s="588">
        <f ca="1">+((W23*(1-0.34))-Pfd_weighted)/Equity_percent</f>
        <v>0.38445638733134135</v>
      </c>
      <c r="Y23" s="588">
        <f ca="1">+X23*equityP</f>
        <v>0.23067383239880479</v>
      </c>
      <c r="Z23" s="588">
        <f ca="1">+Y23/(1-taxrate)</f>
        <v>0.29199219290987949</v>
      </c>
      <c r="AA23" s="588">
        <f>debtP*Debt_Rate</f>
        <v>1.5959999999999998E-2</v>
      </c>
      <c r="AB23" s="588">
        <f ca="1">+AA23+Z23</f>
        <v>0.30795219290987946</v>
      </c>
      <c r="AC23" s="588">
        <f ca="1">+AB23/(S23/100)</f>
        <v>3.9313551049626541E-2</v>
      </c>
      <c r="AD23" s="588">
        <f ca="1">1-AC23</f>
        <v>0.96068644895037347</v>
      </c>
      <c r="AE23" s="41">
        <f ca="1">expenses/(AD23)</f>
        <v>19587660.176689975</v>
      </c>
      <c r="AF23" s="42">
        <f ca="1">+AE23-Revenue</f>
        <v>2082270.5266899727</v>
      </c>
      <c r="AG23" s="4">
        <f ca="1">+AF23/$J$49</f>
        <v>2218794.2323020585</v>
      </c>
      <c r="AH23" s="4">
        <f ca="1">+AG23*$J$47</f>
        <v>50144.749650026526</v>
      </c>
      <c r="AI23" s="41">
        <f t="shared" ca="1" si="9"/>
        <v>19637804.926339999</v>
      </c>
    </row>
    <row r="24" spans="1:35" ht="15.75">
      <c r="A24" s="557"/>
      <c r="B24" s="557" t="s">
        <v>110</v>
      </c>
      <c r="C24" s="557"/>
      <c r="D24" s="557"/>
      <c r="E24" s="557"/>
      <c r="F24" s="589">
        <f t="shared" si="6"/>
        <v>18</v>
      </c>
      <c r="H24" s="568"/>
      <c r="J24" s="621" t="s">
        <v>105</v>
      </c>
      <c r="K24" s="622" t="s">
        <v>44</v>
      </c>
      <c r="L24" s="622"/>
      <c r="M24" s="622"/>
      <c r="N24" s="622"/>
      <c r="O24" s="557"/>
      <c r="P24" s="557"/>
      <c r="R24" s="593">
        <v>4</v>
      </c>
      <c r="S24" s="40">
        <f ca="1">AI19/Investment*100</f>
        <v>783.09056617088027</v>
      </c>
      <c r="T24" s="1">
        <f ca="1">EXP(y_inter4-(slope*LN(S24)))</f>
        <v>3.1165823388058813</v>
      </c>
      <c r="U24" s="588">
        <f ca="1">(+S24*T24/100)/100</f>
        <v>0.24405662282136636</v>
      </c>
      <c r="V24" s="588">
        <f>regDebt_weighted</f>
        <v>3.5860000000000003E-2</v>
      </c>
      <c r="W24" s="588">
        <f ca="1">+U24-V24</f>
        <v>0.20819662282136636</v>
      </c>
      <c r="X24" s="588">
        <f ca="1">+((W24*(1-0.34))-Pfd_weighted)/Equity_percent</f>
        <v>0.38145282285494708</v>
      </c>
      <c r="Y24" s="588">
        <f ca="1">+X24*equityP</f>
        <v>0.22887169371296823</v>
      </c>
      <c r="Z24" s="588">
        <f ca="1">+Y24/(1-taxrate)</f>
        <v>0.28971100469995975</v>
      </c>
      <c r="AA24" s="588">
        <f>debtP*Debt_Rate</f>
        <v>1.5959999999999998E-2</v>
      </c>
      <c r="AB24" s="588">
        <f ca="1">+AA24+Z24</f>
        <v>0.30567100469995973</v>
      </c>
      <c r="AC24" s="588">
        <f ca="1">+AB24/(S24/100)</f>
        <v>3.9033927607456123E-2</v>
      </c>
      <c r="AD24" s="588">
        <f ca="1">1-AC24</f>
        <v>0.96096607239254384</v>
      </c>
      <c r="AE24" s="41">
        <f ca="1">expenses/(AD24)</f>
        <v>19581960.528055105</v>
      </c>
      <c r="AF24" s="42">
        <f ca="1">+AE24-Revenue</f>
        <v>2076570.8780551031</v>
      </c>
      <c r="AG24" s="4">
        <f ca="1">+AF24/$J$49</f>
        <v>2212720.8871938707</v>
      </c>
      <c r="AH24" s="4">
        <f ca="1">+AG24*$J$47</f>
        <v>50007.492050581481</v>
      </c>
      <c r="AI24" s="41">
        <f t="shared" ca="1" si="9"/>
        <v>19631968.02011</v>
      </c>
    </row>
    <row r="25" spans="1:35" ht="15.75">
      <c r="A25" s="557"/>
      <c r="B25" s="557" t="s">
        <v>111</v>
      </c>
      <c r="C25" s="557"/>
      <c r="D25" s="557"/>
      <c r="E25" s="557"/>
      <c r="F25" s="589">
        <f t="shared" si="6"/>
        <v>19</v>
      </c>
      <c r="H25" s="623" t="s">
        <v>45</v>
      </c>
      <c r="I25" s="22" t="s">
        <v>46</v>
      </c>
      <c r="J25" s="624" t="s">
        <v>47</v>
      </c>
      <c r="K25" s="623" t="s">
        <v>116</v>
      </c>
      <c r="L25" s="624" t="s">
        <v>49</v>
      </c>
      <c r="M25" s="624" t="s">
        <v>47</v>
      </c>
      <c r="O25" s="557"/>
      <c r="P25" s="557"/>
      <c r="R25" s="570" t="s">
        <v>50</v>
      </c>
      <c r="W25" s="2"/>
      <c r="X25" s="6"/>
      <c r="Y25" s="3"/>
      <c r="Z25" s="3"/>
      <c r="AA25" s="6"/>
      <c r="AC25" s="6"/>
      <c r="AD25" s="6"/>
      <c r="AE25" s="3"/>
      <c r="AF25" s="2"/>
    </row>
    <row r="26" spans="1:35" ht="15.75">
      <c r="A26" s="557"/>
      <c r="B26" s="557"/>
      <c r="C26" s="557"/>
      <c r="D26" s="557"/>
      <c r="E26" s="557"/>
      <c r="F26" s="589">
        <f t="shared" si="6"/>
        <v>20</v>
      </c>
      <c r="H26" s="586" t="s">
        <v>27</v>
      </c>
      <c r="I26" s="23">
        <f>1-I27</f>
        <v>0.6</v>
      </c>
      <c r="J26" s="625">
        <f>+I26*J28</f>
        <v>1504196.4</v>
      </c>
      <c r="K26" s="21">
        <f ca="1">+K34</f>
        <v>0.38038426726759217</v>
      </c>
      <c r="L26" s="23">
        <f ca="1">+K26*I26</f>
        <v>0.22823056036055528</v>
      </c>
      <c r="M26" s="20">
        <f ca="1">+J26*K26</f>
        <v>572172.64544054994</v>
      </c>
      <c r="O26" s="557"/>
      <c r="P26" s="557"/>
      <c r="R26" s="600">
        <v>1</v>
      </c>
      <c r="S26" s="601">
        <f ca="1">AI21/Investment*100</f>
        <v>784.22547161301543</v>
      </c>
      <c r="T26" s="602">
        <f ca="1">EXP(y_inter1-(slope*LN(+S26)))</f>
        <v>3.2096018518284732</v>
      </c>
      <c r="U26" s="603">
        <f ca="1">(+S26*T26/100)/100</f>
        <v>0.25170515259401927</v>
      </c>
      <c r="V26" s="603">
        <f>regDebt_weighted</f>
        <v>3.5860000000000003E-2</v>
      </c>
      <c r="W26" s="603">
        <f ca="1">+U26-V26</f>
        <v>0.21584515259401926</v>
      </c>
      <c r="X26" s="603">
        <f ca="1">+((W26*(1-0.34))-Pfd_weighted)/Equity_percent</f>
        <v>0.39612732765131597</v>
      </c>
      <c r="Y26" s="603">
        <f ca="1">+X26*equityP</f>
        <v>0.23767639659078957</v>
      </c>
      <c r="Z26" s="603">
        <f ca="1">+Y26/(1-taxrate)</f>
        <v>0.30085619821618931</v>
      </c>
      <c r="AA26" s="603">
        <f>debtP*Debt_Rate</f>
        <v>1.5959999999999998E-2</v>
      </c>
      <c r="AB26" s="603">
        <f ca="1">+AA26+Z26</f>
        <v>0.31681619821618928</v>
      </c>
      <c r="AC26" s="603">
        <f ca="1">+AB26/(S26/100)</f>
        <v>4.0398611073490569E-2</v>
      </c>
      <c r="AD26" s="603">
        <f ca="1">1-AC26</f>
        <v>0.95960138892650948</v>
      </c>
      <c r="AE26" s="604">
        <f ca="1">expenses/(AD26)</f>
        <v>19609808.734689184</v>
      </c>
      <c r="AF26" s="605">
        <f ca="1">+AE26-Revenue</f>
        <v>2104419.0846891813</v>
      </c>
      <c r="AG26" s="606">
        <f ca="1">+AF26/$J$49</f>
        <v>2242394.9566616216</v>
      </c>
      <c r="AH26" s="606">
        <f ca="1">+AG26*$J$47</f>
        <v>50678.126020552649</v>
      </c>
      <c r="AI26" s="604">
        <f ca="1">ROUND(+AH26+AE26,5)</f>
        <v>19660486.860709999</v>
      </c>
    </row>
    <row r="27" spans="1:35" ht="15.75">
      <c r="A27" s="557"/>
      <c r="B27" s="557"/>
      <c r="C27" s="557"/>
      <c r="D27" s="557"/>
      <c r="E27" s="557"/>
      <c r="F27" s="589">
        <f t="shared" si="6"/>
        <v>21</v>
      </c>
      <c r="H27" s="586" t="s">
        <v>29</v>
      </c>
      <c r="I27" s="23">
        <f>IF(A65=TRUE,C8,0)</f>
        <v>0.4</v>
      </c>
      <c r="J27" s="25">
        <f>+I27*J28</f>
        <v>1002797.6000000001</v>
      </c>
      <c r="K27" s="21">
        <f>IF(A65=TRUE,C9,0)</f>
        <v>3.9899999999999998E-2</v>
      </c>
      <c r="L27" s="23">
        <f>+K27*I27</f>
        <v>1.5959999999999998E-2</v>
      </c>
      <c r="M27" s="20">
        <f>+K27*J27</f>
        <v>40011.624240000005</v>
      </c>
      <c r="O27" s="557"/>
      <c r="P27" s="557"/>
      <c r="R27" s="587">
        <v>2</v>
      </c>
      <c r="S27" s="40">
        <f ca="1">AI22/Investment*100</f>
        <v>783.68483689749564</v>
      </c>
      <c r="T27" s="595">
        <f ca="1">EXP(y_inter2-(slope*LN(+S27)))</f>
        <v>3.1654283034374182</v>
      </c>
      <c r="U27" s="588">
        <f ca="1">(+S27*T27/100)/100</f>
        <v>0.24806981636900693</v>
      </c>
      <c r="V27" s="588">
        <f>regDebt_weighted</f>
        <v>3.5860000000000003E-2</v>
      </c>
      <c r="W27" s="588">
        <f ca="1">+U27-V27</f>
        <v>0.21220981636900693</v>
      </c>
      <c r="X27" s="588">
        <f ca="1">+((W27*(1-0.34))-Pfd_weighted)/Equity_percent</f>
        <v>0.38915255466146675</v>
      </c>
      <c r="Y27" s="588">
        <f ca="1">+X27*equityP</f>
        <v>0.23349153279688004</v>
      </c>
      <c r="Z27" s="588">
        <f ca="1">+Y27/(1-taxrate)</f>
        <v>0.29555890227453169</v>
      </c>
      <c r="AA27" s="588">
        <f>debtP*Debt_Rate</f>
        <v>1.5959999999999998E-2</v>
      </c>
      <c r="AB27" s="588">
        <f ca="1">+AA27+Z27</f>
        <v>0.31151890227453166</v>
      </c>
      <c r="AC27" s="588">
        <f ca="1">+AB27/(S27/100)</f>
        <v>3.975053332763126E-2</v>
      </c>
      <c r="AD27" s="588">
        <f ca="1">1-AC27</f>
        <v>0.96024946667236877</v>
      </c>
      <c r="AE27" s="41">
        <f ca="1">expenses/(AD27)</f>
        <v>19596573.964889675</v>
      </c>
      <c r="AF27" s="42">
        <f ca="1">+AE27-Revenue</f>
        <v>2091184.3148896731</v>
      </c>
      <c r="AG27" s="4">
        <f ca="1">+AF27/$J$49</f>
        <v>2228292.4514776897</v>
      </c>
      <c r="AH27" s="4">
        <f ca="1">+AG27*$J$47</f>
        <v>50359.409403395788</v>
      </c>
      <c r="AI27" s="41">
        <f t="shared" ref="AI27:AI29" ca="1" si="10">ROUND(+AH27+AE27,5)</f>
        <v>19646933.374290001</v>
      </c>
    </row>
    <row r="28" spans="1:35" ht="16.5" thickBot="1">
      <c r="A28" s="557"/>
      <c r="B28" s="557"/>
      <c r="C28" s="557"/>
      <c r="D28" s="557"/>
      <c r="E28" s="557"/>
      <c r="F28" s="589">
        <f t="shared" si="6"/>
        <v>22</v>
      </c>
      <c r="H28" s="586" t="s">
        <v>103</v>
      </c>
      <c r="I28" s="26">
        <f>SUM(I26:I27)</f>
        <v>1</v>
      </c>
      <c r="J28" s="49">
        <f>IF(A65=TRUE,C7,0)</f>
        <v>2506994</v>
      </c>
      <c r="K28" s="626"/>
      <c r="L28" s="51">
        <f ca="1">SUM(L26:L27)</f>
        <v>0.24419056036055528</v>
      </c>
      <c r="M28" s="49">
        <f ca="1">SUM(M26:M27)</f>
        <v>612184.26968054997</v>
      </c>
      <c r="O28" s="557"/>
      <c r="P28" s="557"/>
      <c r="R28" s="590">
        <v>3</v>
      </c>
      <c r="S28" s="40">
        <f ca="1">AI23/Investment*100</f>
        <v>783.32077884270961</v>
      </c>
      <c r="T28" s="3">
        <f ca="1">EXP(y_inter3-(slope*LN(S28)))</f>
        <v>3.1356485970103063</v>
      </c>
      <c r="U28" s="588">
        <f ca="1">(+S28*T28/100)/100</f>
        <v>0.24562187011871628</v>
      </c>
      <c r="V28" s="588">
        <f>regDebt_weighted</f>
        <v>3.5860000000000003E-2</v>
      </c>
      <c r="W28" s="588">
        <f ca="1">+U28-V28</f>
        <v>0.20976187011871628</v>
      </c>
      <c r="X28" s="588">
        <f ca="1">+((W28*(1-0.34))-Pfd_weighted)/Equity_percent</f>
        <v>0.38445591359986259</v>
      </c>
      <c r="Y28" s="588">
        <f ca="1">+X28*equityP</f>
        <v>0.23067354815991753</v>
      </c>
      <c r="Z28" s="588">
        <f ca="1">+Y28/(1-taxrate)</f>
        <v>0.29199183311381965</v>
      </c>
      <c r="AA28" s="588">
        <f>debtP*Debt_Rate</f>
        <v>1.5959999999999998E-2</v>
      </c>
      <c r="AB28" s="588">
        <f ca="1">+AA28+Z28</f>
        <v>0.30795183311381963</v>
      </c>
      <c r="AC28" s="588">
        <f ca="1">+AB28/(S28/100)</f>
        <v>3.9313630051891701E-2</v>
      </c>
      <c r="AD28" s="588">
        <f ca="1">1-AC28</f>
        <v>0.9606863699481083</v>
      </c>
      <c r="AE28" s="41">
        <f ca="1">expenses/(AD28)</f>
        <v>19587661.787485726</v>
      </c>
      <c r="AF28" s="42">
        <f ca="1">+AE28-Revenue</f>
        <v>2082272.1374857239</v>
      </c>
      <c r="AG28" s="4">
        <f ca="1">+AF28/$J$49</f>
        <v>2218795.9487093538</v>
      </c>
      <c r="AH28" s="4">
        <f ca="1">+AG28*$J$47</f>
        <v>50144.788440831398</v>
      </c>
      <c r="AI28" s="41">
        <f t="shared" ca="1" si="10"/>
        <v>19637806.575929999</v>
      </c>
    </row>
    <row r="29" spans="1:35" ht="16.5" thickTop="1">
      <c r="A29" s="557"/>
      <c r="B29" s="557"/>
      <c r="C29" s="557"/>
      <c r="D29" s="557"/>
      <c r="E29" s="557"/>
      <c r="F29" s="589">
        <f t="shared" si="6"/>
        <v>23</v>
      </c>
      <c r="G29" s="568"/>
      <c r="H29" s="568"/>
      <c r="I29" s="568"/>
      <c r="J29" s="568"/>
      <c r="K29" s="568"/>
      <c r="L29" s="568"/>
      <c r="M29" s="568"/>
      <c r="N29" s="568"/>
      <c r="O29" s="557"/>
      <c r="P29" s="557"/>
      <c r="R29" s="593">
        <v>4</v>
      </c>
      <c r="S29" s="40">
        <f ca="1">AI24/Investment*100</f>
        <v>783.08795394444508</v>
      </c>
      <c r="T29" s="1">
        <f ca="1">EXP(y_inter4-(slope*LN(S29)))</f>
        <v>3.1165894464418384</v>
      </c>
      <c r="U29" s="588">
        <f ca="1">(+S29*T29/100)/100</f>
        <v>0.24405636528989899</v>
      </c>
      <c r="V29" s="588">
        <f>regDebt_weighted</f>
        <v>3.5860000000000003E-2</v>
      </c>
      <c r="W29" s="588">
        <f ca="1">+U29-V29</f>
        <v>0.20819636528989899</v>
      </c>
      <c r="X29" s="588">
        <f ca="1">+((W29*(1-0.34))-Pfd_weighted)/Equity_percent</f>
        <v>0.38145232875387597</v>
      </c>
      <c r="Y29" s="588">
        <f ca="1">+X29*equityP</f>
        <v>0.22887139725232558</v>
      </c>
      <c r="Z29" s="588">
        <f ca="1">+Y29/(1-taxrate)</f>
        <v>0.28971062943332349</v>
      </c>
      <c r="AA29" s="588">
        <f>debtP*Debt_Rate</f>
        <v>1.5959999999999998E-2</v>
      </c>
      <c r="AB29" s="588">
        <f ca="1">+AA29+Z29</f>
        <v>0.30567062943332346</v>
      </c>
      <c r="AC29" s="588">
        <f ca="1">+AB29/(S29/100)</f>
        <v>3.9034009895523025E-2</v>
      </c>
      <c r="AD29" s="588">
        <f ca="1">1-AC29</f>
        <v>0.96096599010447692</v>
      </c>
      <c r="AE29" s="41">
        <f ca="1">expenses/(AD29)</f>
        <v>19581962.204869576</v>
      </c>
      <c r="AF29" s="42">
        <f ca="1">+AE29-Revenue</f>
        <v>2076572.5548695736</v>
      </c>
      <c r="AG29" s="4">
        <f ca="1">+AF29/$J$49</f>
        <v>2212722.6739483904</v>
      </c>
      <c r="AH29" s="4">
        <f ca="1">+AG29*$J$47</f>
        <v>50007.532431233631</v>
      </c>
      <c r="AI29" s="41">
        <f t="shared" ca="1" si="10"/>
        <v>19631969.737300001</v>
      </c>
    </row>
    <row r="30" spans="1:35" ht="15.75">
      <c r="A30" s="557"/>
      <c r="B30" s="557"/>
      <c r="C30" s="557"/>
      <c r="D30" s="557"/>
      <c r="E30" s="557"/>
      <c r="F30" s="589">
        <f t="shared" si="6"/>
        <v>24</v>
      </c>
      <c r="G30" s="568"/>
      <c r="H30" s="568"/>
      <c r="I30" s="568"/>
      <c r="J30" s="627" t="s">
        <v>94</v>
      </c>
      <c r="K30" s="627" t="s">
        <v>96</v>
      </c>
      <c r="L30" s="568"/>
      <c r="M30" s="568"/>
      <c r="N30" s="568"/>
      <c r="O30" s="557"/>
      <c r="P30" s="557"/>
      <c r="R30" s="570" t="s">
        <v>53</v>
      </c>
      <c r="W30" s="2"/>
      <c r="X30" s="6"/>
      <c r="Y30" s="3"/>
      <c r="Z30" s="3"/>
      <c r="AA30" s="6"/>
      <c r="AC30" s="6"/>
      <c r="AD30" s="6"/>
      <c r="AE30" s="3"/>
      <c r="AF30" s="2"/>
      <c r="AH30" s="3"/>
    </row>
    <row r="31" spans="1:35" ht="15.75">
      <c r="A31" s="557"/>
      <c r="B31" s="557"/>
      <c r="C31" s="557"/>
      <c r="D31" s="557"/>
      <c r="E31" s="557"/>
      <c r="F31" s="589">
        <f t="shared" si="6"/>
        <v>25</v>
      </c>
      <c r="G31" s="568"/>
      <c r="H31" s="628" t="s">
        <v>51</v>
      </c>
      <c r="I31" s="629"/>
      <c r="J31" s="630" t="s">
        <v>95</v>
      </c>
      <c r="K31" s="630" t="s">
        <v>95</v>
      </c>
      <c r="L31" s="568"/>
      <c r="M31" s="568"/>
      <c r="N31" s="568"/>
      <c r="O31" s="557"/>
      <c r="P31" s="557"/>
      <c r="R31" s="600">
        <v>1</v>
      </c>
      <c r="S31" s="601">
        <f ca="1">AI26/Investment*100</f>
        <v>784.22552509938191</v>
      </c>
      <c r="T31" s="602">
        <f ca="1">EXP(y_inter1-(slope*LN(+S31)))</f>
        <v>3.209601702170517</v>
      </c>
      <c r="U31" s="603">
        <f ca="1">(+S31*T31/100)/100</f>
        <v>0.25170515802445442</v>
      </c>
      <c r="V31" s="603">
        <f>regDebt_weighted</f>
        <v>3.5860000000000003E-2</v>
      </c>
      <c r="W31" s="603">
        <f ca="1">+U31-V31</f>
        <v>0.21584515802445442</v>
      </c>
      <c r="X31" s="603">
        <f ca="1">+((W31*(1-0.34))-Pfd_weighted)/Equity_percent</f>
        <v>0.3961273380701742</v>
      </c>
      <c r="Y31" s="603">
        <f ca="1">+X31*equityP</f>
        <v>0.23767640284210451</v>
      </c>
      <c r="Z31" s="603">
        <f ca="1">+Y31/(1-taxrate)</f>
        <v>0.30085620612924618</v>
      </c>
      <c r="AA31" s="603">
        <f>debtP*Debt_Rate</f>
        <v>1.5959999999999998E-2</v>
      </c>
      <c r="AB31" s="603">
        <f ca="1">+AA31+Z31</f>
        <v>0.31681620612924616</v>
      </c>
      <c r="AC31" s="603">
        <f ca="1">+AB31/(S31/100)</f>
        <v>4.0398609327220919E-2</v>
      </c>
      <c r="AD31" s="603">
        <f ca="1">1-AC31</f>
        <v>0.95960139067277905</v>
      </c>
      <c r="AE31" s="604">
        <f ca="1">expenses/(AD31)</f>
        <v>19609808.699003521</v>
      </c>
      <c r="AF31" s="605">
        <f ca="1">+AE31-Revenue</f>
        <v>2104419.0490035191</v>
      </c>
      <c r="AG31" s="606">
        <f ca="1">+AF31/$J$49</f>
        <v>2242394.9186362349</v>
      </c>
      <c r="AH31" s="606">
        <f ca="1">+AG31*$J$47</f>
        <v>50678.125161178912</v>
      </c>
      <c r="AI31" s="604">
        <f ca="1">ROUND(+AH31+AE31,5)</f>
        <v>19660486.824159998</v>
      </c>
    </row>
    <row r="32" spans="1:35" ht="15.75">
      <c r="A32" s="557"/>
      <c r="B32" s="557"/>
      <c r="C32" s="557"/>
      <c r="D32" s="557"/>
      <c r="E32" s="557"/>
      <c r="F32" s="589">
        <f t="shared" si="6"/>
        <v>26</v>
      </c>
      <c r="G32" s="568"/>
      <c r="H32" s="577"/>
      <c r="I32" s="577"/>
      <c r="J32" s="577"/>
      <c r="K32" s="577"/>
      <c r="L32" s="568"/>
      <c r="M32" s="568"/>
      <c r="N32" s="568"/>
      <c r="O32" s="557"/>
      <c r="P32" s="557"/>
      <c r="R32" s="587">
        <v>2</v>
      </c>
      <c r="S32" s="40">
        <f ca="1">AI27/Investment*100</f>
        <v>783.68489810067365</v>
      </c>
      <c r="T32" s="595">
        <f ca="1">EXP(y_inter2-(slope*LN(+S32)))</f>
        <v>3.1654281344277666</v>
      </c>
      <c r="U32" s="588">
        <f ca="1">(+S32*T32/100)/100</f>
        <v>0.248069822497403</v>
      </c>
      <c r="V32" s="588">
        <f>regDebt_weighted</f>
        <v>3.5860000000000003E-2</v>
      </c>
      <c r="W32" s="588">
        <f ca="1">+U32-V32</f>
        <v>0.212209822497403</v>
      </c>
      <c r="X32" s="588">
        <f ca="1">+((W32*(1-0.34))-Pfd_weighted)/Equity_percent</f>
        <v>0.38915256641943596</v>
      </c>
      <c r="Y32" s="588">
        <f ca="1">+X32*equityP</f>
        <v>0.23349153985166157</v>
      </c>
      <c r="Z32" s="588">
        <f ca="1">+Y32/(1-taxrate)</f>
        <v>0.2955589112046349</v>
      </c>
      <c r="AA32" s="588">
        <f>debtP*Debt_Rate</f>
        <v>1.5959999999999998E-2</v>
      </c>
      <c r="AB32" s="588">
        <f ca="1">+AA32+Z32</f>
        <v>0.31151891120463487</v>
      </c>
      <c r="AC32" s="588">
        <f ca="1">+AB32/(S32/100)</f>
        <v>3.9750531362748878E-2</v>
      </c>
      <c r="AD32" s="588">
        <f ca="1">1-AC32</f>
        <v>0.96024946863725114</v>
      </c>
      <c r="AE32" s="41">
        <f ca="1">expenses/(AD32)</f>
        <v>19596573.924790759</v>
      </c>
      <c r="AF32" s="42">
        <f ca="1">+AE32-Revenue</f>
        <v>2091184.2747907564</v>
      </c>
      <c r="AG32" s="4">
        <f ca="1">+AF32/$J$49</f>
        <v>2228292.408749694</v>
      </c>
      <c r="AH32" s="4">
        <f ca="1">+AG32*$J$47</f>
        <v>50359.408437743092</v>
      </c>
      <c r="AI32" s="41">
        <f t="shared" ref="AI32:AI34" ca="1" si="11">ROUND(+AH32+AE32,5)</f>
        <v>19646933.33323</v>
      </c>
    </row>
    <row r="33" spans="1:46" ht="15.75">
      <c r="A33" s="557"/>
      <c r="B33" s="557"/>
      <c r="C33" s="557"/>
      <c r="D33" s="557"/>
      <c r="E33" s="557"/>
      <c r="F33" s="589">
        <f t="shared" si="6"/>
        <v>27</v>
      </c>
      <c r="G33" s="568"/>
      <c r="H33" s="577" t="s">
        <v>54</v>
      </c>
      <c r="I33" s="577"/>
      <c r="J33" s="24">
        <f ca="1">+K9/J28</f>
        <v>0.30485944349437377</v>
      </c>
      <c r="K33" s="24">
        <f ca="1">+(M14+M11)/J28</f>
        <v>0.24419056036055531</v>
      </c>
      <c r="L33" s="568"/>
      <c r="M33" s="568"/>
      <c r="N33" s="568"/>
      <c r="O33" s="557"/>
      <c r="P33" s="557"/>
      <c r="R33" s="590">
        <v>3</v>
      </c>
      <c r="S33" s="40">
        <f ca="1">AI28/Investment*100</f>
        <v>783.32084464222885</v>
      </c>
      <c r="T33" s="3">
        <f ca="1">EXP(y_inter3-(slope*LN(S33)))</f>
        <v>3.1356484169338437</v>
      </c>
      <c r="U33" s="588">
        <f ca="1">(+S33*T33/100)/100</f>
        <v>0.24562187664536864</v>
      </c>
      <c r="V33" s="588">
        <f>regDebt_weighted</f>
        <v>3.5860000000000003E-2</v>
      </c>
      <c r="W33" s="588">
        <f ca="1">+U33-V33</f>
        <v>0.20976187664536863</v>
      </c>
      <c r="X33" s="588">
        <f ca="1">+((W33*(1-0.34))-Pfd_weighted)/Equity_percent</f>
        <v>0.38445592612192814</v>
      </c>
      <c r="Y33" s="588">
        <f ca="1">+X33*equityP</f>
        <v>0.23067355567315687</v>
      </c>
      <c r="Z33" s="588">
        <f ca="1">+Y33/(1-taxrate)</f>
        <v>0.29199184262424921</v>
      </c>
      <c r="AA33" s="588">
        <f>debtP*Debt_Rate</f>
        <v>1.5959999999999998E-2</v>
      </c>
      <c r="AB33" s="588">
        <f ca="1">+AA33+Z33</f>
        <v>0.30795184262424918</v>
      </c>
      <c r="AC33" s="588">
        <f ca="1">+AB33/(S33/100)</f>
        <v>3.9313627963635002E-2</v>
      </c>
      <c r="AD33" s="588">
        <f ca="1">1-AC33</f>
        <v>0.96068637203636498</v>
      </c>
      <c r="AE33" s="41">
        <f ca="1">expenses/(AD33)</f>
        <v>19587661.744907767</v>
      </c>
      <c r="AF33" s="42">
        <f ca="1">+AE33-Revenue</f>
        <v>2082272.0949077643</v>
      </c>
      <c r="AG33" s="4">
        <f ca="1">+AF33/$J$49</f>
        <v>2218795.9033397776</v>
      </c>
      <c r="AH33" s="4">
        <f ca="1">+AG33*$J$47</f>
        <v>50144.787415478975</v>
      </c>
      <c r="AI33" s="41">
        <f t="shared" ca="1" si="11"/>
        <v>19637806.53232</v>
      </c>
    </row>
    <row r="34" spans="1:46" ht="15.75">
      <c r="A34" s="557"/>
      <c r="B34" s="557"/>
      <c r="C34" s="557"/>
      <c r="D34" s="557"/>
      <c r="E34" s="557"/>
      <c r="F34" s="589">
        <f t="shared" si="6"/>
        <v>28</v>
      </c>
      <c r="G34" s="568"/>
      <c r="H34" s="577" t="s">
        <v>55</v>
      </c>
      <c r="I34" s="577"/>
      <c r="J34" s="24">
        <f ca="1">+(M9-M11)/J26</f>
        <v>0.48149907249062296</v>
      </c>
      <c r="K34" s="24">
        <f ca="1">+M14/J26</f>
        <v>0.38038426726759217</v>
      </c>
      <c r="L34" s="568"/>
      <c r="M34" s="568"/>
      <c r="N34" s="568"/>
      <c r="O34" s="10"/>
      <c r="P34" s="557"/>
      <c r="R34" s="593">
        <v>4</v>
      </c>
      <c r="S34" s="40">
        <f ca="1">AI29/Investment*100</f>
        <v>783.08802244042067</v>
      </c>
      <c r="T34" s="1">
        <f ca="1">EXP(y_inter4-(slope*LN(S34)))</f>
        <v>3.1165892600698681</v>
      </c>
      <c r="U34" s="588">
        <f ca="1">(+S34*T34/100)/100</f>
        <v>0.24405637204271671</v>
      </c>
      <c r="V34" s="588">
        <f>regDebt_weighted</f>
        <v>3.5860000000000003E-2</v>
      </c>
      <c r="W34" s="588">
        <f ca="1">+U34-V34</f>
        <v>0.20819637204271671</v>
      </c>
      <c r="X34" s="588">
        <f ca="1">+((W34*(1-0.34))-Pfd_weighted)/Equity_percent</f>
        <v>0.38145234170986342</v>
      </c>
      <c r="Y34" s="588">
        <f ca="1">+X34*equityP</f>
        <v>0.22887140502591805</v>
      </c>
      <c r="Z34" s="588">
        <f ca="1">+Y34/(1-taxrate)</f>
        <v>0.28971063927331397</v>
      </c>
      <c r="AA34" s="588">
        <f>debtP*Debt_Rate</f>
        <v>1.5959999999999998E-2</v>
      </c>
      <c r="AB34" s="588">
        <f ca="1">+AA34+Z34</f>
        <v>0.30567063927331395</v>
      </c>
      <c r="AC34" s="588">
        <f ca="1">+AB34/(S34/100)</f>
        <v>3.9034007737817254E-2</v>
      </c>
      <c r="AD34" s="588">
        <f ca="1">1-AC34</f>
        <v>0.96096599226218271</v>
      </c>
      <c r="AE34" s="41">
        <f ca="1">expenses/(AD34)</f>
        <v>19581962.1609012</v>
      </c>
      <c r="AF34" s="42">
        <f ca="1">+AE34-Revenue</f>
        <v>2076572.5109011978</v>
      </c>
      <c r="AG34" s="4">
        <f ca="1">+AF34/$J$49</f>
        <v>2212722.627097236</v>
      </c>
      <c r="AH34" s="4">
        <f ca="1">+AG34*$J$47</f>
        <v>50007.531372397541</v>
      </c>
      <c r="AI34" s="41">
        <f t="shared" ca="1" si="11"/>
        <v>19631969.69227</v>
      </c>
    </row>
    <row r="35" spans="1:46" ht="15.75">
      <c r="A35" s="557"/>
      <c r="B35" s="557"/>
      <c r="C35" s="557"/>
      <c r="D35" s="557"/>
      <c r="E35" s="557"/>
      <c r="F35" s="589">
        <f t="shared" si="6"/>
        <v>29</v>
      </c>
      <c r="G35" s="568"/>
      <c r="H35" s="631" t="s">
        <v>31</v>
      </c>
      <c r="I35" s="577"/>
      <c r="J35" s="24">
        <f ca="1">+K8/K7</f>
        <v>0.96096999999999999</v>
      </c>
      <c r="K35" s="24">
        <f ca="1">+M8/M7</f>
        <v>0.96106941567427862</v>
      </c>
      <c r="L35" s="568"/>
      <c r="M35" s="568"/>
      <c r="N35" s="568"/>
      <c r="O35" s="557"/>
      <c r="P35" s="557"/>
      <c r="R35" s="570" t="s">
        <v>84</v>
      </c>
      <c r="X35" s="6"/>
      <c r="Y35" s="7"/>
      <c r="Z35" s="3"/>
      <c r="AA35" s="6"/>
      <c r="AC35" s="6"/>
      <c r="AD35" s="6"/>
      <c r="AE35" s="3"/>
      <c r="AF35" s="2"/>
      <c r="AH35" s="3"/>
    </row>
    <row r="36" spans="1:46" ht="15.75">
      <c r="A36" s="557"/>
      <c r="B36" s="557"/>
      <c r="C36" s="557"/>
      <c r="D36" s="557"/>
      <c r="E36" s="557"/>
      <c r="F36" s="589">
        <f t="shared" si="6"/>
        <v>30</v>
      </c>
      <c r="G36" s="568"/>
      <c r="H36" s="577" t="s">
        <v>56</v>
      </c>
      <c r="I36" s="577"/>
      <c r="J36" s="24">
        <f ca="1">+K9/K7</f>
        <v>3.9029999999999981E-2</v>
      </c>
      <c r="K36" s="24">
        <f ca="1">+J36</f>
        <v>3.9029999999999981E-2</v>
      </c>
      <c r="L36" s="568"/>
      <c r="M36" s="568"/>
      <c r="N36" s="568"/>
      <c r="O36" s="557"/>
      <c r="P36" s="557"/>
      <c r="R36" s="600">
        <v>1</v>
      </c>
      <c r="S36" s="601">
        <f ca="1">AI31/Investment*100</f>
        <v>784.22552364146054</v>
      </c>
      <c r="T36" s="602">
        <f ca="1">EXP(y_inter1-(slope*LN(+S36)))</f>
        <v>3.2096017062498645</v>
      </c>
      <c r="U36" s="603">
        <f ca="1">(+S36*T36/100)/100</f>
        <v>0.25170515787643255</v>
      </c>
      <c r="V36" s="603">
        <f>regDebt_weighted</f>
        <v>3.5860000000000003E-2</v>
      </c>
      <c r="W36" s="603">
        <f ca="1">+U36-V36</f>
        <v>0.21584515787643255</v>
      </c>
      <c r="X36" s="603">
        <f ca="1">+((W36*(1-0.34))-Pfd_weighted)/Equity_percent</f>
        <v>0.39612733778617876</v>
      </c>
      <c r="Y36" s="603">
        <f ca="1">+X36*equityP</f>
        <v>0.23767640267170725</v>
      </c>
      <c r="Z36" s="603">
        <f ca="1">+Y36/(1-taxrate)</f>
        <v>0.3008562059135535</v>
      </c>
      <c r="AA36" s="603">
        <f>debtP*Debt_Rate</f>
        <v>1.5959999999999998E-2</v>
      </c>
      <c r="AB36" s="603">
        <f ca="1">+AA36+Z36</f>
        <v>0.31681620591355347</v>
      </c>
      <c r="AC36" s="603">
        <f ca="1">+AB36/(S36/100)</f>
        <v>4.0398609374820406E-2</v>
      </c>
      <c r="AD36" s="603">
        <f ca="1">1-AC36</f>
        <v>0.95960139062517957</v>
      </c>
      <c r="AE36" s="604">
        <f ca="1">expenses/(AD36)</f>
        <v>19609808.699976232</v>
      </c>
      <c r="AF36" s="605">
        <f ca="1">+AE36-Revenue</f>
        <v>2104419.0499762297</v>
      </c>
      <c r="AG36" s="606">
        <f ca="1">+AF36/$J$49</f>
        <v>2242394.9196727211</v>
      </c>
      <c r="AH36" s="606">
        <f ca="1">+AG36*$J$47</f>
        <v>50678.125184603501</v>
      </c>
      <c r="AI36" s="604">
        <f ca="1">ROUND(+AH36+AE36,5)</f>
        <v>19660486.82516</v>
      </c>
    </row>
    <row r="37" spans="1:46" ht="15.75">
      <c r="A37" s="557"/>
      <c r="B37" s="557"/>
      <c r="C37" s="557"/>
      <c r="D37" s="557"/>
      <c r="E37" s="557"/>
      <c r="F37" s="589">
        <f t="shared" si="6"/>
        <v>31</v>
      </c>
      <c r="G37" s="568"/>
      <c r="H37" s="577" t="s">
        <v>57</v>
      </c>
      <c r="I37" s="632"/>
      <c r="J37" s="27">
        <f ca="1">+S39/100</f>
        <v>7.8308802064424556</v>
      </c>
      <c r="K37" s="27">
        <f ca="1">+J37</f>
        <v>7.8308802064424556</v>
      </c>
      <c r="L37" s="568"/>
      <c r="M37" s="568"/>
      <c r="N37" s="568"/>
      <c r="O37" s="557"/>
      <c r="P37" s="557"/>
      <c r="R37" s="587">
        <v>2</v>
      </c>
      <c r="S37" s="40">
        <f ca="1">AI32/Investment*100</f>
        <v>783.68489646285559</v>
      </c>
      <c r="T37" s="595">
        <f ca="1">EXP(y_inter2-(slope*LN(+S37)))</f>
        <v>3.1654281389505226</v>
      </c>
      <c r="U37" s="588">
        <f ca="1">(+S37*T37/100)/100</f>
        <v>0.24806982233340499</v>
      </c>
      <c r="V37" s="588">
        <f>regDebt_weighted</f>
        <v>3.5860000000000003E-2</v>
      </c>
      <c r="W37" s="588">
        <f ca="1">+U37-V37</f>
        <v>0.21220982233340499</v>
      </c>
      <c r="X37" s="588">
        <f ca="1">+((W37*(1-0.34))-Pfd_weighted)/Equity_percent</f>
        <v>0.38915256610478866</v>
      </c>
      <c r="Y37" s="588">
        <f ca="1">+X37*equityP</f>
        <v>0.23349153966287317</v>
      </c>
      <c r="Z37" s="588">
        <f ca="1">+Y37/(1-taxrate)</f>
        <v>0.29555891096566222</v>
      </c>
      <c r="AA37" s="588">
        <f>debtP*Debt_Rate</f>
        <v>1.5959999999999998E-2</v>
      </c>
      <c r="AB37" s="588">
        <f ca="1">+AA37+Z37</f>
        <v>0.3115189109656622</v>
      </c>
      <c r="AC37" s="588">
        <f ca="1">+AB37/(S37/100)</f>
        <v>3.9750531415329797E-2</v>
      </c>
      <c r="AD37" s="588">
        <f ca="1">1-AC37</f>
        <v>0.9602494685846702</v>
      </c>
      <c r="AE37" s="41">
        <f ca="1">expenses/(AD37)</f>
        <v>19596573.925863821</v>
      </c>
      <c r="AF37" s="42">
        <f ca="1">+AE37-Revenue</f>
        <v>2091184.2758638188</v>
      </c>
      <c r="AG37" s="4">
        <f ca="1">+AF37/$J$49</f>
        <v>2228292.4098931118</v>
      </c>
      <c r="AH37" s="4">
        <f ca="1">+AG37*$J$47</f>
        <v>50359.408463584332</v>
      </c>
      <c r="AI37" s="41">
        <f t="shared" ref="AI37:AI39" ca="1" si="12">ROUND(+AH37+AE37,5)</f>
        <v>19646933.33433</v>
      </c>
    </row>
    <row r="38" spans="1:46" ht="15.75">
      <c r="A38" s="557"/>
      <c r="B38" s="557"/>
      <c r="C38" s="557"/>
      <c r="D38" s="557"/>
      <c r="E38" s="557"/>
      <c r="F38" s="589">
        <f t="shared" si="6"/>
        <v>32</v>
      </c>
      <c r="G38" s="568"/>
      <c r="H38" s="577" t="s">
        <v>58</v>
      </c>
      <c r="I38" s="568"/>
      <c r="J38" s="24">
        <f>+C10</f>
        <v>0.21</v>
      </c>
      <c r="K38" s="24">
        <f>+J38</f>
        <v>0.21</v>
      </c>
      <c r="L38" s="568"/>
      <c r="M38" s="568"/>
      <c r="N38" s="568"/>
      <c r="O38" s="557"/>
      <c r="P38" s="557"/>
      <c r="Q38" s="633"/>
      <c r="R38" s="590">
        <v>3</v>
      </c>
      <c r="S38" s="40">
        <f ca="1">AI33/Investment*100</f>
        <v>783.3208429026954</v>
      </c>
      <c r="T38" s="3">
        <f ca="1">EXP(y_inter3-(slope*LN(S38)))</f>
        <v>3.1356484216945013</v>
      </c>
      <c r="U38" s="588">
        <f ca="1">(+S38*T38/100)/100</f>
        <v>0.24562187647282432</v>
      </c>
      <c r="V38" s="588">
        <f>regDebt_weighted</f>
        <v>3.5860000000000003E-2</v>
      </c>
      <c r="W38" s="588">
        <f ca="1">+U38-V38</f>
        <v>0.20976187647282432</v>
      </c>
      <c r="X38" s="588">
        <f ca="1">+((W38*(1-0.34))-Pfd_weighted)/Equity_percent</f>
        <v>0.38445592579088389</v>
      </c>
      <c r="Y38" s="588">
        <f ca="1">+X38*equityP</f>
        <v>0.23067355547453033</v>
      </c>
      <c r="Z38" s="588">
        <f ca="1">+Y38/(1-taxrate)</f>
        <v>0.29199184237282322</v>
      </c>
      <c r="AA38" s="588">
        <f>debtP*Debt_Rate</f>
        <v>1.5959999999999998E-2</v>
      </c>
      <c r="AB38" s="588">
        <f ca="1">+AA38+Z38</f>
        <v>0.30795184237282319</v>
      </c>
      <c r="AC38" s="588">
        <f ca="1">+AB38/(S38/100)</f>
        <v>3.9313628018841973E-2</v>
      </c>
      <c r="AD38" s="588">
        <f ca="1">1-AC38</f>
        <v>0.96068637198115803</v>
      </c>
      <c r="AE38" s="41">
        <f ca="1">expenses/(AD38)</f>
        <v>19587661.746033397</v>
      </c>
      <c r="AF38" s="42">
        <f ca="1">+AE38-Revenue</f>
        <v>2082272.0960333943</v>
      </c>
      <c r="AG38" s="4">
        <f ca="1">+AF38/$J$49</f>
        <v>2218795.9045392093</v>
      </c>
      <c r="AH38" s="4">
        <f ca="1">+AG38*$J$47</f>
        <v>50144.787442586137</v>
      </c>
      <c r="AI38" s="41">
        <f t="shared" ca="1" si="12"/>
        <v>19637806.53348</v>
      </c>
    </row>
    <row r="39" spans="1:46" ht="15.75">
      <c r="A39" s="557"/>
      <c r="B39" s="557"/>
      <c r="C39" s="557"/>
      <c r="D39" s="557"/>
      <c r="E39" s="557"/>
      <c r="F39" s="589">
        <f t="shared" si="6"/>
        <v>33</v>
      </c>
      <c r="G39" s="568"/>
      <c r="H39" s="568"/>
      <c r="I39" s="568"/>
      <c r="J39" s="568"/>
      <c r="K39" s="568"/>
      <c r="L39" s="568"/>
      <c r="M39" s="568"/>
      <c r="N39" s="568"/>
      <c r="O39" s="557"/>
      <c r="P39" s="557"/>
      <c r="R39" s="593">
        <v>4</v>
      </c>
      <c r="S39" s="40">
        <f ca="1">AI34/Investment*100</f>
        <v>783.0880206442456</v>
      </c>
      <c r="T39" s="1">
        <f ca="1">EXP(y_inter4-(slope*LN(S39)))</f>
        <v>3.1165892649571147</v>
      </c>
      <c r="U39" s="588">
        <f ca="1">(+S39*T39/100)/100</f>
        <v>0.24405637186563711</v>
      </c>
      <c r="V39" s="588">
        <f>regDebt_weighted</f>
        <v>3.5860000000000003E-2</v>
      </c>
      <c r="W39" s="588">
        <f ca="1">+U39-V39</f>
        <v>0.20819637186563711</v>
      </c>
      <c r="X39" s="588">
        <f ca="1">+((W39*(1-0.34))-Pfd_weighted)/Equity_percent</f>
        <v>0.38145234137011769</v>
      </c>
      <c r="Y39" s="588">
        <f ca="1">+X39*equityP</f>
        <v>0.22887140482207061</v>
      </c>
      <c r="Z39" s="588">
        <f ca="1">+Y39/(1-taxrate)</f>
        <v>0.28971063901527921</v>
      </c>
      <c r="AA39" s="588">
        <f>debtP*Debt_Rate</f>
        <v>1.5959999999999998E-2</v>
      </c>
      <c r="AB39" s="588">
        <f ca="1">+AA39+Z39</f>
        <v>0.30567063901527919</v>
      </c>
      <c r="AC39" s="588">
        <f ca="1">+AB39/(S39/100)</f>
        <v>3.9034007794398938E-2</v>
      </c>
      <c r="AD39" s="588">
        <f ca="1">1-AC39</f>
        <v>0.96096599220560108</v>
      </c>
      <c r="AE39" s="41">
        <f ca="1">expenses/(AD39)</f>
        <v>19581962.162054185</v>
      </c>
      <c r="AF39" s="42">
        <f ca="1">+AE39-Revenue</f>
        <v>2076572.5120541826</v>
      </c>
      <c r="AG39" s="4">
        <f ca="1">+AF39/$J$49</f>
        <v>2212722.6283258158</v>
      </c>
      <c r="AH39" s="4">
        <f ca="1">+AG39*$J$47</f>
        <v>50007.53140016344</v>
      </c>
      <c r="AI39" s="41">
        <f t="shared" ca="1" si="12"/>
        <v>19631969.69345</v>
      </c>
    </row>
    <row r="40" spans="1:46" ht="15.75">
      <c r="A40" s="557"/>
      <c r="B40" s="557"/>
      <c r="C40" s="557"/>
      <c r="D40" s="557"/>
      <c r="E40" s="557"/>
      <c r="F40" s="589">
        <f t="shared" si="6"/>
        <v>34</v>
      </c>
      <c r="G40" s="632"/>
      <c r="H40" s="568"/>
      <c r="I40" s="568"/>
      <c r="J40" s="568"/>
      <c r="K40" s="568"/>
      <c r="L40" s="568"/>
      <c r="M40" s="568"/>
      <c r="N40" s="568"/>
      <c r="O40" s="557"/>
      <c r="P40" s="557"/>
      <c r="X40" s="6"/>
      <c r="Y40" s="7"/>
      <c r="Z40" s="3"/>
      <c r="AA40" s="6"/>
      <c r="AC40" s="6"/>
      <c r="AD40" s="6"/>
      <c r="AE40" s="3"/>
      <c r="AF40" s="2"/>
      <c r="AH40" s="3"/>
    </row>
    <row r="41" spans="1:46" ht="15.75">
      <c r="A41" s="557"/>
      <c r="B41" s="557"/>
      <c r="C41" s="557"/>
      <c r="D41" s="557"/>
      <c r="E41" s="557"/>
      <c r="F41" s="589">
        <f t="shared" si="6"/>
        <v>35</v>
      </c>
      <c r="G41" s="568"/>
      <c r="H41" s="628" t="s">
        <v>61</v>
      </c>
      <c r="I41" s="634"/>
      <c r="J41" s="568"/>
      <c r="K41" s="568"/>
      <c r="L41" s="568"/>
      <c r="M41" s="568"/>
      <c r="N41" s="568"/>
      <c r="O41" s="557"/>
      <c r="P41" s="557"/>
      <c r="R41" s="635" t="s">
        <v>59</v>
      </c>
      <c r="S41" s="636"/>
      <c r="T41" s="637"/>
      <c r="U41" s="637"/>
      <c r="V41" s="638"/>
      <c r="X41" s="5"/>
      <c r="Y41" s="7"/>
      <c r="Z41" s="3"/>
      <c r="AA41" s="6"/>
      <c r="AC41" s="6"/>
      <c r="AD41" s="6"/>
      <c r="AE41" s="3"/>
      <c r="AF41" s="2"/>
      <c r="AH41" s="3"/>
    </row>
    <row r="42" spans="1:46" ht="15.75">
      <c r="A42" s="557"/>
      <c r="B42" s="557"/>
      <c r="C42" s="557"/>
      <c r="D42" s="557"/>
      <c r="E42" s="557"/>
      <c r="F42" s="589">
        <f t="shared" si="6"/>
        <v>36</v>
      </c>
      <c r="G42" s="568"/>
      <c r="H42" s="568"/>
      <c r="I42" s="568"/>
      <c r="J42" s="639" t="s">
        <v>48</v>
      </c>
      <c r="K42" s="640" t="s">
        <v>20</v>
      </c>
      <c r="L42" s="568"/>
      <c r="M42" s="568"/>
      <c r="N42" s="568"/>
      <c r="O42" s="557"/>
      <c r="P42" s="557"/>
      <c r="R42" s="641" t="s">
        <v>60</v>
      </c>
      <c r="S42" s="642"/>
      <c r="V42" s="643"/>
      <c r="X42" s="6"/>
      <c r="Y42" s="7"/>
      <c r="Z42" s="3"/>
      <c r="AA42" s="6"/>
      <c r="AC42" s="6"/>
      <c r="AD42" s="6"/>
      <c r="AE42" s="3"/>
      <c r="AH42" s="3"/>
    </row>
    <row r="43" spans="1:46" ht="15.75">
      <c r="A43" s="557"/>
      <c r="B43" s="557"/>
      <c r="C43" s="557"/>
      <c r="D43" s="557"/>
      <c r="E43" s="557"/>
      <c r="F43" s="589">
        <f t="shared" si="6"/>
        <v>37</v>
      </c>
      <c r="G43" s="568"/>
      <c r="H43" s="577" t="s">
        <v>62</v>
      </c>
      <c r="I43" s="644"/>
      <c r="J43" s="43">
        <f>IF($A$65=TRUE,C11,0)</f>
        <v>1.7500000000000002E-2</v>
      </c>
      <c r="K43" s="645">
        <f ca="1">+J43*($J$7/$J$49)</f>
        <v>38721.123101489575</v>
      </c>
      <c r="L43" s="568"/>
      <c r="M43" s="568"/>
      <c r="N43" s="568"/>
      <c r="O43" s="557"/>
      <c r="P43" s="557"/>
      <c r="R43" s="590">
        <v>0</v>
      </c>
      <c r="S43" s="646">
        <v>1</v>
      </c>
      <c r="U43" s="647" t="s">
        <v>56</v>
      </c>
      <c r="V43" s="8">
        <f ca="1">VLOOKUP(R49,R36:AE39,12)</f>
        <v>3.9034007794398938E-2</v>
      </c>
      <c r="AA43" s="6"/>
      <c r="AC43" s="6"/>
      <c r="AH43" s="3"/>
      <c r="AL43" s="6"/>
      <c r="AM43" s="6"/>
      <c r="AN43" s="6"/>
      <c r="AO43" s="6"/>
      <c r="AP43" s="6"/>
      <c r="AQ43" s="6"/>
      <c r="AR43" s="6"/>
      <c r="AS43" s="6"/>
      <c r="AT43" s="6"/>
    </row>
    <row r="44" spans="1:46" ht="15.75">
      <c r="A44" s="557"/>
      <c r="B44" s="557"/>
      <c r="C44" s="557"/>
      <c r="D44" s="557"/>
      <c r="E44" s="557"/>
      <c r="F44" s="589">
        <f t="shared" si="6"/>
        <v>38</v>
      </c>
      <c r="G44" s="568"/>
      <c r="H44" s="577" t="s">
        <v>63</v>
      </c>
      <c r="I44" s="644"/>
      <c r="J44" s="43">
        <f t="shared" ref="J44:J46" si="13">IF($A$65=TRUE,C12,0)</f>
        <v>5.1000000000000004E-3</v>
      </c>
      <c r="K44" s="645">
        <f ca="1">+J44*($J$7/$J$49)</f>
        <v>11284.441589576962</v>
      </c>
      <c r="L44" s="568"/>
      <c r="M44" s="568"/>
      <c r="N44" s="568"/>
      <c r="O44" s="557"/>
      <c r="P44" s="557"/>
      <c r="R44" s="590">
        <v>50</v>
      </c>
      <c r="S44" s="646">
        <v>2</v>
      </c>
      <c r="U44" s="647" t="s">
        <v>31</v>
      </c>
      <c r="V44" s="8">
        <f ca="1">ROUND(1-V43,5)</f>
        <v>0.96096999999999999</v>
      </c>
      <c r="Y44" s="16"/>
      <c r="Z44" s="570"/>
      <c r="AA44" s="570"/>
      <c r="AC44" s="6"/>
      <c r="AF44" s="2"/>
      <c r="AH44" s="3"/>
      <c r="AL44" s="6"/>
      <c r="AM44" s="6"/>
      <c r="AN44" s="6"/>
      <c r="AO44" s="6"/>
      <c r="AP44" s="6"/>
      <c r="AQ44" s="6"/>
      <c r="AR44" s="6"/>
      <c r="AS44" s="6"/>
      <c r="AT44" s="6"/>
    </row>
    <row r="45" spans="1:46" ht="15.75">
      <c r="A45" s="557"/>
      <c r="B45" s="557"/>
      <c r="C45" s="557"/>
      <c r="D45" s="557"/>
      <c r="E45" s="557"/>
      <c r="F45" s="589">
        <f t="shared" si="6"/>
        <v>39</v>
      </c>
      <c r="G45" s="568"/>
      <c r="H45" s="577" t="s">
        <v>66</v>
      </c>
      <c r="I45" s="644"/>
      <c r="J45" s="43">
        <f t="shared" si="13"/>
        <v>0</v>
      </c>
      <c r="K45" s="645">
        <f ca="1">+J45*($J$7/$J$49)</f>
        <v>0</v>
      </c>
      <c r="L45" s="568"/>
      <c r="M45" s="568"/>
      <c r="N45" s="568"/>
      <c r="O45" s="557"/>
      <c r="P45" s="557"/>
      <c r="R45" s="590">
        <v>125</v>
      </c>
      <c r="S45" s="646">
        <v>3</v>
      </c>
      <c r="U45" s="67" t="s">
        <v>107</v>
      </c>
      <c r="V45" s="57">
        <f ca="1">+M7/Revenue-1</f>
        <v>0.12147666811665259</v>
      </c>
      <c r="W45" s="4"/>
      <c r="X45" s="6"/>
      <c r="Y45" s="16"/>
      <c r="Z45" s="3"/>
      <c r="AA45" s="6"/>
      <c r="AC45" s="6"/>
      <c r="AD45" s="6"/>
      <c r="AE45" s="3"/>
      <c r="AF45" s="2"/>
      <c r="AH45" s="3"/>
      <c r="AL45" s="6"/>
      <c r="AM45" s="6"/>
      <c r="AN45" s="6"/>
      <c r="AO45" s="6"/>
      <c r="AP45" s="6"/>
      <c r="AQ45" s="6"/>
      <c r="AR45" s="6"/>
      <c r="AS45" s="6"/>
      <c r="AT45" s="6"/>
    </row>
    <row r="46" spans="1:46" ht="15.75">
      <c r="A46" s="557"/>
      <c r="B46" s="557"/>
      <c r="C46" s="557"/>
      <c r="D46" s="557"/>
      <c r="E46" s="557"/>
      <c r="F46" s="589">
        <f t="shared" si="6"/>
        <v>40</v>
      </c>
      <c r="G46" s="568"/>
      <c r="H46" s="577" t="s">
        <v>69</v>
      </c>
      <c r="I46" s="644"/>
      <c r="J46" s="43">
        <f t="shared" si="13"/>
        <v>0</v>
      </c>
      <c r="K46" s="645">
        <f ca="1">+J46*($J$7/$J$49)</f>
        <v>0</v>
      </c>
      <c r="L46" s="568"/>
      <c r="M46" s="568"/>
      <c r="N46" s="568"/>
      <c r="O46" s="557"/>
      <c r="P46" s="557"/>
      <c r="R46" s="593">
        <v>401</v>
      </c>
      <c r="S46" s="648">
        <v>4</v>
      </c>
      <c r="T46" s="649"/>
      <c r="U46" s="649"/>
      <c r="V46" s="650"/>
      <c r="X46" s="6"/>
      <c r="Y46" s="7"/>
      <c r="Z46" s="3"/>
      <c r="AA46" s="6"/>
      <c r="AC46" s="6"/>
      <c r="AD46" s="6"/>
      <c r="AE46" s="3"/>
      <c r="AF46" s="2"/>
      <c r="AH46" s="3"/>
      <c r="AL46" s="6"/>
      <c r="AM46" s="6"/>
      <c r="AN46" s="6"/>
      <c r="AO46" s="6"/>
      <c r="AP46" s="6"/>
      <c r="AQ46" s="6"/>
      <c r="AR46" s="6"/>
      <c r="AS46" s="6"/>
      <c r="AT46" s="6"/>
    </row>
    <row r="47" spans="1:46" ht="16.5" thickBot="1">
      <c r="A47" s="557"/>
      <c r="B47" s="557"/>
      <c r="C47" s="557"/>
      <c r="D47" s="557"/>
      <c r="E47" s="557"/>
      <c r="F47" s="589">
        <f t="shared" si="6"/>
        <v>41</v>
      </c>
      <c r="G47" s="568"/>
      <c r="H47" s="577" t="s">
        <v>71</v>
      </c>
      <c r="I47" s="632"/>
      <c r="J47" s="50">
        <f>SUM(J43:J46)</f>
        <v>2.2600000000000002E-2</v>
      </c>
      <c r="K47" s="49">
        <f ca="1">+K43+K44+K45+K46</f>
        <v>50005.564691066538</v>
      </c>
      <c r="L47" s="568"/>
      <c r="M47" s="568"/>
      <c r="N47" s="568"/>
      <c r="O47" s="557"/>
      <c r="P47" s="557"/>
      <c r="R47" s="590"/>
      <c r="S47" s="570"/>
      <c r="X47" s="6"/>
      <c r="Y47" s="7"/>
      <c r="Z47" s="3"/>
      <c r="AA47" s="6"/>
      <c r="AC47" s="6"/>
      <c r="AD47" s="6"/>
      <c r="AE47" s="3"/>
      <c r="AF47" s="2"/>
      <c r="AH47" s="3"/>
      <c r="AL47" s="6"/>
      <c r="AM47" s="6"/>
      <c r="AN47" s="6"/>
      <c r="AO47" s="6"/>
      <c r="AP47" s="6"/>
      <c r="AQ47" s="6"/>
      <c r="AR47" s="6"/>
      <c r="AS47" s="6"/>
      <c r="AT47" s="6"/>
    </row>
    <row r="48" spans="1:46" ht="16.5" thickTop="1">
      <c r="A48" s="557"/>
      <c r="B48" s="557"/>
      <c r="C48" s="557"/>
      <c r="D48" s="557"/>
      <c r="E48" s="557"/>
      <c r="F48" s="589">
        <f t="shared" si="6"/>
        <v>42</v>
      </c>
      <c r="G48" s="568"/>
      <c r="H48" s="577"/>
      <c r="I48" s="632"/>
      <c r="J48" s="43"/>
      <c r="K48" s="20"/>
      <c r="L48" s="568"/>
      <c r="M48" s="568"/>
      <c r="N48" s="568"/>
      <c r="O48" s="557"/>
      <c r="P48" s="557"/>
      <c r="R48" s="651">
        <f ca="1">VLOOKUP(R49,R36:S39,2)</f>
        <v>783.0880206442456</v>
      </c>
      <c r="S48" s="652" t="s">
        <v>64</v>
      </c>
      <c r="T48" s="638"/>
      <c r="V48" s="637"/>
      <c r="X48" s="67" t="s">
        <v>65</v>
      </c>
      <c r="AC48" s="6"/>
      <c r="AF48" s="2"/>
      <c r="AH48" s="3"/>
    </row>
    <row r="49" spans="1:46" ht="15.75">
      <c r="A49" s="557"/>
      <c r="B49" s="557"/>
      <c r="C49" s="557"/>
      <c r="D49" s="557"/>
      <c r="E49" s="557"/>
      <c r="F49" s="589">
        <f t="shared" si="6"/>
        <v>43</v>
      </c>
      <c r="G49" s="572"/>
      <c r="H49" s="577" t="s">
        <v>73</v>
      </c>
      <c r="I49" s="568"/>
      <c r="J49" s="24">
        <f ca="1">((K35)-J47)</f>
        <v>0.93846941567427866</v>
      </c>
      <c r="K49" s="568"/>
      <c r="L49" s="568"/>
      <c r="M49" s="568"/>
      <c r="N49" s="568"/>
      <c r="O49" s="557"/>
      <c r="P49" s="557"/>
      <c r="R49" s="590">
        <f ca="1">VLOOKUP(S36,R43:S46,2)</f>
        <v>4</v>
      </c>
      <c r="S49" s="653" t="s">
        <v>67</v>
      </c>
      <c r="T49" s="643"/>
      <c r="X49" s="67" t="s">
        <v>68</v>
      </c>
      <c r="AA49" s="570"/>
      <c r="AC49" s="6"/>
      <c r="AH49" s="3"/>
    </row>
    <row r="50" spans="1:46">
      <c r="A50" s="557"/>
      <c r="B50" s="557"/>
      <c r="C50" s="557"/>
      <c r="D50" s="557"/>
      <c r="E50" s="557"/>
      <c r="F50" s="557"/>
      <c r="G50" s="557"/>
      <c r="H50" s="557"/>
      <c r="I50" s="557"/>
      <c r="J50" s="557"/>
      <c r="K50" s="654"/>
      <c r="L50" s="557"/>
      <c r="M50" s="557"/>
      <c r="N50" s="11"/>
      <c r="O50" s="557"/>
      <c r="P50" s="557"/>
      <c r="R50" s="590"/>
      <c r="T50" s="643"/>
      <c r="X50" s="67" t="s">
        <v>70</v>
      </c>
      <c r="AA50" s="6"/>
      <c r="AC50" s="6"/>
      <c r="AD50" s="6"/>
      <c r="AE50" s="3"/>
      <c r="AH50" s="3"/>
    </row>
    <row r="51" spans="1:46">
      <c r="A51" s="557"/>
      <c r="B51" s="557"/>
      <c r="C51" s="557"/>
      <c r="D51" s="557"/>
      <c r="E51" s="557"/>
      <c r="F51" s="557"/>
      <c r="G51" s="557"/>
      <c r="H51" s="557"/>
      <c r="I51" s="557"/>
      <c r="J51" s="557"/>
      <c r="K51" s="654"/>
      <c r="L51" s="557"/>
      <c r="M51" s="557"/>
      <c r="N51" s="11"/>
      <c r="O51" s="557"/>
      <c r="P51" s="557"/>
      <c r="R51" s="655">
        <f ca="1">+V44</f>
        <v>0.96096999999999999</v>
      </c>
      <c r="S51" s="649" t="s">
        <v>31</v>
      </c>
      <c r="T51" s="656"/>
      <c r="X51" s="67" t="s">
        <v>72</v>
      </c>
      <c r="AA51" s="6"/>
      <c r="AC51" s="6"/>
      <c r="AD51" s="6"/>
      <c r="AE51" s="3"/>
      <c r="AF51" s="6"/>
      <c r="AH51" s="3"/>
      <c r="AL51" s="6"/>
      <c r="AM51" s="6"/>
      <c r="AN51" s="6"/>
      <c r="AO51" s="6"/>
      <c r="AP51" s="6"/>
      <c r="AQ51" s="6"/>
      <c r="AR51" s="6"/>
      <c r="AS51" s="6"/>
      <c r="AT51" s="6"/>
    </row>
    <row r="52" spans="1:46">
      <c r="A52" s="557"/>
      <c r="B52" s="557"/>
      <c r="C52" s="557"/>
      <c r="D52" s="557"/>
      <c r="E52" s="557"/>
      <c r="F52" s="557"/>
      <c r="G52" s="557"/>
      <c r="H52" s="557"/>
      <c r="I52" s="557"/>
      <c r="J52" s="557"/>
      <c r="K52" s="557"/>
      <c r="L52" s="557"/>
      <c r="M52" s="557"/>
      <c r="N52" s="557"/>
      <c r="O52" s="557"/>
      <c r="P52" s="557"/>
      <c r="Z52" s="3"/>
      <c r="AA52" s="6"/>
      <c r="AC52" s="6"/>
      <c r="AD52" s="6"/>
      <c r="AE52" s="3"/>
      <c r="AF52" s="2"/>
      <c r="AH52" s="3"/>
      <c r="AL52" s="6"/>
      <c r="AM52" s="6"/>
      <c r="AN52" s="6"/>
      <c r="AO52" s="6"/>
      <c r="AP52" s="6"/>
      <c r="AQ52" s="6"/>
      <c r="AR52" s="6"/>
      <c r="AS52" s="6"/>
      <c r="AT52" s="6"/>
    </row>
    <row r="53" spans="1:46">
      <c r="A53" s="557"/>
      <c r="B53" s="557"/>
      <c r="C53" s="557"/>
      <c r="D53" s="557"/>
      <c r="E53" s="557"/>
      <c r="F53" s="557"/>
      <c r="G53" s="557"/>
      <c r="H53" s="557"/>
      <c r="I53" s="557"/>
      <c r="J53" s="657"/>
      <c r="K53" s="657"/>
      <c r="L53" s="657"/>
      <c r="M53" s="657"/>
      <c r="N53" s="557"/>
      <c r="O53" s="557"/>
      <c r="P53" s="557"/>
      <c r="R53" s="67"/>
      <c r="Z53" s="3"/>
      <c r="AA53" s="6"/>
      <c r="AC53" s="6"/>
      <c r="AD53" s="6"/>
      <c r="AE53" s="3"/>
      <c r="AF53" s="2"/>
      <c r="AH53" s="3"/>
      <c r="AL53" s="6"/>
      <c r="AM53" s="6"/>
      <c r="AN53" s="6"/>
      <c r="AO53" s="6"/>
      <c r="AP53" s="6"/>
      <c r="AQ53" s="6"/>
      <c r="AR53" s="6"/>
      <c r="AS53" s="6"/>
      <c r="AT53" s="6"/>
    </row>
    <row r="54" spans="1:46" ht="15.75">
      <c r="A54" s="557"/>
      <c r="B54" s="557"/>
      <c r="C54" s="557"/>
      <c r="D54" s="557"/>
      <c r="E54" s="557"/>
      <c r="F54" s="557"/>
      <c r="G54" s="557"/>
      <c r="H54" s="557"/>
      <c r="I54" s="557"/>
      <c r="J54" s="557"/>
      <c r="K54" s="657"/>
      <c r="L54" s="657"/>
      <c r="M54" s="657"/>
      <c r="N54" s="557"/>
      <c r="O54" s="557"/>
      <c r="P54" s="557"/>
      <c r="R54" s="67"/>
      <c r="S54" s="67" t="s">
        <v>74</v>
      </c>
      <c r="T54" s="6"/>
      <c r="U54" s="9"/>
      <c r="W54" s="658" t="s">
        <v>75</v>
      </c>
      <c r="X54" s="659"/>
      <c r="Y54" s="659"/>
      <c r="Z54" s="659"/>
      <c r="AC54" s="6"/>
      <c r="AF54" s="2"/>
      <c r="AH54" s="3"/>
      <c r="AL54" s="6"/>
      <c r="AM54" s="6"/>
      <c r="AN54" s="6"/>
      <c r="AO54" s="6"/>
      <c r="AP54" s="6"/>
      <c r="AQ54" s="6"/>
      <c r="AR54" s="6"/>
      <c r="AS54" s="6"/>
      <c r="AT54" s="6"/>
    </row>
    <row r="55" spans="1:46">
      <c r="A55" s="557"/>
      <c r="B55" s="557"/>
      <c r="C55" s="557"/>
      <c r="D55" s="557"/>
      <c r="E55" s="557"/>
      <c r="F55" s="557"/>
      <c r="G55" s="557"/>
      <c r="H55" s="557"/>
      <c r="I55" s="557"/>
      <c r="J55" s="557"/>
      <c r="K55" s="557"/>
      <c r="L55" s="660"/>
      <c r="M55" s="660"/>
      <c r="N55" s="557"/>
      <c r="O55" s="557"/>
      <c r="P55" s="557"/>
      <c r="R55" s="661"/>
      <c r="S55" s="662" t="s">
        <v>46</v>
      </c>
      <c r="T55" s="662" t="s">
        <v>76</v>
      </c>
      <c r="U55" s="663" t="s">
        <v>49</v>
      </c>
      <c r="W55" s="664" t="s">
        <v>77</v>
      </c>
      <c r="X55" s="665">
        <v>5.7225999999999999</v>
      </c>
      <c r="Y55" s="666" t="s">
        <v>78</v>
      </c>
      <c r="Z55" s="667">
        <v>5.6985000000000001</v>
      </c>
      <c r="AA55" s="570"/>
      <c r="AC55" s="6"/>
      <c r="AH55" s="3"/>
    </row>
    <row r="56" spans="1:46">
      <c r="A56" s="557"/>
      <c r="B56" s="557"/>
      <c r="C56" s="557"/>
      <c r="D56" s="557"/>
      <c r="E56" s="557"/>
      <c r="F56" s="557"/>
      <c r="G56" s="557"/>
      <c r="H56" s="557"/>
      <c r="I56" s="557"/>
      <c r="J56" s="660"/>
      <c r="K56" s="557"/>
      <c r="L56" s="660"/>
      <c r="M56" s="660"/>
      <c r="N56" s="557"/>
      <c r="O56" s="557"/>
      <c r="P56" s="557"/>
      <c r="R56" s="563" t="s">
        <v>29</v>
      </c>
      <c r="S56" s="668">
        <v>0.56200000000000006</v>
      </c>
      <c r="T56" s="668">
        <v>6.3799999999999996E-2</v>
      </c>
      <c r="U56" s="8">
        <f>ROUND(+S56*T56,5)</f>
        <v>3.5860000000000003E-2</v>
      </c>
      <c r="W56" s="669" t="s">
        <v>79</v>
      </c>
      <c r="X56" s="670">
        <v>5.7082699999999997</v>
      </c>
      <c r="Y56" s="671" t="s">
        <v>80</v>
      </c>
      <c r="Z56" s="17">
        <v>5.6921999999999997</v>
      </c>
      <c r="AA56" s="6"/>
      <c r="AC56" s="6"/>
      <c r="AD56" s="6"/>
      <c r="AE56" s="3"/>
      <c r="AH56" s="3"/>
    </row>
    <row r="57" spans="1:46">
      <c r="A57" s="557"/>
      <c r="B57" s="557"/>
      <c r="C57" s="557"/>
      <c r="D57" s="557"/>
      <c r="E57" s="657"/>
      <c r="F57" s="557"/>
      <c r="G57" s="557"/>
      <c r="H57" s="557"/>
      <c r="I57" s="557"/>
      <c r="J57" s="660"/>
      <c r="K57" s="557"/>
      <c r="L57" s="660"/>
      <c r="M57" s="660"/>
      <c r="N57" s="557"/>
      <c r="O57" s="557"/>
      <c r="P57" s="557"/>
      <c r="R57" s="563" t="s">
        <v>81</v>
      </c>
      <c r="S57" s="668">
        <v>9.4E-2</v>
      </c>
      <c r="T57" s="668">
        <v>6.59E-2</v>
      </c>
      <c r="U57" s="8">
        <f>ROUND(+S57*T57,5)</f>
        <v>6.1900000000000002E-3</v>
      </c>
      <c r="W57" s="563"/>
      <c r="Y57" s="672"/>
      <c r="Z57" s="14"/>
      <c r="AA57" s="6"/>
      <c r="AC57" s="6"/>
      <c r="AD57" s="6"/>
      <c r="AE57" s="3"/>
      <c r="AF57" s="2"/>
      <c r="AH57" s="3"/>
      <c r="AL57" s="6"/>
    </row>
    <row r="58" spans="1:46" ht="15.75">
      <c r="A58" s="557"/>
      <c r="B58" s="557"/>
      <c r="C58" s="557"/>
      <c r="D58" s="557"/>
      <c r="E58" s="657"/>
      <c r="F58" s="657"/>
      <c r="G58" s="657"/>
      <c r="H58" s="673"/>
      <c r="I58" s="657"/>
      <c r="J58" s="660"/>
      <c r="K58" s="557"/>
      <c r="L58" s="557"/>
      <c r="M58" s="557"/>
      <c r="N58" s="557"/>
      <c r="O58" s="557"/>
      <c r="P58" s="557"/>
      <c r="R58" s="563" t="s">
        <v>27</v>
      </c>
      <c r="S58" s="56">
        <v>0.34399999999999997</v>
      </c>
      <c r="T58" s="674"/>
      <c r="U58" s="31"/>
      <c r="W58" s="675"/>
      <c r="X58" s="676" t="s">
        <v>82</v>
      </c>
      <c r="Y58" s="18">
        <v>0.68367</v>
      </c>
      <c r="Z58" s="15"/>
      <c r="AA58" s="6"/>
      <c r="AC58" s="6"/>
      <c r="AD58" s="6"/>
      <c r="AE58" s="3"/>
      <c r="AF58" s="2"/>
      <c r="AH58" s="3"/>
    </row>
    <row r="59" spans="1:46" ht="15.75">
      <c r="A59" s="557"/>
      <c r="B59" s="557"/>
      <c r="C59" s="557"/>
      <c r="D59" s="557"/>
      <c r="E59" s="557"/>
      <c r="F59" s="557"/>
      <c r="G59" s="557"/>
      <c r="H59" s="557"/>
      <c r="I59" s="557"/>
      <c r="J59" s="557"/>
      <c r="K59" s="557"/>
      <c r="L59" s="557"/>
      <c r="M59" s="557"/>
      <c r="N59" s="557"/>
      <c r="O59" s="557"/>
      <c r="P59" s="557"/>
      <c r="R59" s="675"/>
      <c r="S59" s="56">
        <f>SUM(S56:S58)</f>
        <v>1</v>
      </c>
      <c r="T59" s="32"/>
      <c r="U59" s="33"/>
      <c r="X59" s="6"/>
      <c r="Y59" s="7"/>
      <c r="Z59" s="3"/>
      <c r="AA59" s="6"/>
      <c r="AC59" s="6"/>
      <c r="AD59" s="6"/>
      <c r="AE59" s="3"/>
      <c r="AF59" s="2"/>
      <c r="AH59" s="3"/>
    </row>
    <row r="60" spans="1:46">
      <c r="A60" s="557"/>
      <c r="B60" s="557"/>
      <c r="C60" s="557"/>
      <c r="D60" s="557"/>
      <c r="E60" s="557"/>
      <c r="F60" s="557"/>
      <c r="G60" s="557"/>
      <c r="H60" s="557"/>
      <c r="I60" s="557"/>
      <c r="J60" s="557"/>
      <c r="K60" s="557"/>
      <c r="L60" s="557"/>
      <c r="M60" s="557"/>
      <c r="N60" s="557"/>
      <c r="O60" s="557"/>
      <c r="P60" s="557"/>
      <c r="X60" s="13"/>
      <c r="AC60" s="6"/>
      <c r="AF60" s="2"/>
      <c r="AH60" s="3"/>
      <c r="AL60" s="2"/>
      <c r="AM60" s="2"/>
      <c r="AN60" s="2"/>
      <c r="AO60" s="2"/>
      <c r="AP60" s="2"/>
      <c r="AQ60" s="2"/>
      <c r="AR60" s="2"/>
      <c r="AS60" s="2"/>
      <c r="AT60" s="2"/>
    </row>
    <row r="61" spans="1:46">
      <c r="A61" s="557"/>
      <c r="B61" s="557"/>
      <c r="C61" s="557"/>
      <c r="D61" s="557"/>
      <c r="E61" s="657"/>
      <c r="F61" s="557"/>
      <c r="G61" s="557"/>
      <c r="H61" s="557"/>
      <c r="I61" s="557"/>
      <c r="J61" s="557"/>
      <c r="K61" s="557"/>
      <c r="L61" s="557"/>
      <c r="M61" s="557"/>
      <c r="N61" s="557"/>
      <c r="O61" s="557"/>
      <c r="P61" s="557"/>
      <c r="W61" s="661" t="s">
        <v>51</v>
      </c>
      <c r="X61" s="677"/>
      <c r="Y61" s="637" t="s">
        <v>52</v>
      </c>
      <c r="Z61" s="638" t="s">
        <v>17</v>
      </c>
      <c r="AC61" s="6"/>
      <c r="AH61" s="3"/>
      <c r="AL61" s="2"/>
      <c r="AM61" s="2"/>
      <c r="AN61" s="2"/>
      <c r="AO61" s="2"/>
      <c r="AP61" s="2"/>
      <c r="AQ61" s="2"/>
      <c r="AR61" s="2"/>
      <c r="AS61" s="2"/>
      <c r="AT61" s="2"/>
    </row>
    <row r="62" spans="1:46">
      <c r="A62" s="557"/>
      <c r="B62" s="557"/>
      <c r="C62" s="557"/>
      <c r="D62" s="557"/>
      <c r="E62" s="557"/>
      <c r="F62" s="657"/>
      <c r="G62" s="657"/>
      <c r="H62" s="657"/>
      <c r="I62" s="657"/>
      <c r="J62" s="657"/>
      <c r="K62" s="657"/>
      <c r="L62" s="657"/>
      <c r="M62" s="657"/>
      <c r="N62" s="657"/>
      <c r="O62" s="557"/>
      <c r="P62" s="557"/>
      <c r="W62" s="678"/>
      <c r="X62" s="679"/>
      <c r="Y62" s="679"/>
      <c r="Z62" s="680"/>
      <c r="AC62" s="6"/>
      <c r="AD62" s="6"/>
      <c r="AE62" s="3"/>
      <c r="AH62" s="3"/>
      <c r="AL62" s="2"/>
      <c r="AM62" s="2"/>
      <c r="AN62" s="2"/>
      <c r="AO62" s="2"/>
      <c r="AP62" s="2"/>
      <c r="AQ62" s="2"/>
      <c r="AR62" s="2"/>
      <c r="AS62" s="2"/>
      <c r="AT62" s="2"/>
    </row>
    <row r="63" spans="1:46">
      <c r="A63" s="557"/>
      <c r="B63" s="557"/>
      <c r="C63" s="557"/>
      <c r="D63" s="557"/>
      <c r="E63" s="557"/>
      <c r="F63" s="557"/>
      <c r="G63" s="557"/>
      <c r="H63" s="557"/>
      <c r="I63" s="557"/>
      <c r="J63" s="557"/>
      <c r="K63" s="557"/>
      <c r="L63" s="557"/>
      <c r="M63" s="557"/>
      <c r="N63" s="557"/>
      <c r="O63" s="557"/>
      <c r="P63" s="557"/>
      <c r="W63" s="563" t="s">
        <v>54</v>
      </c>
      <c r="X63" s="679"/>
      <c r="Y63" s="8">
        <f t="shared" ref="Y63:Z68" ca="1" si="14">+J33</f>
        <v>0.30485944349437377</v>
      </c>
      <c r="Z63" s="8">
        <f ca="1">+K33</f>
        <v>0.24419056036055531</v>
      </c>
      <c r="AC63" s="6"/>
      <c r="AD63" s="6"/>
      <c r="AE63" s="3"/>
      <c r="AF63" s="2"/>
      <c r="AH63" s="3"/>
      <c r="AL63" s="2"/>
      <c r="AM63" s="2"/>
      <c r="AN63" s="2"/>
      <c r="AO63" s="2"/>
      <c r="AP63" s="2"/>
      <c r="AQ63" s="2"/>
      <c r="AR63" s="2"/>
      <c r="AS63" s="2"/>
      <c r="AT63" s="2"/>
    </row>
    <row r="64" spans="1:46">
      <c r="A64" s="557"/>
      <c r="B64" s="557"/>
      <c r="C64" s="557"/>
      <c r="D64" s="557"/>
      <c r="E64" s="557"/>
      <c r="F64" s="557"/>
      <c r="G64" s="557"/>
      <c r="H64" s="557"/>
      <c r="I64" s="557"/>
      <c r="J64" s="557"/>
      <c r="K64" s="557"/>
      <c r="L64" s="557"/>
      <c r="M64" s="557"/>
      <c r="N64" s="557"/>
      <c r="O64" s="557"/>
      <c r="P64" s="557"/>
      <c r="W64" s="563" t="s">
        <v>55</v>
      </c>
      <c r="X64" s="679"/>
      <c r="Y64" s="8">
        <f t="shared" ca="1" si="14"/>
        <v>0.48149907249062296</v>
      </c>
      <c r="Z64" s="8">
        <f t="shared" ca="1" si="14"/>
        <v>0.38038426726759217</v>
      </c>
      <c r="AC64" s="6"/>
      <c r="AD64" s="6"/>
      <c r="AE64" s="3"/>
      <c r="AF64" s="2"/>
      <c r="AH64" s="3"/>
    </row>
    <row r="65" spans="1:38">
      <c r="A65" s="67" t="b">
        <v>1</v>
      </c>
      <c r="F65" s="557"/>
      <c r="G65" s="557"/>
      <c r="H65" s="557"/>
      <c r="I65" s="557"/>
      <c r="J65" s="557"/>
      <c r="K65" s="557"/>
      <c r="L65" s="557"/>
      <c r="M65" s="557"/>
      <c r="N65" s="557"/>
      <c r="W65" s="563" t="s">
        <v>31</v>
      </c>
      <c r="X65" s="679"/>
      <c r="Y65" s="8">
        <f t="shared" ca="1" si="14"/>
        <v>0.96096999999999999</v>
      </c>
      <c r="Z65" s="8">
        <f t="shared" ca="1" si="14"/>
        <v>0.96106941567427862</v>
      </c>
      <c r="AC65" s="6"/>
      <c r="AD65" s="6"/>
      <c r="AE65" s="3"/>
      <c r="AF65" s="2"/>
      <c r="AH65" s="3"/>
    </row>
    <row r="66" spans="1:38">
      <c r="H66" s="2"/>
      <c r="I66" s="2"/>
      <c r="J66" s="2"/>
      <c r="K66" s="2"/>
      <c r="L66" s="2"/>
      <c r="M66" s="2"/>
      <c r="N66" s="2"/>
      <c r="O66" s="2"/>
      <c r="W66" s="563" t="s">
        <v>56</v>
      </c>
      <c r="X66" s="679"/>
      <c r="Y66" s="8">
        <f t="shared" ca="1" si="14"/>
        <v>3.9029999999999981E-2</v>
      </c>
      <c r="Z66" s="8">
        <f t="shared" ca="1" si="14"/>
        <v>3.9029999999999981E-2</v>
      </c>
      <c r="AC66" s="6"/>
      <c r="AF66" s="2"/>
      <c r="AH66" s="3"/>
      <c r="AL66" s="2"/>
    </row>
    <row r="67" spans="1:38">
      <c r="H67" s="2"/>
      <c r="I67" s="2"/>
      <c r="J67" s="2"/>
      <c r="K67" s="2"/>
      <c r="L67" s="2"/>
      <c r="M67" s="2"/>
      <c r="N67" s="2"/>
      <c r="O67" s="2"/>
      <c r="W67" s="563" t="s">
        <v>57</v>
      </c>
      <c r="X67" s="682"/>
      <c r="Y67" s="8">
        <f t="shared" ca="1" si="14"/>
        <v>7.8308802064424556</v>
      </c>
      <c r="Z67" s="8">
        <f t="shared" ca="1" si="14"/>
        <v>7.8308802064424556</v>
      </c>
      <c r="AC67" s="6"/>
      <c r="AH67" s="3"/>
    </row>
    <row r="68" spans="1:38">
      <c r="O68" s="2"/>
      <c r="W68" s="563" t="s">
        <v>58</v>
      </c>
      <c r="X68" s="579"/>
      <c r="Y68" s="8">
        <f t="shared" si="14"/>
        <v>0.21</v>
      </c>
      <c r="Z68" s="8">
        <f t="shared" si="14"/>
        <v>0.21</v>
      </c>
      <c r="AC68" s="6"/>
      <c r="AD68" s="6"/>
      <c r="AE68" s="3"/>
      <c r="AH68" s="3"/>
    </row>
    <row r="69" spans="1:38" ht="15.75">
      <c r="O69" s="2"/>
      <c r="W69" s="563"/>
      <c r="Y69" s="674"/>
      <c r="Z69" s="52"/>
      <c r="AC69" s="6"/>
      <c r="AD69" s="6"/>
      <c r="AE69" s="3"/>
      <c r="AF69" s="2"/>
      <c r="AH69" s="3"/>
    </row>
    <row r="70" spans="1:38">
      <c r="O70" s="2"/>
      <c r="W70" s="675"/>
      <c r="X70" s="53"/>
      <c r="Y70" s="54"/>
      <c r="Z70" s="55"/>
      <c r="AA70" s="6"/>
      <c r="AC70" s="6"/>
      <c r="AD70" s="6"/>
      <c r="AE70" s="3"/>
      <c r="AF70" s="2"/>
      <c r="AH70" s="3"/>
    </row>
    <row r="71" spans="1:38">
      <c r="X71" s="6"/>
      <c r="Y71" s="7"/>
      <c r="Z71" s="3"/>
      <c r="AA71" s="6"/>
      <c r="AC71" s="6"/>
      <c r="AD71" s="6"/>
      <c r="AE71" s="3"/>
      <c r="AF71" s="2"/>
      <c r="AH71" s="3"/>
    </row>
    <row r="72" spans="1:38">
      <c r="AC72" s="6"/>
      <c r="AF72" s="2"/>
      <c r="AH72" s="3"/>
    </row>
    <row r="73" spans="1:38">
      <c r="Y73" s="570"/>
      <c r="Z73" s="570"/>
      <c r="AA73" s="570"/>
      <c r="AC73" s="6"/>
      <c r="AH73" s="3"/>
    </row>
    <row r="74" spans="1:38">
      <c r="X74" s="6"/>
      <c r="Y74" s="7"/>
      <c r="Z74" s="3"/>
      <c r="AA74" s="6"/>
      <c r="AC74" s="6"/>
      <c r="AD74" s="6"/>
      <c r="AE74" s="3"/>
      <c r="AH74" s="3"/>
    </row>
    <row r="75" spans="1:38">
      <c r="X75" s="6"/>
      <c r="Y75" s="7"/>
      <c r="Z75" s="3"/>
      <c r="AA75" s="6"/>
      <c r="AC75" s="6"/>
      <c r="AD75" s="6"/>
      <c r="AE75" s="3"/>
      <c r="AF75" s="2"/>
      <c r="AH75" s="3"/>
    </row>
    <row r="76" spans="1:38">
      <c r="X76" s="6"/>
      <c r="Y76" s="7"/>
      <c r="Z76" s="3"/>
      <c r="AA76" s="6"/>
      <c r="AC76" s="6"/>
      <c r="AD76" s="6"/>
      <c r="AE76" s="3"/>
      <c r="AF76" s="2"/>
      <c r="AH76" s="3"/>
    </row>
    <row r="77" spans="1:38">
      <c r="X77" s="6"/>
      <c r="Y77" s="7"/>
      <c r="Z77" s="3"/>
      <c r="AA77" s="6"/>
      <c r="AC77" s="6"/>
      <c r="AD77" s="6"/>
      <c r="AE77" s="3"/>
      <c r="AF77" s="2"/>
      <c r="AH77" s="3"/>
    </row>
    <row r="78" spans="1:38">
      <c r="AC78" s="6"/>
      <c r="AF78" s="2"/>
      <c r="AH78" s="3"/>
    </row>
    <row r="80" spans="1:38">
      <c r="X80" s="6"/>
      <c r="Y80" s="7"/>
      <c r="Z80" s="3"/>
      <c r="AA80" s="6"/>
      <c r="AD80" s="6"/>
      <c r="AE80" s="3"/>
    </row>
    <row r="81" spans="24:32">
      <c r="X81" s="6"/>
      <c r="Y81" s="7"/>
      <c r="Z81" s="3"/>
      <c r="AA81" s="6"/>
      <c r="AD81" s="6"/>
      <c r="AE81" s="3"/>
      <c r="AF81" s="2"/>
    </row>
    <row r="82" spans="24:32">
      <c r="X82" s="6"/>
      <c r="Y82" s="7"/>
      <c r="Z82" s="3"/>
      <c r="AA82" s="6"/>
      <c r="AD82" s="6"/>
      <c r="AE82" s="3"/>
      <c r="AF82" s="2"/>
    </row>
    <row r="83" spans="24:32">
      <c r="X83" s="6"/>
      <c r="Y83" s="7"/>
      <c r="Z83" s="3"/>
      <c r="AA83" s="6"/>
      <c r="AD83" s="6"/>
      <c r="AE83" s="3"/>
      <c r="AF83" s="2"/>
    </row>
    <row r="84" spans="24:32">
      <c r="AF84" s="2"/>
    </row>
    <row r="86" spans="24:32">
      <c r="X86" s="6"/>
      <c r="Y86" s="7"/>
      <c r="Z86" s="3"/>
      <c r="AA86" s="6"/>
      <c r="AD86" s="6"/>
      <c r="AE86" s="3"/>
    </row>
    <row r="87" spans="24:32">
      <c r="X87" s="6"/>
      <c r="Y87" s="7"/>
      <c r="Z87" s="3"/>
      <c r="AA87" s="6"/>
      <c r="AD87" s="6"/>
      <c r="AE87" s="3"/>
      <c r="AF87" s="2"/>
    </row>
    <row r="88" spans="24:32">
      <c r="X88" s="6"/>
      <c r="Y88" s="7"/>
      <c r="Z88" s="3"/>
      <c r="AA88" s="6"/>
      <c r="AD88" s="6"/>
      <c r="AE88" s="3"/>
      <c r="AF88" s="2"/>
    </row>
    <row r="89" spans="24:32">
      <c r="X89" s="6"/>
      <c r="Y89" s="7"/>
      <c r="Z89" s="3"/>
      <c r="AA89" s="6"/>
      <c r="AD89" s="6"/>
      <c r="AE89" s="3"/>
      <c r="AF89" s="2"/>
    </row>
    <row r="90" spans="24:32">
      <c r="AF90" s="2"/>
    </row>
    <row r="92" spans="24:32">
      <c r="X92" s="6"/>
      <c r="Y92" s="7"/>
      <c r="Z92" s="3"/>
      <c r="AA92" s="6"/>
      <c r="AD92" s="6"/>
      <c r="AE92" s="3"/>
    </row>
    <row r="93" spans="24:32">
      <c r="X93" s="6"/>
      <c r="Y93" s="7"/>
      <c r="Z93" s="3"/>
      <c r="AA93" s="6"/>
      <c r="AD93" s="6"/>
      <c r="AE93" s="3"/>
      <c r="AF93" s="2"/>
    </row>
    <row r="94" spans="24:32">
      <c r="X94" s="6"/>
      <c r="Y94" s="7"/>
      <c r="Z94" s="3"/>
      <c r="AA94" s="6"/>
      <c r="AD94" s="6"/>
      <c r="AE94" s="3"/>
      <c r="AF94" s="2"/>
    </row>
    <row r="95" spans="24:32">
      <c r="X95" s="6"/>
      <c r="Y95" s="7"/>
      <c r="Z95" s="3"/>
      <c r="AA95" s="6"/>
      <c r="AD95" s="6"/>
      <c r="AE95" s="3"/>
      <c r="AF95" s="2"/>
    </row>
    <row r="96" spans="24:32">
      <c r="AF96" s="2"/>
    </row>
    <row r="98" spans="24:32">
      <c r="X98" s="6"/>
      <c r="Y98" s="7"/>
      <c r="Z98" s="3"/>
      <c r="AA98" s="6"/>
      <c r="AD98" s="6"/>
      <c r="AE98" s="3"/>
    </row>
    <row r="99" spans="24:32">
      <c r="X99" s="6"/>
      <c r="Y99" s="7"/>
      <c r="Z99" s="3"/>
      <c r="AA99" s="6"/>
      <c r="AD99" s="6"/>
      <c r="AE99" s="3"/>
      <c r="AF99" s="2"/>
    </row>
    <row r="100" spans="24:32">
      <c r="X100" s="6"/>
      <c r="Y100" s="7"/>
      <c r="Z100" s="3"/>
      <c r="AA100" s="6"/>
      <c r="AD100" s="6"/>
      <c r="AE100" s="3"/>
      <c r="AF100" s="2"/>
    </row>
    <row r="101" spans="24:32">
      <c r="X101" s="6"/>
      <c r="Y101" s="7"/>
      <c r="Z101" s="3"/>
      <c r="AA101" s="6"/>
      <c r="AD101" s="6"/>
      <c r="AE101" s="3"/>
      <c r="AF101" s="2"/>
    </row>
    <row r="102" spans="24:32">
      <c r="AF102" s="2"/>
    </row>
    <row r="104" spans="24:32">
      <c r="X104" s="6"/>
      <c r="Y104" s="7"/>
      <c r="Z104" s="3"/>
      <c r="AA104" s="6"/>
      <c r="AD104" s="6"/>
      <c r="AE104" s="3"/>
    </row>
    <row r="105" spans="24:32">
      <c r="X105" s="6"/>
      <c r="Y105" s="7"/>
      <c r="Z105" s="3"/>
      <c r="AA105" s="6"/>
      <c r="AD105" s="6"/>
      <c r="AE105" s="3"/>
      <c r="AF105" s="2"/>
    </row>
    <row r="106" spans="24:32">
      <c r="X106" s="6"/>
      <c r="Y106" s="7"/>
      <c r="Z106" s="3"/>
      <c r="AA106" s="6"/>
      <c r="AD106" s="6"/>
      <c r="AE106" s="3"/>
      <c r="AF106" s="2"/>
    </row>
    <row r="107" spans="24:32">
      <c r="X107" s="6"/>
      <c r="Y107" s="7"/>
      <c r="Z107" s="3"/>
      <c r="AA107" s="6"/>
      <c r="AD107" s="6"/>
      <c r="AE107" s="3"/>
      <c r="AF107" s="2"/>
    </row>
    <row r="108" spans="24:32">
      <c r="AF108" s="2"/>
    </row>
    <row r="110" spans="24:32">
      <c r="X110" s="6"/>
      <c r="Y110" s="7"/>
      <c r="Z110" s="3"/>
      <c r="AA110" s="6"/>
      <c r="AD110" s="6"/>
      <c r="AE110" s="3"/>
    </row>
    <row r="111" spans="24:32">
      <c r="X111" s="6"/>
      <c r="Y111" s="7"/>
      <c r="Z111" s="3"/>
      <c r="AA111" s="6"/>
      <c r="AD111" s="6"/>
      <c r="AE111" s="3"/>
    </row>
    <row r="112" spans="24:32">
      <c r="X112" s="6"/>
      <c r="Y112" s="7"/>
      <c r="Z112" s="3"/>
      <c r="AA112" s="6"/>
      <c r="AD112" s="6"/>
      <c r="AE112" s="3"/>
    </row>
    <row r="113" spans="24:31">
      <c r="X113" s="6"/>
      <c r="Y113" s="7"/>
      <c r="Z113" s="3"/>
      <c r="AA113" s="6"/>
      <c r="AD113" s="6"/>
      <c r="AE113" s="3"/>
    </row>
  </sheetData>
  <mergeCells count="6">
    <mergeCell ref="B18:C18"/>
    <mergeCell ref="B2:C2"/>
    <mergeCell ref="AF2:AI2"/>
    <mergeCell ref="B15:C15"/>
    <mergeCell ref="C16:D16"/>
    <mergeCell ref="B17:C17"/>
  </mergeCells>
  <printOptions headings="1" gridLines="1"/>
  <pageMargins left="0.25" right="0.25" top="0.3" bottom="0.44" header="0.23" footer="0.21"/>
  <pageSetup scale="72" orientation="landscape" r:id="rId1"/>
  <headerFooter alignWithMargins="0">
    <oddFooter>&amp;L&amp;D  &amp;T&amp;R&amp;A</oddFooter>
  </headerFooter>
  <drawing r:id="rId2"/>
  <legacyDrawing r:id="rId3"/>
  <controls>
    <mc:AlternateContent xmlns:mc="http://schemas.openxmlformats.org/markup-compatibility/2006">
      <mc:Choice Requires="x14">
        <control shapeId="108545" r:id="rId4" name="CheckBox1">
          <controlPr defaultSize="0" autoFill="0" autoLine="0" linkedCell="A65" r:id="rId5">
            <anchor moveWithCells="1">
              <from>
                <xdr:col>2</xdr:col>
                <xdr:colOff>95250</xdr:colOff>
                <xdr:row>14</xdr:row>
                <xdr:rowOff>171450</xdr:rowOff>
              </from>
              <to>
                <xdr:col>2</xdr:col>
                <xdr:colOff>361950</xdr:colOff>
                <xdr:row>16</xdr:row>
                <xdr:rowOff>28575</xdr:rowOff>
              </to>
            </anchor>
          </controlPr>
        </control>
      </mc:Choice>
      <mc:Fallback>
        <control shapeId="108545" r:id="rId4" name="Check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472A-16A4-4A24-852F-358C9E953955}">
  <sheetPr codeName="Sheet10"/>
  <dimension ref="A1:S140"/>
  <sheetViews>
    <sheetView workbookViewId="0">
      <selection activeCell="L65" sqref="L65"/>
    </sheetView>
  </sheetViews>
  <sheetFormatPr defaultRowHeight="15"/>
  <cols>
    <col min="1" max="1" width="27.44140625" customWidth="1"/>
  </cols>
  <sheetData>
    <row r="1" spans="1:19" ht="15.75">
      <c r="A1" s="78" t="s">
        <v>128</v>
      </c>
      <c r="B1" s="291"/>
      <c r="C1" s="291"/>
      <c r="D1" s="291"/>
      <c r="E1" s="291"/>
      <c r="F1" s="291"/>
      <c r="G1" s="291"/>
      <c r="H1" s="291"/>
      <c r="I1" s="291"/>
      <c r="J1" s="291"/>
      <c r="K1" s="291"/>
      <c r="L1" s="291"/>
      <c r="M1" s="291"/>
      <c r="N1" s="291"/>
      <c r="O1" s="291"/>
      <c r="P1" s="291"/>
      <c r="Q1" s="66"/>
      <c r="R1" s="66"/>
      <c r="S1" s="66"/>
    </row>
    <row r="2" spans="1:19" ht="15.75">
      <c r="A2" s="78" t="s">
        <v>1040</v>
      </c>
      <c r="B2" s="291"/>
      <c r="C2" s="291"/>
      <c r="D2" s="291"/>
      <c r="E2" s="291"/>
      <c r="F2" s="291"/>
      <c r="G2" s="291"/>
      <c r="H2" s="291"/>
      <c r="I2" s="291"/>
      <c r="J2" s="291"/>
      <c r="K2" s="291"/>
      <c r="L2" s="291"/>
      <c r="M2" s="291"/>
      <c r="N2" s="291"/>
      <c r="O2" s="291"/>
      <c r="P2" s="291"/>
      <c r="Q2" s="66"/>
      <c r="R2" s="66"/>
      <c r="S2" s="66"/>
    </row>
    <row r="3" spans="1:19" ht="15.75">
      <c r="A3" s="78" t="s">
        <v>485</v>
      </c>
      <c r="B3" s="291"/>
      <c r="C3" s="291"/>
      <c r="D3" s="291"/>
      <c r="E3" s="291"/>
      <c r="F3" s="291"/>
      <c r="G3" s="291"/>
      <c r="H3" s="291"/>
      <c r="I3" s="291"/>
      <c r="J3" s="291"/>
      <c r="K3" s="291"/>
      <c r="L3" s="291"/>
      <c r="M3" s="291"/>
      <c r="N3" s="291"/>
      <c r="O3" s="291"/>
      <c r="P3" s="291"/>
      <c r="Q3" s="66"/>
      <c r="R3" s="66"/>
      <c r="S3" s="66"/>
    </row>
    <row r="4" spans="1:19" ht="15.75">
      <c r="A4" s="78"/>
      <c r="B4" s="291"/>
      <c r="C4" s="291"/>
      <c r="D4" s="291"/>
      <c r="E4" s="291"/>
      <c r="F4" s="291"/>
      <c r="G4" s="291"/>
      <c r="H4" s="291"/>
      <c r="I4" s="291"/>
      <c r="J4" s="291"/>
      <c r="K4" s="291"/>
      <c r="L4" s="291"/>
      <c r="M4" s="291"/>
      <c r="N4" s="291"/>
      <c r="O4" s="291"/>
      <c r="P4" s="291"/>
      <c r="Q4" s="66"/>
      <c r="R4" s="66"/>
      <c r="S4" s="66"/>
    </row>
    <row r="5" spans="1:19" ht="15.75">
      <c r="A5" s="78"/>
      <c r="B5" s="535" t="s">
        <v>1503</v>
      </c>
      <c r="C5" s="535" t="s">
        <v>1504</v>
      </c>
      <c r="D5" s="535" t="s">
        <v>1515</v>
      </c>
      <c r="E5" s="535" t="s">
        <v>1554</v>
      </c>
      <c r="F5" s="535" t="s">
        <v>1555</v>
      </c>
      <c r="G5" s="535" t="s">
        <v>1556</v>
      </c>
      <c r="H5" s="535" t="s">
        <v>1557</v>
      </c>
      <c r="I5" s="535" t="s">
        <v>1558</v>
      </c>
      <c r="J5" s="291"/>
      <c r="K5" s="291"/>
      <c r="L5" s="291"/>
      <c r="M5" s="291"/>
      <c r="N5" s="291"/>
      <c r="O5" s="291"/>
      <c r="P5" s="291"/>
      <c r="Q5" s="66"/>
      <c r="R5" s="66"/>
      <c r="S5" s="66"/>
    </row>
    <row r="6" spans="1:19" ht="15.75">
      <c r="A6" s="78" t="s">
        <v>12</v>
      </c>
      <c r="B6" s="155"/>
      <c r="C6" s="155"/>
      <c r="D6" s="155"/>
      <c r="E6" s="155"/>
      <c r="F6" s="155"/>
      <c r="G6" s="155"/>
      <c r="H6" s="155"/>
      <c r="I6" s="155"/>
      <c r="J6" s="155"/>
      <c r="K6" s="155"/>
      <c r="L6" s="155"/>
      <c r="M6" s="155"/>
      <c r="N6" s="155"/>
      <c r="O6" s="155"/>
      <c r="P6" s="155"/>
      <c r="Q6" s="66"/>
      <c r="R6" s="66"/>
      <c r="S6" s="66"/>
    </row>
    <row r="7" spans="1:19" ht="15.75">
      <c r="A7" s="78" t="s">
        <v>139</v>
      </c>
      <c r="B7" s="155"/>
      <c r="C7" s="155"/>
      <c r="D7" s="155"/>
      <c r="E7" s="155"/>
      <c r="F7" s="155"/>
      <c r="G7" s="155"/>
      <c r="H7" s="155"/>
      <c r="I7" s="155"/>
      <c r="J7" s="155"/>
      <c r="K7" s="155"/>
      <c r="L7" s="155">
        <f>SUM(B7:K7)</f>
        <v>0</v>
      </c>
      <c r="M7" s="155"/>
      <c r="N7" s="155"/>
      <c r="O7" s="155"/>
      <c r="P7" s="155"/>
      <c r="Q7" s="66"/>
      <c r="R7" s="66"/>
      <c r="S7" s="66"/>
    </row>
    <row r="8" spans="1:19" ht="15.75">
      <c r="A8" s="78" t="s">
        <v>140</v>
      </c>
      <c r="B8" s="155"/>
      <c r="C8" s="155"/>
      <c r="D8" s="155"/>
      <c r="E8" s="155"/>
      <c r="F8" s="155"/>
      <c r="G8" s="155"/>
      <c r="H8" s="155"/>
      <c r="I8" s="155"/>
      <c r="J8" s="155"/>
      <c r="K8" s="155"/>
      <c r="L8" s="155">
        <f t="shared" ref="L8:L71" si="0">SUM(B8:K8)</f>
        <v>0</v>
      </c>
      <c r="M8" s="155"/>
      <c r="N8" s="155"/>
      <c r="O8" s="155"/>
      <c r="P8" s="155"/>
      <c r="Q8" s="66"/>
      <c r="R8" s="66"/>
      <c r="S8" s="66"/>
    </row>
    <row r="9" spans="1:19" ht="15.75">
      <c r="A9" s="78" t="s">
        <v>141</v>
      </c>
      <c r="B9" s="155"/>
      <c r="C9" s="155"/>
      <c r="D9" s="155"/>
      <c r="E9" s="155"/>
      <c r="F9" s="155"/>
      <c r="G9" s="155"/>
      <c r="H9" s="155"/>
      <c r="I9" s="155"/>
      <c r="J9" s="155"/>
      <c r="K9" s="155"/>
      <c r="L9" s="155">
        <f t="shared" si="0"/>
        <v>0</v>
      </c>
      <c r="M9" s="155"/>
      <c r="N9" s="155"/>
      <c r="O9" s="155"/>
      <c r="P9" s="155"/>
      <c r="Q9" s="66"/>
      <c r="R9" s="66"/>
      <c r="S9" s="66"/>
    </row>
    <row r="10" spans="1:19" ht="15.75">
      <c r="A10" s="78" t="s">
        <v>142</v>
      </c>
      <c r="B10" s="155"/>
      <c r="C10" s="155"/>
      <c r="D10" s="155"/>
      <c r="E10" s="155"/>
      <c r="F10" s="155"/>
      <c r="G10" s="155"/>
      <c r="H10" s="155"/>
      <c r="I10" s="155"/>
      <c r="J10" s="155"/>
      <c r="K10" s="155"/>
      <c r="L10" s="155">
        <f t="shared" si="0"/>
        <v>0</v>
      </c>
      <c r="M10" s="155"/>
      <c r="N10" s="155"/>
      <c r="O10" s="155"/>
      <c r="P10" s="155"/>
      <c r="Q10" s="66"/>
      <c r="R10" s="66"/>
      <c r="S10" s="66"/>
    </row>
    <row r="11" spans="1:19" ht="15.75">
      <c r="A11" s="78" t="s">
        <v>143</v>
      </c>
      <c r="B11" s="155"/>
      <c r="C11" s="155"/>
      <c r="D11" s="155"/>
      <c r="E11" s="155"/>
      <c r="F11" s="155"/>
      <c r="G11" s="155">
        <f>+'Pro Forma Entries Explanation'!G31</f>
        <v>-224345.61999999994</v>
      </c>
      <c r="H11" s="155"/>
      <c r="I11" s="155"/>
      <c r="J11" s="155"/>
      <c r="K11" s="155"/>
      <c r="L11" s="155">
        <f t="shared" si="0"/>
        <v>-224345.61999999994</v>
      </c>
      <c r="M11" s="155"/>
      <c r="N11" s="155"/>
      <c r="O11" s="155"/>
      <c r="P11" s="155"/>
      <c r="Q11" s="66"/>
      <c r="R11" s="66"/>
      <c r="S11" s="66"/>
    </row>
    <row r="12" spans="1:19" ht="15.75">
      <c r="A12" s="78" t="s">
        <v>144</v>
      </c>
      <c r="B12" s="155"/>
      <c r="C12" s="155"/>
      <c r="D12" s="155"/>
      <c r="E12" s="155"/>
      <c r="F12" s="155"/>
      <c r="G12" s="155"/>
      <c r="H12" s="155"/>
      <c r="I12" s="155"/>
      <c r="J12" s="155"/>
      <c r="K12" s="155"/>
      <c r="L12" s="155">
        <f t="shared" si="0"/>
        <v>0</v>
      </c>
      <c r="M12" s="155"/>
      <c r="N12" s="155"/>
      <c r="O12" s="155"/>
      <c r="P12" s="155"/>
      <c r="Q12" s="66"/>
      <c r="R12" s="66"/>
      <c r="S12" s="66"/>
    </row>
    <row r="13" spans="1:19" ht="15.75">
      <c r="A13" s="78" t="s">
        <v>145</v>
      </c>
      <c r="B13" s="155"/>
      <c r="C13" s="155"/>
      <c r="D13" s="155"/>
      <c r="E13" s="155"/>
      <c r="F13" s="155"/>
      <c r="G13" s="155"/>
      <c r="H13" s="155"/>
      <c r="I13" s="155"/>
      <c r="J13" s="155"/>
      <c r="K13" s="155"/>
      <c r="L13" s="155">
        <f t="shared" si="0"/>
        <v>0</v>
      </c>
      <c r="M13" s="155"/>
      <c r="N13" s="155"/>
      <c r="O13" s="155"/>
      <c r="P13" s="155"/>
      <c r="Q13" s="66"/>
      <c r="R13" s="66"/>
      <c r="S13" s="66"/>
    </row>
    <row r="14" spans="1:19" ht="15.75">
      <c r="A14" s="78" t="s">
        <v>146</v>
      </c>
      <c r="B14" s="155"/>
      <c r="C14" s="155"/>
      <c r="D14" s="155"/>
      <c r="E14" s="155"/>
      <c r="F14" s="155"/>
      <c r="G14" s="155"/>
      <c r="H14" s="155"/>
      <c r="I14" s="155"/>
      <c r="J14" s="155"/>
      <c r="K14" s="155"/>
      <c r="L14" s="155">
        <f t="shared" si="0"/>
        <v>0</v>
      </c>
      <c r="M14" s="155"/>
      <c r="N14" s="155"/>
      <c r="O14" s="155"/>
      <c r="P14" s="155"/>
      <c r="Q14" s="66"/>
      <c r="R14" s="66"/>
      <c r="S14" s="66"/>
    </row>
    <row r="15" spans="1:19" ht="15.75">
      <c r="A15" s="78" t="s">
        <v>484</v>
      </c>
      <c r="B15" s="155"/>
      <c r="C15" s="155"/>
      <c r="D15" s="155"/>
      <c r="E15" s="155"/>
      <c r="F15" s="155"/>
      <c r="G15" s="155"/>
      <c r="H15" s="155"/>
      <c r="I15" s="155"/>
      <c r="J15" s="155"/>
      <c r="K15" s="155"/>
      <c r="L15" s="155">
        <f t="shared" si="0"/>
        <v>0</v>
      </c>
      <c r="M15" s="155"/>
      <c r="N15" s="155"/>
      <c r="O15" s="155"/>
      <c r="P15" s="155"/>
      <c r="Q15" s="66"/>
      <c r="R15" s="66"/>
      <c r="S15" s="66"/>
    </row>
    <row r="16" spans="1:19" ht="15.75">
      <c r="A16" s="78" t="s">
        <v>147</v>
      </c>
      <c r="B16" s="155"/>
      <c r="C16" s="155"/>
      <c r="D16" s="155"/>
      <c r="E16" s="155"/>
      <c r="F16" s="155"/>
      <c r="G16" s="155"/>
      <c r="H16" s="155"/>
      <c r="I16" s="155"/>
      <c r="J16" s="155"/>
      <c r="K16" s="155"/>
      <c r="L16" s="155">
        <f t="shared" si="0"/>
        <v>0</v>
      </c>
      <c r="M16" s="155"/>
      <c r="N16" s="155"/>
      <c r="O16" s="155"/>
      <c r="P16" s="155"/>
      <c r="Q16" s="66"/>
      <c r="R16" s="66"/>
      <c r="S16" s="66"/>
    </row>
    <row r="17" spans="1:19" ht="15.75">
      <c r="A17" s="78" t="s">
        <v>148</v>
      </c>
      <c r="B17" s="155"/>
      <c r="C17" s="155"/>
      <c r="D17" s="155"/>
      <c r="E17" s="155"/>
      <c r="F17" s="155"/>
      <c r="G17" s="155"/>
      <c r="H17" s="155"/>
      <c r="I17" s="155"/>
      <c r="J17" s="155"/>
      <c r="K17" s="155"/>
      <c r="L17" s="155">
        <f t="shared" si="0"/>
        <v>0</v>
      </c>
      <c r="M17" s="155"/>
      <c r="N17" s="155"/>
      <c r="O17" s="155"/>
      <c r="P17" s="155"/>
      <c r="Q17" s="66"/>
      <c r="R17" s="66"/>
      <c r="S17" s="66"/>
    </row>
    <row r="18" spans="1:19" ht="15.75">
      <c r="A18" s="78" t="s">
        <v>149</v>
      </c>
      <c r="B18" s="155"/>
      <c r="C18" s="155"/>
      <c r="D18" s="155"/>
      <c r="E18" s="155"/>
      <c r="F18" s="155"/>
      <c r="G18" s="155"/>
      <c r="H18" s="155"/>
      <c r="I18" s="155"/>
      <c r="J18" s="155"/>
      <c r="K18" s="155"/>
      <c r="L18" s="155">
        <f t="shared" si="0"/>
        <v>0</v>
      </c>
      <c r="M18" s="155"/>
      <c r="N18" s="155"/>
      <c r="O18" s="155"/>
      <c r="P18" s="155"/>
      <c r="Q18" s="66"/>
      <c r="R18" s="66"/>
      <c r="S18" s="66"/>
    </row>
    <row r="19" spans="1:19" ht="15.75">
      <c r="A19" s="78" t="s">
        <v>150</v>
      </c>
      <c r="B19" s="155"/>
      <c r="C19" s="155"/>
      <c r="D19" s="155"/>
      <c r="E19" s="155"/>
      <c r="F19" s="155"/>
      <c r="G19" s="155"/>
      <c r="H19" s="155"/>
      <c r="I19" s="155"/>
      <c r="J19" s="155"/>
      <c r="K19" s="155"/>
      <c r="L19" s="155">
        <f t="shared" si="0"/>
        <v>0</v>
      </c>
      <c r="M19" s="155"/>
      <c r="N19" s="155"/>
      <c r="O19" s="155"/>
      <c r="P19" s="155"/>
      <c r="Q19" s="66"/>
      <c r="R19" s="66"/>
      <c r="S19" s="66"/>
    </row>
    <row r="20" spans="1:19" ht="15.75">
      <c r="A20" s="78" t="s">
        <v>151</v>
      </c>
      <c r="B20" s="227"/>
      <c r="C20" s="227"/>
      <c r="D20" s="227"/>
      <c r="E20" s="227"/>
      <c r="F20" s="227"/>
      <c r="G20" s="227"/>
      <c r="H20" s="227"/>
      <c r="I20" s="227"/>
      <c r="J20" s="227"/>
      <c r="K20" s="227"/>
      <c r="L20" s="227">
        <f t="shared" si="0"/>
        <v>0</v>
      </c>
      <c r="M20" s="227"/>
      <c r="N20" s="227"/>
      <c r="O20" s="227"/>
      <c r="P20" s="155"/>
      <c r="Q20" s="66"/>
      <c r="R20" s="66"/>
      <c r="S20" s="66"/>
    </row>
    <row r="21" spans="1:19" ht="15.75">
      <c r="A21" s="273" t="s">
        <v>152</v>
      </c>
      <c r="B21" s="155"/>
      <c r="C21" s="155"/>
      <c r="D21" s="155"/>
      <c r="E21" s="155"/>
      <c r="F21" s="155"/>
      <c r="G21" s="155"/>
      <c r="H21" s="155"/>
      <c r="I21" s="155"/>
      <c r="J21" s="155"/>
      <c r="K21" s="155"/>
      <c r="L21" s="155">
        <f>SUM(L7:L20)</f>
        <v>-224345.61999999994</v>
      </c>
      <c r="M21" s="155"/>
      <c r="N21" s="155"/>
      <c r="O21" s="155"/>
      <c r="P21" s="155"/>
      <c r="Q21" s="66"/>
      <c r="R21" s="66"/>
      <c r="S21" s="66"/>
    </row>
    <row r="22" spans="1:19" ht="15.75">
      <c r="A22" s="78" t="s">
        <v>153</v>
      </c>
      <c r="B22" s="155"/>
      <c r="C22" s="155"/>
      <c r="D22" s="155"/>
      <c r="E22" s="155"/>
      <c r="F22" s="155"/>
      <c r="G22" s="155"/>
      <c r="H22" s="155"/>
      <c r="I22" s="155"/>
      <c r="J22" s="155"/>
      <c r="K22" s="155"/>
      <c r="L22" s="155"/>
      <c r="M22" s="155"/>
      <c r="N22" s="155"/>
      <c r="O22" s="155"/>
      <c r="P22" s="155"/>
      <c r="Q22" s="66"/>
      <c r="R22" s="66"/>
      <c r="S22" s="66"/>
    </row>
    <row r="23" spans="1:19" ht="15.75">
      <c r="A23" s="78" t="s">
        <v>154</v>
      </c>
      <c r="B23" s="155"/>
      <c r="C23" s="155"/>
      <c r="D23" s="155"/>
      <c r="E23" s="155"/>
      <c r="F23" s="155">
        <f>+'Pro Forma Entries Explanation'!G27</f>
        <v>300683.44999999972</v>
      </c>
      <c r="G23" s="155"/>
      <c r="H23" s="155"/>
      <c r="I23" s="155"/>
      <c r="J23" s="155"/>
      <c r="K23" s="155"/>
      <c r="L23" s="155">
        <f t="shared" si="0"/>
        <v>300683.44999999972</v>
      </c>
      <c r="M23" s="155"/>
      <c r="N23" s="155"/>
      <c r="O23" s="155"/>
      <c r="P23" s="155"/>
      <c r="Q23" s="66"/>
      <c r="R23" s="66"/>
      <c r="S23" s="66"/>
    </row>
    <row r="24" spans="1:19" ht="15.75">
      <c r="A24" s="78" t="s">
        <v>156</v>
      </c>
      <c r="B24" s="155"/>
      <c r="C24" s="155"/>
      <c r="D24" s="155"/>
      <c r="E24" s="155"/>
      <c r="F24" s="155"/>
      <c r="G24" s="155"/>
      <c r="H24" s="155"/>
      <c r="I24" s="155"/>
      <c r="J24" s="155"/>
      <c r="K24" s="155"/>
      <c r="L24" s="155">
        <f t="shared" si="0"/>
        <v>0</v>
      </c>
      <c r="M24" s="155"/>
      <c r="N24" s="155"/>
      <c r="O24" s="155"/>
      <c r="P24" s="155"/>
      <c r="Q24" s="66"/>
      <c r="R24" s="66"/>
      <c r="S24" s="66"/>
    </row>
    <row r="25" spans="1:19" ht="15.75">
      <c r="A25" s="78" t="s">
        <v>157</v>
      </c>
      <c r="B25" s="155"/>
      <c r="C25" s="155"/>
      <c r="D25" s="155"/>
      <c r="E25" s="155"/>
      <c r="F25" s="155"/>
      <c r="G25" s="155"/>
      <c r="H25" s="155"/>
      <c r="I25" s="155"/>
      <c r="J25" s="155"/>
      <c r="K25" s="155"/>
      <c r="L25" s="155">
        <f t="shared" si="0"/>
        <v>0</v>
      </c>
      <c r="M25" s="155"/>
      <c r="N25" s="155"/>
      <c r="O25" s="155"/>
      <c r="P25" s="155"/>
      <c r="Q25" s="66"/>
      <c r="R25" s="66"/>
      <c r="S25" s="66"/>
    </row>
    <row r="26" spans="1:19" ht="15.75">
      <c r="A26" s="78" t="s">
        <v>487</v>
      </c>
      <c r="B26" s="155"/>
      <c r="C26" s="155"/>
      <c r="D26" s="155"/>
      <c r="E26" s="155"/>
      <c r="F26" s="155"/>
      <c r="G26" s="155"/>
      <c r="H26" s="155"/>
      <c r="I26" s="155"/>
      <c r="J26" s="155"/>
      <c r="K26" s="155"/>
      <c r="L26" s="155">
        <f t="shared" si="0"/>
        <v>0</v>
      </c>
      <c r="M26" s="155"/>
      <c r="N26" s="155"/>
      <c r="O26" s="155"/>
      <c r="P26" s="155"/>
      <c r="Q26" s="66"/>
      <c r="R26" s="66"/>
      <c r="S26" s="66"/>
    </row>
    <row r="27" spans="1:19" ht="15.75">
      <c r="A27" s="78" t="s">
        <v>158</v>
      </c>
      <c r="B27" s="155">
        <f>+'Pro Forma Entries Explanation'!G7</f>
        <v>136603.37803695831</v>
      </c>
      <c r="C27" s="155"/>
      <c r="D27" s="155"/>
      <c r="E27" s="155"/>
      <c r="F27" s="155"/>
      <c r="G27" s="155"/>
      <c r="H27" s="155"/>
      <c r="I27" s="155"/>
      <c r="J27" s="155"/>
      <c r="K27" s="155"/>
      <c r="L27" s="155">
        <f t="shared" si="0"/>
        <v>136603.37803695831</v>
      </c>
      <c r="M27" s="155"/>
      <c r="N27" s="155"/>
      <c r="O27" s="155"/>
      <c r="P27" s="155"/>
      <c r="Q27" s="66"/>
      <c r="R27" s="66"/>
      <c r="S27" s="66"/>
    </row>
    <row r="28" spans="1:19" ht="15.75">
      <c r="A28" s="78" t="s">
        <v>160</v>
      </c>
      <c r="B28" s="155"/>
      <c r="C28" s="155"/>
      <c r="D28" s="155"/>
      <c r="E28" s="155"/>
      <c r="F28" s="155"/>
      <c r="G28" s="155"/>
      <c r="H28" s="155"/>
      <c r="I28" s="155"/>
      <c r="J28" s="155"/>
      <c r="K28" s="155"/>
      <c r="L28" s="155">
        <f t="shared" si="0"/>
        <v>0</v>
      </c>
      <c r="M28" s="155"/>
      <c r="N28" s="155"/>
      <c r="O28" s="155"/>
      <c r="P28" s="155"/>
      <c r="Q28" s="66"/>
      <c r="R28" s="66"/>
      <c r="S28" s="66"/>
    </row>
    <row r="29" spans="1:19" ht="15.75">
      <c r="A29" s="78" t="s">
        <v>161</v>
      </c>
      <c r="B29" s="155"/>
      <c r="C29" s="155"/>
      <c r="D29" s="155"/>
      <c r="E29" s="155"/>
      <c r="F29" s="155"/>
      <c r="G29" s="155"/>
      <c r="H29" s="155"/>
      <c r="I29" s="155"/>
      <c r="J29" s="155"/>
      <c r="K29" s="155"/>
      <c r="L29" s="155">
        <f t="shared" si="0"/>
        <v>0</v>
      </c>
      <c r="M29" s="155"/>
      <c r="N29" s="155"/>
      <c r="O29" s="155"/>
      <c r="P29" s="155"/>
      <c r="Q29" s="66"/>
      <c r="R29" s="66"/>
      <c r="S29" s="66"/>
    </row>
    <row r="30" spans="1:19" ht="15.75">
      <c r="A30" s="78" t="s">
        <v>162</v>
      </c>
      <c r="B30" s="155"/>
      <c r="C30" s="155"/>
      <c r="D30" s="155"/>
      <c r="E30" s="155"/>
      <c r="F30" s="155"/>
      <c r="G30" s="155"/>
      <c r="H30" s="155"/>
      <c r="I30" s="155"/>
      <c r="J30" s="155"/>
      <c r="K30" s="155"/>
      <c r="L30" s="155">
        <f t="shared" si="0"/>
        <v>0</v>
      </c>
      <c r="M30" s="155"/>
      <c r="N30" s="155"/>
      <c r="O30" s="155"/>
      <c r="P30" s="155"/>
      <c r="Q30" s="66"/>
      <c r="R30" s="66"/>
      <c r="S30" s="66"/>
    </row>
    <row r="31" spans="1:19" ht="15.75">
      <c r="A31" s="78" t="s">
        <v>164</v>
      </c>
      <c r="B31" s="155"/>
      <c r="C31" s="155"/>
      <c r="D31" s="155"/>
      <c r="E31" s="155"/>
      <c r="F31" s="155"/>
      <c r="G31" s="155"/>
      <c r="H31" s="155"/>
      <c r="I31" s="155"/>
      <c r="J31" s="155"/>
      <c r="K31" s="155"/>
      <c r="L31" s="155">
        <f t="shared" si="0"/>
        <v>0</v>
      </c>
      <c r="M31" s="155"/>
      <c r="N31" s="155"/>
      <c r="O31" s="155"/>
      <c r="P31" s="155"/>
      <c r="Q31" s="66"/>
      <c r="R31" s="66"/>
      <c r="S31" s="66"/>
    </row>
    <row r="32" spans="1:19" ht="15.75">
      <c r="A32" s="78" t="s">
        <v>165</v>
      </c>
      <c r="B32" s="155"/>
      <c r="C32" s="155"/>
      <c r="D32" s="155"/>
      <c r="E32" s="155"/>
      <c r="F32" s="155"/>
      <c r="G32" s="155"/>
      <c r="H32" s="155"/>
      <c r="I32" s="155"/>
      <c r="J32" s="155"/>
      <c r="K32" s="155"/>
      <c r="L32" s="155">
        <f t="shared" si="0"/>
        <v>0</v>
      </c>
      <c r="M32" s="155"/>
      <c r="N32" s="155"/>
      <c r="O32" s="155"/>
      <c r="P32" s="155"/>
      <c r="Q32" s="66"/>
      <c r="R32" s="66"/>
      <c r="S32" s="66"/>
    </row>
    <row r="33" spans="1:19" ht="15.75">
      <c r="A33" s="78" t="s">
        <v>166</v>
      </c>
      <c r="B33" s="155"/>
      <c r="C33" s="155">
        <f>+'Pro Forma Entries Explanation'!G14</f>
        <v>11064</v>
      </c>
      <c r="D33" s="155"/>
      <c r="E33" s="155"/>
      <c r="F33" s="155"/>
      <c r="G33" s="155"/>
      <c r="H33" s="155"/>
      <c r="I33" s="155"/>
      <c r="J33" s="155"/>
      <c r="K33" s="155"/>
      <c r="L33" s="155">
        <f t="shared" si="0"/>
        <v>11064</v>
      </c>
      <c r="M33" s="155"/>
      <c r="N33" s="155"/>
      <c r="O33" s="155"/>
      <c r="P33" s="155"/>
      <c r="Q33" s="66"/>
      <c r="R33" s="66"/>
      <c r="S33" s="66"/>
    </row>
    <row r="34" spans="1:19" ht="15.75">
      <c r="A34" s="78" t="s">
        <v>167</v>
      </c>
      <c r="B34" s="155"/>
      <c r="C34" s="155"/>
      <c r="D34" s="155"/>
      <c r="E34" s="155"/>
      <c r="F34" s="155"/>
      <c r="G34" s="155"/>
      <c r="H34" s="155"/>
      <c r="I34" s="155"/>
      <c r="J34" s="155"/>
      <c r="K34" s="155"/>
      <c r="L34" s="155">
        <f t="shared" si="0"/>
        <v>0</v>
      </c>
      <c r="M34" s="155"/>
      <c r="N34" s="155"/>
      <c r="O34" s="155"/>
      <c r="P34" s="155"/>
      <c r="Q34" s="66"/>
      <c r="R34" s="66"/>
      <c r="S34" s="66"/>
    </row>
    <row r="35" spans="1:19" ht="15.75">
      <c r="A35" s="78" t="s">
        <v>169</v>
      </c>
      <c r="B35" s="155"/>
      <c r="C35" s="155"/>
      <c r="D35" s="155"/>
      <c r="E35" s="155"/>
      <c r="F35" s="155"/>
      <c r="G35" s="155"/>
      <c r="H35" s="155"/>
      <c r="I35" s="155"/>
      <c r="J35" s="155"/>
      <c r="K35" s="155"/>
      <c r="L35" s="155">
        <f t="shared" si="0"/>
        <v>0</v>
      </c>
      <c r="M35" s="155"/>
      <c r="N35" s="155"/>
      <c r="O35" s="155"/>
      <c r="P35" s="155"/>
      <c r="Q35" s="66"/>
      <c r="R35" s="66"/>
      <c r="S35" s="66"/>
    </row>
    <row r="36" spans="1:19" ht="15.75">
      <c r="A36" s="78" t="s">
        <v>170</v>
      </c>
      <c r="B36" s="155"/>
      <c r="C36" s="155"/>
      <c r="D36" s="155"/>
      <c r="E36" s="155"/>
      <c r="F36" s="155"/>
      <c r="G36" s="155"/>
      <c r="H36" s="155"/>
      <c r="I36" s="155"/>
      <c r="J36" s="155"/>
      <c r="K36" s="155"/>
      <c r="L36" s="155">
        <f t="shared" si="0"/>
        <v>0</v>
      </c>
      <c r="M36" s="155"/>
      <c r="N36" s="155"/>
      <c r="O36" s="155"/>
      <c r="P36" s="155"/>
      <c r="Q36" s="66"/>
      <c r="R36" s="66"/>
      <c r="S36" s="66"/>
    </row>
    <row r="37" spans="1:19" ht="15.75">
      <c r="A37" s="78" t="s">
        <v>171</v>
      </c>
      <c r="B37" s="155"/>
      <c r="C37" s="155"/>
      <c r="D37" s="155"/>
      <c r="E37" s="155"/>
      <c r="F37" s="155"/>
      <c r="G37" s="155"/>
      <c r="H37" s="155"/>
      <c r="I37" s="155"/>
      <c r="J37" s="155"/>
      <c r="K37" s="155"/>
      <c r="L37" s="155">
        <f t="shared" si="0"/>
        <v>0</v>
      </c>
      <c r="M37" s="155"/>
      <c r="N37" s="155"/>
      <c r="O37" s="155"/>
      <c r="P37" s="155"/>
      <c r="Q37" s="66"/>
      <c r="R37" s="66"/>
      <c r="S37" s="66"/>
    </row>
    <row r="38" spans="1:19" ht="15.75">
      <c r="A38" s="78" t="s">
        <v>172</v>
      </c>
      <c r="B38" s="155"/>
      <c r="C38" s="155"/>
      <c r="D38" s="155"/>
      <c r="E38" s="155"/>
      <c r="F38" s="155"/>
      <c r="G38" s="155"/>
      <c r="H38" s="155"/>
      <c r="I38" s="155"/>
      <c r="J38" s="155"/>
      <c r="K38" s="155"/>
      <c r="L38" s="155">
        <f t="shared" si="0"/>
        <v>0</v>
      </c>
      <c r="M38" s="155"/>
      <c r="N38" s="155"/>
      <c r="O38" s="155"/>
      <c r="P38" s="155"/>
      <c r="Q38" s="66"/>
      <c r="R38" s="66"/>
      <c r="S38" s="66"/>
    </row>
    <row r="39" spans="1:19" ht="15.75">
      <c r="A39" s="78" t="s">
        <v>173</v>
      </c>
      <c r="B39" s="155"/>
      <c r="C39" s="155"/>
      <c r="D39" s="155"/>
      <c r="E39" s="155"/>
      <c r="F39" s="155"/>
      <c r="G39" s="155"/>
      <c r="H39" s="155"/>
      <c r="I39" s="155"/>
      <c r="J39" s="155"/>
      <c r="K39" s="155"/>
      <c r="L39" s="155">
        <f t="shared" si="0"/>
        <v>0</v>
      </c>
      <c r="M39" s="155"/>
      <c r="N39" s="155"/>
      <c r="O39" s="155"/>
      <c r="P39" s="155"/>
      <c r="Q39" s="66"/>
      <c r="R39" s="66"/>
      <c r="S39" s="66"/>
    </row>
    <row r="40" spans="1:19" ht="15.75">
      <c r="A40" s="78" t="s">
        <v>174</v>
      </c>
      <c r="B40" s="155"/>
      <c r="C40" s="155"/>
      <c r="D40" s="155"/>
      <c r="E40" s="155"/>
      <c r="F40" s="155"/>
      <c r="G40" s="155"/>
      <c r="H40" s="155"/>
      <c r="I40" s="155"/>
      <c r="J40" s="155"/>
      <c r="K40" s="155"/>
      <c r="L40" s="155">
        <f t="shared" si="0"/>
        <v>0</v>
      </c>
      <c r="M40" s="155"/>
      <c r="N40" s="155"/>
      <c r="O40" s="155"/>
      <c r="P40" s="155"/>
      <c r="Q40" s="66"/>
      <c r="R40" s="66"/>
      <c r="S40" s="66"/>
    </row>
    <row r="41" spans="1:19" ht="15.75">
      <c r="A41" s="78" t="s">
        <v>175</v>
      </c>
      <c r="B41" s="155"/>
      <c r="C41" s="155"/>
      <c r="D41" s="155">
        <f>+'Pro Forma Entries Explanation'!G18</f>
        <v>34296.698999999986</v>
      </c>
      <c r="E41" s="155"/>
      <c r="F41" s="155"/>
      <c r="G41" s="155"/>
      <c r="H41" s="155"/>
      <c r="I41" s="155"/>
      <c r="J41" s="155"/>
      <c r="K41" s="155"/>
      <c r="L41" s="155">
        <f t="shared" si="0"/>
        <v>34296.698999999986</v>
      </c>
      <c r="M41" s="155"/>
      <c r="N41" s="155"/>
      <c r="O41" s="155"/>
      <c r="P41" s="155"/>
      <c r="Q41" s="66"/>
      <c r="R41" s="66"/>
      <c r="S41" s="66"/>
    </row>
    <row r="42" spans="1:19" ht="15.75">
      <c r="A42" s="78" t="s">
        <v>176</v>
      </c>
      <c r="B42" s="155">
        <f>+'Pro Forma Entries Explanation'!G8</f>
        <v>8149.4161839999724</v>
      </c>
      <c r="C42" s="155"/>
      <c r="D42" s="155"/>
      <c r="E42" s="155"/>
      <c r="F42" s="155"/>
      <c r="G42" s="155"/>
      <c r="H42" s="155"/>
      <c r="I42" s="155"/>
      <c r="J42" s="155"/>
      <c r="K42" s="155"/>
      <c r="L42" s="155">
        <f t="shared" si="0"/>
        <v>8149.4161839999724</v>
      </c>
      <c r="M42" s="155"/>
      <c r="N42" s="155"/>
      <c r="O42" s="155"/>
      <c r="P42" s="155"/>
      <c r="Q42" s="66"/>
      <c r="R42" s="66"/>
      <c r="S42" s="66"/>
    </row>
    <row r="43" spans="1:19" ht="15.75">
      <c r="A43" s="78" t="s">
        <v>177</v>
      </c>
      <c r="B43" s="155">
        <f>+'Pro Forma Entries Explanation'!G9</f>
        <v>-18996.159999999916</v>
      </c>
      <c r="C43" s="155"/>
      <c r="D43" s="155"/>
      <c r="E43" s="155"/>
      <c r="F43" s="155"/>
      <c r="G43" s="155"/>
      <c r="H43" s="155"/>
      <c r="I43" s="155"/>
      <c r="J43" s="155"/>
      <c r="K43" s="155"/>
      <c r="L43" s="155">
        <f t="shared" si="0"/>
        <v>-18996.159999999916</v>
      </c>
      <c r="M43" s="155"/>
      <c r="N43" s="155"/>
      <c r="O43" s="155"/>
      <c r="P43" s="155"/>
      <c r="Q43" s="66"/>
      <c r="R43" s="66"/>
      <c r="S43" s="66"/>
    </row>
    <row r="44" spans="1:19" ht="15.75">
      <c r="A44" s="78" t="s">
        <v>178</v>
      </c>
      <c r="B44" s="155"/>
      <c r="C44" s="155"/>
      <c r="D44" s="155"/>
      <c r="E44" s="155"/>
      <c r="F44" s="155"/>
      <c r="G44" s="155"/>
      <c r="H44" s="155"/>
      <c r="I44" s="155"/>
      <c r="J44" s="155"/>
      <c r="K44" s="155"/>
      <c r="L44" s="155">
        <f t="shared" si="0"/>
        <v>0</v>
      </c>
      <c r="M44" s="155"/>
      <c r="N44" s="155"/>
      <c r="O44" s="155"/>
      <c r="P44" s="155"/>
      <c r="Q44" s="66"/>
      <c r="R44" s="66"/>
      <c r="S44" s="66"/>
    </row>
    <row r="45" spans="1:19" ht="15.75">
      <c r="A45" s="78" t="str">
        <f>+'Pro Forma'!A45</f>
        <v>Public Relations</v>
      </c>
      <c r="B45" s="155"/>
      <c r="C45" s="155"/>
      <c r="D45" s="155"/>
      <c r="E45" s="155"/>
      <c r="F45" s="155"/>
      <c r="G45" s="155"/>
      <c r="H45" s="155"/>
      <c r="I45" s="155"/>
      <c r="J45" s="155"/>
      <c r="K45" s="155"/>
      <c r="L45" s="155">
        <f t="shared" si="0"/>
        <v>0</v>
      </c>
      <c r="M45" s="155"/>
      <c r="N45" s="155"/>
      <c r="O45" s="155"/>
      <c r="P45" s="155"/>
      <c r="Q45" s="66"/>
      <c r="R45" s="66"/>
      <c r="S45" s="66"/>
    </row>
    <row r="46" spans="1:19" ht="15.75">
      <c r="A46" s="78" t="s">
        <v>179</v>
      </c>
      <c r="B46" s="155"/>
      <c r="C46" s="155"/>
      <c r="D46" s="155"/>
      <c r="E46" s="155"/>
      <c r="F46" s="155"/>
      <c r="G46" s="155"/>
      <c r="H46" s="155"/>
      <c r="I46" s="155"/>
      <c r="J46" s="155"/>
      <c r="K46" s="155"/>
      <c r="L46" s="155">
        <f t="shared" si="0"/>
        <v>0</v>
      </c>
      <c r="M46" s="155"/>
      <c r="N46" s="155"/>
      <c r="O46" s="155"/>
      <c r="P46" s="155"/>
      <c r="Q46" s="66"/>
      <c r="R46" s="66"/>
      <c r="S46" s="66"/>
    </row>
    <row r="47" spans="1:19" ht="15.75">
      <c r="A47" s="78" t="s">
        <v>180</v>
      </c>
      <c r="B47" s="155"/>
      <c r="C47" s="155"/>
      <c r="D47" s="155"/>
      <c r="E47" s="155"/>
      <c r="F47" s="155"/>
      <c r="G47" s="155"/>
      <c r="H47" s="155"/>
      <c r="I47" s="155"/>
      <c r="J47" s="155"/>
      <c r="K47" s="155"/>
      <c r="L47" s="155">
        <f t="shared" si="0"/>
        <v>0</v>
      </c>
      <c r="M47" s="155"/>
      <c r="N47" s="155"/>
      <c r="O47" s="155"/>
      <c r="P47" s="155"/>
      <c r="Q47" s="66"/>
      <c r="R47" s="66"/>
      <c r="S47" s="66"/>
    </row>
    <row r="48" spans="1:19" ht="15.75">
      <c r="A48" s="78" t="s">
        <v>1489</v>
      </c>
      <c r="B48" s="155"/>
      <c r="C48" s="155"/>
      <c r="D48" s="155"/>
      <c r="E48" s="155">
        <f>+'Pro Forma Entries Explanation'!G23</f>
        <v>24064.74</v>
      </c>
      <c r="F48" s="66"/>
      <c r="G48" s="155"/>
      <c r="H48" s="155"/>
      <c r="I48" s="155"/>
      <c r="J48" s="155"/>
      <c r="K48" s="155"/>
      <c r="L48" s="155">
        <f t="shared" si="0"/>
        <v>24064.74</v>
      </c>
      <c r="M48" s="155"/>
      <c r="N48" s="155"/>
      <c r="O48" s="155"/>
      <c r="P48" s="155"/>
      <c r="Q48" s="66"/>
      <c r="R48" s="66"/>
      <c r="S48" s="66"/>
    </row>
    <row r="49" spans="1:19" ht="15.75">
      <c r="A49" s="78" t="s">
        <v>181</v>
      </c>
      <c r="B49" s="155"/>
      <c r="C49" s="155"/>
      <c r="D49" s="155"/>
      <c r="E49" s="155"/>
      <c r="F49" s="155"/>
      <c r="G49" s="155"/>
      <c r="H49" s="155"/>
      <c r="I49" s="155"/>
      <c r="J49" s="155"/>
      <c r="K49" s="155"/>
      <c r="L49" s="155">
        <f t="shared" si="0"/>
        <v>0</v>
      </c>
      <c r="M49" s="155"/>
      <c r="N49" s="155"/>
      <c r="O49" s="155"/>
      <c r="P49" s="155"/>
      <c r="Q49" s="66"/>
      <c r="R49" s="66"/>
      <c r="S49" s="66"/>
    </row>
    <row r="50" spans="1:19" ht="15.75">
      <c r="A50" s="78" t="s">
        <v>182</v>
      </c>
      <c r="B50" s="155"/>
      <c r="C50" s="155"/>
      <c r="D50" s="155">
        <f>+'Pro Forma Entries Explanation'!G19</f>
        <v>-484.86099999998987</v>
      </c>
      <c r="E50" s="155"/>
      <c r="F50" s="155"/>
      <c r="G50" s="155"/>
      <c r="H50" s="155"/>
      <c r="I50" s="155"/>
      <c r="J50" s="155"/>
      <c r="K50" s="155"/>
      <c r="L50" s="155">
        <f t="shared" si="0"/>
        <v>-484.86099999998987</v>
      </c>
      <c r="M50" s="155"/>
      <c r="N50" s="155"/>
      <c r="O50" s="155"/>
      <c r="P50" s="155"/>
      <c r="Q50" s="66"/>
      <c r="R50" s="66"/>
      <c r="S50" s="66"/>
    </row>
    <row r="51" spans="1:19" ht="15.75">
      <c r="A51" s="78" t="s">
        <v>183</v>
      </c>
      <c r="B51" s="155"/>
      <c r="C51" s="155"/>
      <c r="D51" s="155"/>
      <c r="E51" s="155"/>
      <c r="F51" s="155"/>
      <c r="G51" s="155"/>
      <c r="H51" s="155"/>
      <c r="I51" s="155"/>
      <c r="J51" s="155"/>
      <c r="K51" s="155"/>
      <c r="L51" s="155">
        <f t="shared" si="0"/>
        <v>0</v>
      </c>
      <c r="M51" s="155"/>
      <c r="N51" s="155"/>
      <c r="O51" s="155"/>
      <c r="P51" s="155"/>
      <c r="Q51" s="66"/>
      <c r="R51" s="66"/>
      <c r="S51" s="66"/>
    </row>
    <row r="52" spans="1:19" ht="15.75">
      <c r="A52" s="78" t="s">
        <v>184</v>
      </c>
      <c r="B52" s="155"/>
      <c r="C52" s="155"/>
      <c r="D52" s="155"/>
      <c r="E52" s="155"/>
      <c r="F52" s="155"/>
      <c r="G52" s="155"/>
      <c r="H52" s="155"/>
      <c r="I52" s="155"/>
      <c r="J52" s="155"/>
      <c r="K52" s="155"/>
      <c r="L52" s="155">
        <f t="shared" si="0"/>
        <v>0</v>
      </c>
      <c r="M52" s="155"/>
      <c r="N52" s="155"/>
      <c r="O52" s="155"/>
      <c r="P52" s="155"/>
      <c r="Q52" s="66"/>
      <c r="R52" s="66"/>
      <c r="S52" s="66"/>
    </row>
    <row r="53" spans="1:19" ht="15.75">
      <c r="A53" s="78" t="s">
        <v>486</v>
      </c>
      <c r="B53" s="155"/>
      <c r="C53" s="155"/>
      <c r="D53" s="155"/>
      <c r="E53" s="155"/>
      <c r="F53" s="155"/>
      <c r="G53" s="155"/>
      <c r="H53" s="155"/>
      <c r="I53" s="155"/>
      <c r="J53" s="155"/>
      <c r="K53" s="155"/>
      <c r="L53" s="155">
        <f t="shared" si="0"/>
        <v>0</v>
      </c>
      <c r="M53" s="155"/>
      <c r="N53" s="155"/>
      <c r="O53" s="155"/>
      <c r="P53" s="155"/>
      <c r="Q53" s="66"/>
      <c r="R53" s="66"/>
      <c r="S53" s="66"/>
    </row>
    <row r="54" spans="1:19" ht="15.75">
      <c r="A54" s="78" t="s">
        <v>185</v>
      </c>
      <c r="B54" s="155"/>
      <c r="C54" s="155"/>
      <c r="D54" s="155"/>
      <c r="E54" s="155"/>
      <c r="F54" s="155"/>
      <c r="G54" s="155"/>
      <c r="H54" s="155"/>
      <c r="I54" s="155"/>
      <c r="J54" s="155"/>
      <c r="K54" s="155"/>
      <c r="L54" s="155">
        <f t="shared" si="0"/>
        <v>0</v>
      </c>
      <c r="M54" s="155"/>
      <c r="N54" s="155"/>
      <c r="O54" s="155"/>
      <c r="P54" s="155"/>
      <c r="Q54" s="66"/>
      <c r="R54" s="66"/>
      <c r="S54" s="66"/>
    </row>
    <row r="55" spans="1:19" ht="15.75">
      <c r="A55" s="78" t="s">
        <v>186</v>
      </c>
      <c r="B55" s="155"/>
      <c r="C55" s="155"/>
      <c r="D55" s="155"/>
      <c r="E55" s="155"/>
      <c r="F55" s="155"/>
      <c r="G55" s="155"/>
      <c r="H55" s="155"/>
      <c r="I55" s="155"/>
      <c r="J55" s="155"/>
      <c r="K55" s="155"/>
      <c r="L55" s="155">
        <f t="shared" si="0"/>
        <v>0</v>
      </c>
      <c r="M55" s="155"/>
      <c r="N55" s="155"/>
      <c r="O55" s="155"/>
      <c r="P55" s="155"/>
      <c r="Q55" s="66"/>
      <c r="R55" s="66"/>
      <c r="S55" s="66"/>
    </row>
    <row r="56" spans="1:19" ht="15.75">
      <c r="A56" s="78" t="s">
        <v>187</v>
      </c>
      <c r="B56" s="155"/>
      <c r="C56" s="155"/>
      <c r="D56" s="155"/>
      <c r="E56" s="155"/>
      <c r="F56" s="155"/>
      <c r="G56" s="155"/>
      <c r="H56" s="155"/>
      <c r="I56" s="155"/>
      <c r="J56" s="155"/>
      <c r="K56" s="155"/>
      <c r="L56" s="155">
        <f t="shared" si="0"/>
        <v>0</v>
      </c>
      <c r="M56" s="155"/>
      <c r="N56" s="155"/>
      <c r="O56" s="155"/>
      <c r="P56" s="155"/>
      <c r="Q56" s="66"/>
      <c r="R56" s="66"/>
      <c r="S56" s="66"/>
    </row>
    <row r="57" spans="1:19" ht="15.75">
      <c r="A57" s="78" t="s">
        <v>188</v>
      </c>
      <c r="B57" s="155"/>
      <c r="C57" s="155"/>
      <c r="D57" s="155"/>
      <c r="E57" s="155"/>
      <c r="F57" s="155"/>
      <c r="G57" s="155"/>
      <c r="H57" s="155"/>
      <c r="I57" s="155"/>
      <c r="J57" s="155"/>
      <c r="K57" s="155"/>
      <c r="L57" s="155">
        <f t="shared" si="0"/>
        <v>0</v>
      </c>
      <c r="M57" s="155"/>
      <c r="N57" s="155"/>
      <c r="O57" s="155"/>
      <c r="P57" s="155"/>
      <c r="Q57" s="66"/>
      <c r="R57" s="66"/>
      <c r="S57" s="66"/>
    </row>
    <row r="58" spans="1:19" ht="15.75">
      <c r="A58" s="78" t="s">
        <v>190</v>
      </c>
      <c r="B58" s="155"/>
      <c r="C58" s="155"/>
      <c r="D58" s="155"/>
      <c r="E58" s="155"/>
      <c r="F58" s="155"/>
      <c r="G58" s="155"/>
      <c r="H58" s="155"/>
      <c r="I58" s="155"/>
      <c r="J58" s="155"/>
      <c r="K58" s="155"/>
      <c r="L58" s="155">
        <f t="shared" si="0"/>
        <v>0</v>
      </c>
      <c r="M58" s="155"/>
      <c r="N58" s="155"/>
      <c r="O58" s="155"/>
      <c r="P58" s="155"/>
      <c r="Q58" s="66"/>
      <c r="R58" s="66"/>
      <c r="S58" s="66"/>
    </row>
    <row r="59" spans="1:19" ht="15.75">
      <c r="A59" s="78" t="s">
        <v>192</v>
      </c>
      <c r="B59" s="155"/>
      <c r="C59" s="155"/>
      <c r="D59" s="155"/>
      <c r="E59" s="155"/>
      <c r="F59" s="155"/>
      <c r="G59" s="155"/>
      <c r="H59" s="155"/>
      <c r="I59" s="155"/>
      <c r="J59" s="155"/>
      <c r="K59" s="155"/>
      <c r="L59" s="155">
        <f t="shared" si="0"/>
        <v>0</v>
      </c>
      <c r="M59" s="155"/>
      <c r="N59" s="155"/>
      <c r="O59" s="155"/>
      <c r="P59" s="155"/>
      <c r="Q59" s="66"/>
      <c r="R59" s="66"/>
      <c r="S59" s="66"/>
    </row>
    <row r="60" spans="1:19" ht="15.75">
      <c r="A60" s="78" t="s">
        <v>193</v>
      </c>
      <c r="B60" s="155"/>
      <c r="C60" s="155"/>
      <c r="D60" s="155"/>
      <c r="E60" s="155"/>
      <c r="F60" s="155"/>
      <c r="G60" s="155"/>
      <c r="H60" s="155"/>
      <c r="I60" s="155"/>
      <c r="J60" s="155"/>
      <c r="K60" s="155"/>
      <c r="L60" s="155">
        <f t="shared" si="0"/>
        <v>0</v>
      </c>
      <c r="M60" s="155"/>
      <c r="N60" s="155"/>
      <c r="O60" s="155"/>
      <c r="P60" s="155"/>
      <c r="Q60" s="66"/>
      <c r="R60" s="66"/>
      <c r="S60" s="66"/>
    </row>
    <row r="61" spans="1:19" ht="15.75">
      <c r="A61" s="78" t="s">
        <v>194</v>
      </c>
      <c r="B61" s="155"/>
      <c r="C61" s="155"/>
      <c r="D61" s="155"/>
      <c r="E61" s="155"/>
      <c r="F61" s="155"/>
      <c r="G61" s="155"/>
      <c r="H61" s="155"/>
      <c r="I61" s="155"/>
      <c r="J61" s="155"/>
      <c r="K61" s="155"/>
      <c r="L61" s="155">
        <f t="shared" si="0"/>
        <v>0</v>
      </c>
      <c r="M61" s="155"/>
      <c r="N61" s="155"/>
      <c r="O61" s="155"/>
      <c r="P61" s="155"/>
      <c r="Q61" s="66"/>
      <c r="R61" s="66"/>
      <c r="S61" s="66"/>
    </row>
    <row r="62" spans="1:19" ht="15.75">
      <c r="A62" s="78" t="s">
        <v>195</v>
      </c>
      <c r="B62" s="155">
        <f>+'Pro Forma Entries Explanation'!G10</f>
        <v>9683.2608350137943</v>
      </c>
      <c r="C62" s="155"/>
      <c r="D62" s="155"/>
      <c r="E62" s="155"/>
      <c r="F62" s="155"/>
      <c r="G62" s="155"/>
      <c r="H62" s="155"/>
      <c r="I62" s="155"/>
      <c r="J62" s="155"/>
      <c r="K62" s="155"/>
      <c r="L62" s="155">
        <f t="shared" si="0"/>
        <v>9683.2608350137943</v>
      </c>
      <c r="M62" s="155"/>
      <c r="N62" s="155"/>
      <c r="O62" s="155"/>
      <c r="P62" s="155"/>
      <c r="Q62" s="66"/>
      <c r="R62" s="66"/>
      <c r="S62" s="66"/>
    </row>
    <row r="63" spans="1:19" ht="15.75">
      <c r="A63" s="78" t="s">
        <v>196</v>
      </c>
      <c r="B63" s="227"/>
      <c r="C63" s="227"/>
      <c r="D63" s="227"/>
      <c r="E63" s="227"/>
      <c r="F63" s="227"/>
      <c r="G63" s="227"/>
      <c r="H63" s="227"/>
      <c r="I63" s="227"/>
      <c r="J63" s="227"/>
      <c r="K63" s="227"/>
      <c r="L63" s="227">
        <f t="shared" si="0"/>
        <v>0</v>
      </c>
      <c r="M63" s="227"/>
      <c r="N63" s="227"/>
      <c r="O63" s="227"/>
      <c r="P63" s="155"/>
      <c r="Q63" s="66"/>
      <c r="R63" s="66"/>
      <c r="S63" s="66"/>
    </row>
    <row r="64" spans="1:19" ht="15.75">
      <c r="A64" s="78" t="s">
        <v>197</v>
      </c>
      <c r="B64" s="233">
        <f>SUM(B23:B63)</f>
        <v>135439.89505597216</v>
      </c>
      <c r="C64" s="233">
        <f t="shared" ref="C64:K64" si="1">SUM(C23:C63)</f>
        <v>11064</v>
      </c>
      <c r="D64" s="233">
        <f t="shared" si="1"/>
        <v>33811.837999999996</v>
      </c>
      <c r="E64" s="233">
        <f t="shared" si="1"/>
        <v>24064.74</v>
      </c>
      <c r="F64" s="233">
        <f t="shared" si="1"/>
        <v>300683.44999999972</v>
      </c>
      <c r="G64" s="233">
        <f t="shared" si="1"/>
        <v>0</v>
      </c>
      <c r="H64" s="233">
        <f t="shared" si="1"/>
        <v>0</v>
      </c>
      <c r="I64" s="233">
        <f t="shared" si="1"/>
        <v>0</v>
      </c>
      <c r="J64" s="233">
        <f t="shared" si="1"/>
        <v>0</v>
      </c>
      <c r="K64" s="233">
        <f t="shared" si="1"/>
        <v>0</v>
      </c>
      <c r="L64" s="536">
        <f t="shared" si="0"/>
        <v>505063.92305597186</v>
      </c>
      <c r="M64" s="233"/>
      <c r="N64" s="233"/>
      <c r="O64" s="233"/>
      <c r="P64" s="155"/>
      <c r="Q64" s="66"/>
      <c r="R64" s="66"/>
      <c r="S64" s="66"/>
    </row>
    <row r="65" spans="1:19" ht="15.75">
      <c r="A65" s="78" t="s">
        <v>34</v>
      </c>
      <c r="B65" s="155">
        <f>+B21-B64</f>
        <v>-135439.89505597216</v>
      </c>
      <c r="C65" s="155">
        <f t="shared" ref="C65:K65" si="2">+C21-C64</f>
        <v>-11064</v>
      </c>
      <c r="D65" s="155">
        <f t="shared" si="2"/>
        <v>-33811.837999999996</v>
      </c>
      <c r="E65" s="155">
        <f t="shared" si="2"/>
        <v>-24064.74</v>
      </c>
      <c r="F65" s="155">
        <f t="shared" si="2"/>
        <v>-300683.44999999972</v>
      </c>
      <c r="G65" s="155">
        <f t="shared" si="2"/>
        <v>0</v>
      </c>
      <c r="H65" s="155">
        <f t="shared" si="2"/>
        <v>0</v>
      </c>
      <c r="I65" s="155">
        <f t="shared" si="2"/>
        <v>0</v>
      </c>
      <c r="J65" s="155">
        <f t="shared" si="2"/>
        <v>0</v>
      </c>
      <c r="K65" s="155">
        <f t="shared" si="2"/>
        <v>0</v>
      </c>
      <c r="L65" s="155">
        <f>-L21+L64</f>
        <v>729409.54305597185</v>
      </c>
      <c r="M65" s="155"/>
      <c r="N65" s="155"/>
      <c r="O65" s="155"/>
      <c r="P65" s="155"/>
      <c r="Q65" s="66"/>
      <c r="R65" s="66"/>
      <c r="S65" s="66"/>
    </row>
    <row r="66" spans="1:19" ht="15.75">
      <c r="A66" s="78"/>
      <c r="B66" s="155"/>
      <c r="C66" s="155"/>
      <c r="D66" s="155"/>
      <c r="E66" s="155"/>
      <c r="F66" s="155"/>
      <c r="G66" s="155"/>
      <c r="H66" s="155"/>
      <c r="I66" s="155"/>
      <c r="J66" s="155"/>
      <c r="K66" s="155"/>
      <c r="L66" s="155"/>
      <c r="M66" s="155"/>
      <c r="N66" s="155"/>
      <c r="O66" s="155"/>
      <c r="P66" s="155"/>
      <c r="Q66" s="66"/>
      <c r="R66" s="66"/>
      <c r="S66" s="66"/>
    </row>
    <row r="67" spans="1:19" ht="15.75">
      <c r="A67" s="78" t="s">
        <v>198</v>
      </c>
      <c r="B67" s="155"/>
      <c r="C67" s="155"/>
      <c r="D67" s="155"/>
      <c r="E67" s="155"/>
      <c r="F67" s="155"/>
      <c r="G67" s="155"/>
      <c r="H67" s="155"/>
      <c r="I67" s="155"/>
      <c r="J67" s="155"/>
      <c r="K67" s="155"/>
      <c r="L67" s="155"/>
      <c r="M67" s="155"/>
      <c r="N67" s="155"/>
      <c r="O67" s="155"/>
      <c r="P67" s="155"/>
      <c r="Q67" s="66"/>
      <c r="R67" s="66"/>
      <c r="S67" s="66"/>
    </row>
    <row r="68" spans="1:19" ht="15.75">
      <c r="A68" s="78" t="s">
        <v>199</v>
      </c>
      <c r="B68" s="155"/>
      <c r="C68" s="155"/>
      <c r="D68" s="155"/>
      <c r="E68" s="155"/>
      <c r="F68" s="155"/>
      <c r="G68" s="155"/>
      <c r="H68" s="155"/>
      <c r="I68" s="155"/>
      <c r="J68" s="155"/>
      <c r="K68" s="155"/>
      <c r="L68" s="155">
        <f t="shared" si="0"/>
        <v>0</v>
      </c>
      <c r="M68" s="155"/>
      <c r="N68" s="155"/>
      <c r="O68" s="155"/>
      <c r="P68" s="155"/>
      <c r="Q68" s="66"/>
      <c r="R68" s="66"/>
      <c r="S68" s="66"/>
    </row>
    <row r="69" spans="1:19" ht="15.75">
      <c r="A69" s="78" t="s">
        <v>200</v>
      </c>
      <c r="B69" s="155"/>
      <c r="C69" s="155"/>
      <c r="D69" s="155"/>
      <c r="E69" s="155"/>
      <c r="F69" s="155"/>
      <c r="G69" s="155"/>
      <c r="H69" s="155"/>
      <c r="I69" s="155"/>
      <c r="J69" s="155"/>
      <c r="K69" s="155"/>
      <c r="L69" s="155">
        <f t="shared" si="0"/>
        <v>0</v>
      </c>
      <c r="M69" s="155"/>
      <c r="N69" s="155"/>
      <c r="O69" s="155"/>
      <c r="P69" s="155"/>
      <c r="Q69" s="66"/>
      <c r="R69" s="66"/>
      <c r="S69" s="66"/>
    </row>
    <row r="70" spans="1:19" ht="15.75">
      <c r="A70" s="78" t="s">
        <v>488</v>
      </c>
      <c r="B70" s="155"/>
      <c r="C70" s="155"/>
      <c r="D70" s="155"/>
      <c r="E70" s="155"/>
      <c r="F70" s="155"/>
      <c r="G70" s="155"/>
      <c r="H70" s="155"/>
      <c r="I70" s="155"/>
      <c r="J70" s="155"/>
      <c r="K70" s="155"/>
      <c r="L70" s="155">
        <f t="shared" si="0"/>
        <v>0</v>
      </c>
      <c r="M70" s="155"/>
      <c r="N70" s="155"/>
      <c r="O70" s="155"/>
      <c r="P70" s="155"/>
      <c r="Q70" s="66"/>
      <c r="R70" s="66"/>
      <c r="S70" s="66"/>
    </row>
    <row r="71" spans="1:19" ht="15.75">
      <c r="A71" s="78" t="s">
        <v>201</v>
      </c>
      <c r="B71" s="155"/>
      <c r="C71" s="155"/>
      <c r="D71" s="155"/>
      <c r="E71" s="155"/>
      <c r="F71" s="155"/>
      <c r="G71" s="155"/>
      <c r="H71" s="155"/>
      <c r="I71" s="155"/>
      <c r="J71" s="155"/>
      <c r="K71" s="155"/>
      <c r="L71" s="155">
        <f t="shared" si="0"/>
        <v>0</v>
      </c>
      <c r="M71" s="155"/>
      <c r="N71" s="155"/>
      <c r="O71" s="155"/>
      <c r="P71" s="155"/>
      <c r="Q71" s="66"/>
      <c r="R71" s="66"/>
      <c r="S71" s="66"/>
    </row>
    <row r="72" spans="1:19" ht="15.75">
      <c r="A72" s="78" t="s">
        <v>35</v>
      </c>
      <c r="B72" s="227"/>
      <c r="C72" s="227"/>
      <c r="D72" s="227"/>
      <c r="E72" s="227"/>
      <c r="F72" s="227"/>
      <c r="G72" s="227"/>
      <c r="H72" s="227"/>
      <c r="I72" s="227"/>
      <c r="J72" s="227"/>
      <c r="K72" s="227"/>
      <c r="L72" s="227">
        <f t="shared" ref="L72:L73" si="3">SUM(B72:K72)</f>
        <v>0</v>
      </c>
      <c r="M72" s="227"/>
      <c r="N72" s="227"/>
      <c r="O72" s="227"/>
      <c r="P72" s="155"/>
      <c r="Q72" s="66"/>
      <c r="R72" s="66"/>
      <c r="S72" s="66"/>
    </row>
    <row r="73" spans="1:19" ht="15.75">
      <c r="A73" s="78" t="s">
        <v>202</v>
      </c>
      <c r="B73" s="233"/>
      <c r="C73" s="233"/>
      <c r="D73" s="233"/>
      <c r="E73" s="233"/>
      <c r="F73" s="233"/>
      <c r="G73" s="233"/>
      <c r="H73" s="233"/>
      <c r="I73" s="233"/>
      <c r="J73" s="233"/>
      <c r="K73" s="233"/>
      <c r="L73" s="819">
        <f t="shared" si="3"/>
        <v>0</v>
      </c>
      <c r="M73" s="233"/>
      <c r="N73" s="233"/>
      <c r="O73" s="233"/>
      <c r="P73" s="155"/>
      <c r="Q73" s="66"/>
      <c r="R73" s="66"/>
      <c r="S73" s="66"/>
    </row>
    <row r="74" spans="1:19" ht="15.75">
      <c r="A74" s="78"/>
      <c r="B74" s="155"/>
      <c r="C74" s="155"/>
      <c r="D74" s="155"/>
      <c r="E74" s="155"/>
      <c r="F74" s="155"/>
      <c r="G74" s="155"/>
      <c r="H74" s="155"/>
      <c r="I74" s="155"/>
      <c r="J74" s="155"/>
      <c r="K74" s="155"/>
      <c r="L74" s="155"/>
      <c r="M74" s="155"/>
      <c r="N74" s="155"/>
      <c r="O74" s="155"/>
      <c r="P74" s="155"/>
      <c r="Q74" s="66"/>
      <c r="R74" s="66"/>
      <c r="S74" s="66"/>
    </row>
    <row r="75" spans="1:19" ht="15.75">
      <c r="A75" s="78" t="s">
        <v>38</v>
      </c>
      <c r="B75" s="155"/>
      <c r="C75" s="155"/>
      <c r="D75" s="155"/>
      <c r="E75" s="155"/>
      <c r="F75" s="155"/>
      <c r="G75" s="155"/>
      <c r="H75" s="155"/>
      <c r="I75" s="155"/>
      <c r="J75" s="155"/>
      <c r="K75" s="155"/>
      <c r="L75" s="155"/>
      <c r="M75" s="155"/>
      <c r="N75" s="155"/>
      <c r="O75" s="155"/>
      <c r="P75" s="155"/>
      <c r="Q75" s="66"/>
      <c r="R75" s="66"/>
      <c r="S75" s="66"/>
    </row>
    <row r="76" spans="1:19" ht="15.75">
      <c r="A76" s="78"/>
      <c r="B76" s="155"/>
      <c r="C76" s="155"/>
      <c r="D76" s="155"/>
      <c r="E76" s="155"/>
      <c r="F76" s="155"/>
      <c r="G76" s="155"/>
      <c r="H76" s="155"/>
      <c r="I76" s="155"/>
      <c r="J76" s="155"/>
      <c r="K76" s="155"/>
      <c r="L76" s="155"/>
      <c r="M76" s="155"/>
      <c r="N76" s="155"/>
      <c r="O76" s="155"/>
      <c r="P76" s="155"/>
      <c r="Q76" s="66"/>
      <c r="R76" s="66"/>
      <c r="S76" s="66"/>
    </row>
    <row r="77" spans="1:19" ht="15.75">
      <c r="A77" s="78"/>
      <c r="B77" s="155"/>
      <c r="C77" s="155"/>
      <c r="D77" s="155"/>
      <c r="E77" s="155"/>
      <c r="F77" s="155"/>
      <c r="G77" s="155"/>
      <c r="H77" s="155"/>
      <c r="I77" s="155"/>
      <c r="J77" s="155"/>
      <c r="K77" s="155"/>
      <c r="L77" s="155"/>
      <c r="M77" s="155"/>
      <c r="N77" s="155"/>
      <c r="O77" s="155"/>
      <c r="P77" s="155"/>
      <c r="Q77" s="66"/>
      <c r="R77" s="66"/>
      <c r="S77" s="66"/>
    </row>
    <row r="78" spans="1:19" ht="15.75">
      <c r="A78" s="78" t="s">
        <v>31</v>
      </c>
      <c r="B78" s="291"/>
      <c r="C78" s="291"/>
      <c r="D78" s="291"/>
      <c r="E78" s="291"/>
      <c r="F78" s="291"/>
      <c r="G78" s="291"/>
      <c r="H78" s="291"/>
      <c r="I78" s="291"/>
      <c r="J78" s="291"/>
      <c r="K78" s="291"/>
      <c r="L78" s="291"/>
      <c r="M78" s="291"/>
      <c r="N78" s="291"/>
      <c r="O78" s="291"/>
      <c r="P78" s="291"/>
      <c r="Q78" s="66"/>
      <c r="R78" s="66"/>
      <c r="S78" s="66"/>
    </row>
    <row r="79" spans="1:19" ht="15.75">
      <c r="A79" s="78"/>
      <c r="B79" s="291"/>
      <c r="C79" s="291"/>
      <c r="D79" s="291"/>
      <c r="E79" s="291"/>
      <c r="F79" s="291"/>
      <c r="G79" s="291"/>
      <c r="H79" s="291"/>
      <c r="I79" s="291"/>
      <c r="J79" s="291"/>
      <c r="K79" s="291"/>
      <c r="L79" s="291"/>
      <c r="M79" s="291"/>
      <c r="N79" s="291"/>
      <c r="O79" s="291"/>
      <c r="P79" s="291"/>
      <c r="Q79" s="66"/>
      <c r="R79" s="66"/>
      <c r="S79" s="66"/>
    </row>
    <row r="80" spans="1:19" ht="15.75">
      <c r="A80" s="78"/>
      <c r="B80" s="291"/>
      <c r="C80" s="291"/>
      <c r="D80" s="291"/>
      <c r="E80" s="291"/>
      <c r="F80" s="291"/>
      <c r="G80" s="291"/>
      <c r="H80" s="291"/>
      <c r="I80" s="291"/>
      <c r="J80" s="291"/>
      <c r="K80" s="291"/>
      <c r="L80" s="291"/>
      <c r="M80" s="291"/>
      <c r="N80" s="291"/>
      <c r="O80" s="291"/>
      <c r="P80" s="291"/>
      <c r="Q80" s="66"/>
      <c r="R80" s="66"/>
      <c r="S80" s="66"/>
    </row>
    <row r="81" spans="1:19" ht="15.75">
      <c r="A81" s="78"/>
      <c r="B81" s="291"/>
      <c r="C81" s="291"/>
      <c r="D81" s="291"/>
      <c r="E81" s="291"/>
      <c r="F81" s="291"/>
      <c r="G81" s="291"/>
      <c r="H81" s="291"/>
      <c r="I81" s="291"/>
      <c r="J81" s="291"/>
      <c r="K81" s="291"/>
      <c r="L81" s="291"/>
      <c r="M81" s="291"/>
      <c r="N81" s="291"/>
      <c r="O81" s="291"/>
      <c r="P81" s="291"/>
      <c r="Q81" s="66"/>
      <c r="R81" s="66"/>
      <c r="S81" s="66"/>
    </row>
    <row r="82" spans="1:19" ht="15.75">
      <c r="A82" s="78"/>
      <c r="B82" s="291"/>
      <c r="C82" s="291"/>
      <c r="D82" s="291"/>
      <c r="E82" s="291"/>
      <c r="F82" s="291"/>
      <c r="G82" s="291"/>
      <c r="H82" s="291"/>
      <c r="I82" s="291"/>
      <c r="J82" s="291"/>
      <c r="K82" s="291"/>
      <c r="L82" s="291"/>
      <c r="M82" s="291"/>
      <c r="N82" s="291"/>
      <c r="O82" s="291"/>
      <c r="P82" s="291"/>
      <c r="Q82" s="66"/>
      <c r="R82" s="66"/>
      <c r="S82" s="66"/>
    </row>
    <row r="83" spans="1:19" ht="15.75">
      <c r="A83" s="78"/>
      <c r="B83" s="291"/>
      <c r="C83" s="291"/>
      <c r="D83" s="291"/>
      <c r="E83" s="291"/>
      <c r="F83" s="291"/>
      <c r="G83" s="291"/>
      <c r="H83" s="291"/>
      <c r="I83" s="291"/>
      <c r="J83" s="291"/>
      <c r="K83" s="291"/>
      <c r="L83" s="291"/>
      <c r="M83" s="291"/>
      <c r="N83" s="291"/>
      <c r="O83" s="291"/>
      <c r="P83" s="291"/>
      <c r="Q83" s="66"/>
      <c r="R83" s="66"/>
      <c r="S83" s="66"/>
    </row>
    <row r="84" spans="1:19" ht="15.75">
      <c r="A84" s="78"/>
      <c r="B84" s="291"/>
      <c r="C84" s="291"/>
      <c r="D84" s="291"/>
      <c r="E84" s="291"/>
      <c r="F84" s="291"/>
      <c r="G84" s="291"/>
      <c r="H84" s="291"/>
      <c r="I84" s="291"/>
      <c r="J84" s="291"/>
      <c r="K84" s="291"/>
      <c r="L84" s="291"/>
      <c r="M84" s="291"/>
      <c r="N84" s="291"/>
      <c r="O84" s="291"/>
      <c r="P84" s="291"/>
      <c r="Q84" s="66"/>
      <c r="R84" s="66"/>
      <c r="S84" s="66"/>
    </row>
    <row r="85" spans="1:19" ht="15.75">
      <c r="A85" s="78"/>
      <c r="B85" s="291"/>
      <c r="C85" s="291"/>
      <c r="D85" s="291"/>
      <c r="E85" s="291"/>
      <c r="F85" s="291"/>
      <c r="G85" s="291"/>
      <c r="H85" s="291"/>
      <c r="I85" s="291"/>
      <c r="J85" s="291"/>
      <c r="K85" s="291"/>
      <c r="L85" s="291"/>
      <c r="M85" s="291"/>
      <c r="N85" s="291"/>
      <c r="O85" s="291"/>
      <c r="P85" s="291"/>
      <c r="Q85" s="66"/>
      <c r="R85" s="66"/>
      <c r="S85" s="66"/>
    </row>
    <row r="86" spans="1:19" ht="15.75">
      <c r="A86" s="78"/>
      <c r="B86" s="291"/>
      <c r="C86" s="291"/>
      <c r="D86" s="291"/>
      <c r="E86" s="291"/>
      <c r="F86" s="291"/>
      <c r="G86" s="291"/>
      <c r="H86" s="291"/>
      <c r="I86" s="291"/>
      <c r="J86" s="291"/>
      <c r="K86" s="291"/>
      <c r="L86" s="291"/>
      <c r="M86" s="291"/>
      <c r="N86" s="291"/>
      <c r="O86" s="291"/>
      <c r="P86" s="291"/>
      <c r="Q86" s="66"/>
      <c r="R86" s="66"/>
      <c r="S86" s="66"/>
    </row>
    <row r="87" spans="1:19" ht="15.75">
      <c r="A87" s="78"/>
      <c r="B87" s="291"/>
      <c r="C87" s="291"/>
      <c r="D87" s="291"/>
      <c r="E87" s="291"/>
      <c r="F87" s="291"/>
      <c r="G87" s="291"/>
      <c r="H87" s="291"/>
      <c r="I87" s="291"/>
      <c r="J87" s="291"/>
      <c r="K87" s="291"/>
      <c r="L87" s="291"/>
      <c r="M87" s="291"/>
      <c r="N87" s="291"/>
      <c r="O87" s="291"/>
      <c r="P87" s="291"/>
      <c r="Q87" s="66"/>
      <c r="R87" s="66"/>
      <c r="S87" s="66"/>
    </row>
    <row r="88" spans="1:19" ht="15.75">
      <c r="A88" s="78"/>
      <c r="B88" s="291"/>
      <c r="C88" s="291"/>
      <c r="D88" s="291"/>
      <c r="E88" s="291"/>
      <c r="F88" s="291"/>
      <c r="G88" s="291"/>
      <c r="H88" s="291"/>
      <c r="I88" s="291"/>
      <c r="J88" s="291"/>
      <c r="K88" s="291"/>
      <c r="L88" s="291"/>
      <c r="M88" s="291"/>
      <c r="N88" s="291"/>
      <c r="O88" s="291"/>
      <c r="P88" s="291"/>
      <c r="Q88" s="66"/>
      <c r="R88" s="66"/>
      <c r="S88" s="66"/>
    </row>
    <row r="89" spans="1:19" ht="15.75">
      <c r="A89" s="78"/>
      <c r="B89" s="291"/>
      <c r="C89" s="291"/>
      <c r="D89" s="291"/>
      <c r="E89" s="291"/>
      <c r="F89" s="291"/>
      <c r="G89" s="291"/>
      <c r="H89" s="291"/>
      <c r="I89" s="291"/>
      <c r="J89" s="291"/>
      <c r="K89" s="291"/>
      <c r="L89" s="291"/>
      <c r="M89" s="291"/>
      <c r="N89" s="291"/>
      <c r="O89" s="291"/>
      <c r="P89" s="291"/>
      <c r="Q89" s="66"/>
      <c r="R89" s="66"/>
      <c r="S89" s="66"/>
    </row>
    <row r="90" spans="1:19" ht="15.75">
      <c r="A90" s="78"/>
      <c r="B90" s="291"/>
      <c r="C90" s="291"/>
      <c r="D90" s="291"/>
      <c r="E90" s="291"/>
      <c r="F90" s="291"/>
      <c r="G90" s="291"/>
      <c r="H90" s="291"/>
      <c r="I90" s="291"/>
      <c r="J90" s="291"/>
      <c r="K90" s="291"/>
      <c r="L90" s="291"/>
      <c r="M90" s="291"/>
      <c r="N90" s="291"/>
      <c r="O90" s="291"/>
      <c r="P90" s="291"/>
      <c r="Q90" s="66"/>
      <c r="R90" s="66"/>
      <c r="S90" s="66"/>
    </row>
    <row r="91" spans="1:19" ht="15.75">
      <c r="A91" s="78"/>
      <c r="B91" s="291"/>
      <c r="C91" s="291"/>
      <c r="D91" s="291"/>
      <c r="E91" s="291"/>
      <c r="F91" s="291"/>
      <c r="G91" s="291"/>
      <c r="H91" s="291"/>
      <c r="I91" s="291"/>
      <c r="J91" s="291"/>
      <c r="K91" s="291"/>
      <c r="L91" s="291"/>
      <c r="M91" s="291"/>
      <c r="N91" s="291"/>
      <c r="O91" s="291"/>
      <c r="P91" s="291"/>
      <c r="Q91" s="66"/>
      <c r="R91" s="66"/>
      <c r="S91" s="66"/>
    </row>
    <row r="92" spans="1:19" ht="15.75">
      <c r="A92" s="78"/>
      <c r="B92" s="291"/>
      <c r="C92" s="291"/>
      <c r="D92" s="291"/>
      <c r="E92" s="291"/>
      <c r="F92" s="291"/>
      <c r="G92" s="291"/>
      <c r="H92" s="291"/>
      <c r="I92" s="291"/>
      <c r="J92" s="291"/>
      <c r="K92" s="291"/>
      <c r="L92" s="291"/>
      <c r="M92" s="291"/>
      <c r="N92" s="291"/>
      <c r="O92" s="291"/>
      <c r="P92" s="291"/>
      <c r="Q92" s="66"/>
      <c r="R92" s="66"/>
      <c r="S92" s="66"/>
    </row>
    <row r="93" spans="1:19" ht="15.75">
      <c r="A93" s="78"/>
      <c r="B93" s="291"/>
      <c r="C93" s="291"/>
      <c r="D93" s="291"/>
      <c r="E93" s="291"/>
      <c r="F93" s="291"/>
      <c r="G93" s="291"/>
      <c r="H93" s="291"/>
      <c r="I93" s="291"/>
      <c r="J93" s="291"/>
      <c r="K93" s="291"/>
      <c r="L93" s="291"/>
      <c r="M93" s="291"/>
      <c r="N93" s="291"/>
      <c r="O93" s="291"/>
      <c r="P93" s="291"/>
      <c r="Q93" s="66"/>
      <c r="R93" s="66"/>
      <c r="S93" s="66"/>
    </row>
    <row r="94" spans="1:19" ht="15.75">
      <c r="A94" s="78"/>
      <c r="B94" s="291"/>
      <c r="C94" s="291"/>
      <c r="D94" s="291"/>
      <c r="E94" s="291"/>
      <c r="F94" s="291"/>
      <c r="G94" s="291"/>
      <c r="H94" s="291"/>
      <c r="I94" s="291"/>
      <c r="J94" s="291"/>
      <c r="K94" s="291"/>
      <c r="L94" s="291"/>
      <c r="M94" s="291"/>
      <c r="N94" s="291"/>
      <c r="O94" s="291"/>
      <c r="P94" s="291"/>
      <c r="Q94" s="66"/>
      <c r="R94" s="66"/>
      <c r="S94" s="66"/>
    </row>
    <row r="95" spans="1:19" ht="15.75">
      <c r="A95" s="78"/>
      <c r="B95" s="291"/>
      <c r="C95" s="291"/>
      <c r="D95" s="291"/>
      <c r="E95" s="291"/>
      <c r="F95" s="291"/>
      <c r="G95" s="291"/>
      <c r="H95" s="291"/>
      <c r="I95" s="291"/>
      <c r="J95" s="291"/>
      <c r="K95" s="291"/>
      <c r="L95" s="291"/>
      <c r="M95" s="291"/>
      <c r="N95" s="291"/>
      <c r="O95" s="291"/>
      <c r="P95" s="291"/>
      <c r="Q95" s="66"/>
      <c r="R95" s="66"/>
      <c r="S95" s="66"/>
    </row>
    <row r="96" spans="1:19" ht="15.75">
      <c r="A96" s="78"/>
      <c r="B96" s="291"/>
      <c r="C96" s="291"/>
      <c r="D96" s="291"/>
      <c r="E96" s="291"/>
      <c r="F96" s="291"/>
      <c r="G96" s="291"/>
      <c r="H96" s="291"/>
      <c r="I96" s="291"/>
      <c r="J96" s="291"/>
      <c r="K96" s="291"/>
      <c r="L96" s="291"/>
      <c r="M96" s="291"/>
      <c r="N96" s="291"/>
      <c r="O96" s="291"/>
      <c r="P96" s="291"/>
      <c r="Q96" s="66"/>
      <c r="R96" s="66"/>
      <c r="S96" s="66"/>
    </row>
    <row r="97" spans="1:19" ht="15.75">
      <c r="A97" s="78"/>
      <c r="B97" s="291"/>
      <c r="C97" s="291"/>
      <c r="D97" s="291"/>
      <c r="E97" s="291"/>
      <c r="F97" s="291"/>
      <c r="G97" s="291"/>
      <c r="H97" s="291"/>
      <c r="I97" s="291"/>
      <c r="J97" s="291"/>
      <c r="K97" s="291"/>
      <c r="L97" s="291"/>
      <c r="M97" s="291"/>
      <c r="N97" s="291"/>
      <c r="O97" s="291"/>
      <c r="P97" s="291"/>
      <c r="Q97" s="66"/>
      <c r="R97" s="66"/>
      <c r="S97" s="66"/>
    </row>
    <row r="98" spans="1:19">
      <c r="A98" s="78"/>
      <c r="B98" s="66"/>
      <c r="C98" s="66"/>
      <c r="D98" s="66"/>
      <c r="E98" s="66"/>
      <c r="F98" s="66"/>
      <c r="G98" s="66"/>
      <c r="H98" s="66"/>
      <c r="I98" s="66"/>
      <c r="J98" s="66"/>
      <c r="K98" s="66"/>
      <c r="L98" s="66"/>
      <c r="M98" s="66"/>
      <c r="N98" s="66"/>
      <c r="O98" s="66"/>
      <c r="P98" s="66"/>
      <c r="Q98" s="66"/>
      <c r="R98" s="66"/>
      <c r="S98" s="66"/>
    </row>
    <row r="99" spans="1:19">
      <c r="A99" s="78"/>
      <c r="B99" s="66"/>
      <c r="C99" s="66"/>
      <c r="D99" s="66"/>
      <c r="E99" s="66"/>
      <c r="F99" s="66"/>
      <c r="G99" s="66"/>
      <c r="H99" s="66"/>
      <c r="I99" s="66"/>
      <c r="J99" s="66"/>
      <c r="K99" s="66"/>
      <c r="L99" s="66"/>
      <c r="M99" s="66"/>
      <c r="N99" s="66"/>
      <c r="O99" s="66"/>
      <c r="P99" s="66"/>
      <c r="Q99" s="66"/>
      <c r="R99" s="66"/>
      <c r="S99" s="66"/>
    </row>
    <row r="100" spans="1:19">
      <c r="A100" s="78"/>
      <c r="B100" s="66"/>
      <c r="C100" s="66"/>
      <c r="D100" s="66"/>
      <c r="E100" s="66"/>
      <c r="F100" s="66"/>
      <c r="G100" s="66"/>
      <c r="H100" s="66"/>
      <c r="I100" s="66"/>
      <c r="J100" s="66"/>
      <c r="K100" s="66"/>
      <c r="L100" s="66"/>
      <c r="M100" s="66"/>
      <c r="N100" s="66"/>
      <c r="O100" s="66"/>
      <c r="P100" s="66"/>
      <c r="Q100" s="66"/>
      <c r="R100" s="66"/>
      <c r="S100" s="66"/>
    </row>
    <row r="101" spans="1:19">
      <c r="A101" s="78"/>
      <c r="B101" s="66"/>
      <c r="C101" s="66"/>
      <c r="D101" s="66"/>
      <c r="E101" s="66"/>
      <c r="F101" s="66"/>
      <c r="G101" s="66"/>
      <c r="H101" s="66"/>
      <c r="I101" s="66"/>
      <c r="J101" s="66"/>
      <c r="K101" s="66"/>
      <c r="L101" s="66"/>
      <c r="M101" s="66"/>
      <c r="N101" s="66"/>
      <c r="O101" s="66"/>
      <c r="P101" s="66"/>
      <c r="Q101" s="66"/>
      <c r="R101" s="66"/>
      <c r="S101" s="66"/>
    </row>
    <row r="102" spans="1:19">
      <c r="A102" s="78"/>
      <c r="B102" s="66"/>
      <c r="C102" s="66"/>
      <c r="D102" s="66"/>
      <c r="E102" s="66"/>
      <c r="F102" s="66"/>
      <c r="G102" s="66"/>
      <c r="H102" s="66"/>
      <c r="I102" s="66"/>
      <c r="J102" s="66"/>
      <c r="K102" s="66"/>
      <c r="L102" s="66"/>
      <c r="M102" s="66"/>
      <c r="N102" s="66"/>
      <c r="O102" s="66"/>
      <c r="P102" s="66"/>
      <c r="Q102" s="66"/>
      <c r="R102" s="66"/>
      <c r="S102" s="66"/>
    </row>
    <row r="103" spans="1:19">
      <c r="A103" s="78"/>
      <c r="B103" s="66"/>
      <c r="C103" s="66"/>
      <c r="D103" s="66"/>
      <c r="E103" s="66"/>
      <c r="F103" s="66"/>
      <c r="G103" s="66"/>
      <c r="H103" s="66"/>
      <c r="I103" s="66"/>
      <c r="J103" s="66"/>
      <c r="K103" s="66"/>
      <c r="L103" s="66"/>
      <c r="M103" s="66"/>
      <c r="N103" s="66"/>
      <c r="O103" s="66"/>
      <c r="P103" s="66"/>
      <c r="Q103" s="66"/>
      <c r="R103" s="66"/>
      <c r="S103" s="66"/>
    </row>
    <row r="104" spans="1:19">
      <c r="A104" s="78"/>
      <c r="B104" s="66"/>
      <c r="C104" s="66"/>
      <c r="D104" s="66"/>
      <c r="E104" s="66"/>
      <c r="F104" s="66"/>
      <c r="G104" s="66"/>
      <c r="H104" s="66"/>
      <c r="I104" s="66"/>
      <c r="J104" s="66"/>
      <c r="K104" s="66"/>
      <c r="L104" s="66"/>
      <c r="M104" s="66"/>
      <c r="N104" s="66"/>
      <c r="O104" s="66"/>
      <c r="P104" s="66"/>
      <c r="Q104" s="66"/>
      <c r="R104" s="66"/>
      <c r="S104" s="66"/>
    </row>
    <row r="105" spans="1:19">
      <c r="A105" s="78"/>
      <c r="B105" s="66"/>
      <c r="C105" s="66"/>
      <c r="D105" s="66"/>
      <c r="E105" s="66"/>
      <c r="F105" s="66"/>
      <c r="G105" s="66"/>
      <c r="H105" s="66"/>
      <c r="I105" s="66"/>
      <c r="J105" s="66"/>
      <c r="K105" s="66"/>
      <c r="L105" s="66"/>
      <c r="M105" s="66"/>
      <c r="N105" s="66"/>
      <c r="O105" s="66"/>
      <c r="P105" s="66"/>
      <c r="Q105" s="66"/>
      <c r="R105" s="66"/>
      <c r="S105" s="66"/>
    </row>
    <row r="106" spans="1:19">
      <c r="A106" s="78"/>
      <c r="B106" s="66"/>
      <c r="C106" s="66"/>
      <c r="D106" s="66"/>
      <c r="E106" s="66"/>
      <c r="F106" s="66"/>
      <c r="G106" s="66"/>
      <c r="H106" s="66"/>
      <c r="I106" s="66"/>
      <c r="J106" s="66"/>
      <c r="K106" s="66"/>
      <c r="L106" s="66"/>
      <c r="M106" s="66"/>
      <c r="N106" s="66"/>
      <c r="O106" s="66"/>
      <c r="P106" s="66"/>
      <c r="Q106" s="66"/>
      <c r="R106" s="66"/>
      <c r="S106" s="66"/>
    </row>
    <row r="107" spans="1:19">
      <c r="A107" s="78"/>
      <c r="B107" s="66"/>
      <c r="C107" s="66"/>
      <c r="D107" s="66"/>
      <c r="E107" s="66"/>
      <c r="F107" s="66"/>
      <c r="G107" s="66"/>
      <c r="H107" s="66"/>
      <c r="I107" s="66"/>
      <c r="J107" s="66"/>
      <c r="K107" s="66"/>
      <c r="L107" s="66"/>
      <c r="M107" s="66"/>
      <c r="N107" s="66"/>
      <c r="O107" s="66"/>
      <c r="P107" s="66"/>
      <c r="Q107" s="66"/>
      <c r="R107" s="66"/>
      <c r="S107" s="66"/>
    </row>
    <row r="108" spans="1:19">
      <c r="A108" s="78"/>
      <c r="B108" s="66"/>
      <c r="C108" s="66"/>
      <c r="D108" s="66"/>
      <c r="E108" s="66"/>
      <c r="F108" s="66"/>
      <c r="G108" s="66"/>
      <c r="H108" s="66"/>
      <c r="I108" s="66"/>
      <c r="J108" s="66"/>
      <c r="K108" s="66"/>
      <c r="L108" s="66"/>
      <c r="M108" s="66"/>
      <c r="N108" s="66"/>
      <c r="O108" s="66"/>
      <c r="P108" s="66"/>
      <c r="Q108" s="66"/>
      <c r="R108" s="66"/>
      <c r="S108" s="66"/>
    </row>
    <row r="109" spans="1:19">
      <c r="A109" s="78"/>
      <c r="B109" s="66"/>
      <c r="C109" s="66"/>
      <c r="D109" s="66"/>
      <c r="E109" s="66"/>
      <c r="F109" s="66"/>
      <c r="G109" s="66"/>
      <c r="H109" s="66"/>
      <c r="I109" s="66"/>
      <c r="J109" s="66"/>
      <c r="K109" s="66"/>
      <c r="L109" s="66"/>
      <c r="M109" s="66"/>
      <c r="N109" s="66"/>
      <c r="O109" s="66"/>
      <c r="P109" s="66"/>
      <c r="Q109" s="66"/>
      <c r="R109" s="66"/>
      <c r="S109" s="66"/>
    </row>
    <row r="110" spans="1:19">
      <c r="A110" s="78"/>
      <c r="B110" s="66"/>
      <c r="C110" s="66"/>
      <c r="D110" s="66"/>
      <c r="E110" s="66"/>
      <c r="F110" s="66"/>
      <c r="G110" s="66"/>
      <c r="H110" s="66"/>
      <c r="I110" s="66"/>
      <c r="J110" s="66"/>
      <c r="K110" s="66"/>
      <c r="L110" s="66"/>
      <c r="M110" s="66"/>
      <c r="N110" s="66"/>
      <c r="O110" s="66"/>
      <c r="P110" s="66"/>
      <c r="Q110" s="66"/>
      <c r="R110" s="66"/>
      <c r="S110" s="66"/>
    </row>
    <row r="111" spans="1:19">
      <c r="A111" s="78"/>
      <c r="B111" s="66"/>
      <c r="C111" s="66"/>
      <c r="D111" s="66"/>
      <c r="E111" s="66"/>
      <c r="F111" s="66"/>
      <c r="G111" s="66"/>
      <c r="H111" s="66"/>
      <c r="I111" s="66"/>
      <c r="J111" s="66"/>
      <c r="K111" s="66"/>
      <c r="L111" s="66"/>
      <c r="M111" s="66"/>
      <c r="N111" s="66"/>
      <c r="O111" s="66"/>
      <c r="P111" s="66"/>
      <c r="Q111" s="66"/>
      <c r="R111" s="66"/>
      <c r="S111" s="66"/>
    </row>
    <row r="112" spans="1:19">
      <c r="A112" s="78"/>
      <c r="B112" s="66"/>
      <c r="C112" s="66"/>
      <c r="D112" s="66"/>
      <c r="E112" s="66"/>
      <c r="F112" s="66"/>
      <c r="G112" s="66"/>
      <c r="H112" s="66"/>
      <c r="I112" s="66"/>
      <c r="J112" s="66"/>
      <c r="K112" s="66"/>
      <c r="L112" s="66"/>
      <c r="M112" s="66"/>
      <c r="N112" s="66"/>
      <c r="O112" s="66"/>
      <c r="P112" s="66"/>
      <c r="Q112" s="66"/>
      <c r="R112" s="66"/>
      <c r="S112" s="66"/>
    </row>
    <row r="113" spans="1:19">
      <c r="A113" s="78"/>
      <c r="B113" s="66"/>
      <c r="C113" s="66"/>
      <c r="D113" s="66"/>
      <c r="E113" s="66"/>
      <c r="F113" s="66"/>
      <c r="G113" s="66"/>
      <c r="H113" s="66"/>
      <c r="I113" s="66"/>
      <c r="J113" s="66"/>
      <c r="K113" s="66"/>
      <c r="L113" s="66"/>
      <c r="M113" s="66"/>
      <c r="N113" s="66"/>
      <c r="O113" s="66"/>
      <c r="P113" s="66"/>
      <c r="Q113" s="66"/>
      <c r="R113" s="66"/>
      <c r="S113" s="66"/>
    </row>
    <row r="114" spans="1:19">
      <c r="A114" s="78"/>
      <c r="B114" s="66"/>
      <c r="C114" s="66"/>
      <c r="D114" s="66"/>
      <c r="E114" s="66"/>
      <c r="F114" s="66"/>
      <c r="G114" s="66"/>
      <c r="H114" s="66"/>
      <c r="I114" s="66"/>
      <c r="J114" s="66"/>
      <c r="K114" s="66"/>
      <c r="L114" s="66"/>
      <c r="M114" s="66"/>
      <c r="N114" s="66"/>
      <c r="O114" s="66"/>
      <c r="P114" s="66"/>
      <c r="Q114" s="66"/>
      <c r="R114" s="66"/>
      <c r="S114" s="66"/>
    </row>
    <row r="115" spans="1:19">
      <c r="A115" s="78"/>
      <c r="B115" s="66"/>
      <c r="C115" s="66"/>
      <c r="D115" s="66"/>
      <c r="E115" s="66"/>
      <c r="F115" s="66"/>
      <c r="G115" s="66"/>
      <c r="H115" s="66"/>
      <c r="I115" s="66"/>
      <c r="J115" s="66"/>
      <c r="K115" s="66"/>
      <c r="L115" s="66"/>
      <c r="M115" s="66"/>
      <c r="N115" s="66"/>
      <c r="O115" s="66"/>
      <c r="P115" s="66"/>
      <c r="Q115" s="66"/>
      <c r="R115" s="66"/>
      <c r="S115" s="66"/>
    </row>
    <row r="116" spans="1:19">
      <c r="A116" s="78"/>
      <c r="B116" s="66"/>
      <c r="C116" s="66"/>
      <c r="D116" s="66"/>
      <c r="E116" s="66"/>
      <c r="F116" s="66"/>
      <c r="G116" s="66"/>
      <c r="H116" s="66"/>
      <c r="I116" s="66"/>
      <c r="J116" s="66"/>
      <c r="K116" s="66"/>
      <c r="L116" s="66"/>
      <c r="M116" s="66"/>
      <c r="N116" s="66"/>
      <c r="O116" s="66"/>
      <c r="P116" s="66"/>
      <c r="Q116" s="66"/>
      <c r="R116" s="66"/>
      <c r="S116" s="66"/>
    </row>
    <row r="117" spans="1:19">
      <c r="A117" s="78"/>
      <c r="B117" s="66"/>
      <c r="C117" s="66"/>
      <c r="D117" s="66"/>
      <c r="E117" s="66"/>
      <c r="F117" s="66"/>
      <c r="G117" s="66"/>
      <c r="H117" s="66"/>
      <c r="I117" s="66"/>
      <c r="J117" s="66"/>
      <c r="K117" s="66"/>
      <c r="L117" s="66"/>
      <c r="M117" s="66"/>
      <c r="N117" s="66"/>
      <c r="O117" s="66"/>
      <c r="P117" s="66"/>
      <c r="Q117" s="66"/>
      <c r="R117" s="66"/>
      <c r="S117" s="66"/>
    </row>
    <row r="118" spans="1:19">
      <c r="A118" s="78"/>
      <c r="B118" s="66"/>
      <c r="C118" s="66"/>
      <c r="D118" s="66"/>
      <c r="E118" s="66"/>
      <c r="F118" s="66"/>
      <c r="G118" s="66"/>
      <c r="H118" s="66"/>
      <c r="I118" s="66"/>
      <c r="J118" s="66"/>
      <c r="K118" s="66"/>
      <c r="L118" s="66"/>
      <c r="M118" s="66"/>
      <c r="N118" s="66"/>
      <c r="O118" s="66"/>
      <c r="P118" s="66"/>
      <c r="Q118" s="66"/>
      <c r="R118" s="66"/>
      <c r="S118" s="66"/>
    </row>
    <row r="119" spans="1:19">
      <c r="A119" s="78"/>
      <c r="B119" s="66"/>
      <c r="C119" s="66"/>
      <c r="D119" s="66"/>
      <c r="E119" s="66"/>
      <c r="F119" s="66"/>
      <c r="G119" s="66"/>
      <c r="H119" s="66"/>
      <c r="I119" s="66"/>
      <c r="J119" s="66"/>
      <c r="K119" s="66"/>
      <c r="L119" s="66"/>
      <c r="M119" s="66"/>
      <c r="N119" s="66"/>
      <c r="O119" s="66"/>
      <c r="P119" s="66"/>
      <c r="Q119" s="66"/>
      <c r="R119" s="66"/>
      <c r="S119" s="66"/>
    </row>
    <row r="120" spans="1:19">
      <c r="A120" s="78"/>
      <c r="B120" s="66"/>
      <c r="C120" s="66"/>
      <c r="D120" s="66"/>
      <c r="E120" s="66"/>
      <c r="F120" s="66"/>
      <c r="G120" s="66"/>
      <c r="H120" s="66"/>
      <c r="I120" s="66"/>
      <c r="J120" s="66"/>
      <c r="K120" s="66"/>
      <c r="L120" s="66"/>
      <c r="M120" s="66"/>
      <c r="N120" s="66"/>
      <c r="O120" s="66"/>
      <c r="P120" s="66"/>
      <c r="Q120" s="66"/>
      <c r="R120" s="66"/>
      <c r="S120" s="66"/>
    </row>
    <row r="121" spans="1:19">
      <c r="A121" s="78"/>
      <c r="B121" s="66"/>
      <c r="C121" s="66"/>
      <c r="D121" s="66"/>
      <c r="E121" s="66"/>
      <c r="F121" s="66"/>
      <c r="G121" s="66"/>
      <c r="H121" s="66"/>
      <c r="I121" s="66"/>
      <c r="J121" s="66"/>
      <c r="K121" s="66"/>
      <c r="L121" s="66"/>
      <c r="M121" s="66"/>
      <c r="N121" s="66"/>
      <c r="O121" s="66"/>
      <c r="P121" s="66"/>
      <c r="Q121" s="66"/>
      <c r="R121" s="66"/>
      <c r="S121" s="66"/>
    </row>
    <row r="122" spans="1:19">
      <c r="A122" s="78"/>
      <c r="B122" s="66"/>
      <c r="C122" s="66"/>
      <c r="D122" s="66"/>
      <c r="E122" s="66"/>
      <c r="F122" s="66"/>
      <c r="G122" s="66"/>
      <c r="H122" s="66"/>
      <c r="I122" s="66"/>
      <c r="J122" s="66"/>
      <c r="K122" s="66"/>
      <c r="L122" s="66"/>
      <c r="M122" s="66"/>
      <c r="N122" s="66"/>
      <c r="O122" s="66"/>
      <c r="P122" s="66"/>
      <c r="Q122" s="66"/>
      <c r="R122" s="66"/>
      <c r="S122" s="66"/>
    </row>
    <row r="123" spans="1:19">
      <c r="A123" s="78"/>
      <c r="B123" s="66"/>
      <c r="C123" s="66"/>
      <c r="D123" s="66"/>
      <c r="E123" s="66"/>
      <c r="F123" s="66"/>
      <c r="G123" s="66"/>
      <c r="H123" s="66"/>
      <c r="I123" s="66"/>
      <c r="J123" s="66"/>
      <c r="K123" s="66"/>
      <c r="L123" s="66"/>
      <c r="M123" s="66"/>
      <c r="N123" s="66"/>
      <c r="O123" s="66"/>
      <c r="P123" s="66"/>
      <c r="Q123" s="66"/>
      <c r="R123" s="66"/>
      <c r="S123" s="66"/>
    </row>
    <row r="124" spans="1:19">
      <c r="A124" s="78"/>
      <c r="B124" s="66"/>
      <c r="C124" s="66"/>
      <c r="D124" s="66"/>
      <c r="E124" s="66"/>
      <c r="F124" s="66"/>
      <c r="G124" s="66"/>
      <c r="H124" s="66"/>
      <c r="I124" s="66"/>
      <c r="J124" s="66"/>
      <c r="K124" s="66"/>
      <c r="L124" s="66"/>
      <c r="M124" s="66"/>
      <c r="N124" s="66"/>
      <c r="O124" s="66"/>
      <c r="P124" s="66"/>
      <c r="Q124" s="66"/>
      <c r="R124" s="66"/>
      <c r="S124" s="66"/>
    </row>
    <row r="125" spans="1:19">
      <c r="A125" s="78"/>
      <c r="B125" s="66"/>
      <c r="C125" s="66"/>
      <c r="D125" s="66"/>
      <c r="E125" s="66"/>
      <c r="F125" s="66"/>
      <c r="G125" s="66"/>
      <c r="H125" s="66"/>
      <c r="I125" s="66"/>
      <c r="J125" s="66"/>
      <c r="K125" s="66"/>
      <c r="L125" s="66"/>
      <c r="M125" s="66"/>
      <c r="N125" s="66"/>
      <c r="O125" s="66"/>
      <c r="P125" s="66"/>
      <c r="Q125" s="66"/>
      <c r="R125" s="66"/>
      <c r="S125" s="66"/>
    </row>
    <row r="126" spans="1:19">
      <c r="A126" s="78"/>
      <c r="B126" s="66"/>
      <c r="C126" s="66"/>
      <c r="D126" s="66"/>
      <c r="E126" s="66"/>
      <c r="F126" s="66"/>
      <c r="G126" s="66"/>
      <c r="H126" s="66"/>
      <c r="I126" s="66"/>
      <c r="J126" s="66"/>
      <c r="K126" s="66"/>
      <c r="L126" s="66"/>
      <c r="M126" s="66"/>
      <c r="N126" s="66"/>
      <c r="O126" s="66"/>
      <c r="P126" s="66"/>
      <c r="Q126" s="66"/>
      <c r="R126" s="66"/>
      <c r="S126" s="66"/>
    </row>
    <row r="127" spans="1:19">
      <c r="A127" s="78"/>
      <c r="B127" s="66"/>
      <c r="C127" s="66"/>
      <c r="D127" s="66"/>
      <c r="E127" s="66"/>
      <c r="F127" s="66"/>
      <c r="G127" s="66"/>
      <c r="H127" s="66"/>
      <c r="I127" s="66"/>
      <c r="J127" s="66"/>
      <c r="K127" s="66"/>
      <c r="L127" s="66"/>
      <c r="M127" s="66"/>
      <c r="N127" s="66"/>
      <c r="O127" s="66"/>
      <c r="P127" s="66"/>
      <c r="Q127" s="66"/>
      <c r="R127" s="66"/>
      <c r="S127" s="66"/>
    </row>
    <row r="128" spans="1:19">
      <c r="A128" s="78"/>
      <c r="B128" s="66"/>
      <c r="C128" s="66"/>
      <c r="D128" s="66"/>
      <c r="E128" s="66"/>
      <c r="F128" s="66"/>
      <c r="G128" s="66"/>
      <c r="H128" s="66"/>
      <c r="I128" s="66"/>
      <c r="J128" s="66"/>
      <c r="K128" s="66"/>
      <c r="L128" s="66"/>
      <c r="M128" s="66"/>
      <c r="N128" s="66"/>
      <c r="O128" s="66"/>
      <c r="P128" s="66"/>
      <c r="Q128" s="66"/>
      <c r="R128" s="66"/>
      <c r="S128" s="66"/>
    </row>
    <row r="129" spans="1:19">
      <c r="A129" s="78"/>
      <c r="B129" s="66"/>
      <c r="C129" s="66"/>
      <c r="D129" s="66"/>
      <c r="E129" s="66"/>
      <c r="F129" s="66"/>
      <c r="G129" s="66"/>
      <c r="H129" s="66"/>
      <c r="I129" s="66"/>
      <c r="J129" s="66"/>
      <c r="K129" s="66"/>
      <c r="L129" s="66"/>
      <c r="M129" s="66"/>
      <c r="N129" s="66"/>
      <c r="O129" s="66"/>
      <c r="P129" s="66"/>
      <c r="Q129" s="66"/>
      <c r="R129" s="66"/>
      <c r="S129" s="66"/>
    </row>
    <row r="130" spans="1:19">
      <c r="A130" s="78"/>
      <c r="B130" s="66"/>
      <c r="C130" s="66"/>
      <c r="D130" s="66"/>
      <c r="E130" s="66"/>
      <c r="F130" s="66"/>
      <c r="G130" s="66"/>
      <c r="H130" s="66"/>
      <c r="I130" s="66"/>
      <c r="J130" s="66"/>
      <c r="K130" s="66"/>
      <c r="L130" s="66"/>
      <c r="M130" s="66"/>
      <c r="N130" s="66"/>
      <c r="O130" s="66"/>
      <c r="P130" s="66"/>
      <c r="Q130" s="66"/>
      <c r="R130" s="66"/>
      <c r="S130" s="66"/>
    </row>
    <row r="131" spans="1:19">
      <c r="A131" s="78"/>
      <c r="B131" s="66"/>
      <c r="C131" s="66"/>
      <c r="D131" s="66"/>
      <c r="E131" s="66"/>
      <c r="F131" s="66"/>
      <c r="G131" s="66"/>
      <c r="H131" s="66"/>
      <c r="I131" s="66"/>
      <c r="J131" s="66"/>
      <c r="K131" s="66"/>
      <c r="L131" s="66"/>
      <c r="M131" s="66"/>
      <c r="N131" s="66"/>
      <c r="O131" s="66"/>
      <c r="P131" s="66"/>
      <c r="Q131" s="66"/>
      <c r="R131" s="66"/>
      <c r="S131" s="66"/>
    </row>
    <row r="132" spans="1:19">
      <c r="A132" s="78"/>
      <c r="B132" s="66"/>
      <c r="C132" s="66"/>
      <c r="D132" s="66"/>
      <c r="E132" s="66"/>
      <c r="F132" s="66"/>
      <c r="G132" s="66"/>
      <c r="H132" s="66"/>
      <c r="I132" s="66"/>
      <c r="J132" s="66"/>
      <c r="K132" s="66"/>
      <c r="L132" s="66"/>
      <c r="M132" s="66"/>
      <c r="N132" s="66"/>
      <c r="O132" s="66"/>
      <c r="P132" s="66"/>
      <c r="Q132" s="66"/>
      <c r="R132" s="66"/>
      <c r="S132" s="66"/>
    </row>
    <row r="133" spans="1:19">
      <c r="A133" s="78"/>
      <c r="B133" s="66"/>
      <c r="C133" s="66"/>
      <c r="D133" s="66"/>
      <c r="E133" s="66"/>
      <c r="F133" s="66"/>
      <c r="G133" s="66"/>
      <c r="H133" s="66"/>
      <c r="I133" s="66"/>
      <c r="J133" s="66"/>
      <c r="K133" s="66"/>
      <c r="L133" s="66"/>
      <c r="M133" s="66"/>
      <c r="N133" s="66"/>
      <c r="O133" s="66"/>
      <c r="P133" s="66"/>
      <c r="Q133" s="66"/>
      <c r="R133" s="66"/>
      <c r="S133" s="66"/>
    </row>
    <row r="134" spans="1:19">
      <c r="A134" s="78"/>
      <c r="B134" s="66"/>
      <c r="C134" s="66"/>
      <c r="D134" s="66"/>
      <c r="E134" s="66"/>
      <c r="F134" s="66"/>
      <c r="G134" s="66"/>
      <c r="H134" s="66"/>
      <c r="I134" s="66"/>
      <c r="J134" s="66"/>
      <c r="K134" s="66"/>
      <c r="L134" s="66"/>
      <c r="M134" s="66"/>
      <c r="N134" s="66"/>
      <c r="O134" s="66"/>
      <c r="P134" s="66"/>
      <c r="Q134" s="66"/>
      <c r="R134" s="66"/>
      <c r="S134" s="66"/>
    </row>
    <row r="135" spans="1:19">
      <c r="A135" s="78"/>
      <c r="B135" s="66"/>
      <c r="C135" s="66"/>
      <c r="D135" s="66"/>
      <c r="E135" s="66"/>
      <c r="F135" s="66"/>
      <c r="G135" s="66"/>
      <c r="H135" s="66"/>
      <c r="I135" s="66"/>
      <c r="J135" s="66"/>
      <c r="K135" s="66"/>
      <c r="L135" s="66"/>
      <c r="M135" s="66"/>
      <c r="N135" s="66"/>
      <c r="O135" s="66"/>
      <c r="P135" s="66"/>
      <c r="Q135" s="66"/>
      <c r="R135" s="66"/>
      <c r="S135" s="66"/>
    </row>
    <row r="136" spans="1:19">
      <c r="A136" s="78"/>
      <c r="B136" s="66"/>
      <c r="C136" s="66"/>
      <c r="D136" s="66"/>
      <c r="E136" s="66"/>
      <c r="F136" s="66"/>
      <c r="G136" s="66"/>
      <c r="H136" s="66"/>
      <c r="I136" s="66"/>
      <c r="J136" s="66"/>
      <c r="K136" s="66"/>
      <c r="L136" s="66"/>
      <c r="M136" s="66"/>
      <c r="N136" s="66"/>
      <c r="O136" s="66"/>
      <c r="P136" s="66"/>
      <c r="Q136" s="66"/>
      <c r="R136" s="66"/>
      <c r="S136" s="66"/>
    </row>
    <row r="137" spans="1:19">
      <c r="A137" s="78"/>
      <c r="B137" s="66"/>
      <c r="C137" s="66"/>
      <c r="D137" s="66"/>
      <c r="E137" s="66"/>
      <c r="F137" s="66"/>
      <c r="G137" s="66"/>
      <c r="H137" s="66"/>
      <c r="I137" s="66"/>
      <c r="J137" s="66"/>
      <c r="K137" s="66"/>
      <c r="L137" s="66"/>
      <c r="M137" s="66"/>
      <c r="N137" s="66"/>
      <c r="O137" s="66"/>
      <c r="P137" s="66"/>
      <c r="Q137" s="66"/>
      <c r="R137" s="66"/>
      <c r="S137" s="66"/>
    </row>
    <row r="138" spans="1:19">
      <c r="A138" s="78"/>
      <c r="B138" s="66"/>
      <c r="C138" s="66"/>
      <c r="D138" s="66"/>
      <c r="E138" s="66"/>
      <c r="F138" s="66"/>
      <c r="G138" s="66"/>
      <c r="H138" s="66"/>
      <c r="I138" s="66"/>
      <c r="J138" s="66"/>
      <c r="K138" s="66"/>
      <c r="L138" s="66"/>
      <c r="M138" s="66"/>
      <c r="N138" s="66"/>
      <c r="O138" s="66"/>
      <c r="P138" s="66"/>
      <c r="Q138" s="66"/>
      <c r="R138" s="66"/>
      <c r="S138" s="66"/>
    </row>
    <row r="139" spans="1:19">
      <c r="A139" s="78"/>
      <c r="B139" s="66"/>
      <c r="C139" s="66"/>
      <c r="D139" s="66"/>
      <c r="E139" s="66"/>
      <c r="F139" s="66"/>
      <c r="G139" s="66"/>
      <c r="H139" s="66"/>
      <c r="I139" s="66"/>
      <c r="J139" s="66"/>
      <c r="K139" s="66"/>
      <c r="L139" s="66"/>
      <c r="M139" s="66"/>
      <c r="N139" s="66"/>
      <c r="O139" s="66"/>
      <c r="P139" s="66"/>
      <c r="Q139" s="66"/>
      <c r="R139" s="66"/>
      <c r="S139" s="66"/>
    </row>
    <row r="140" spans="1:19">
      <c r="A140" s="78"/>
      <c r="B140" s="66"/>
      <c r="C140" s="66"/>
      <c r="D140" s="66"/>
      <c r="E140" s="66"/>
      <c r="F140" s="66"/>
      <c r="G140" s="66"/>
      <c r="H140" s="66"/>
      <c r="I140" s="66"/>
      <c r="J140" s="66"/>
      <c r="K140" s="66"/>
      <c r="L140" s="66"/>
      <c r="M140" s="66"/>
      <c r="N140" s="66"/>
      <c r="O140" s="66"/>
      <c r="P140" s="66"/>
      <c r="Q140" s="66"/>
      <c r="R140" s="66"/>
      <c r="S140" s="6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47A60-791F-47BA-AF92-12DE6325A2B0}">
  <sheetPr codeName="Sheet11"/>
  <dimension ref="A1:G81"/>
  <sheetViews>
    <sheetView topLeftCell="A9" workbookViewId="0">
      <selection activeCell="A34" sqref="A34"/>
    </sheetView>
  </sheetViews>
  <sheetFormatPr defaultColWidth="8.88671875" defaultRowHeight="15"/>
  <cols>
    <col min="1" max="16384" width="8.88671875" style="291"/>
  </cols>
  <sheetData>
    <row r="1" spans="1:7">
      <c r="A1" s="291" t="s">
        <v>128</v>
      </c>
    </row>
    <row r="2" spans="1:7">
      <c r="A2" s="291" t="s">
        <v>1040</v>
      </c>
    </row>
    <row r="3" spans="1:7">
      <c r="A3" s="291" t="s">
        <v>1467</v>
      </c>
    </row>
    <row r="6" spans="1:7">
      <c r="A6" s="470" t="s">
        <v>1503</v>
      </c>
      <c r="B6" s="279"/>
      <c r="C6" s="279"/>
      <c r="D6" s="279"/>
      <c r="E6" s="279"/>
      <c r="F6" s="279"/>
      <c r="G6" s="276"/>
    </row>
    <row r="7" spans="1:7">
      <c r="A7" s="291" t="s">
        <v>1505</v>
      </c>
      <c r="G7" s="155">
        <f>+'All Payroll'!U94</f>
        <v>136603.37803695831</v>
      </c>
    </row>
    <row r="8" spans="1:7">
      <c r="A8" s="291" t="s">
        <v>1511</v>
      </c>
      <c r="G8" s="155">
        <f>+'All Payroll'!U98</f>
        <v>8149.4161839999724</v>
      </c>
    </row>
    <row r="9" spans="1:7">
      <c r="A9" s="291" t="s">
        <v>1510</v>
      </c>
      <c r="G9" s="155">
        <f>+'All Payroll'!U99</f>
        <v>-18996.159999999916</v>
      </c>
    </row>
    <row r="10" spans="1:7">
      <c r="A10" s="291" t="s">
        <v>1553</v>
      </c>
      <c r="G10" s="155">
        <f>SUM(G7:G9)*0.077</f>
        <v>9683.2608350137943</v>
      </c>
    </row>
    <row r="11" spans="1:7">
      <c r="A11" s="291" t="s">
        <v>1513</v>
      </c>
      <c r="G11" s="155"/>
    </row>
    <row r="12" spans="1:7">
      <c r="G12" s="155"/>
    </row>
    <row r="13" spans="1:7">
      <c r="A13" s="470" t="s">
        <v>1504</v>
      </c>
      <c r="B13" s="471"/>
      <c r="C13" s="471"/>
      <c r="D13" s="471"/>
      <c r="E13" s="471"/>
      <c r="F13" s="471"/>
      <c r="G13" s="155"/>
    </row>
    <row r="14" spans="1:7">
      <c r="A14" s="207" t="s">
        <v>166</v>
      </c>
      <c r="G14" s="155">
        <f>+'Health &amp; Welfare'!H13</f>
        <v>11064</v>
      </c>
    </row>
    <row r="15" spans="1:7">
      <c r="A15" s="291" t="s">
        <v>1514</v>
      </c>
      <c r="G15" s="155"/>
    </row>
    <row r="16" spans="1:7">
      <c r="G16" s="155"/>
    </row>
    <row r="17" spans="1:7">
      <c r="A17" s="470" t="s">
        <v>1515</v>
      </c>
      <c r="B17" s="471"/>
      <c r="C17" s="471"/>
      <c r="D17" s="471"/>
      <c r="E17" s="471"/>
      <c r="F17" s="471"/>
      <c r="G17" s="155"/>
    </row>
    <row r="18" spans="1:7">
      <c r="A18" s="291" t="s">
        <v>1516</v>
      </c>
      <c r="G18" s="155">
        <f>+'Pension Recycle'!H7+'Pension Garbage '!H7</f>
        <v>34296.698999999986</v>
      </c>
    </row>
    <row r="19" spans="1:7">
      <c r="A19" s="291" t="s">
        <v>1517</v>
      </c>
      <c r="G19" s="155">
        <f>+'Pension Admin'!D28</f>
        <v>-484.86099999998987</v>
      </c>
    </row>
    <row r="20" spans="1:7">
      <c r="A20" s="291" t="s">
        <v>1518</v>
      </c>
      <c r="G20" s="155"/>
    </row>
    <row r="21" spans="1:7">
      <c r="G21" s="155"/>
    </row>
    <row r="22" spans="1:7">
      <c r="A22" s="470" t="s">
        <v>1554</v>
      </c>
      <c r="B22" s="471"/>
      <c r="C22" s="471"/>
      <c r="D22" s="471"/>
      <c r="E22" s="471"/>
      <c r="F22" s="471"/>
      <c r="G22" s="155"/>
    </row>
    <row r="23" spans="1:7">
      <c r="A23" s="291" t="s">
        <v>1489</v>
      </c>
      <c r="G23" s="155">
        <f>+'Rate Case Costs'!E21</f>
        <v>24064.74</v>
      </c>
    </row>
    <row r="24" spans="1:7">
      <c r="A24" s="291" t="s">
        <v>1559</v>
      </c>
      <c r="G24" s="155"/>
    </row>
    <row r="25" spans="1:7">
      <c r="G25" s="155"/>
    </row>
    <row r="26" spans="1:7">
      <c r="A26" s="470" t="s">
        <v>1555</v>
      </c>
      <c r="B26" s="471"/>
      <c r="C26" s="471"/>
      <c r="D26" s="471"/>
      <c r="E26" s="471"/>
      <c r="F26" s="471"/>
      <c r="G26" s="155"/>
    </row>
    <row r="27" spans="1:7">
      <c r="A27" s="207" t="s">
        <v>154</v>
      </c>
      <c r="G27" s="155">
        <f>+'Affiliated TruckCare Current'!H11</f>
        <v>300683.44999999972</v>
      </c>
    </row>
    <row r="28" spans="1:7">
      <c r="A28" s="291" t="s">
        <v>1689</v>
      </c>
      <c r="G28" s="155"/>
    </row>
    <row r="29" spans="1:7">
      <c r="G29" s="155"/>
    </row>
    <row r="30" spans="1:7">
      <c r="A30" s="470" t="s">
        <v>1556</v>
      </c>
      <c r="B30" s="471"/>
      <c r="C30" s="471"/>
      <c r="D30" s="471"/>
      <c r="E30" s="471"/>
      <c r="F30" s="471"/>
      <c r="G30" s="155"/>
    </row>
    <row r="31" spans="1:7">
      <c r="A31" s="291" t="s">
        <v>1696</v>
      </c>
      <c r="G31" s="155">
        <f>+'Res Cust Count'!Q34</f>
        <v>-224345.61999999994</v>
      </c>
    </row>
    <row r="32" spans="1:7">
      <c r="A32" s="291" t="s">
        <v>1697</v>
      </c>
      <c r="G32" s="155"/>
    </row>
    <row r="33" spans="1:7">
      <c r="A33" s="291" t="s">
        <v>1698</v>
      </c>
      <c r="G33" s="155"/>
    </row>
    <row r="34" spans="1:7">
      <c r="G34" s="155"/>
    </row>
    <row r="35" spans="1:7">
      <c r="G35" s="155"/>
    </row>
    <row r="36" spans="1:7">
      <c r="G36" s="155"/>
    </row>
    <row r="37" spans="1:7">
      <c r="G37" s="155"/>
    </row>
    <row r="38" spans="1:7">
      <c r="G38" s="155"/>
    </row>
    <row r="39" spans="1:7">
      <c r="G39" s="155"/>
    </row>
    <row r="40" spans="1:7">
      <c r="G40" s="155"/>
    </row>
    <row r="41" spans="1:7">
      <c r="G41" s="155"/>
    </row>
    <row r="42" spans="1:7">
      <c r="G42" s="155"/>
    </row>
    <row r="43" spans="1:7">
      <c r="G43" s="155"/>
    </row>
    <row r="44" spans="1:7">
      <c r="G44" s="155"/>
    </row>
    <row r="45" spans="1:7">
      <c r="G45" s="155"/>
    </row>
    <row r="46" spans="1:7">
      <c r="G46" s="155"/>
    </row>
    <row r="47" spans="1:7">
      <c r="G47" s="155"/>
    </row>
    <row r="48" spans="1:7">
      <c r="G48" s="155"/>
    </row>
    <row r="49" spans="7:7">
      <c r="G49" s="155"/>
    </row>
    <row r="50" spans="7:7">
      <c r="G50" s="155"/>
    </row>
    <row r="51" spans="7:7">
      <c r="G51" s="155"/>
    </row>
    <row r="52" spans="7:7">
      <c r="G52" s="155"/>
    </row>
    <row r="53" spans="7:7">
      <c r="G53" s="155"/>
    </row>
    <row r="54" spans="7:7">
      <c r="G54" s="155"/>
    </row>
    <row r="55" spans="7:7">
      <c r="G55" s="155"/>
    </row>
    <row r="56" spans="7:7">
      <c r="G56" s="155"/>
    </row>
    <row r="57" spans="7:7">
      <c r="G57" s="155"/>
    </row>
    <row r="58" spans="7:7">
      <c r="G58" s="155"/>
    </row>
    <row r="59" spans="7:7">
      <c r="G59" s="155"/>
    </row>
    <row r="60" spans="7:7">
      <c r="G60" s="155"/>
    </row>
    <row r="61" spans="7:7">
      <c r="G61" s="155"/>
    </row>
    <row r="62" spans="7:7">
      <c r="G62" s="155"/>
    </row>
    <row r="63" spans="7:7">
      <c r="G63" s="155"/>
    </row>
    <row r="64" spans="7:7">
      <c r="G64" s="155"/>
    </row>
    <row r="65" spans="7:7">
      <c r="G65" s="155"/>
    </row>
    <row r="66" spans="7:7">
      <c r="G66" s="155"/>
    </row>
    <row r="67" spans="7:7">
      <c r="G67" s="155"/>
    </row>
    <row r="68" spans="7:7">
      <c r="G68" s="155"/>
    </row>
    <row r="69" spans="7:7">
      <c r="G69" s="155"/>
    </row>
    <row r="70" spans="7:7">
      <c r="G70" s="155"/>
    </row>
    <row r="71" spans="7:7">
      <c r="G71" s="155"/>
    </row>
    <row r="72" spans="7:7">
      <c r="G72" s="155"/>
    </row>
    <row r="73" spans="7:7">
      <c r="G73" s="155"/>
    </row>
    <row r="74" spans="7:7">
      <c r="G74" s="155"/>
    </row>
    <row r="75" spans="7:7">
      <c r="G75" s="155"/>
    </row>
    <row r="76" spans="7:7">
      <c r="G76" s="155"/>
    </row>
    <row r="77" spans="7:7">
      <c r="G77" s="155"/>
    </row>
    <row r="78" spans="7:7">
      <c r="G78" s="155"/>
    </row>
    <row r="79" spans="7:7">
      <c r="G79" s="155"/>
    </row>
    <row r="80" spans="7:7">
      <c r="G80" s="155"/>
    </row>
    <row r="81" spans="7:7">
      <c r="G81" s="155"/>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378B-9F40-48AD-B190-1A7E830E9F34}">
  <sheetPr codeName="Sheet12">
    <pageSetUpPr fitToPage="1"/>
  </sheetPr>
  <dimension ref="A1:N86"/>
  <sheetViews>
    <sheetView topLeftCell="A4" zoomScaleNormal="100" workbookViewId="0">
      <pane ySplit="3" topLeftCell="A58" activePane="bottomLeft" state="frozen"/>
      <selection activeCell="A4" sqref="A4"/>
      <selection pane="bottomLeft" activeCell="B70" sqref="B70"/>
    </sheetView>
  </sheetViews>
  <sheetFormatPr defaultRowHeight="15"/>
  <cols>
    <col min="1" max="1" width="27.33203125" customWidth="1"/>
    <col min="3" max="3" width="9.44140625" bestFit="1" customWidth="1"/>
    <col min="4" max="4" width="9.6640625" customWidth="1"/>
    <col min="5" max="5" width="8.5546875" bestFit="1" customWidth="1"/>
    <col min="6" max="6" width="9" bestFit="1" customWidth="1"/>
    <col min="7" max="7" width="9" customWidth="1"/>
    <col min="8" max="9" width="11" bestFit="1" customWidth="1"/>
  </cols>
  <sheetData>
    <row r="1" spans="1:14" ht="15.75">
      <c r="A1" s="69" t="s">
        <v>128</v>
      </c>
      <c r="B1" s="70"/>
      <c r="C1" s="70"/>
      <c r="D1" s="70"/>
      <c r="E1" s="70"/>
      <c r="F1" s="70"/>
      <c r="G1" s="70"/>
      <c r="H1" s="70"/>
      <c r="I1" s="68"/>
      <c r="J1" s="70"/>
      <c r="K1" s="70"/>
      <c r="L1" s="70"/>
      <c r="M1" s="70"/>
      <c r="N1" s="70"/>
    </row>
    <row r="2" spans="1:14" ht="15.75">
      <c r="A2" s="69" t="s">
        <v>930</v>
      </c>
      <c r="B2" s="70"/>
      <c r="C2" s="70"/>
      <c r="D2" s="70"/>
      <c r="E2" s="70"/>
      <c r="F2" s="70"/>
      <c r="G2" s="70"/>
      <c r="H2" s="70"/>
      <c r="I2" s="68"/>
      <c r="J2" s="70"/>
      <c r="K2" s="70"/>
      <c r="L2" s="70"/>
      <c r="M2" s="70"/>
      <c r="N2" s="70"/>
    </row>
    <row r="3" spans="1:14" ht="15.75">
      <c r="A3" s="69" t="s">
        <v>1560</v>
      </c>
      <c r="B3" s="70"/>
      <c r="C3" s="70"/>
      <c r="D3" s="70"/>
      <c r="E3" s="70"/>
      <c r="F3" s="70"/>
      <c r="G3" s="70"/>
      <c r="H3" s="70"/>
      <c r="I3" s="68"/>
      <c r="J3" s="70"/>
      <c r="K3" s="70"/>
      <c r="L3" s="70"/>
      <c r="M3" s="70"/>
      <c r="N3" s="70"/>
    </row>
    <row r="4" spans="1:14" ht="15.75">
      <c r="A4" s="224"/>
      <c r="B4" s="224"/>
      <c r="C4" s="224"/>
      <c r="D4" s="224"/>
      <c r="E4" s="224"/>
      <c r="F4" s="224"/>
      <c r="G4" s="224"/>
      <c r="H4" s="224"/>
      <c r="I4" s="224"/>
      <c r="J4" s="224"/>
      <c r="K4" s="224"/>
      <c r="L4" s="224"/>
      <c r="M4" s="224"/>
      <c r="N4" s="224"/>
    </row>
    <row r="5" spans="1:14" ht="15.75">
      <c r="A5" s="155"/>
      <c r="B5" s="155"/>
      <c r="C5" s="68"/>
      <c r="D5" s="155" t="s">
        <v>931</v>
      </c>
      <c r="E5" s="155" t="s">
        <v>932</v>
      </c>
      <c r="F5" s="155" t="s">
        <v>911</v>
      </c>
      <c r="G5" s="155" t="s">
        <v>933</v>
      </c>
      <c r="H5" s="155" t="s">
        <v>674</v>
      </c>
      <c r="I5" s="155" t="s">
        <v>759</v>
      </c>
      <c r="J5" s="155"/>
      <c r="K5" s="155"/>
      <c r="L5" s="155"/>
      <c r="M5" s="155"/>
      <c r="N5" s="155"/>
    </row>
    <row r="6" spans="1:14" ht="15.75">
      <c r="A6" s="225" t="s">
        <v>12</v>
      </c>
      <c r="B6" s="155"/>
      <c r="C6" s="68"/>
      <c r="D6" s="155" t="s">
        <v>519</v>
      </c>
      <c r="E6" s="155" t="s">
        <v>678</v>
      </c>
      <c r="F6" s="155" t="s">
        <v>681</v>
      </c>
      <c r="G6" s="155"/>
      <c r="H6" s="155" t="s">
        <v>681</v>
      </c>
      <c r="I6" s="155"/>
      <c r="J6" s="155"/>
      <c r="K6" s="155"/>
      <c r="L6" s="155"/>
      <c r="M6" s="155"/>
      <c r="N6" s="155"/>
    </row>
    <row r="7" spans="1:14" ht="15.75">
      <c r="A7" s="226" t="s">
        <v>139</v>
      </c>
      <c r="B7" s="155">
        <f>+'Pro Forma'!F7-768754+204027</f>
        <v>4047052.8651732299</v>
      </c>
      <c r="C7" s="155"/>
      <c r="D7" s="155">
        <f>+B7</f>
        <v>4047052.8651732299</v>
      </c>
      <c r="E7" s="155"/>
      <c r="F7" s="155"/>
      <c r="G7" s="155"/>
      <c r="H7" s="155"/>
      <c r="I7" s="155"/>
      <c r="J7" s="155"/>
      <c r="K7" s="155"/>
      <c r="L7" s="155"/>
      <c r="M7" s="155"/>
      <c r="N7" s="155">
        <f>+B7-SUM(D7:I7)</f>
        <v>0</v>
      </c>
    </row>
    <row r="8" spans="1:14" ht="15.75">
      <c r="A8" s="226" t="s">
        <v>140</v>
      </c>
      <c r="B8" s="155">
        <f>+'Pro Forma'!F8-1286534</f>
        <v>3329181.7393136732</v>
      </c>
      <c r="C8" s="155"/>
      <c r="D8" s="155">
        <f>+B8</f>
        <v>3329181.7393136732</v>
      </c>
      <c r="E8" s="155"/>
      <c r="F8" s="155"/>
      <c r="G8" s="155"/>
      <c r="H8" s="155"/>
      <c r="I8" s="155"/>
      <c r="J8" s="155"/>
      <c r="K8" s="155"/>
      <c r="L8" s="155"/>
      <c r="M8" s="155"/>
      <c r="N8" s="155">
        <f t="shared" ref="N8:N72" si="0">+B8-SUM(D8:I8)</f>
        <v>0</v>
      </c>
    </row>
    <row r="9" spans="1:14" ht="15.75">
      <c r="A9" s="226" t="s">
        <v>141</v>
      </c>
      <c r="B9" s="155">
        <f>+'Pro Forma'!F9-3033</f>
        <v>1487968.8353538932</v>
      </c>
      <c r="C9" s="155"/>
      <c r="D9" s="155">
        <f>+B9</f>
        <v>1487968.8353538932</v>
      </c>
      <c r="E9" s="155"/>
      <c r="F9" s="155"/>
      <c r="G9" s="155"/>
      <c r="H9" s="155"/>
      <c r="I9" s="155"/>
      <c r="J9" s="155"/>
      <c r="K9" s="155"/>
      <c r="L9" s="155"/>
      <c r="M9" s="155"/>
      <c r="N9" s="155">
        <f t="shared" si="0"/>
        <v>0</v>
      </c>
    </row>
    <row r="10" spans="1:14" ht="15.75">
      <c r="A10" s="226" t="s">
        <v>142</v>
      </c>
      <c r="B10" s="155">
        <f>+'Pro Forma'!F10</f>
        <v>3340241.42</v>
      </c>
      <c r="C10" s="155"/>
      <c r="D10" s="155">
        <f>+B10</f>
        <v>3340241.42</v>
      </c>
      <c r="E10" s="155"/>
      <c r="F10" s="155"/>
      <c r="G10" s="155"/>
      <c r="H10" s="155"/>
      <c r="I10" s="155"/>
      <c r="J10" s="155"/>
      <c r="K10" s="155"/>
      <c r="L10" s="155"/>
      <c r="M10" s="155"/>
      <c r="N10" s="155">
        <f t="shared" si="0"/>
        <v>0</v>
      </c>
    </row>
    <row r="11" spans="1:14" ht="15.75">
      <c r="A11" s="226" t="s">
        <v>143</v>
      </c>
      <c r="B11" s="155">
        <f>+'Pro Forma'!F11+934524-30684</f>
        <v>2066120.2491653257</v>
      </c>
      <c r="C11" s="155"/>
      <c r="D11" s="155"/>
      <c r="E11" s="155"/>
      <c r="F11" s="155">
        <f>+B11</f>
        <v>2066120.2491653257</v>
      </c>
      <c r="G11" s="155"/>
      <c r="H11" s="155"/>
      <c r="I11" s="155"/>
      <c r="J11" s="155"/>
      <c r="K11" s="155"/>
      <c r="L11" s="155"/>
      <c r="M11" s="155"/>
      <c r="N11" s="155">
        <f t="shared" si="0"/>
        <v>0</v>
      </c>
    </row>
    <row r="12" spans="1:14" ht="15.75">
      <c r="A12" s="226" t="s">
        <v>144</v>
      </c>
      <c r="B12" s="155">
        <f>+'Pro Forma'!F12</f>
        <v>1191960.3799999999</v>
      </c>
      <c r="C12" s="155"/>
      <c r="D12" s="155"/>
      <c r="E12" s="155"/>
      <c r="F12" s="155"/>
      <c r="G12" s="155"/>
      <c r="H12" s="155">
        <f>+B12</f>
        <v>1191960.3799999999</v>
      </c>
      <c r="I12" s="155"/>
      <c r="J12" s="155"/>
      <c r="K12" s="155"/>
      <c r="L12" s="155"/>
      <c r="M12" s="155"/>
      <c r="N12" s="155">
        <f t="shared" si="0"/>
        <v>0</v>
      </c>
    </row>
    <row r="13" spans="1:14" ht="15.75">
      <c r="A13" s="226" t="s">
        <v>145</v>
      </c>
      <c r="B13" s="155">
        <f>+'Pro Forma'!F13+826826-8708</f>
        <v>1720581.5875252369</v>
      </c>
      <c r="C13" s="155"/>
      <c r="D13" s="155"/>
      <c r="E13" s="155"/>
      <c r="F13" s="155"/>
      <c r="G13" s="155">
        <f>+B13</f>
        <v>1720581.5875252369</v>
      </c>
      <c r="H13" s="155"/>
      <c r="I13" s="155"/>
      <c r="J13" s="155"/>
      <c r="K13" s="155"/>
      <c r="L13" s="155"/>
      <c r="M13" s="155"/>
      <c r="N13" s="155">
        <f t="shared" si="0"/>
        <v>0</v>
      </c>
    </row>
    <row r="14" spans="1:14" ht="15.75">
      <c r="A14" s="226" t="s">
        <v>146</v>
      </c>
      <c r="B14" s="155">
        <f>+'Pro Forma'!F14+132336</f>
        <v>1474851.4651472569</v>
      </c>
      <c r="C14" s="155"/>
      <c r="D14" s="155"/>
      <c r="E14" s="155">
        <f>+B14</f>
        <v>1474851.4651472569</v>
      </c>
      <c r="F14" s="155"/>
      <c r="G14" s="155"/>
      <c r="H14" s="155"/>
      <c r="I14" s="155"/>
      <c r="J14" s="155"/>
      <c r="K14" s="155"/>
      <c r="L14" s="155"/>
      <c r="M14" s="155"/>
      <c r="N14" s="155">
        <f t="shared" si="0"/>
        <v>0</v>
      </c>
    </row>
    <row r="15" spans="1:14" ht="15.75">
      <c r="A15" s="226" t="s">
        <v>484</v>
      </c>
      <c r="B15" s="155">
        <f>+'Pro Forma'!F15</f>
        <v>895927.08</v>
      </c>
      <c r="C15" s="155"/>
      <c r="D15" s="155"/>
      <c r="E15" s="155"/>
      <c r="F15" s="155"/>
      <c r="G15" s="155"/>
      <c r="H15" s="155"/>
      <c r="I15" s="155">
        <f>+B15</f>
        <v>895927.08</v>
      </c>
      <c r="J15" s="155"/>
      <c r="K15" s="155"/>
      <c r="L15" s="155"/>
      <c r="M15" s="155"/>
      <c r="N15" s="155">
        <f t="shared" si="0"/>
        <v>0</v>
      </c>
    </row>
    <row r="16" spans="1:14" ht="15.75">
      <c r="A16" s="226" t="s">
        <v>147</v>
      </c>
      <c r="B16" s="155">
        <f>+'Pro Forma'!F16</f>
        <v>0</v>
      </c>
      <c r="C16" s="155"/>
      <c r="D16" s="155"/>
      <c r="E16" s="155"/>
      <c r="F16" s="155"/>
      <c r="G16" s="155"/>
      <c r="H16" s="155">
        <f>+B16</f>
        <v>0</v>
      </c>
      <c r="I16" s="155"/>
      <c r="J16" s="155"/>
      <c r="K16" s="155"/>
      <c r="L16" s="155"/>
      <c r="M16" s="155"/>
      <c r="N16" s="155">
        <f t="shared" si="0"/>
        <v>0</v>
      </c>
    </row>
    <row r="17" spans="1:14" ht="15.75">
      <c r="A17" s="226" t="s">
        <v>148</v>
      </c>
      <c r="B17" s="155">
        <f>+'Pro Forma'!F17</f>
        <v>11713.67</v>
      </c>
      <c r="C17" s="155"/>
      <c r="D17" s="155"/>
      <c r="E17" s="155"/>
      <c r="F17" s="155"/>
      <c r="G17" s="155"/>
      <c r="H17" s="155"/>
      <c r="I17" s="155">
        <f>+B17</f>
        <v>11713.67</v>
      </c>
      <c r="J17" s="155"/>
      <c r="K17" s="155"/>
      <c r="L17" s="155"/>
      <c r="M17" s="155"/>
      <c r="N17" s="155">
        <f t="shared" si="0"/>
        <v>0</v>
      </c>
    </row>
    <row r="18" spans="1:14" ht="15.75">
      <c r="A18" s="226" t="s">
        <v>149</v>
      </c>
      <c r="B18" s="155">
        <f>+'Pro Forma'!F18</f>
        <v>30683.871803280923</v>
      </c>
      <c r="C18" s="155"/>
      <c r="D18" s="155"/>
      <c r="E18" s="155"/>
      <c r="F18" s="155">
        <f>+B18</f>
        <v>30683.871803280923</v>
      </c>
      <c r="G18" s="155"/>
      <c r="H18" s="155"/>
      <c r="I18" s="155"/>
      <c r="J18" s="155"/>
      <c r="K18" s="155"/>
      <c r="L18" s="155"/>
      <c r="M18" s="155"/>
      <c r="N18" s="155">
        <f t="shared" si="0"/>
        <v>0</v>
      </c>
    </row>
    <row r="19" spans="1:14" ht="15.75">
      <c r="A19" s="226" t="s">
        <v>150</v>
      </c>
      <c r="B19" s="155">
        <f>+'Pro Forma'!F19</f>
        <v>2286.7600000000002</v>
      </c>
      <c r="C19" s="155"/>
      <c r="D19" s="155"/>
      <c r="E19" s="155"/>
      <c r="F19" s="155"/>
      <c r="G19" s="155"/>
      <c r="H19" s="155">
        <f>+B19</f>
        <v>2286.7600000000002</v>
      </c>
      <c r="I19" s="155"/>
      <c r="J19" s="155"/>
      <c r="K19" s="155"/>
      <c r="L19" s="155"/>
      <c r="M19" s="155"/>
      <c r="N19" s="155">
        <f t="shared" si="0"/>
        <v>0</v>
      </c>
    </row>
    <row r="20" spans="1:14" ht="15.75">
      <c r="A20" s="226" t="s">
        <v>151</v>
      </c>
      <c r="B20" s="227">
        <f>+'Pro Forma'!F20</f>
        <v>8707.6165181039469</v>
      </c>
      <c r="C20" s="227"/>
      <c r="D20" s="227"/>
      <c r="E20" s="227"/>
      <c r="F20" s="227"/>
      <c r="G20" s="227">
        <f>+B20</f>
        <v>8707.6165181039469</v>
      </c>
      <c r="H20" s="227"/>
      <c r="I20" s="227"/>
      <c r="J20" s="227"/>
      <c r="K20" s="227"/>
      <c r="L20" s="227"/>
      <c r="M20" s="227"/>
      <c r="N20" s="155">
        <f t="shared" si="0"/>
        <v>0</v>
      </c>
    </row>
    <row r="21" spans="1:14" ht="15.75">
      <c r="A21" s="228" t="s">
        <v>152</v>
      </c>
      <c r="B21" s="155">
        <f>SUM(B7:B20)</f>
        <v>19607277.540000003</v>
      </c>
      <c r="C21" s="155"/>
      <c r="D21" s="155">
        <f t="shared" ref="D21:I21" si="1">SUM(D7:D20)</f>
        <v>12204444.859840797</v>
      </c>
      <c r="E21" s="155">
        <f t="shared" si="1"/>
        <v>1474851.4651472569</v>
      </c>
      <c r="F21" s="155">
        <f t="shared" si="1"/>
        <v>2096804.1209686066</v>
      </c>
      <c r="G21" s="155">
        <f t="shared" si="1"/>
        <v>1729289.2040433409</v>
      </c>
      <c r="H21" s="155">
        <f t="shared" si="1"/>
        <v>1194247.1399999999</v>
      </c>
      <c r="I21" s="155">
        <f t="shared" si="1"/>
        <v>907640.75</v>
      </c>
      <c r="J21" s="155"/>
      <c r="K21" s="155"/>
      <c r="L21" s="155"/>
      <c r="M21" s="155"/>
      <c r="N21" s="155">
        <f t="shared" si="0"/>
        <v>0</v>
      </c>
    </row>
    <row r="22" spans="1:14" ht="15.75">
      <c r="A22" s="225" t="s">
        <v>934</v>
      </c>
      <c r="B22" s="155"/>
      <c r="C22" s="155"/>
      <c r="D22" s="155"/>
      <c r="E22" s="155"/>
      <c r="F22" s="155"/>
      <c r="G22" s="155"/>
      <c r="H22" s="155"/>
      <c r="I22" s="155"/>
      <c r="J22" s="155"/>
      <c r="K22" s="155"/>
      <c r="L22" s="155"/>
      <c r="M22" s="155"/>
      <c r="N22" s="155">
        <f t="shared" si="0"/>
        <v>0</v>
      </c>
    </row>
    <row r="23" spans="1:14" ht="15.75">
      <c r="A23" s="229" t="s">
        <v>12</v>
      </c>
      <c r="B23" s="155"/>
      <c r="C23" s="230" t="s">
        <v>542</v>
      </c>
      <c r="D23" s="231">
        <f>+D21/$B$21</f>
        <v>0.62244464255391962</v>
      </c>
      <c r="E23" s="231">
        <f t="shared" ref="E23:I23" si="2">+E21/$B$21</f>
        <v>7.5219594466313489E-2</v>
      </c>
      <c r="F23" s="231">
        <f t="shared" si="2"/>
        <v>0.10694009490562892</v>
      </c>
      <c r="G23" s="231">
        <f t="shared" si="2"/>
        <v>8.8196293468865775E-2</v>
      </c>
      <c r="H23" s="231">
        <f t="shared" si="2"/>
        <v>6.0908361069692885E-2</v>
      </c>
      <c r="I23" s="231">
        <f t="shared" si="2"/>
        <v>4.6291013535579295E-2</v>
      </c>
      <c r="J23" s="117">
        <f>SUM(D23:I23)</f>
        <v>1</v>
      </c>
      <c r="K23" s="155"/>
      <c r="L23" s="155"/>
      <c r="M23" s="155"/>
      <c r="N23" s="155">
        <f t="shared" si="0"/>
        <v>-1</v>
      </c>
    </row>
    <row r="24" spans="1:14" ht="15.75">
      <c r="A24" s="229" t="s">
        <v>935</v>
      </c>
      <c r="B24" s="155"/>
      <c r="C24" s="230" t="s">
        <v>168</v>
      </c>
      <c r="D24" s="231">
        <f>+Customers!G9</f>
        <v>0.86953007458625431</v>
      </c>
      <c r="E24" s="231">
        <f>+Customers!B9</f>
        <v>4.7372675181663951E-2</v>
      </c>
      <c r="F24" s="231">
        <f>+Customers!C9</f>
        <v>7.9455968500912327E-2</v>
      </c>
      <c r="G24" s="231">
        <f>+Customers!D9</f>
        <v>2.9770479208681457E-3</v>
      </c>
      <c r="H24" s="231">
        <f>+Customers!E9</f>
        <v>6.6423381030122604E-4</v>
      </c>
      <c r="I24" s="231"/>
      <c r="J24" s="117">
        <f t="shared" ref="J24:J27" si="3">SUM(D24:I24)</f>
        <v>1</v>
      </c>
      <c r="K24" s="155"/>
      <c r="L24" s="155"/>
      <c r="M24" s="155"/>
      <c r="N24" s="155">
        <f t="shared" si="0"/>
        <v>-1</v>
      </c>
    </row>
    <row r="25" spans="1:14" ht="15.75">
      <c r="A25" s="229" t="s">
        <v>936</v>
      </c>
      <c r="B25" s="155"/>
      <c r="C25" s="230" t="s">
        <v>155</v>
      </c>
      <c r="D25" s="231">
        <f>+'Truck Miles'!G15+'Truck Miles'!G31+'Truck Miles'!G51</f>
        <v>0.53974933134291225</v>
      </c>
      <c r="E25" s="231">
        <f>+'Truck Miles'!G66</f>
        <v>9.3716178391490948E-2</v>
      </c>
      <c r="F25" s="231">
        <f>+'Truck Miles'!G39</f>
        <v>0.11157398768426946</v>
      </c>
      <c r="G25" s="231">
        <f>+'Truck Miles'!G25</f>
        <v>3.3524600360763823E-2</v>
      </c>
      <c r="H25" s="231">
        <f>+'Truck Miles'!G21+'Truck Miles'!G58</f>
        <v>0.22143590222056353</v>
      </c>
      <c r="I25" s="231"/>
      <c r="J25" s="117">
        <f t="shared" si="3"/>
        <v>1</v>
      </c>
      <c r="K25" s="155"/>
      <c r="L25" s="155"/>
      <c r="M25" s="155"/>
      <c r="N25" s="155">
        <f t="shared" si="0"/>
        <v>-1</v>
      </c>
    </row>
    <row r="26" spans="1:14" ht="15.75">
      <c r="A26" s="229" t="s">
        <v>937</v>
      </c>
      <c r="B26" s="155"/>
      <c r="C26" s="230" t="s">
        <v>159</v>
      </c>
      <c r="D26" s="231">
        <f>+'All Payroll'!B108</f>
        <v>0.60264952966999574</v>
      </c>
      <c r="E26" s="231">
        <f>+'All Payroll'!C108</f>
        <v>5.8833053627857103E-2</v>
      </c>
      <c r="F26" s="231">
        <f>+'All Payroll'!D108</f>
        <v>0.2128545127191806</v>
      </c>
      <c r="G26" s="231">
        <f>+'All Payroll'!E108</f>
        <v>5.516184476215253E-2</v>
      </c>
      <c r="H26" s="231">
        <f>+'All Payroll'!F108</f>
        <v>2.2534802876295494E-2</v>
      </c>
      <c r="I26" s="231">
        <f>+'All Payroll'!G108</f>
        <v>4.7966256344518662E-2</v>
      </c>
      <c r="J26" s="117">
        <f t="shared" si="3"/>
        <v>1</v>
      </c>
      <c r="K26" s="155"/>
      <c r="L26" s="155"/>
      <c r="M26" s="155"/>
      <c r="N26" s="155">
        <f t="shared" si="0"/>
        <v>-1</v>
      </c>
    </row>
    <row r="27" spans="1:14" ht="15.75">
      <c r="A27" s="229" t="s">
        <v>938</v>
      </c>
      <c r="B27" s="155"/>
      <c r="C27" s="230" t="s">
        <v>191</v>
      </c>
      <c r="D27" s="231">
        <f>+'All Payroll'!I108</f>
        <v>0.54681919746698093</v>
      </c>
      <c r="E27" s="231">
        <f>+'All Payroll'!J108</f>
        <v>8.4481680129055714E-2</v>
      </c>
      <c r="F27" s="231">
        <f>+'All Payroll'!K108</f>
        <v>0.23222155900333946</v>
      </c>
      <c r="G27" s="231">
        <f>+'All Payroll'!L108</f>
        <v>0</v>
      </c>
      <c r="H27" s="231">
        <f>+'All Payroll'!M108</f>
        <v>0.11175715310193196</v>
      </c>
      <c r="I27" s="231">
        <f>+'All Payroll'!N108</f>
        <v>2.4720410298691837E-2</v>
      </c>
      <c r="J27" s="117">
        <f t="shared" si="3"/>
        <v>0.99999999999999989</v>
      </c>
      <c r="K27" s="155"/>
      <c r="L27" s="155"/>
      <c r="M27" s="155"/>
      <c r="N27" s="155">
        <f t="shared" si="0"/>
        <v>-0.99999999999999989</v>
      </c>
    </row>
    <row r="28" spans="1:14" ht="15.75">
      <c r="A28" s="229" t="s">
        <v>939</v>
      </c>
      <c r="B28" s="155"/>
      <c r="C28" s="230" t="s">
        <v>163</v>
      </c>
      <c r="D28" s="155"/>
      <c r="E28" s="155"/>
      <c r="F28" s="155"/>
      <c r="G28" s="155"/>
      <c r="H28" s="155"/>
      <c r="I28" s="155"/>
      <c r="J28" s="155"/>
      <c r="K28" s="155"/>
      <c r="L28" s="155"/>
      <c r="M28" s="155"/>
      <c r="N28" s="155">
        <f t="shared" si="0"/>
        <v>0</v>
      </c>
    </row>
    <row r="29" spans="1:14" ht="15.75">
      <c r="A29" s="228"/>
      <c r="B29" s="155"/>
      <c r="C29" s="155"/>
      <c r="D29" s="155"/>
      <c r="E29" s="155"/>
      <c r="F29" s="155"/>
      <c r="G29" s="155"/>
      <c r="H29" s="155"/>
      <c r="I29" s="155"/>
      <c r="J29" s="155"/>
      <c r="K29" s="155"/>
      <c r="L29" s="155"/>
      <c r="M29" s="155"/>
      <c r="N29" s="155">
        <f t="shared" si="0"/>
        <v>0</v>
      </c>
    </row>
    <row r="30" spans="1:14" ht="15.75">
      <c r="A30" s="225" t="s">
        <v>153</v>
      </c>
      <c r="B30" s="155"/>
      <c r="C30" s="155"/>
      <c r="D30" s="155"/>
      <c r="E30" s="155"/>
      <c r="F30" s="155"/>
      <c r="G30" s="155"/>
      <c r="H30" s="155"/>
      <c r="I30" s="155"/>
      <c r="J30" s="155"/>
      <c r="K30" s="155"/>
      <c r="L30" s="155"/>
      <c r="M30" s="155"/>
      <c r="N30" s="155">
        <f t="shared" si="0"/>
        <v>0</v>
      </c>
    </row>
    <row r="31" spans="1:14" ht="15.75">
      <c r="A31" s="226" t="s">
        <v>154</v>
      </c>
      <c r="B31" s="155">
        <f>+'Pro Forma'!F23</f>
        <v>3185781.5999999996</v>
      </c>
      <c r="C31" s="230" t="s">
        <v>155</v>
      </c>
      <c r="D31" s="155">
        <f t="shared" ref="D31:I31" si="4">+$B$31*D25</f>
        <v>1719523.4884045529</v>
      </c>
      <c r="E31" s="155">
        <f t="shared" si="4"/>
        <v>298559.27674192941</v>
      </c>
      <c r="F31" s="155">
        <f t="shared" si="4"/>
        <v>355450.35700317222</v>
      </c>
      <c r="G31" s="155">
        <f t="shared" si="4"/>
        <v>106802.05497667474</v>
      </c>
      <c r="H31" s="155">
        <f t="shared" si="4"/>
        <v>705446.42287367035</v>
      </c>
      <c r="I31" s="155">
        <f t="shared" si="4"/>
        <v>0</v>
      </c>
      <c r="J31" s="155"/>
      <c r="K31" s="155"/>
      <c r="L31" s="155"/>
      <c r="M31" s="155"/>
      <c r="N31" s="155">
        <f t="shared" si="0"/>
        <v>0</v>
      </c>
    </row>
    <row r="32" spans="1:14" ht="15.75">
      <c r="A32" s="226" t="s">
        <v>156</v>
      </c>
      <c r="B32" s="155">
        <f>+'Pro Forma'!F24</f>
        <v>122410.46</v>
      </c>
      <c r="C32" s="230" t="s">
        <v>155</v>
      </c>
      <c r="D32" s="155">
        <f t="shared" ref="D32:I32" si="5">+$B$32*D25</f>
        <v>66070.963934378306</v>
      </c>
      <c r="E32" s="155">
        <f t="shared" si="5"/>
        <v>11471.840506344468</v>
      </c>
      <c r="F32" s="155">
        <f t="shared" si="5"/>
        <v>13657.82315646576</v>
      </c>
      <c r="G32" s="155">
        <f t="shared" si="5"/>
        <v>4103.7617514772655</v>
      </c>
      <c r="H32" s="155">
        <f t="shared" si="5"/>
        <v>27106.070651334205</v>
      </c>
      <c r="I32" s="155">
        <f t="shared" si="5"/>
        <v>0</v>
      </c>
      <c r="J32" s="155"/>
      <c r="K32" s="155"/>
      <c r="L32" s="155"/>
      <c r="M32" s="155"/>
      <c r="N32" s="155">
        <f t="shared" si="0"/>
        <v>0</v>
      </c>
    </row>
    <row r="33" spans="1:14" ht="15.75">
      <c r="A33" s="226" t="s">
        <v>157</v>
      </c>
      <c r="B33" s="155">
        <f>+'Pro Forma'!F25</f>
        <v>44151.8</v>
      </c>
      <c r="C33" s="230" t="s">
        <v>155</v>
      </c>
      <c r="D33" s="155">
        <f t="shared" ref="D33:I33" si="6">+$B$33*D25</f>
        <v>23830.904527585993</v>
      </c>
      <c r="E33" s="155">
        <f t="shared" si="6"/>
        <v>4137.7379651054307</v>
      </c>
      <c r="F33" s="155">
        <f t="shared" si="6"/>
        <v>4926.192389438329</v>
      </c>
      <c r="G33" s="155">
        <f t="shared" si="6"/>
        <v>1480.1714502083723</v>
      </c>
      <c r="H33" s="155">
        <f t="shared" si="6"/>
        <v>9776.7936676618774</v>
      </c>
      <c r="I33" s="155">
        <f t="shared" si="6"/>
        <v>0</v>
      </c>
      <c r="J33" s="155"/>
      <c r="K33" s="155"/>
      <c r="L33" s="155"/>
      <c r="M33" s="155"/>
      <c r="N33" s="155">
        <f t="shared" si="0"/>
        <v>0</v>
      </c>
    </row>
    <row r="34" spans="1:14" ht="15.75">
      <c r="A34" s="226" t="s">
        <v>940</v>
      </c>
      <c r="B34" s="155">
        <f>+'Pro Forma'!F26</f>
        <v>2948.21</v>
      </c>
      <c r="C34" s="230" t="s">
        <v>155</v>
      </c>
      <c r="D34" s="155">
        <f>+$B$34*D25</f>
        <v>1591.2943761584875</v>
      </c>
      <c r="E34" s="155">
        <f>+$B$34*E25</f>
        <v>276.2949742955775</v>
      </c>
      <c r="F34" s="155">
        <f>+$B$34*F25</f>
        <v>328.9435462306401</v>
      </c>
      <c r="G34" s="155">
        <f>+$B$34*G25</f>
        <v>98.837562029607511</v>
      </c>
      <c r="H34" s="155">
        <f>+$B$34*H25</f>
        <v>652.83954128568757</v>
      </c>
      <c r="I34" s="155"/>
      <c r="J34" s="155"/>
      <c r="K34" s="155"/>
      <c r="L34" s="155"/>
      <c r="M34" s="155"/>
      <c r="N34" s="155">
        <f t="shared" si="0"/>
        <v>0</v>
      </c>
    </row>
    <row r="35" spans="1:14" ht="15.75">
      <c r="A35" s="226" t="s">
        <v>158</v>
      </c>
      <c r="B35" s="155">
        <f>+'Pro Forma'!F27</f>
        <v>2930595.8680369584</v>
      </c>
      <c r="C35" s="230" t="s">
        <v>159</v>
      </c>
      <c r="D35" s="155">
        <f t="shared" ref="D35:I35" si="7">+$B$35*D26</f>
        <v>1766122.2215253059</v>
      </c>
      <c r="E35" s="155">
        <f t="shared" si="7"/>
        <v>172415.9038657948</v>
      </c>
      <c r="F35" s="155">
        <f>+$B$35*F26+'[3]Staff Adjustments'!D37</f>
        <v>623790.55546785088</v>
      </c>
      <c r="G35" s="155">
        <f t="shared" si="7"/>
        <v>161657.07433326033</v>
      </c>
      <c r="H35" s="155">
        <f t="shared" si="7"/>
        <v>66040.400196298942</v>
      </c>
      <c r="I35" s="155">
        <f t="shared" si="7"/>
        <v>140569.71264844792</v>
      </c>
      <c r="J35" s="155"/>
      <c r="K35" s="155"/>
      <c r="L35" s="155"/>
      <c r="M35" s="155"/>
      <c r="N35" s="155">
        <f t="shared" si="0"/>
        <v>0</v>
      </c>
    </row>
    <row r="36" spans="1:14" ht="15.75">
      <c r="A36" s="226" t="s">
        <v>160</v>
      </c>
      <c r="B36" s="155">
        <f>+'Pro Forma'!F28</f>
        <v>337662.13999999996</v>
      </c>
      <c r="C36" s="230" t="s">
        <v>155</v>
      </c>
      <c r="D36" s="155">
        <f t="shared" ref="D36:I36" si="8">+$B$36*D25</f>
        <v>182252.9142848168</v>
      </c>
      <c r="E36" s="155">
        <f t="shared" si="8"/>
        <v>31644.405348292588</v>
      </c>
      <c r="F36" s="155">
        <f t="shared" si="8"/>
        <v>37674.311449804067</v>
      </c>
      <c r="G36" s="155">
        <f t="shared" si="8"/>
        <v>11319.988300460283</v>
      </c>
      <c r="H36" s="155">
        <f t="shared" si="8"/>
        <v>74770.520616626221</v>
      </c>
      <c r="I36" s="155">
        <f t="shared" si="8"/>
        <v>0</v>
      </c>
      <c r="J36" s="155"/>
      <c r="K36" s="155"/>
      <c r="L36" s="155"/>
      <c r="M36" s="155"/>
      <c r="N36" s="155">
        <f t="shared" si="0"/>
        <v>0</v>
      </c>
    </row>
    <row r="37" spans="1:14" ht="15.75">
      <c r="A37" s="226" t="s">
        <v>161</v>
      </c>
      <c r="B37" s="155">
        <f>+'Pro Forma'!F29</f>
        <v>74364.37</v>
      </c>
      <c r="C37" s="230" t="s">
        <v>155</v>
      </c>
      <c r="D37" s="155">
        <f>+$B$37*D25</f>
        <v>40138.11898323692</v>
      </c>
      <c r="E37" s="155">
        <f>+$B$37*E25</f>
        <v>6969.1445648908375</v>
      </c>
      <c r="F37" s="155">
        <f>+$B$37*F25</f>
        <v>8297.1293025284576</v>
      </c>
      <c r="G37" s="155">
        <f>+$B$37*G25</f>
        <v>2493.0357853299743</v>
      </c>
      <c r="H37" s="155">
        <f>+$B$37*H25</f>
        <v>16466.941364013808</v>
      </c>
      <c r="I37" s="155"/>
      <c r="J37" s="155"/>
      <c r="K37" s="155"/>
      <c r="L37" s="155"/>
      <c r="M37" s="155"/>
      <c r="N37" s="155">
        <f t="shared" si="0"/>
        <v>0</v>
      </c>
    </row>
    <row r="38" spans="1:14" ht="15.75">
      <c r="A38" s="226" t="s">
        <v>162</v>
      </c>
      <c r="B38" s="155">
        <f>+'Pro Forma'!F30</f>
        <v>4855039.09</v>
      </c>
      <c r="C38" s="232" t="s">
        <v>163</v>
      </c>
      <c r="D38" s="155">
        <f>+'Disposal Cost'!H159+'Disposal Cost'!I159</f>
        <v>3887447.9699999997</v>
      </c>
      <c r="E38" s="155">
        <f>+'Disposal Cost'!K159+'Disposal Cost'!L159</f>
        <v>4641.51</v>
      </c>
      <c r="F38" s="155">
        <f>+'Disposal Cost'!F159</f>
        <v>661167.67000000016</v>
      </c>
      <c r="G38" s="155"/>
      <c r="H38" s="155">
        <f>+'Disposal Cost'!G159</f>
        <v>261097.64</v>
      </c>
      <c r="I38" s="155">
        <f>+'Disposal Cost'!P159+'Disposal Cost'!Q159+'Disposal Cost'!S159+174</f>
        <v>40684.170000000006</v>
      </c>
      <c r="J38" s="155"/>
      <c r="K38" s="155"/>
      <c r="L38" s="155"/>
      <c r="M38" s="155"/>
      <c r="N38" s="155">
        <f t="shared" si="0"/>
        <v>0.13000000081956387</v>
      </c>
    </row>
    <row r="39" spans="1:14" ht="15.75">
      <c r="A39" s="226" t="s">
        <v>164</v>
      </c>
      <c r="B39" s="155">
        <f>+'Pro Forma'!F31</f>
        <v>3340241.37</v>
      </c>
      <c r="C39" s="232" t="s">
        <v>163</v>
      </c>
      <c r="D39" s="155">
        <f>+'Disposal Cost'!J159</f>
        <v>3340241.42</v>
      </c>
      <c r="E39" s="155"/>
      <c r="F39" s="155"/>
      <c r="G39" s="155"/>
      <c r="H39" s="155"/>
      <c r="I39" s="155"/>
      <c r="J39" s="155"/>
      <c r="K39" s="155"/>
      <c r="L39" s="155"/>
      <c r="M39" s="155"/>
      <c r="N39" s="155">
        <f t="shared" si="0"/>
        <v>-4.9999999813735485E-2</v>
      </c>
    </row>
    <row r="40" spans="1:14" ht="15.75">
      <c r="A40" s="226" t="s">
        <v>165</v>
      </c>
      <c r="B40" s="155">
        <f>+'Pro Forma'!F32</f>
        <v>718186.83</v>
      </c>
      <c r="C40" s="232" t="s">
        <v>163</v>
      </c>
      <c r="D40" s="155"/>
      <c r="E40" s="155"/>
      <c r="F40" s="155">
        <f>+'12 Month P&amp;L'!P152</f>
        <v>531687.76</v>
      </c>
      <c r="G40" s="155">
        <f>+'12 Month P&amp;L'!P154</f>
        <v>136476.15</v>
      </c>
      <c r="H40" s="155">
        <f>+'12 Month P&amp;L'!P153</f>
        <v>50022.92</v>
      </c>
      <c r="I40" s="155"/>
      <c r="J40" s="155"/>
      <c r="K40" s="155"/>
      <c r="L40" s="155"/>
      <c r="M40" s="155"/>
      <c r="N40" s="155">
        <f t="shared" si="0"/>
        <v>0</v>
      </c>
    </row>
    <row r="41" spans="1:14" ht="15.75">
      <c r="A41" s="226" t="s">
        <v>166</v>
      </c>
      <c r="B41" s="155">
        <f>+'Pro Forma'!F33</f>
        <v>695565.74</v>
      </c>
      <c r="C41" s="230" t="s">
        <v>159</v>
      </c>
      <c r="D41" s="155">
        <f t="shared" ref="D41:I41" si="9">+$B$41*D26</f>
        <v>419182.36606556253</v>
      </c>
      <c r="E41" s="155">
        <f t="shared" si="9"/>
        <v>40922.256483120109</v>
      </c>
      <c r="F41" s="155">
        <f t="shared" si="9"/>
        <v>148054.30665185626</v>
      </c>
      <c r="G41" s="155">
        <f t="shared" si="9"/>
        <v>38368.689371751745</v>
      </c>
      <c r="H41" s="155">
        <f t="shared" si="9"/>
        <v>15674.436838404603</v>
      </c>
      <c r="I41" s="155">
        <f t="shared" si="9"/>
        <v>33363.684589304816</v>
      </c>
      <c r="J41" s="155"/>
      <c r="K41" s="155"/>
      <c r="L41" s="155"/>
      <c r="M41" s="155"/>
      <c r="N41" s="155">
        <f t="shared" si="0"/>
        <v>0</v>
      </c>
    </row>
    <row r="42" spans="1:14" ht="15.75">
      <c r="A42" s="226" t="s">
        <v>167</v>
      </c>
      <c r="B42" s="155">
        <f>+'Pro Forma'!F34</f>
        <v>30346.5736</v>
      </c>
      <c r="C42" s="230" t="s">
        <v>168</v>
      </c>
      <c r="D42" s="155">
        <f>+$B$42*D24</f>
        <v>26387.258405845256</v>
      </c>
      <c r="E42" s="155">
        <f>+$B$42*E24</f>
        <v>1437.5983740292584</v>
      </c>
      <c r="F42" s="155">
        <f>+$B$42*F24</f>
        <v>2411.2163960722178</v>
      </c>
      <c r="G42" s="155">
        <f>+$B$42*G24</f>
        <v>90.343203841352164</v>
      </c>
      <c r="H42" s="155">
        <f>+$B$42*H24</f>
        <v>20.157220211914595</v>
      </c>
      <c r="I42" s="155"/>
      <c r="J42" s="155"/>
      <c r="K42" s="155"/>
      <c r="L42" s="155"/>
      <c r="M42" s="155"/>
      <c r="N42" s="155">
        <f t="shared" si="0"/>
        <v>0</v>
      </c>
    </row>
    <row r="43" spans="1:14" ht="15.75">
      <c r="A43" s="226" t="s">
        <v>169</v>
      </c>
      <c r="B43" s="155">
        <f>+'Pro Forma'!F35</f>
        <v>0</v>
      </c>
      <c r="C43" s="230" t="s">
        <v>168</v>
      </c>
      <c r="D43" s="155">
        <f>+$B$43*D24</f>
        <v>0</v>
      </c>
      <c r="E43" s="155">
        <f>+$B$43*E24</f>
        <v>0</v>
      </c>
      <c r="F43" s="155">
        <f>+$B$43*F24</f>
        <v>0</v>
      </c>
      <c r="G43" s="155">
        <f>+$B$43*G24</f>
        <v>0</v>
      </c>
      <c r="H43" s="155">
        <f>+$B$43*H24</f>
        <v>0</v>
      </c>
      <c r="I43" s="155"/>
      <c r="J43" s="155"/>
      <c r="K43" s="155"/>
      <c r="L43" s="155"/>
      <c r="M43" s="155"/>
      <c r="N43" s="155">
        <f t="shared" si="0"/>
        <v>0</v>
      </c>
    </row>
    <row r="44" spans="1:14" ht="15.75">
      <c r="A44" s="226" t="s">
        <v>170</v>
      </c>
      <c r="B44" s="155">
        <f>+'Pro Forma'!F36</f>
        <v>0</v>
      </c>
      <c r="C44" s="230" t="s">
        <v>168</v>
      </c>
      <c r="D44" s="155">
        <f>+$B$44*D24</f>
        <v>0</v>
      </c>
      <c r="E44" s="155">
        <f>+$B$44*E24</f>
        <v>0</v>
      </c>
      <c r="F44" s="155">
        <f>+$B$44*F24</f>
        <v>0</v>
      </c>
      <c r="G44" s="155">
        <f>+$B$44*G24</f>
        <v>0</v>
      </c>
      <c r="H44" s="155">
        <f>+$B$44*H24</f>
        <v>0</v>
      </c>
      <c r="I44" s="155"/>
      <c r="J44" s="155"/>
      <c r="K44" s="155"/>
      <c r="L44" s="155"/>
      <c r="M44" s="155"/>
      <c r="N44" s="155">
        <f t="shared" si="0"/>
        <v>0</v>
      </c>
    </row>
    <row r="45" spans="1:14" ht="15.75">
      <c r="A45" s="226" t="s">
        <v>171</v>
      </c>
      <c r="B45" s="155">
        <f>+'Pro Forma'!F37</f>
        <v>0</v>
      </c>
      <c r="C45" s="155"/>
      <c r="D45" s="155"/>
      <c r="E45" s="155"/>
      <c r="F45" s="155"/>
      <c r="G45" s="155"/>
      <c r="H45" s="155"/>
      <c r="I45" s="155"/>
      <c r="J45" s="155"/>
      <c r="K45" s="155"/>
      <c r="L45" s="155"/>
      <c r="M45" s="155"/>
      <c r="N45" s="155">
        <f t="shared" si="0"/>
        <v>0</v>
      </c>
    </row>
    <row r="46" spans="1:14" ht="15.75">
      <c r="A46" s="226" t="s">
        <v>172</v>
      </c>
      <c r="B46" s="155">
        <f>+'Pro Forma'!F38</f>
        <v>1191.17</v>
      </c>
      <c r="C46" s="230" t="s">
        <v>159</v>
      </c>
      <c r="D46" s="155">
        <f>+$B$46*D27</f>
        <v>651.35462344674374</v>
      </c>
      <c r="E46" s="155">
        <f t="shared" ref="E46:I46" si="10">+$B$46*E27</f>
        <v>100.6320429193273</v>
      </c>
      <c r="F46" s="155">
        <f t="shared" si="10"/>
        <v>276.6153544380079</v>
      </c>
      <c r="G46" s="155">
        <f t="shared" si="10"/>
        <v>0</v>
      </c>
      <c r="H46" s="155">
        <f t="shared" si="10"/>
        <v>133.12176806042831</v>
      </c>
      <c r="I46" s="155">
        <f t="shared" si="10"/>
        <v>29.446211135492756</v>
      </c>
      <c r="J46" s="155"/>
      <c r="K46" s="155"/>
      <c r="L46" s="155"/>
      <c r="M46" s="155"/>
      <c r="N46" s="155">
        <f t="shared" si="0"/>
        <v>0</v>
      </c>
    </row>
    <row r="47" spans="1:14" ht="15.75">
      <c r="A47" s="226" t="s">
        <v>173</v>
      </c>
      <c r="B47" s="155">
        <f>+'Pro Forma'!F39</f>
        <v>493295.78399999999</v>
      </c>
      <c r="C47" s="230" t="s">
        <v>168</v>
      </c>
      <c r="D47" s="155">
        <f t="shared" ref="D47:I47" si="11">+$B$47*D24</f>
        <v>428935.51985460479</v>
      </c>
      <c r="E47" s="155">
        <f t="shared" si="11"/>
        <v>23368.740943916262</v>
      </c>
      <c r="F47" s="155">
        <f t="shared" si="11"/>
        <v>39195.294275136846</v>
      </c>
      <c r="G47" s="155">
        <f t="shared" si="11"/>
        <v>1468.5651881302217</v>
      </c>
      <c r="H47" s="155">
        <f t="shared" si="11"/>
        <v>327.66373821185056</v>
      </c>
      <c r="I47" s="155">
        <f t="shared" si="11"/>
        <v>0</v>
      </c>
      <c r="J47" s="155"/>
      <c r="K47" s="155"/>
      <c r="L47" s="155"/>
      <c r="M47" s="155"/>
      <c r="N47" s="155">
        <f t="shared" si="0"/>
        <v>0</v>
      </c>
    </row>
    <row r="48" spans="1:14" ht="15.75">
      <c r="A48" s="226" t="s">
        <v>174</v>
      </c>
      <c r="B48" s="155">
        <f>+'Pro Forma'!F40</f>
        <v>3900</v>
      </c>
      <c r="C48" s="230" t="s">
        <v>168</v>
      </c>
      <c r="D48" s="155">
        <f>+$B$48*D24</f>
        <v>3391.1672908863916</v>
      </c>
      <c r="E48" s="155">
        <f>+$B$48*E24</f>
        <v>184.75343320848941</v>
      </c>
      <c r="F48" s="155">
        <f>+$B$48*F24</f>
        <v>309.87827715355809</v>
      </c>
      <c r="G48" s="155">
        <f>+$B$48*G24</f>
        <v>11.610486891385769</v>
      </c>
      <c r="H48" s="155">
        <f>+$B$48*H24</f>
        <v>2.5905118601747814</v>
      </c>
      <c r="I48" s="155"/>
      <c r="J48" s="155"/>
      <c r="K48" s="155"/>
      <c r="L48" s="155"/>
      <c r="M48" s="155"/>
      <c r="N48" s="155">
        <f t="shared" si="0"/>
        <v>0</v>
      </c>
    </row>
    <row r="49" spans="1:14" ht="15.75">
      <c r="A49" s="226" t="s">
        <v>175</v>
      </c>
      <c r="B49" s="155">
        <f>+'Pro Forma'!F41</f>
        <v>0</v>
      </c>
      <c r="C49" s="155"/>
      <c r="D49" s="155"/>
      <c r="E49" s="155"/>
      <c r="F49" s="155"/>
      <c r="G49" s="155"/>
      <c r="H49" s="155"/>
      <c r="I49" s="155"/>
      <c r="J49" s="155"/>
      <c r="K49" s="155"/>
      <c r="L49" s="155"/>
      <c r="M49" s="155"/>
      <c r="N49" s="155">
        <f t="shared" si="0"/>
        <v>0</v>
      </c>
    </row>
    <row r="50" spans="1:14" ht="15.75">
      <c r="A50" s="226" t="s">
        <v>176</v>
      </c>
      <c r="B50" s="155">
        <f>+'Pro Forma'!F42</f>
        <v>217645.97618399997</v>
      </c>
      <c r="C50" s="230" t="s">
        <v>168</v>
      </c>
      <c r="D50" s="155">
        <f>+$B$50*D24</f>
        <v>189249.72190467163</v>
      </c>
      <c r="E50" s="155">
        <f>+$B$50*E24</f>
        <v>10310.472134360798</v>
      </c>
      <c r="F50" s="155">
        <f>+$B$50*F24</f>
        <v>17293.271828026216</v>
      </c>
      <c r="G50" s="155">
        <f>+$B$50*G24</f>
        <v>647.94250088389504</v>
      </c>
      <c r="H50" s="155">
        <f>+$B$50*H24</f>
        <v>144.56781605742819</v>
      </c>
      <c r="I50" s="155"/>
      <c r="J50" s="155"/>
      <c r="K50" s="155"/>
      <c r="L50" s="155"/>
      <c r="M50" s="155"/>
      <c r="N50" s="155">
        <f t="shared" si="0"/>
        <v>0</v>
      </c>
    </row>
    <row r="51" spans="1:14" ht="15.75">
      <c r="A51" s="226" t="s">
        <v>177</v>
      </c>
      <c r="B51" s="155">
        <f>+'Pro Forma'!F43</f>
        <v>521037.79000000004</v>
      </c>
      <c r="C51" s="230" t="s">
        <v>168</v>
      </c>
      <c r="D51" s="155">
        <f>+$B$51*D24</f>
        <v>453058.02840095712</v>
      </c>
      <c r="E51" s="155">
        <f>+$B$51*E24</f>
        <v>24682.953983042036</v>
      </c>
      <c r="F51" s="155">
        <f>+$B$51*F24</f>
        <v>41399.562230024974</v>
      </c>
      <c r="G51" s="155">
        <f>+$B$51*G24</f>
        <v>1551.1544694132335</v>
      </c>
      <c r="H51" s="155">
        <f>+$B$51*H24</f>
        <v>346.09091656263007</v>
      </c>
      <c r="I51" s="155"/>
      <c r="J51" s="155"/>
      <c r="K51" s="155"/>
      <c r="L51" s="155"/>
      <c r="M51" s="155"/>
      <c r="N51" s="155">
        <f t="shared" si="0"/>
        <v>0</v>
      </c>
    </row>
    <row r="52" spans="1:14" ht="15.75">
      <c r="A52" s="226" t="s">
        <v>178</v>
      </c>
      <c r="B52" s="155">
        <f>+'Pro Forma'!F44</f>
        <v>194968.56999999998</v>
      </c>
      <c r="C52" s="230" t="s">
        <v>168</v>
      </c>
      <c r="D52" s="155">
        <f>+$B$52*D24</f>
        <v>169531.03521407532</v>
      </c>
      <c r="E52" s="155">
        <f>+$B$52*E24</f>
        <v>9236.1827372435091</v>
      </c>
      <c r="F52" s="155">
        <f>+$B$52*F24</f>
        <v>15491.416556587918</v>
      </c>
      <c r="G52" s="155">
        <f>+$B$52*G24</f>
        <v>580.43077595313548</v>
      </c>
      <c r="H52" s="155">
        <f>+$B$52*H24</f>
        <v>129.50471614008129</v>
      </c>
      <c r="I52" s="155"/>
      <c r="J52" s="155"/>
      <c r="K52" s="155"/>
      <c r="L52" s="155"/>
      <c r="M52" s="155"/>
      <c r="N52" s="155">
        <f t="shared" si="0"/>
        <v>0</v>
      </c>
    </row>
    <row r="53" spans="1:14" ht="15.75">
      <c r="A53" s="226" t="s">
        <v>179</v>
      </c>
      <c r="B53" s="155">
        <f>+'Pro Forma'!F46</f>
        <v>0</v>
      </c>
      <c r="C53" s="155"/>
      <c r="D53" s="155"/>
      <c r="E53" s="155"/>
      <c r="F53" s="155"/>
      <c r="G53" s="155"/>
      <c r="H53" s="155"/>
      <c r="I53" s="155"/>
      <c r="J53" s="155"/>
      <c r="K53" s="155"/>
      <c r="L53" s="155"/>
      <c r="M53" s="155"/>
      <c r="N53" s="155">
        <f t="shared" si="0"/>
        <v>0</v>
      </c>
    </row>
    <row r="54" spans="1:14" ht="15.75">
      <c r="A54" s="226" t="s">
        <v>180</v>
      </c>
      <c r="B54" s="155">
        <f>+'Pro Forma'!F47</f>
        <v>56640.98000000001</v>
      </c>
      <c r="C54" s="230" t="s">
        <v>168</v>
      </c>
      <c r="D54" s="155">
        <f t="shared" ref="D54:I54" si="12">+$B$54*D24</f>
        <v>49251.035564038546</v>
      </c>
      <c r="E54" s="155">
        <f t="shared" si="12"/>
        <v>2683.2347475111246</v>
      </c>
      <c r="F54" s="155">
        <f t="shared" si="12"/>
        <v>4500.4639227408061</v>
      </c>
      <c r="G54" s="155">
        <f t="shared" si="12"/>
        <v>168.62291174493424</v>
      </c>
      <c r="H54" s="155">
        <f t="shared" si="12"/>
        <v>37.622853964595542</v>
      </c>
      <c r="I54" s="155">
        <f t="shared" si="12"/>
        <v>0</v>
      </c>
      <c r="J54" s="155"/>
      <c r="K54" s="155"/>
      <c r="L54" s="155"/>
      <c r="M54" s="155"/>
      <c r="N54" s="155">
        <f t="shared" si="0"/>
        <v>0</v>
      </c>
    </row>
    <row r="55" spans="1:14" ht="15.75">
      <c r="A55" s="226" t="s">
        <v>1489</v>
      </c>
      <c r="B55" s="155">
        <f>+'Pro Forma'!F48</f>
        <v>104164.96</v>
      </c>
      <c r="C55" s="230" t="s">
        <v>168</v>
      </c>
      <c r="D55" s="155">
        <f>+$B$55*D25</f>
        <v>56222.967509361202</v>
      </c>
      <c r="E55" s="155">
        <f t="shared" ref="E55:H55" si="13">+$B$55*E25</f>
        <v>9761.9419735025203</v>
      </c>
      <c r="F55" s="155">
        <f t="shared" si="13"/>
        <v>11622.099964172421</v>
      </c>
      <c r="G55" s="155">
        <f t="shared" si="13"/>
        <v>3492.0886555949496</v>
      </c>
      <c r="H55" s="155">
        <f t="shared" si="13"/>
        <v>23065.861897368912</v>
      </c>
      <c r="I55" s="155"/>
      <c r="J55" s="155"/>
      <c r="K55" s="155"/>
      <c r="L55" s="155"/>
      <c r="M55" s="155"/>
      <c r="N55" s="155">
        <f t="shared" si="0"/>
        <v>0</v>
      </c>
    </row>
    <row r="56" spans="1:14" ht="15.75">
      <c r="A56" s="226" t="s">
        <v>181</v>
      </c>
      <c r="B56" s="155">
        <f>+'Pro Forma'!F49</f>
        <v>35268.43</v>
      </c>
      <c r="C56" s="230" t="s">
        <v>168</v>
      </c>
      <c r="D56" s="155">
        <f>+$B$56*D24</f>
        <v>30666.960568440089</v>
      </c>
      <c r="E56" s="155">
        <f>+$B$56*E24</f>
        <v>1670.7598785572523</v>
      </c>
      <c r="F56" s="155">
        <f>+$B$56*F24</f>
        <v>2802.2872631566315</v>
      </c>
      <c r="G56" s="155">
        <f>+$B$56*G24</f>
        <v>104.99580620378373</v>
      </c>
      <c r="H56" s="155">
        <f>+$B$56*H24</f>
        <v>23.426483642242069</v>
      </c>
      <c r="I56" s="155"/>
      <c r="J56" s="155"/>
      <c r="K56" s="155"/>
      <c r="L56" s="155"/>
      <c r="M56" s="155"/>
      <c r="N56" s="155">
        <f t="shared" si="0"/>
        <v>0</v>
      </c>
    </row>
    <row r="57" spans="1:14" ht="15.75">
      <c r="A57" s="226" t="s">
        <v>182</v>
      </c>
      <c r="B57" s="155">
        <f>+'Pro Forma'!F50</f>
        <v>75878.799000000014</v>
      </c>
      <c r="C57" s="230" t="s">
        <v>168</v>
      </c>
      <c r="D57" s="155">
        <f>+$B$57*D24</f>
        <v>65978.89775398541</v>
      </c>
      <c r="E57" s="155">
        <f>+$B$57*E24</f>
        <v>3594.5816982017682</v>
      </c>
      <c r="F57" s="155">
        <f>+$B$57*F24</f>
        <v>6029.0234632310585</v>
      </c>
      <c r="G57" s="155">
        <f>+$B$57*G24</f>
        <v>225.89482080092196</v>
      </c>
      <c r="H57" s="155">
        <f>+$B$57*H24</f>
        <v>50.401263780850869</v>
      </c>
      <c r="I57" s="155"/>
      <c r="J57" s="155"/>
      <c r="K57" s="155"/>
      <c r="L57" s="155"/>
      <c r="M57" s="155"/>
      <c r="N57" s="155">
        <f t="shared" si="0"/>
        <v>0</v>
      </c>
    </row>
    <row r="58" spans="1:14" ht="15.75">
      <c r="A58" s="226" t="s">
        <v>183</v>
      </c>
      <c r="B58" s="155">
        <f>+'Pro Forma'!F51</f>
        <v>156371.6</v>
      </c>
      <c r="C58" s="230" t="s">
        <v>168</v>
      </c>
      <c r="D58" s="155">
        <f>+$B$58*D24</f>
        <v>135969.80901117192</v>
      </c>
      <c r="E58" s="155">
        <f>+$B$58*E24</f>
        <v>7407.7410144370833</v>
      </c>
      <c r="F58" s="155">
        <f>+$B$58*F24</f>
        <v>12424.656924037263</v>
      </c>
      <c r="G58" s="155">
        <f>+$B$58*G24</f>
        <v>465.52574666282533</v>
      </c>
      <c r="H58" s="155">
        <f>+$B$58*H24</f>
        <v>103.86730369089921</v>
      </c>
      <c r="I58" s="155"/>
      <c r="J58" s="155"/>
      <c r="K58" s="155"/>
      <c r="L58" s="155"/>
      <c r="M58" s="155"/>
      <c r="N58" s="155">
        <f t="shared" si="0"/>
        <v>0</v>
      </c>
    </row>
    <row r="59" spans="1:14" ht="15.75">
      <c r="A59" s="226" t="s">
        <v>184</v>
      </c>
      <c r="B59" s="155">
        <f>+'Pro Forma'!F52</f>
        <v>640545.73900000006</v>
      </c>
      <c r="C59" s="230" t="s">
        <v>159</v>
      </c>
      <c r="D59" s="155">
        <f t="shared" ref="D59:I59" si="14">+$B$59*D26</f>
        <v>386024.58834046987</v>
      </c>
      <c r="E59" s="155">
        <f t="shared" si="14"/>
        <v>37685.261813682366</v>
      </c>
      <c r="F59" s="155">
        <f t="shared" si="14"/>
        <v>136343.05114919244</v>
      </c>
      <c r="G59" s="155">
        <f t="shared" si="14"/>
        <v>35333.684617776278</v>
      </c>
      <c r="H59" s="155">
        <f t="shared" si="14"/>
        <v>14434.571961616024</v>
      </c>
      <c r="I59" s="155">
        <f t="shared" si="14"/>
        <v>30724.581117263147</v>
      </c>
      <c r="J59" s="155"/>
      <c r="K59" s="155"/>
      <c r="L59" s="155"/>
      <c r="M59" s="155"/>
      <c r="N59" s="155">
        <f t="shared" si="0"/>
        <v>0</v>
      </c>
    </row>
    <row r="60" spans="1:14" ht="15.75">
      <c r="A60" s="226" t="str">
        <f>+'Pro Forma'!A53</f>
        <v>Payroll Expense-Other</v>
      </c>
      <c r="B60" s="155">
        <f>+'Pro Forma'!F53</f>
        <v>3576.58</v>
      </c>
      <c r="C60" s="230" t="s">
        <v>159</v>
      </c>
      <c r="D60" s="155">
        <f t="shared" ref="D60:I60" si="15">+$B$60*D27</f>
        <v>1955.7426052764547</v>
      </c>
      <c r="E60" s="155">
        <f t="shared" si="15"/>
        <v>302.15548751597805</v>
      </c>
      <c r="F60" s="155">
        <f t="shared" si="15"/>
        <v>830.55898350016389</v>
      </c>
      <c r="G60" s="155">
        <f t="shared" si="15"/>
        <v>0</v>
      </c>
      <c r="H60" s="155">
        <f t="shared" si="15"/>
        <v>399.70839864130778</v>
      </c>
      <c r="I60" s="155">
        <f t="shared" si="15"/>
        <v>88.414525066095251</v>
      </c>
      <c r="J60" s="155"/>
      <c r="K60" s="155"/>
      <c r="L60" s="155"/>
      <c r="M60" s="155"/>
      <c r="N60" s="155">
        <f t="shared" si="0"/>
        <v>0</v>
      </c>
    </row>
    <row r="61" spans="1:14" ht="15.75">
      <c r="A61" s="226" t="s">
        <v>185</v>
      </c>
      <c r="B61" s="155">
        <f>+'Pro Forma'!F54</f>
        <v>100003.03</v>
      </c>
      <c r="C61" s="230" t="s">
        <v>163</v>
      </c>
      <c r="D61" s="155">
        <f>+B61</f>
        <v>100003.03</v>
      </c>
      <c r="E61" s="155"/>
      <c r="F61" s="155"/>
      <c r="G61" s="155"/>
      <c r="H61" s="155"/>
      <c r="I61" s="155"/>
      <c r="J61" s="155"/>
      <c r="K61" s="155"/>
      <c r="L61" s="155"/>
      <c r="M61" s="155"/>
      <c r="N61" s="155">
        <f>+B61-SUM(D61:I61)</f>
        <v>0</v>
      </c>
    </row>
    <row r="62" spans="1:14" ht="15.75">
      <c r="A62" s="226" t="s">
        <v>186</v>
      </c>
      <c r="B62" s="155">
        <f>+'Pro Forma'!F55</f>
        <v>449761.15307143016</v>
      </c>
      <c r="C62" s="230" t="s">
        <v>163</v>
      </c>
      <c r="D62" s="155">
        <f>+'Regulatory Depreciation'!G197</f>
        <v>401666.55171428993</v>
      </c>
      <c r="E62" s="155">
        <f>+'Regulatory Depreciation'!K197</f>
        <v>15765.428571424987</v>
      </c>
      <c r="F62" s="155">
        <f>+'Regulatory Depreciation'!L197</f>
        <v>20307.972785714286</v>
      </c>
      <c r="G62" s="155">
        <f>+'Regulatory Depreciation'!M197</f>
        <v>0</v>
      </c>
      <c r="H62" s="155">
        <f>+'Regulatory Depreciation'!N197</f>
        <v>12021.200000000994</v>
      </c>
      <c r="I62" s="155"/>
      <c r="J62" s="155"/>
      <c r="K62" s="155"/>
      <c r="L62" s="155"/>
      <c r="M62" s="155"/>
      <c r="N62" s="155">
        <f>+B62-SUM(D62:I62)</f>
        <v>0</v>
      </c>
    </row>
    <row r="63" spans="1:14" ht="15.75">
      <c r="A63" s="226" t="s">
        <v>187</v>
      </c>
      <c r="B63" s="155">
        <f>+'Pro Forma'!F56</f>
        <v>256509.93</v>
      </c>
      <c r="C63" s="230" t="s">
        <v>168</v>
      </c>
      <c r="D63" s="155">
        <f>+$B$63*D24</f>
        <v>223043.09856501487</v>
      </c>
      <c r="E63" s="155">
        <f>+$B$63*E24</f>
        <v>12151.561594761357</v>
      </c>
      <c r="F63" s="155">
        <f>+$B$63*F24</f>
        <v>20381.244918251225</v>
      </c>
      <c r="G63" s="155">
        <f>+$B$63*G24</f>
        <v>763.64235378853357</v>
      </c>
      <c r="H63" s="155">
        <f>+$B$63*H24</f>
        <v>170.38256818400077</v>
      </c>
      <c r="I63" s="155"/>
      <c r="J63" s="155"/>
      <c r="K63" s="155"/>
      <c r="L63" s="155"/>
      <c r="M63" s="155"/>
      <c r="N63" s="155">
        <f>+B63-SUM(D63:I63)</f>
        <v>0</v>
      </c>
    </row>
    <row r="64" spans="1:14" ht="15.75">
      <c r="A64" s="226" t="s">
        <v>188</v>
      </c>
      <c r="B64" s="155">
        <f>+'Pro Forma'!F57</f>
        <v>344435.64000000013</v>
      </c>
      <c r="C64" s="230" t="s">
        <v>542</v>
      </c>
      <c r="D64" s="155">
        <f t="shared" ref="D64:I64" si="16">+$B$64*D23</f>
        <v>214392.11882263061</v>
      </c>
      <c r="E64" s="155">
        <f t="shared" si="16"/>
        <v>25908.309160545155</v>
      </c>
      <c r="F64" s="155">
        <f t="shared" si="16"/>
        <v>36833.980030481049</v>
      </c>
      <c r="G64" s="155">
        <f t="shared" si="16"/>
        <v>30377.946786576616</v>
      </c>
      <c r="H64" s="155">
        <f t="shared" si="16"/>
        <v>20979.010326390762</v>
      </c>
      <c r="I64" s="155">
        <f t="shared" si="16"/>
        <v>15944.274873375924</v>
      </c>
      <c r="J64" s="155"/>
      <c r="K64" s="155"/>
      <c r="L64" s="155"/>
      <c r="M64" s="155"/>
      <c r="N64" s="155">
        <f>+B64-SUM(D64:I64)</f>
        <v>0</v>
      </c>
    </row>
    <row r="65" spans="1:14" ht="15.75">
      <c r="A65" s="226" t="s">
        <v>190</v>
      </c>
      <c r="B65" s="155">
        <f>+'Pro Forma'!F58</f>
        <v>8180.9600000000009</v>
      </c>
      <c r="C65" s="230" t="s">
        <v>191</v>
      </c>
      <c r="D65" s="155">
        <f>+D27*$B$65-1</f>
        <v>4472.5059817094725</v>
      </c>
      <c r="E65" s="155">
        <f t="shared" ref="E65:I65" si="17">+E27*$B$65</f>
        <v>691.14124586859975</v>
      </c>
      <c r="F65" s="155">
        <f t="shared" si="17"/>
        <v>1899.7952853439601</v>
      </c>
      <c r="G65" s="155">
        <f t="shared" si="17"/>
        <v>0</v>
      </c>
      <c r="H65" s="155">
        <f t="shared" si="17"/>
        <v>914.28079924078145</v>
      </c>
      <c r="I65" s="155">
        <f t="shared" si="17"/>
        <v>202.236687837186</v>
      </c>
      <c r="J65" s="155"/>
      <c r="K65" s="155"/>
      <c r="L65" s="155"/>
      <c r="M65" s="155"/>
      <c r="N65" s="155">
        <f t="shared" si="0"/>
        <v>1.0000000000009095</v>
      </c>
    </row>
    <row r="66" spans="1:14" ht="15.75">
      <c r="A66" s="226" t="s">
        <v>192</v>
      </c>
      <c r="B66" s="155">
        <f>+'Pro Forma'!F59</f>
        <v>143672.18</v>
      </c>
      <c r="C66" s="230" t="s">
        <v>191</v>
      </c>
      <c r="D66" s="155">
        <f t="shared" ref="D66:H66" si="18">+D27*$B$66</f>
        <v>78562.706165931624</v>
      </c>
      <c r="E66" s="155">
        <f t="shared" si="18"/>
        <v>12137.667154204115</v>
      </c>
      <c r="F66" s="155">
        <f t="shared" si="18"/>
        <v>33363.777625008406</v>
      </c>
      <c r="G66" s="155">
        <f t="shared" si="18"/>
        <v>0</v>
      </c>
      <c r="H66" s="155">
        <f t="shared" si="18"/>
        <v>16056.393816748327</v>
      </c>
      <c r="I66" s="155">
        <f>+I27*$B$66-14</f>
        <v>3537.6352381075071</v>
      </c>
      <c r="J66" s="155"/>
      <c r="K66" s="155"/>
      <c r="L66" s="155"/>
      <c r="M66" s="155"/>
      <c r="N66" s="155">
        <f t="shared" si="0"/>
        <v>14.000000000029104</v>
      </c>
    </row>
    <row r="67" spans="1:14" ht="15.75">
      <c r="A67" s="226" t="s">
        <v>193</v>
      </c>
      <c r="B67" s="155">
        <f>+'Pro Forma'!F60</f>
        <v>164</v>
      </c>
      <c r="C67" s="230" t="s">
        <v>168</v>
      </c>
      <c r="D67" s="155">
        <f t="shared" ref="D67:I67" si="19">+$B$67*D24</f>
        <v>142.60293223214572</v>
      </c>
      <c r="E67" s="155">
        <f t="shared" si="19"/>
        <v>7.7691187297928881</v>
      </c>
      <c r="F67" s="155">
        <f t="shared" si="19"/>
        <v>13.030778834149622</v>
      </c>
      <c r="G67" s="155">
        <f t="shared" si="19"/>
        <v>0.48823585902237587</v>
      </c>
      <c r="H67" s="155">
        <f t="shared" si="19"/>
        <v>0.10893434488940107</v>
      </c>
      <c r="I67" s="155">
        <f t="shared" si="19"/>
        <v>0</v>
      </c>
      <c r="J67" s="155"/>
      <c r="K67" s="155"/>
      <c r="L67" s="155"/>
      <c r="M67" s="155"/>
      <c r="N67" s="155">
        <f t="shared" si="0"/>
        <v>0</v>
      </c>
    </row>
    <row r="68" spans="1:14" ht="15.75">
      <c r="A68" s="226" t="s">
        <v>194</v>
      </c>
      <c r="B68" s="155">
        <f>+'Pro Forma'!F61</f>
        <v>13878.17</v>
      </c>
      <c r="C68" s="230" t="s">
        <v>168</v>
      </c>
      <c r="D68" s="155">
        <f t="shared" ref="D68:I68" si="20">+$B$68*D24</f>
        <v>12067.486195220717</v>
      </c>
      <c r="E68" s="155">
        <f t="shared" si="20"/>
        <v>657.44603952591319</v>
      </c>
      <c r="F68" s="155">
        <f t="shared" si="20"/>
        <v>1102.7034383703065</v>
      </c>
      <c r="G68" s="155">
        <f t="shared" si="20"/>
        <v>41.315977143954676</v>
      </c>
      <c r="H68" s="155">
        <f t="shared" si="20"/>
        <v>9.2183497391081666</v>
      </c>
      <c r="I68" s="155">
        <f t="shared" si="20"/>
        <v>0</v>
      </c>
      <c r="J68" s="155"/>
      <c r="K68" s="155"/>
      <c r="L68" s="155"/>
      <c r="M68" s="155"/>
      <c r="N68" s="155">
        <f t="shared" si="0"/>
        <v>0</v>
      </c>
    </row>
    <row r="69" spans="1:14" ht="15.75">
      <c r="A69" s="226" t="s">
        <v>195</v>
      </c>
      <c r="B69" s="155">
        <f>+'Pro Forma'!F62</f>
        <v>282593.17056501383</v>
      </c>
      <c r="C69" s="230" t="s">
        <v>191</v>
      </c>
      <c r="D69" s="155">
        <f t="shared" ref="D69:H69" si="21">+$B$69*D27</f>
        <v>154527.37073801053</v>
      </c>
      <c r="E69" s="155">
        <f t="shared" si="21"/>
        <v>23873.94584232918</v>
      </c>
      <c r="F69" s="155">
        <f t="shared" si="21"/>
        <v>65624.226632304126</v>
      </c>
      <c r="G69" s="155">
        <f t="shared" si="21"/>
        <v>0</v>
      </c>
      <c r="H69" s="155">
        <f t="shared" si="21"/>
        <v>31581.808228394624</v>
      </c>
      <c r="I69" s="155">
        <f>+$B$69*I27-28</f>
        <v>6957.8191239753469</v>
      </c>
      <c r="J69" s="155"/>
      <c r="K69" s="155"/>
      <c r="L69" s="155"/>
      <c r="M69" s="155"/>
      <c r="N69" s="155">
        <f t="shared" si="0"/>
        <v>28.000000000058208</v>
      </c>
    </row>
    <row r="70" spans="1:14" ht="15.75">
      <c r="A70" s="226" t="s">
        <v>196</v>
      </c>
      <c r="B70" s="155">
        <f>+'Pro Forma'!F63</f>
        <v>-210.75000000000023</v>
      </c>
      <c r="C70" s="230" t="s">
        <v>191</v>
      </c>
      <c r="D70" s="155">
        <f t="shared" ref="D70:I70" si="22">+$B$70*D27</f>
        <v>-115.24214586616635</v>
      </c>
      <c r="E70" s="155">
        <f t="shared" si="22"/>
        <v>-17.804514087198513</v>
      </c>
      <c r="F70" s="155">
        <f t="shared" si="22"/>
        <v>-48.940693559953843</v>
      </c>
      <c r="G70" s="155">
        <f t="shared" si="22"/>
        <v>0</v>
      </c>
      <c r="H70" s="155">
        <f t="shared" si="22"/>
        <v>-23.552820016232186</v>
      </c>
      <c r="I70" s="155">
        <f t="shared" si="22"/>
        <v>-5.2098264704493102</v>
      </c>
      <c r="J70" s="227"/>
      <c r="K70" s="227"/>
      <c r="L70" s="227"/>
      <c r="M70" s="227"/>
      <c r="N70" s="155">
        <f t="shared" si="0"/>
        <v>0</v>
      </c>
    </row>
    <row r="71" spans="1:14" ht="15.75">
      <c r="A71" s="226" t="s">
        <v>197</v>
      </c>
      <c r="B71" s="233">
        <f>SUM(B31:B70)</f>
        <v>20440767.913457405</v>
      </c>
      <c r="C71" s="233"/>
      <c r="D71" s="233">
        <f t="shared" ref="D71:I71" si="23">SUM(D31:D70)</f>
        <v>14632437.978118002</v>
      </c>
      <c r="E71" s="233">
        <f t="shared" si="23"/>
        <v>794640.84492520278</v>
      </c>
      <c r="F71" s="233">
        <f t="shared" si="23"/>
        <v>2855442.2363555655</v>
      </c>
      <c r="G71" s="233">
        <f t="shared" si="23"/>
        <v>538124.01606845728</v>
      </c>
      <c r="H71" s="233">
        <f t="shared" si="23"/>
        <v>1347982.9928021324</v>
      </c>
      <c r="I71" s="233">
        <f t="shared" si="23"/>
        <v>272096.76518804301</v>
      </c>
      <c r="J71" s="233"/>
      <c r="K71" s="233"/>
      <c r="L71" s="233"/>
      <c r="M71" s="233"/>
      <c r="N71" s="155">
        <f t="shared" si="0"/>
        <v>43.080000001937151</v>
      </c>
    </row>
    <row r="72" spans="1:14" ht="15.75">
      <c r="A72" s="226" t="s">
        <v>34</v>
      </c>
      <c r="B72" s="155">
        <f>+B21-B71</f>
        <v>-833490.37345740199</v>
      </c>
      <c r="C72" s="155"/>
      <c r="D72" s="155">
        <f t="shared" ref="D72:I72" si="24">+D21-D71</f>
        <v>-2427993.1182772052</v>
      </c>
      <c r="E72" s="155">
        <f t="shared" si="24"/>
        <v>680210.62022205407</v>
      </c>
      <c r="F72" s="155">
        <f t="shared" si="24"/>
        <v>-758638.11538695893</v>
      </c>
      <c r="G72" s="155">
        <f t="shared" si="24"/>
        <v>1191165.1879748837</v>
      </c>
      <c r="H72" s="155">
        <f t="shared" si="24"/>
        <v>-153735.85280213249</v>
      </c>
      <c r="I72" s="155">
        <f t="shared" si="24"/>
        <v>635543.98481195699</v>
      </c>
      <c r="J72" s="155"/>
      <c r="K72" s="155"/>
      <c r="L72" s="155"/>
      <c r="M72" s="155"/>
      <c r="N72" s="155">
        <f t="shared" si="0"/>
        <v>-43.080000000307336</v>
      </c>
    </row>
    <row r="73" spans="1:14" ht="15.75">
      <c r="A73" s="226"/>
      <c r="B73" s="155"/>
      <c r="C73" s="155"/>
      <c r="D73" s="155"/>
      <c r="E73" s="155"/>
      <c r="F73" s="155"/>
      <c r="G73" s="155"/>
      <c r="H73" s="155"/>
      <c r="I73" s="155"/>
      <c r="J73" s="155"/>
      <c r="K73" s="155"/>
      <c r="L73" s="155"/>
      <c r="M73" s="155"/>
      <c r="N73" s="155"/>
    </row>
    <row r="74" spans="1:14" ht="15.75">
      <c r="A74" s="226" t="s">
        <v>198</v>
      </c>
      <c r="B74" s="155">
        <f>+'Pro Forma'!F66</f>
        <v>0</v>
      </c>
      <c r="C74" s="155"/>
      <c r="D74" s="155"/>
      <c r="E74" s="155"/>
      <c r="F74" s="155"/>
      <c r="G74" s="155"/>
      <c r="H74" s="155"/>
      <c r="I74" s="155"/>
      <c r="J74" s="155"/>
      <c r="K74" s="155"/>
      <c r="L74" s="155"/>
      <c r="M74" s="155"/>
      <c r="N74" s="155"/>
    </row>
    <row r="75" spans="1:14" ht="15.75">
      <c r="A75" s="226" t="s">
        <v>199</v>
      </c>
      <c r="B75" s="155">
        <f>+'Pro Forma'!F67</f>
        <v>0</v>
      </c>
      <c r="C75" s="155"/>
      <c r="D75" s="155"/>
      <c r="E75" s="155"/>
      <c r="F75" s="155"/>
      <c r="G75" s="155"/>
      <c r="H75" s="155"/>
      <c r="I75" s="155"/>
      <c r="J75" s="155"/>
      <c r="K75" s="155"/>
      <c r="L75" s="155"/>
      <c r="M75" s="155"/>
      <c r="N75" s="155"/>
    </row>
    <row r="76" spans="1:14" ht="15.75">
      <c r="A76" s="226" t="s">
        <v>200</v>
      </c>
      <c r="B76" s="155">
        <f>+'Pro Forma'!F68</f>
        <v>0</v>
      </c>
      <c r="C76" s="155"/>
      <c r="D76" s="155"/>
      <c r="E76" s="155"/>
      <c r="F76" s="155"/>
      <c r="G76" s="155"/>
      <c r="H76" s="155"/>
      <c r="I76" s="155"/>
      <c r="J76" s="155"/>
      <c r="K76" s="155"/>
      <c r="L76" s="155"/>
      <c r="M76" s="155"/>
      <c r="N76" s="155"/>
    </row>
    <row r="77" spans="1:14" ht="15.75">
      <c r="A77" s="226" t="s">
        <v>941</v>
      </c>
      <c r="B77" s="155">
        <f>+'Pro Forma'!F69</f>
        <v>235.08</v>
      </c>
      <c r="C77" s="155"/>
      <c r="D77" s="155"/>
      <c r="E77" s="155"/>
      <c r="F77" s="155"/>
      <c r="G77" s="155"/>
      <c r="H77" s="155"/>
      <c r="I77" s="155"/>
      <c r="J77" s="155"/>
      <c r="K77" s="155"/>
      <c r="L77" s="155"/>
      <c r="M77" s="155"/>
      <c r="N77" s="155"/>
    </row>
    <row r="78" spans="1:14" ht="15.75">
      <c r="A78" s="226" t="s">
        <v>201</v>
      </c>
      <c r="B78" s="275">
        <f>+'Pro Forma'!F70</f>
        <v>0</v>
      </c>
      <c r="C78" s="275"/>
      <c r="D78" s="275"/>
      <c r="E78" s="275"/>
      <c r="F78" s="275"/>
      <c r="G78" s="275"/>
      <c r="H78" s="275"/>
      <c r="I78" s="275"/>
      <c r="J78" s="275"/>
      <c r="K78" s="275"/>
      <c r="L78" s="275"/>
      <c r="M78" s="275"/>
      <c r="N78" s="155"/>
    </row>
    <row r="79" spans="1:14" ht="15.75">
      <c r="A79" s="226" t="s">
        <v>35</v>
      </c>
      <c r="B79" s="275">
        <f>+'Pro Forma'!F71</f>
        <v>392.8</v>
      </c>
      <c r="C79" s="227"/>
      <c r="D79" s="227"/>
      <c r="E79" s="227"/>
      <c r="F79" s="227"/>
      <c r="G79" s="227"/>
      <c r="H79" s="227"/>
      <c r="I79" s="227"/>
      <c r="J79" s="227"/>
      <c r="K79" s="227"/>
      <c r="L79" s="227"/>
      <c r="M79" s="227"/>
      <c r="N79" s="155"/>
    </row>
    <row r="80" spans="1:14" ht="15.75">
      <c r="A80" s="226" t="s">
        <v>202</v>
      </c>
      <c r="B80" s="155">
        <f>SUM(B74:B79)</f>
        <v>627.88</v>
      </c>
      <c r="C80" s="155"/>
      <c r="D80" s="155"/>
      <c r="E80" s="155"/>
      <c r="F80" s="155"/>
      <c r="G80" s="155"/>
      <c r="H80" s="155"/>
      <c r="I80" s="155"/>
      <c r="J80" s="155"/>
      <c r="K80" s="155"/>
      <c r="L80" s="155"/>
      <c r="M80" s="155"/>
      <c r="N80" s="155"/>
    </row>
    <row r="81" spans="1:14" ht="15.75">
      <c r="A81" s="226"/>
      <c r="B81" s="155"/>
      <c r="C81" s="155"/>
      <c r="D81" s="155"/>
      <c r="E81" s="155"/>
      <c r="F81" s="155"/>
      <c r="G81" s="155"/>
      <c r="H81" s="155"/>
      <c r="I81" s="155"/>
      <c r="J81" s="155"/>
      <c r="K81" s="155"/>
      <c r="L81" s="155"/>
      <c r="M81" s="155"/>
      <c r="N81" s="155"/>
    </row>
    <row r="82" spans="1:14" ht="15.75">
      <c r="A82" s="226" t="s">
        <v>38</v>
      </c>
      <c r="B82" s="155"/>
      <c r="C82" s="155"/>
      <c r="D82" s="155"/>
      <c r="E82" s="155"/>
      <c r="F82" s="155"/>
      <c r="G82" s="155"/>
      <c r="H82" s="155"/>
      <c r="I82" s="155"/>
      <c r="J82" s="155"/>
      <c r="K82" s="155"/>
      <c r="L82" s="155"/>
      <c r="M82" s="155"/>
      <c r="N82" s="155"/>
    </row>
    <row r="83" spans="1:14" ht="15.75">
      <c r="A83" s="226"/>
      <c r="B83" s="155"/>
      <c r="C83" s="155"/>
      <c r="D83" s="155"/>
      <c r="E83" s="155"/>
      <c r="F83" s="155"/>
      <c r="G83" s="155"/>
      <c r="H83" s="155"/>
      <c r="I83" s="155"/>
      <c r="J83" s="155"/>
      <c r="K83" s="155"/>
      <c r="L83" s="155"/>
      <c r="M83" s="155"/>
      <c r="N83" s="155"/>
    </row>
    <row r="84" spans="1:14" ht="15.75">
      <c r="A84" s="226"/>
      <c r="B84" s="155"/>
      <c r="C84" s="155"/>
      <c r="D84" s="155"/>
      <c r="E84" s="155"/>
      <c r="F84" s="155"/>
      <c r="G84" s="155"/>
      <c r="H84" s="155"/>
      <c r="I84" s="155"/>
      <c r="J84" s="155"/>
      <c r="K84" s="155"/>
      <c r="L84" s="155"/>
      <c r="M84" s="155"/>
      <c r="N84" s="155"/>
    </row>
    <row r="85" spans="1:14" ht="15.75">
      <c r="A85" s="226" t="s">
        <v>31</v>
      </c>
      <c r="B85" s="155"/>
      <c r="C85" s="155"/>
      <c r="D85" s="155"/>
      <c r="E85" s="155"/>
      <c r="F85" s="155"/>
      <c r="G85" s="155"/>
      <c r="H85" s="155"/>
      <c r="I85" s="155"/>
      <c r="J85" s="155"/>
      <c r="K85" s="155"/>
      <c r="L85" s="155"/>
      <c r="M85" s="155"/>
      <c r="N85" s="155"/>
    </row>
    <row r="86" spans="1:14" ht="15.75">
      <c r="A86" s="155"/>
      <c r="B86" s="155"/>
      <c r="C86" s="155"/>
      <c r="D86" s="155"/>
      <c r="E86" s="155"/>
      <c r="F86" s="155"/>
      <c r="G86" s="155"/>
      <c r="H86" s="155"/>
      <c r="I86" s="155"/>
      <c r="J86" s="155"/>
      <c r="K86" s="155"/>
      <c r="L86" s="155"/>
      <c r="M86" s="155"/>
      <c r="N86" s="155"/>
    </row>
  </sheetData>
  <printOptions headings="1" gridLines="1"/>
  <pageMargins left="0.7" right="0.45" top="0.5" bottom="0.5" header="0.3" footer="0.3"/>
  <pageSetup scale="98" fitToHeight="0" orientation="landscape" r:id="rId1"/>
  <headerFooter>
    <oddFooter>&amp;L&amp;D  &amp;T&amp;CPage &amp;P of &amp;N&amp;R&amp;A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3DB3-CFEC-48F9-A48B-F7B0B3AE9D1B}">
  <sheetPr codeName="Sheet13"/>
  <dimension ref="A1:P33"/>
  <sheetViews>
    <sheetView workbookViewId="0">
      <selection activeCell="G6" sqref="G6"/>
    </sheetView>
  </sheetViews>
  <sheetFormatPr defaultRowHeight="15"/>
  <cols>
    <col min="5" max="5" width="11.109375" customWidth="1"/>
    <col min="7" max="7" width="11.21875" customWidth="1"/>
  </cols>
  <sheetData>
    <row r="1" spans="1:16" ht="15.75">
      <c r="A1" s="291" t="s">
        <v>128</v>
      </c>
      <c r="B1" s="291"/>
      <c r="C1" s="291"/>
      <c r="D1" s="291"/>
      <c r="E1" s="291"/>
      <c r="F1" s="291"/>
      <c r="G1" s="291"/>
      <c r="H1" s="291"/>
      <c r="I1" s="291"/>
      <c r="J1" s="291"/>
      <c r="K1" s="291"/>
      <c r="L1" s="291"/>
      <c r="M1" s="291"/>
      <c r="N1" s="291"/>
      <c r="O1" s="291"/>
      <c r="P1" s="291"/>
    </row>
    <row r="2" spans="1:16" ht="15.75">
      <c r="A2" s="291" t="s">
        <v>1561</v>
      </c>
      <c r="B2" s="291"/>
      <c r="C2" s="291"/>
      <c r="D2" s="291"/>
      <c r="E2" s="291"/>
      <c r="F2" s="291"/>
      <c r="G2" s="291"/>
      <c r="H2" s="291"/>
      <c r="I2" s="291"/>
      <c r="J2" s="291"/>
      <c r="K2" s="291"/>
      <c r="L2" s="291"/>
      <c r="M2" s="291"/>
      <c r="N2" s="291"/>
      <c r="O2" s="291"/>
      <c r="P2" s="291"/>
    </row>
    <row r="3" spans="1:16" ht="15.75">
      <c r="A3" s="291" t="s">
        <v>1250</v>
      </c>
      <c r="B3" s="291"/>
      <c r="C3" s="291"/>
      <c r="D3" s="291"/>
      <c r="E3" s="291"/>
      <c r="F3" s="291"/>
      <c r="G3" s="291"/>
      <c r="H3" s="291"/>
      <c r="I3" s="291"/>
      <c r="J3" s="291"/>
      <c r="K3" s="291"/>
      <c r="L3" s="291"/>
      <c r="M3" s="291"/>
      <c r="N3" s="291"/>
      <c r="O3" s="291"/>
      <c r="P3" s="291"/>
    </row>
    <row r="4" spans="1:16" ht="15.75">
      <c r="A4" s="291"/>
      <c r="B4" s="291"/>
      <c r="C4" s="291"/>
      <c r="D4" s="291"/>
      <c r="E4" s="291"/>
      <c r="F4" s="291"/>
      <c r="G4" s="291"/>
      <c r="H4" s="291"/>
      <c r="I4" s="291"/>
      <c r="J4" s="291"/>
      <c r="K4" s="291"/>
      <c r="L4" s="291"/>
      <c r="M4" s="291"/>
      <c r="N4" s="291"/>
      <c r="O4" s="291"/>
      <c r="P4" s="291"/>
    </row>
    <row r="5" spans="1:16" ht="15.75">
      <c r="A5" s="291"/>
      <c r="B5" s="291"/>
      <c r="C5" s="291"/>
      <c r="D5" s="291"/>
      <c r="E5" s="291"/>
      <c r="F5" s="291"/>
      <c r="G5" s="291"/>
      <c r="H5" s="291"/>
      <c r="I5" s="291"/>
      <c r="J5" s="291"/>
      <c r="K5" s="291"/>
      <c r="L5" s="291"/>
      <c r="M5" s="291"/>
      <c r="N5" s="291"/>
      <c r="O5" s="291"/>
      <c r="P5" s="291"/>
    </row>
    <row r="6" spans="1:16" ht="45">
      <c r="A6" s="291"/>
      <c r="B6" s="539" t="s">
        <v>1076</v>
      </c>
      <c r="C6" s="540" t="s">
        <v>1562</v>
      </c>
      <c r="D6" s="540" t="s">
        <v>1563</v>
      </c>
      <c r="E6" s="539" t="s">
        <v>675</v>
      </c>
      <c r="F6" s="539"/>
      <c r="G6" s="539" t="s">
        <v>519</v>
      </c>
      <c r="H6" s="291"/>
      <c r="I6" s="291"/>
      <c r="J6" s="291"/>
      <c r="K6" s="291"/>
      <c r="L6" s="291"/>
      <c r="M6" s="291"/>
      <c r="N6" s="291"/>
      <c r="O6" s="291"/>
      <c r="P6" s="291"/>
    </row>
    <row r="7" spans="1:16" ht="15.75">
      <c r="A7" s="291"/>
      <c r="B7" s="291"/>
      <c r="C7" s="291"/>
      <c r="D7" s="291"/>
      <c r="E7" s="291"/>
      <c r="F7" s="291"/>
      <c r="G7" s="291"/>
      <c r="H7" s="291"/>
      <c r="I7" s="291"/>
      <c r="J7" s="291"/>
      <c r="K7" s="291"/>
      <c r="L7" s="291"/>
      <c r="M7" s="291"/>
      <c r="N7" s="291"/>
      <c r="O7" s="291"/>
      <c r="P7" s="291"/>
    </row>
    <row r="8" spans="1:16" ht="15.75">
      <c r="A8" s="291"/>
      <c r="B8" s="155">
        <v>11839</v>
      </c>
      <c r="C8" s="155">
        <v>19857</v>
      </c>
      <c r="D8" s="155">
        <v>744</v>
      </c>
      <c r="E8" s="155">
        <v>166</v>
      </c>
      <c r="F8" s="155"/>
      <c r="G8" s="155">
        <v>20826</v>
      </c>
      <c r="H8" s="291"/>
      <c r="I8" s="291"/>
      <c r="J8" s="291"/>
      <c r="K8" s="291"/>
      <c r="L8" s="291"/>
      <c r="M8" s="291"/>
      <c r="N8" s="291"/>
      <c r="O8" s="291"/>
      <c r="P8" s="291"/>
    </row>
    <row r="9" spans="1:16" ht="15.75">
      <c r="A9" s="291"/>
      <c r="B9" s="231">
        <f>+B8/12/$G$8</f>
        <v>4.7372675181663951E-2</v>
      </c>
      <c r="C9" s="231">
        <f t="shared" ref="C9:E9" si="0">+C8/12/$G$8</f>
        <v>7.9455968500912327E-2</v>
      </c>
      <c r="D9" s="231">
        <f t="shared" si="0"/>
        <v>2.9770479208681457E-3</v>
      </c>
      <c r="E9" s="231">
        <f t="shared" si="0"/>
        <v>6.6423381030122604E-4</v>
      </c>
      <c r="F9" s="291"/>
      <c r="G9" s="231">
        <f>1-B9-C9-D9-E9</f>
        <v>0.86953007458625431</v>
      </c>
      <c r="H9" s="291"/>
      <c r="I9" s="291"/>
      <c r="J9" s="291"/>
      <c r="K9" s="291"/>
      <c r="L9" s="291"/>
      <c r="M9" s="291"/>
      <c r="N9" s="291"/>
      <c r="O9" s="291"/>
      <c r="P9" s="291"/>
    </row>
    <row r="10" spans="1:16" ht="15.75">
      <c r="A10" s="291"/>
      <c r="B10" s="291"/>
      <c r="C10" s="291"/>
      <c r="D10" s="291"/>
      <c r="E10" s="291"/>
      <c r="F10" s="291"/>
      <c r="G10" s="291"/>
      <c r="H10" s="291"/>
      <c r="I10" s="291"/>
      <c r="J10" s="291"/>
      <c r="K10" s="291"/>
      <c r="L10" s="291"/>
      <c r="M10" s="291"/>
      <c r="N10" s="291"/>
      <c r="O10" s="291"/>
      <c r="P10" s="291"/>
    </row>
    <row r="11" spans="1:16" ht="15.75">
      <c r="A11" s="291"/>
      <c r="B11" s="291"/>
      <c r="C11" s="291"/>
      <c r="D11" s="291"/>
      <c r="E11" s="291"/>
      <c r="F11" s="291"/>
      <c r="G11" s="291"/>
      <c r="H11" s="291"/>
      <c r="I11" s="291"/>
      <c r="J11" s="291"/>
      <c r="K11" s="291"/>
      <c r="L11" s="291"/>
      <c r="M11" s="291"/>
      <c r="N11" s="291"/>
      <c r="O11" s="291"/>
      <c r="P11" s="291"/>
    </row>
    <row r="12" spans="1:16" ht="15.75">
      <c r="A12" s="291"/>
      <c r="B12" s="291"/>
      <c r="C12" s="291"/>
      <c r="D12" s="291"/>
      <c r="E12" s="291"/>
      <c r="F12" s="291"/>
      <c r="G12" s="291"/>
      <c r="H12" s="291"/>
      <c r="I12" s="291"/>
      <c r="J12" s="291"/>
      <c r="K12" s="291"/>
      <c r="L12" s="291"/>
      <c r="M12" s="291"/>
      <c r="N12" s="291"/>
      <c r="O12" s="291"/>
      <c r="P12" s="291"/>
    </row>
    <row r="13" spans="1:16" ht="15.75">
      <c r="A13" s="291"/>
      <c r="B13" s="291"/>
      <c r="C13" s="291"/>
      <c r="D13" s="291"/>
      <c r="E13" s="291"/>
      <c r="F13" s="291"/>
      <c r="G13" s="291"/>
      <c r="H13" s="291"/>
      <c r="I13" s="291"/>
      <c r="J13" s="291"/>
      <c r="K13" s="291"/>
      <c r="L13" s="291"/>
      <c r="M13" s="291"/>
      <c r="N13" s="291"/>
      <c r="O13" s="291"/>
      <c r="P13" s="291"/>
    </row>
    <row r="14" spans="1:16" ht="15.75">
      <c r="A14" s="291"/>
      <c r="B14" s="291"/>
      <c r="C14" s="291"/>
      <c r="D14" s="291"/>
      <c r="E14" s="291"/>
      <c r="F14" s="291"/>
      <c r="G14" s="291"/>
      <c r="H14" s="291"/>
      <c r="I14" s="291"/>
      <c r="J14" s="291"/>
      <c r="K14" s="291"/>
      <c r="L14" s="291"/>
      <c r="M14" s="291"/>
      <c r="N14" s="291"/>
      <c r="O14" s="291"/>
      <c r="P14" s="291"/>
    </row>
    <row r="15" spans="1:16" ht="15.75">
      <c r="A15" s="291"/>
      <c r="B15" s="291"/>
      <c r="C15" s="291"/>
      <c r="D15" s="291"/>
      <c r="E15" s="291"/>
      <c r="F15" s="291"/>
      <c r="G15" s="291"/>
      <c r="H15" s="291"/>
      <c r="I15" s="291"/>
      <c r="J15" s="291"/>
      <c r="K15" s="291"/>
      <c r="L15" s="291"/>
      <c r="M15" s="291"/>
      <c r="N15" s="291"/>
      <c r="O15" s="291"/>
      <c r="P15" s="291"/>
    </row>
    <row r="16" spans="1:16" ht="15.75">
      <c r="A16" s="291"/>
      <c r="B16" s="291"/>
      <c r="C16" s="291"/>
      <c r="D16" s="291"/>
      <c r="E16" s="291"/>
      <c r="F16" s="291"/>
      <c r="G16" s="291"/>
      <c r="H16" s="291"/>
      <c r="I16" s="291"/>
      <c r="J16" s="291"/>
      <c r="K16" s="291"/>
      <c r="L16" s="291"/>
      <c r="M16" s="291"/>
      <c r="N16" s="291"/>
      <c r="O16" s="291"/>
      <c r="P16" s="291"/>
    </row>
    <row r="17" spans="1:16" ht="15.75">
      <c r="A17" s="291"/>
      <c r="B17" s="291"/>
      <c r="C17" s="291"/>
      <c r="D17" s="291"/>
      <c r="E17" s="291"/>
      <c r="F17" s="291"/>
      <c r="G17" s="291"/>
      <c r="H17" s="291"/>
      <c r="I17" s="291"/>
      <c r="J17" s="291"/>
      <c r="K17" s="291"/>
      <c r="L17" s="291"/>
      <c r="M17" s="291"/>
      <c r="N17" s="291"/>
      <c r="O17" s="291"/>
      <c r="P17" s="291"/>
    </row>
    <row r="18" spans="1:16" ht="15.75">
      <c r="A18" s="291"/>
      <c r="B18" s="291"/>
      <c r="C18" s="291"/>
      <c r="D18" s="291"/>
      <c r="E18" s="291"/>
      <c r="F18" s="291"/>
      <c r="G18" s="291"/>
      <c r="H18" s="291"/>
      <c r="I18" s="291"/>
      <c r="J18" s="291"/>
      <c r="K18" s="291"/>
      <c r="L18" s="291"/>
      <c r="M18" s="291"/>
      <c r="N18" s="291"/>
      <c r="O18" s="291"/>
      <c r="P18" s="291"/>
    </row>
    <row r="19" spans="1:16" ht="15.75">
      <c r="A19" s="291"/>
      <c r="B19" s="291"/>
      <c r="C19" s="291"/>
      <c r="D19" s="291"/>
      <c r="E19" s="291"/>
      <c r="F19" s="291"/>
      <c r="G19" s="291"/>
      <c r="H19" s="291"/>
      <c r="I19" s="291"/>
      <c r="J19" s="291"/>
      <c r="K19" s="291"/>
      <c r="L19" s="291"/>
      <c r="M19" s="291"/>
      <c r="N19" s="291"/>
      <c r="O19" s="291"/>
      <c r="P19" s="291"/>
    </row>
    <row r="20" spans="1:16" ht="15.75">
      <c r="A20" s="291"/>
      <c r="B20" s="291"/>
      <c r="C20" s="291"/>
      <c r="D20" s="291"/>
      <c r="E20" s="291"/>
      <c r="F20" s="291"/>
      <c r="G20" s="291"/>
      <c r="H20" s="291"/>
      <c r="I20" s="291"/>
      <c r="J20" s="291"/>
      <c r="K20" s="291"/>
      <c r="L20" s="291"/>
      <c r="M20" s="291"/>
      <c r="N20" s="291"/>
      <c r="O20" s="291"/>
      <c r="P20" s="291"/>
    </row>
    <row r="21" spans="1:16" ht="15.75">
      <c r="A21" s="291"/>
      <c r="B21" s="291"/>
      <c r="C21" s="291"/>
      <c r="D21" s="291"/>
      <c r="E21" s="291"/>
      <c r="F21" s="291"/>
      <c r="G21" s="291"/>
      <c r="H21" s="291"/>
      <c r="I21" s="291"/>
      <c r="J21" s="291"/>
      <c r="K21" s="291"/>
      <c r="L21" s="291"/>
      <c r="M21" s="291"/>
      <c r="N21" s="291"/>
      <c r="O21" s="291"/>
      <c r="P21" s="291"/>
    </row>
    <row r="22" spans="1:16" ht="15.75">
      <c r="A22" s="291"/>
      <c r="B22" s="291"/>
      <c r="C22" s="291"/>
      <c r="D22" s="291"/>
      <c r="E22" s="291"/>
      <c r="F22" s="291"/>
      <c r="G22" s="291"/>
      <c r="H22" s="291"/>
      <c r="I22" s="291"/>
      <c r="J22" s="291"/>
      <c r="K22" s="291"/>
      <c r="L22" s="291"/>
      <c r="M22" s="291"/>
      <c r="N22" s="291"/>
      <c r="O22" s="291"/>
      <c r="P22" s="291"/>
    </row>
    <row r="23" spans="1:16" ht="15.75">
      <c r="A23" s="291"/>
      <c r="B23" s="291"/>
      <c r="C23" s="291"/>
      <c r="D23" s="291"/>
      <c r="E23" s="291"/>
      <c r="F23" s="291"/>
      <c r="G23" s="291"/>
      <c r="H23" s="291"/>
      <c r="I23" s="291"/>
      <c r="J23" s="291"/>
      <c r="K23" s="291"/>
      <c r="L23" s="291"/>
      <c r="M23" s="291"/>
      <c r="N23" s="291"/>
      <c r="O23" s="291"/>
      <c r="P23" s="291"/>
    </row>
    <row r="24" spans="1:16" ht="15.75">
      <c r="A24" s="291"/>
      <c r="B24" s="291"/>
      <c r="C24" s="291"/>
      <c r="D24" s="291"/>
      <c r="E24" s="291"/>
      <c r="F24" s="291"/>
      <c r="G24" s="291"/>
      <c r="H24" s="291"/>
      <c r="I24" s="291"/>
      <c r="J24" s="291"/>
      <c r="K24" s="291"/>
      <c r="L24" s="291"/>
      <c r="M24" s="291"/>
      <c r="N24" s="291"/>
      <c r="O24" s="291"/>
      <c r="P24" s="291"/>
    </row>
    <row r="25" spans="1:16" ht="15.75">
      <c r="A25" s="291"/>
      <c r="B25" s="291"/>
      <c r="C25" s="291"/>
      <c r="D25" s="291"/>
      <c r="E25" s="291"/>
      <c r="F25" s="291"/>
      <c r="G25" s="291"/>
      <c r="H25" s="291"/>
      <c r="I25" s="291"/>
      <c r="J25" s="291"/>
      <c r="K25" s="291"/>
      <c r="L25" s="291"/>
      <c r="M25" s="291"/>
      <c r="N25" s="291"/>
      <c r="O25" s="291"/>
      <c r="P25" s="291"/>
    </row>
    <row r="26" spans="1:16" ht="15.75">
      <c r="A26" s="291"/>
      <c r="B26" s="291"/>
      <c r="C26" s="291"/>
      <c r="D26" s="291"/>
      <c r="E26" s="291"/>
      <c r="F26" s="291"/>
      <c r="G26" s="291"/>
      <c r="H26" s="291"/>
      <c r="I26" s="291"/>
      <c r="J26" s="291"/>
      <c r="K26" s="291"/>
      <c r="L26" s="291"/>
      <c r="M26" s="291"/>
      <c r="N26" s="291"/>
      <c r="O26" s="291"/>
      <c r="P26" s="291"/>
    </row>
    <row r="27" spans="1:16" ht="15.75">
      <c r="A27" s="291"/>
      <c r="B27" s="291"/>
      <c r="C27" s="291"/>
      <c r="D27" s="291"/>
      <c r="E27" s="291"/>
      <c r="F27" s="291"/>
      <c r="G27" s="291"/>
      <c r="H27" s="291"/>
      <c r="I27" s="291"/>
      <c r="J27" s="291"/>
      <c r="K27" s="291"/>
      <c r="L27" s="291"/>
      <c r="M27" s="291"/>
      <c r="N27" s="291"/>
      <c r="O27" s="291"/>
      <c r="P27" s="291"/>
    </row>
    <row r="28" spans="1:16" ht="15.75">
      <c r="A28" s="291"/>
      <c r="B28" s="291"/>
      <c r="C28" s="291"/>
      <c r="D28" s="291"/>
      <c r="E28" s="291"/>
      <c r="F28" s="291"/>
      <c r="G28" s="291"/>
      <c r="H28" s="291"/>
      <c r="I28" s="291"/>
      <c r="J28" s="291"/>
      <c r="K28" s="291"/>
      <c r="L28" s="291"/>
      <c r="M28" s="291"/>
      <c r="N28" s="291"/>
      <c r="O28" s="291"/>
      <c r="P28" s="291"/>
    </row>
    <row r="29" spans="1:16" ht="15.75">
      <c r="A29" s="291"/>
      <c r="B29" s="291"/>
      <c r="C29" s="291"/>
      <c r="D29" s="291"/>
      <c r="E29" s="291"/>
      <c r="F29" s="291"/>
      <c r="G29" s="291"/>
      <c r="H29" s="291"/>
      <c r="I29" s="291"/>
      <c r="J29" s="291"/>
      <c r="K29" s="291"/>
      <c r="L29" s="291"/>
      <c r="M29" s="291"/>
      <c r="N29" s="291"/>
      <c r="O29" s="291"/>
      <c r="P29" s="291"/>
    </row>
    <row r="30" spans="1:16" ht="15.75">
      <c r="A30" s="291"/>
      <c r="B30" s="291"/>
      <c r="C30" s="291"/>
      <c r="D30" s="291"/>
      <c r="E30" s="291"/>
      <c r="F30" s="291"/>
      <c r="G30" s="291"/>
      <c r="H30" s="291"/>
      <c r="I30" s="291"/>
      <c r="J30" s="291"/>
      <c r="K30" s="291"/>
      <c r="L30" s="291"/>
      <c r="M30" s="291"/>
      <c r="N30" s="291"/>
      <c r="O30" s="291"/>
      <c r="P30" s="291"/>
    </row>
    <row r="31" spans="1:16" ht="15.75">
      <c r="A31" s="291"/>
      <c r="B31" s="291"/>
      <c r="C31" s="291"/>
      <c r="D31" s="291"/>
      <c r="E31" s="291"/>
      <c r="F31" s="291"/>
      <c r="G31" s="291"/>
      <c r="H31" s="291"/>
      <c r="I31" s="291"/>
      <c r="J31" s="291"/>
      <c r="K31" s="291"/>
      <c r="L31" s="291"/>
      <c r="M31" s="291"/>
      <c r="N31" s="291"/>
      <c r="O31" s="291"/>
      <c r="P31" s="291"/>
    </row>
    <row r="32" spans="1:16" ht="15.75">
      <c r="A32" s="291"/>
      <c r="B32" s="291"/>
      <c r="C32" s="291"/>
      <c r="D32" s="291"/>
      <c r="E32" s="291"/>
      <c r="F32" s="291"/>
      <c r="G32" s="291"/>
      <c r="H32" s="291"/>
      <c r="I32" s="291"/>
      <c r="J32" s="291"/>
      <c r="K32" s="291"/>
      <c r="L32" s="291"/>
      <c r="M32" s="291"/>
      <c r="N32" s="291"/>
      <c r="O32" s="291"/>
      <c r="P32" s="291"/>
    </row>
    <row r="33" spans="1:16" ht="15.75">
      <c r="A33" s="291"/>
      <c r="B33" s="291"/>
      <c r="C33" s="291"/>
      <c r="D33" s="291"/>
      <c r="E33" s="291"/>
      <c r="F33" s="291"/>
      <c r="G33" s="291"/>
      <c r="H33" s="291"/>
      <c r="I33" s="291"/>
      <c r="J33" s="291"/>
      <c r="K33" s="291"/>
      <c r="L33" s="291"/>
      <c r="M33" s="291"/>
      <c r="N33" s="291"/>
      <c r="O33" s="291"/>
      <c r="P33" s="29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4E3C1-6CF1-47F6-852F-45E6ED9BA99C}">
  <sheetPr codeName="Sheet14">
    <pageSetUpPr fitToPage="1"/>
  </sheetPr>
  <dimension ref="A1:AO247"/>
  <sheetViews>
    <sheetView topLeftCell="A196" workbookViewId="0">
      <selection activeCell="P197" sqref="P197"/>
    </sheetView>
  </sheetViews>
  <sheetFormatPr defaultRowHeight="15"/>
  <cols>
    <col min="1" max="1" width="30.109375" customWidth="1"/>
    <col min="2" max="2" width="2.77734375" bestFit="1" customWidth="1"/>
    <col min="3" max="3" width="4.5546875" bestFit="1" customWidth="1"/>
    <col min="4" max="4" width="9.88671875" bestFit="1" customWidth="1"/>
    <col min="5" max="5" width="7" customWidth="1"/>
    <col min="6" max="6" width="6.109375" customWidth="1"/>
    <col min="7" max="7" width="9.5546875" customWidth="1"/>
    <col min="8" max="8" width="3.88671875" hidden="1" customWidth="1"/>
    <col min="9" max="9" width="4.33203125" hidden="1" customWidth="1"/>
    <col min="10" max="10" width="13" hidden="1" customWidth="1"/>
    <col min="11" max="11" width="11.77734375" bestFit="1" customWidth="1"/>
    <col min="12" max="12" width="11.6640625" bestFit="1" customWidth="1"/>
    <col min="13" max="13" width="8.21875" bestFit="1" customWidth="1"/>
    <col min="14" max="14" width="9" bestFit="1" customWidth="1"/>
    <col min="15" max="15" width="11.88671875" customWidth="1"/>
    <col min="16" max="16" width="8.88671875" bestFit="1" customWidth="1"/>
    <col min="17" max="17" width="9.44140625" hidden="1" customWidth="1"/>
    <col min="18" max="18" width="10.21875" hidden="1" customWidth="1"/>
    <col min="19" max="19" width="11.44140625" customWidth="1"/>
    <col min="20" max="20" width="11.6640625" bestFit="1" customWidth="1"/>
    <col min="21" max="25" width="9.77734375" customWidth="1"/>
    <col min="26" max="32" width="13.77734375" bestFit="1" customWidth="1"/>
    <col min="33" max="33" width="7.109375" hidden="1" customWidth="1"/>
    <col min="34" max="34" width="9.21875" hidden="1" customWidth="1"/>
    <col min="35" max="35" width="9" hidden="1" customWidth="1"/>
    <col min="36" max="36" width="10.109375" hidden="1" customWidth="1"/>
    <col min="37" max="37" width="0" hidden="1" customWidth="1"/>
    <col min="38" max="38" width="8.44140625" hidden="1" customWidth="1"/>
    <col min="39" max="39" width="5.33203125" bestFit="1" customWidth="1"/>
    <col min="40" max="40" width="9" bestFit="1" customWidth="1"/>
    <col min="41" max="41" width="4" customWidth="1"/>
  </cols>
  <sheetData>
    <row r="1" spans="1:41" ht="15.75">
      <c r="A1" s="108" t="s">
        <v>489</v>
      </c>
      <c r="B1" s="109"/>
      <c r="C1" s="109"/>
      <c r="D1" s="110"/>
      <c r="E1" s="109"/>
      <c r="F1" s="109"/>
      <c r="G1" s="109"/>
      <c r="H1" s="109"/>
      <c r="I1" s="109"/>
      <c r="J1" s="109"/>
      <c r="K1" s="109"/>
      <c r="L1" s="109"/>
      <c r="M1" s="109"/>
      <c r="N1" s="109"/>
      <c r="O1" s="109"/>
      <c r="P1" s="109"/>
      <c r="Q1" s="108"/>
      <c r="R1" s="110"/>
      <c r="S1" s="447" t="s">
        <v>490</v>
      </c>
      <c r="T1" s="447" t="s">
        <v>491</v>
      </c>
      <c r="U1" s="447" t="s">
        <v>492</v>
      </c>
      <c r="V1" s="447" t="s">
        <v>493</v>
      </c>
      <c r="W1" s="447" t="s">
        <v>494</v>
      </c>
      <c r="X1" s="447" t="s">
        <v>495</v>
      </c>
      <c r="Y1" s="447" t="s">
        <v>496</v>
      </c>
      <c r="Z1" s="447" t="s">
        <v>497</v>
      </c>
      <c r="AA1" s="111"/>
      <c r="AB1" s="111"/>
      <c r="AC1" s="111"/>
      <c r="AD1" s="111"/>
      <c r="AE1" s="111"/>
      <c r="AF1" s="111"/>
      <c r="AG1" s="111"/>
      <c r="AH1" s="111"/>
      <c r="AI1" s="111"/>
      <c r="AJ1" s="111"/>
      <c r="AK1" s="111"/>
      <c r="AL1" s="111"/>
      <c r="AM1" s="111"/>
      <c r="AN1" s="111"/>
      <c r="AO1" s="111"/>
    </row>
    <row r="2" spans="1:41" ht="15.75">
      <c r="A2" s="109" t="s">
        <v>498</v>
      </c>
      <c r="B2" s="109"/>
      <c r="C2" s="109"/>
      <c r="D2" s="109"/>
      <c r="E2" s="110"/>
      <c r="F2" s="109"/>
      <c r="G2" s="109"/>
      <c r="H2" s="109"/>
      <c r="I2" s="109"/>
      <c r="J2" s="109"/>
      <c r="K2" s="109"/>
      <c r="L2" s="109"/>
      <c r="M2" s="109"/>
      <c r="N2" s="109"/>
      <c r="O2" s="109"/>
      <c r="P2" s="109"/>
      <c r="Q2" s="108"/>
      <c r="R2" s="110"/>
      <c r="S2" s="448">
        <v>5.9655037020324909E-2</v>
      </c>
      <c r="T2" s="448">
        <v>7.5228941939803992E-2</v>
      </c>
      <c r="U2" s="448">
        <v>7.7331099659825224E-3</v>
      </c>
      <c r="V2" s="448"/>
      <c r="W2" s="448"/>
      <c r="X2" s="448"/>
      <c r="Y2" s="448"/>
      <c r="Z2" s="448">
        <v>0.77965211316132743</v>
      </c>
      <c r="AA2" s="449">
        <f>SUM(S2:Z2)</f>
        <v>0.9222692020874389</v>
      </c>
      <c r="AB2" s="111"/>
      <c r="AC2" s="111"/>
      <c r="AD2" s="111"/>
      <c r="AE2" s="111"/>
      <c r="AF2" s="111"/>
      <c r="AG2" s="111"/>
      <c r="AH2" s="111"/>
      <c r="AI2" s="111"/>
      <c r="AJ2" s="111"/>
      <c r="AK2" s="111"/>
      <c r="AL2" s="111"/>
      <c r="AM2" s="111"/>
      <c r="AN2" s="111"/>
      <c r="AO2" s="111"/>
    </row>
    <row r="3" spans="1:41" ht="15.75">
      <c r="A3" s="112"/>
      <c r="B3" s="111"/>
      <c r="C3" s="111"/>
      <c r="D3" s="111"/>
      <c r="E3" s="111"/>
      <c r="F3" s="111"/>
      <c r="G3" s="111"/>
      <c r="H3" s="111"/>
      <c r="I3" s="111"/>
      <c r="J3" s="113"/>
      <c r="K3" s="113"/>
      <c r="L3" s="113"/>
      <c r="M3" s="113"/>
      <c r="N3" s="113"/>
      <c r="O3" s="113"/>
      <c r="P3" s="113"/>
      <c r="Q3" s="113"/>
      <c r="R3" s="113"/>
      <c r="S3" s="117"/>
      <c r="T3" s="117"/>
      <c r="U3" s="117"/>
      <c r="V3" s="117"/>
      <c r="W3" s="117" t="e">
        <f>W2/Y9</f>
        <v>#DIV/0!</v>
      </c>
      <c r="X3" s="117" t="e">
        <f>X2/Y9</f>
        <v>#DIV/0!</v>
      </c>
      <c r="Y3" s="117"/>
      <c r="Z3" s="116"/>
      <c r="AA3" s="113"/>
      <c r="AB3" s="113"/>
      <c r="AC3" s="113"/>
      <c r="AD3" s="113"/>
      <c r="AE3" s="113"/>
      <c r="AF3" s="113"/>
      <c r="AG3" s="114"/>
      <c r="AH3" s="113"/>
      <c r="AI3" s="113"/>
      <c r="AJ3" s="111"/>
      <c r="AK3" s="115"/>
      <c r="AL3" s="115"/>
      <c r="AM3" s="111"/>
      <c r="AN3" s="111"/>
      <c r="AO3" s="111"/>
    </row>
    <row r="4" spans="1:41" ht="15.75">
      <c r="A4" s="118"/>
      <c r="B4" s="118"/>
      <c r="C4" s="843" t="s">
        <v>499</v>
      </c>
      <c r="D4" s="843"/>
      <c r="E4" s="843" t="s">
        <v>500</v>
      </c>
      <c r="F4" s="843"/>
      <c r="G4" s="118"/>
      <c r="H4" s="118"/>
      <c r="I4" s="118"/>
      <c r="J4" s="119"/>
      <c r="K4" s="119"/>
      <c r="L4" s="119"/>
      <c r="M4" s="119"/>
      <c r="N4" s="119"/>
      <c r="O4" s="119"/>
      <c r="P4" s="119"/>
      <c r="Q4" s="119"/>
      <c r="R4" s="119"/>
      <c r="S4" s="120"/>
      <c r="T4" s="120"/>
      <c r="U4" s="120"/>
      <c r="V4" s="120"/>
      <c r="W4" s="120"/>
      <c r="X4" s="120"/>
      <c r="Y4" s="120"/>
      <c r="Z4" s="119"/>
      <c r="AA4" s="119"/>
      <c r="AB4" s="119"/>
      <c r="AC4" s="119"/>
      <c r="AD4" s="119"/>
      <c r="AE4" s="119"/>
      <c r="AF4" s="119"/>
      <c r="AG4" s="120"/>
      <c r="AH4" s="119"/>
      <c r="AI4" s="119"/>
      <c r="AJ4" s="118"/>
      <c r="AK4" s="121"/>
      <c r="AL4" s="121"/>
      <c r="AM4" s="118"/>
      <c r="AN4" s="118"/>
      <c r="AO4" s="111"/>
    </row>
    <row r="5" spans="1:41" ht="15.75">
      <c r="A5" s="118"/>
      <c r="B5" s="118"/>
      <c r="C5" s="122" t="s">
        <v>501</v>
      </c>
      <c r="D5" s="122" t="s">
        <v>502</v>
      </c>
      <c r="E5" s="122" t="s">
        <v>501</v>
      </c>
      <c r="F5" s="122" t="s">
        <v>502</v>
      </c>
      <c r="G5" s="118"/>
      <c r="H5" s="118"/>
      <c r="I5" s="118"/>
      <c r="J5" s="119"/>
      <c r="K5" s="119"/>
      <c r="L5" s="119"/>
      <c r="M5" s="119"/>
      <c r="N5" s="119"/>
      <c r="O5" s="119"/>
      <c r="P5" s="119"/>
      <c r="Q5" s="119"/>
      <c r="R5" s="119"/>
      <c r="S5" s="120"/>
      <c r="T5" s="120"/>
      <c r="U5" s="120"/>
      <c r="V5" s="120"/>
      <c r="W5" s="120"/>
      <c r="X5" s="120"/>
      <c r="Y5" s="120"/>
      <c r="Z5" s="119"/>
      <c r="AA5" s="119"/>
      <c r="AB5" s="119"/>
      <c r="AC5" s="119"/>
      <c r="AD5" s="119"/>
      <c r="AE5" s="119"/>
      <c r="AF5" s="119"/>
      <c r="AG5" s="120"/>
      <c r="AH5" s="119"/>
      <c r="AI5" s="119"/>
      <c r="AJ5" s="118"/>
      <c r="AK5" s="121"/>
      <c r="AL5" s="121"/>
      <c r="AM5" s="118"/>
      <c r="AN5" s="118"/>
      <c r="AO5" s="111"/>
    </row>
    <row r="6" spans="1:41" ht="15.75">
      <c r="A6" s="118"/>
      <c r="B6" s="118"/>
      <c r="C6" s="122">
        <v>4</v>
      </c>
      <c r="D6" s="122">
        <v>2020</v>
      </c>
      <c r="E6" s="122">
        <v>3</v>
      </c>
      <c r="F6" s="122">
        <v>2021</v>
      </c>
      <c r="G6" s="118"/>
      <c r="H6" s="118"/>
      <c r="I6" s="118"/>
      <c r="J6" s="119"/>
      <c r="K6" s="119"/>
      <c r="L6" s="119"/>
      <c r="M6" s="119"/>
      <c r="N6" s="123"/>
      <c r="O6" s="123"/>
      <c r="P6" s="119"/>
      <c r="Q6" s="119"/>
      <c r="R6" s="119"/>
      <c r="S6" s="120"/>
      <c r="T6" s="120"/>
      <c r="U6" s="120"/>
      <c r="V6" s="120"/>
      <c r="W6" s="120"/>
      <c r="X6" s="120"/>
      <c r="Y6" s="118"/>
      <c r="Z6" s="123"/>
      <c r="AA6" s="123"/>
      <c r="AB6" s="123"/>
      <c r="AC6" s="123"/>
      <c r="AD6" s="123"/>
      <c r="AE6" s="123"/>
      <c r="AF6" s="123"/>
      <c r="AG6" s="120"/>
      <c r="AH6" s="123"/>
      <c r="AI6" s="123"/>
      <c r="AJ6" s="118"/>
      <c r="AK6" s="121"/>
      <c r="AL6" s="121"/>
      <c r="AM6" s="118"/>
      <c r="AN6" s="118"/>
      <c r="AO6" s="111"/>
    </row>
    <row r="7" spans="1:41" ht="15.75">
      <c r="A7" s="118"/>
      <c r="B7" s="118"/>
      <c r="C7" s="124"/>
      <c r="D7" s="119"/>
      <c r="E7" s="124"/>
      <c r="F7" s="118"/>
      <c r="G7" s="124"/>
      <c r="H7" s="118"/>
      <c r="I7" s="121"/>
      <c r="J7" s="119"/>
      <c r="K7" s="119"/>
      <c r="L7" s="119"/>
      <c r="M7" s="119"/>
      <c r="N7" s="123"/>
      <c r="O7" s="123"/>
      <c r="P7" s="119"/>
      <c r="Q7" s="123"/>
      <c r="R7" s="123"/>
      <c r="S7" s="120"/>
      <c r="T7" s="844" t="s">
        <v>503</v>
      </c>
      <c r="U7" s="844"/>
      <c r="V7" s="844"/>
      <c r="W7" s="844"/>
      <c r="X7" s="844"/>
      <c r="Y7" s="844"/>
      <c r="Z7" s="123"/>
      <c r="AA7" s="841" t="s">
        <v>504</v>
      </c>
      <c r="AB7" s="845"/>
      <c r="AC7" s="845"/>
      <c r="AD7" s="845"/>
      <c r="AE7" s="845"/>
      <c r="AF7" s="842"/>
      <c r="AG7" s="125"/>
      <c r="AH7" s="123"/>
      <c r="AI7" s="123"/>
      <c r="AJ7" s="118"/>
      <c r="AK7" s="118"/>
      <c r="AL7" s="118"/>
      <c r="AM7" s="118"/>
      <c r="AN7" s="118"/>
      <c r="AO7" s="111"/>
    </row>
    <row r="8" spans="1:41" ht="60">
      <c r="A8" s="122" t="s">
        <v>505</v>
      </c>
      <c r="B8" s="843" t="s">
        <v>506</v>
      </c>
      <c r="C8" s="843"/>
      <c r="D8" s="126" t="s">
        <v>507</v>
      </c>
      <c r="E8" s="127" t="s">
        <v>508</v>
      </c>
      <c r="F8" s="127" t="s">
        <v>509</v>
      </c>
      <c r="G8" s="127" t="s">
        <v>510</v>
      </c>
      <c r="H8" s="843" t="s">
        <v>511</v>
      </c>
      <c r="I8" s="843"/>
      <c r="J8" s="843"/>
      <c r="K8" s="126" t="s">
        <v>512</v>
      </c>
      <c r="L8" s="846" t="s">
        <v>513</v>
      </c>
      <c r="M8" s="846"/>
      <c r="N8" s="847" t="s">
        <v>514</v>
      </c>
      <c r="O8" s="848"/>
      <c r="P8" s="126" t="s">
        <v>515</v>
      </c>
      <c r="Q8" s="128" t="s">
        <v>516</v>
      </c>
      <c r="R8" s="128" t="s">
        <v>517</v>
      </c>
      <c r="S8" s="128" t="s">
        <v>518</v>
      </c>
      <c r="T8" s="128" t="s">
        <v>519</v>
      </c>
      <c r="U8" s="128" t="s">
        <v>520</v>
      </c>
      <c r="V8" s="128" t="s">
        <v>521</v>
      </c>
      <c r="W8" s="128" t="s">
        <v>522</v>
      </c>
      <c r="X8" s="128" t="s">
        <v>523</v>
      </c>
      <c r="Y8" s="128" t="s">
        <v>524</v>
      </c>
      <c r="Z8" s="128" t="s">
        <v>503</v>
      </c>
      <c r="AA8" s="118" t="s">
        <v>519</v>
      </c>
      <c r="AB8" s="129" t="s">
        <v>520</v>
      </c>
      <c r="AC8" s="129" t="s">
        <v>521</v>
      </c>
      <c r="AD8" s="129" t="s">
        <v>522</v>
      </c>
      <c r="AE8" s="129" t="s">
        <v>523</v>
      </c>
      <c r="AF8" s="129" t="s">
        <v>524</v>
      </c>
      <c r="AG8" s="129" t="s">
        <v>525</v>
      </c>
      <c r="AH8" s="841" t="s">
        <v>526</v>
      </c>
      <c r="AI8" s="842"/>
      <c r="AJ8" s="129" t="s">
        <v>527</v>
      </c>
      <c r="AK8" s="129" t="s">
        <v>528</v>
      </c>
      <c r="AL8" s="129" t="s">
        <v>529</v>
      </c>
      <c r="AM8" s="129" t="s">
        <v>530</v>
      </c>
      <c r="AN8" s="129" t="s">
        <v>531</v>
      </c>
      <c r="AO8" s="111"/>
    </row>
    <row r="9" spans="1:41" ht="15.75">
      <c r="A9" s="122" t="s">
        <v>532</v>
      </c>
      <c r="B9" s="122" t="s">
        <v>501</v>
      </c>
      <c r="C9" s="122" t="s">
        <v>502</v>
      </c>
      <c r="D9" s="126" t="s">
        <v>533</v>
      </c>
      <c r="E9" s="127" t="s">
        <v>534</v>
      </c>
      <c r="F9" s="122" t="s">
        <v>535</v>
      </c>
      <c r="G9" s="122" t="s">
        <v>502</v>
      </c>
      <c r="H9" s="122" t="s">
        <v>536</v>
      </c>
      <c r="I9" s="122" t="s">
        <v>537</v>
      </c>
      <c r="J9" s="126" t="s">
        <v>533</v>
      </c>
      <c r="K9" s="126" t="s">
        <v>533</v>
      </c>
      <c r="L9" s="130" t="s">
        <v>538</v>
      </c>
      <c r="M9" s="130" t="s">
        <v>539</v>
      </c>
      <c r="N9" s="130" t="s">
        <v>540</v>
      </c>
      <c r="O9" s="130" t="s">
        <v>541</v>
      </c>
      <c r="P9" s="130" t="s">
        <v>533</v>
      </c>
      <c r="Q9" s="128" t="s">
        <v>533</v>
      </c>
      <c r="R9" s="128" t="s">
        <v>533</v>
      </c>
      <c r="S9" s="131" t="s">
        <v>534</v>
      </c>
      <c r="T9" s="132">
        <f>Z2</f>
        <v>0.77965211316132743</v>
      </c>
      <c r="U9" s="132">
        <f>S2</f>
        <v>5.9655037020324909E-2</v>
      </c>
      <c r="V9" s="132">
        <f>T2</f>
        <v>7.5228941939803992E-2</v>
      </c>
      <c r="W9" s="132">
        <f>U2</f>
        <v>7.7331099659825224E-3</v>
      </c>
      <c r="X9" s="132">
        <f>V2</f>
        <v>0</v>
      </c>
      <c r="Y9" s="132">
        <f>W2+X2</f>
        <v>0</v>
      </c>
      <c r="Z9" s="128" t="s">
        <v>533</v>
      </c>
      <c r="AA9" s="133">
        <f>Z2</f>
        <v>0.77965211316132743</v>
      </c>
      <c r="AB9" s="132">
        <f>S2</f>
        <v>5.9655037020324909E-2</v>
      </c>
      <c r="AC9" s="132">
        <f>T2</f>
        <v>7.5228941939803992E-2</v>
      </c>
      <c r="AD9" s="132">
        <f>U2</f>
        <v>7.7331099659825224E-3</v>
      </c>
      <c r="AE9" s="132">
        <f>V2</f>
        <v>0</v>
      </c>
      <c r="AF9" s="132">
        <f>W2+X2</f>
        <v>0</v>
      </c>
      <c r="AG9" s="131" t="s">
        <v>534</v>
      </c>
      <c r="AH9" s="131" t="s">
        <v>540</v>
      </c>
      <c r="AI9" s="131" t="s">
        <v>541</v>
      </c>
      <c r="AJ9" s="131" t="s">
        <v>542</v>
      </c>
      <c r="AK9" s="131" t="s">
        <v>168</v>
      </c>
      <c r="AL9" s="131" t="s">
        <v>155</v>
      </c>
      <c r="AM9" s="131" t="s">
        <v>159</v>
      </c>
      <c r="AN9" s="131" t="s">
        <v>191</v>
      </c>
      <c r="AO9" s="111"/>
    </row>
    <row r="10" spans="1:41" ht="15.75">
      <c r="A10" s="134" t="s">
        <v>543</v>
      </c>
      <c r="B10" s="124"/>
      <c r="C10" s="124"/>
      <c r="D10" s="135"/>
      <c r="E10" s="136"/>
      <c r="F10" s="124"/>
      <c r="G10" s="124"/>
      <c r="H10" s="124"/>
      <c r="I10" s="124"/>
      <c r="J10" s="135"/>
      <c r="K10" s="135"/>
      <c r="L10" s="123"/>
      <c r="M10" s="123"/>
      <c r="N10" s="123"/>
      <c r="O10" s="123"/>
      <c r="P10" s="123"/>
      <c r="Q10" s="137"/>
      <c r="R10" s="137"/>
      <c r="S10" s="138"/>
      <c r="T10" s="138"/>
      <c r="U10" s="138"/>
      <c r="V10" s="138"/>
      <c r="W10" s="138"/>
      <c r="X10" s="138"/>
      <c r="Y10" s="138"/>
      <c r="Z10" s="137"/>
      <c r="AA10" s="137"/>
      <c r="AB10" s="137"/>
      <c r="AC10" s="137"/>
      <c r="AD10" s="137"/>
      <c r="AE10" s="137"/>
      <c r="AF10" s="137"/>
      <c r="AG10" s="138"/>
      <c r="AH10" s="138"/>
      <c r="AI10" s="138"/>
      <c r="AJ10" s="138"/>
      <c r="AK10" s="138"/>
      <c r="AL10" s="138"/>
      <c r="AM10" s="138"/>
      <c r="AN10" s="138"/>
      <c r="AO10" s="111"/>
    </row>
    <row r="11" spans="1:41" ht="15.75">
      <c r="A11" s="134" t="s">
        <v>544</v>
      </c>
      <c r="B11" s="121">
        <v>4</v>
      </c>
      <c r="C11" s="121">
        <v>1988</v>
      </c>
      <c r="D11" s="462">
        <v>538397</v>
      </c>
      <c r="E11" s="441">
        <v>0</v>
      </c>
      <c r="F11" s="441">
        <v>5</v>
      </c>
      <c r="G11" s="825">
        <f>C11+F11</f>
        <v>1993</v>
      </c>
      <c r="H11" s="441"/>
      <c r="I11" s="441"/>
      <c r="J11" s="146"/>
      <c r="K11" s="139">
        <f>D11-D11*E11</f>
        <v>538397</v>
      </c>
      <c r="L11" s="139">
        <f>K11/F11/12</f>
        <v>8973.2833333333328</v>
      </c>
      <c r="M11" s="139">
        <f>IF(J11&gt;0,0,IF(OR(AJ11&gt;AK11,AL11&lt;AM11),0,IF(AND(AL11&gt;=AM11,AL11&lt;=AK11),L11*((AL11-AM11)*12),IF(AND(AM11&lt;=AJ11,AK11&gt;=AJ11),((AK11-AJ11)*12)*L11,IF(AL11&gt;AK11,12*L11,0)))))</f>
        <v>0</v>
      </c>
      <c r="N11" s="139">
        <f>IF(AJ11&gt;AK11,0,IF(AL11&lt;AM11,K11,IF(AND(AL11&gt;=AM11,AL11&lt;=AK11),(K11-R11),IF(AND(AM11&lt;=AJ11,AK11&gt;=AJ11),0,IF(AL11&gt;AK11,((AM11-AJ11)*12)*L11,0)))))</f>
        <v>538397</v>
      </c>
      <c r="O11" s="139">
        <f>IF(J11&gt;0,0,AI11+Z11*AG11)*AG11</f>
        <v>538397</v>
      </c>
      <c r="P11" s="139">
        <f>IF(J11&gt;0,(D11-AI11)/2,IF(AJ11&gt;=AM11,(((D11*S11)*AG11)-O11)/2,((((D11*S11)*AG11)-AI11)+(((D11*S11)*AG11)-O11))/2))</f>
        <v>0</v>
      </c>
      <c r="Q11" s="119">
        <f>IF(J11=0,0,IF(AND(AN11&gt;=AM11,AN11&lt;=AL11),((AN11-AM11)*12)*L11,0))</f>
        <v>0</v>
      </c>
      <c r="R11" s="119">
        <f>IF(Q11&gt;0,Q11,M11)</f>
        <v>0</v>
      </c>
      <c r="S11" s="120">
        <v>1</v>
      </c>
      <c r="T11" s="140">
        <f>S11*(M11+Q11)</f>
        <v>0</v>
      </c>
      <c r="U11" s="140"/>
      <c r="V11" s="140"/>
      <c r="W11" s="140"/>
      <c r="X11" s="140"/>
      <c r="Y11" s="140">
        <f>X11*(R11+V11)</f>
        <v>0</v>
      </c>
      <c r="Z11" s="119">
        <f>S11*(M11+Q11)</f>
        <v>0</v>
      </c>
      <c r="AA11" s="141">
        <f>P11*S11</f>
        <v>0</v>
      </c>
      <c r="AB11" s="141">
        <f t="shared" ref="AB11:AF26" si="0">Q11*T11</f>
        <v>0</v>
      </c>
      <c r="AC11" s="141">
        <f t="shared" si="0"/>
        <v>0</v>
      </c>
      <c r="AD11" s="141">
        <f t="shared" si="0"/>
        <v>0</v>
      </c>
      <c r="AE11" s="141">
        <f t="shared" si="0"/>
        <v>0</v>
      </c>
      <c r="AF11" s="141">
        <f t="shared" si="0"/>
        <v>0</v>
      </c>
      <c r="AG11" s="120">
        <v>1</v>
      </c>
      <c r="AH11" s="119">
        <f>N11*S11</f>
        <v>538397</v>
      </c>
      <c r="AI11" s="119">
        <f>AH11*AG11</f>
        <v>538397</v>
      </c>
      <c r="AJ11" s="142">
        <f>$C11+(($B11-1)/12)</f>
        <v>1988.25</v>
      </c>
      <c r="AK11" s="118">
        <f>($F$6+1)-($C$6/12)</f>
        <v>2021.6666666666667</v>
      </c>
      <c r="AL11" s="142">
        <f>$G11+(($B11-1)/12)</f>
        <v>1993.25</v>
      </c>
      <c r="AM11" s="118">
        <f>$D$6+($E$6/12)</f>
        <v>2020.25</v>
      </c>
      <c r="AN11" s="118">
        <f>$I11+(($H11-1)/12)</f>
        <v>-8.3333333333333329E-2</v>
      </c>
      <c r="AO11" s="111"/>
    </row>
    <row r="12" spans="1:41" ht="15.75">
      <c r="A12" s="121" t="s">
        <v>545</v>
      </c>
      <c r="B12" s="121">
        <v>11</v>
      </c>
      <c r="C12" s="121">
        <v>2006</v>
      </c>
      <c r="D12" s="462">
        <v>202043</v>
      </c>
      <c r="E12" s="441">
        <v>0</v>
      </c>
      <c r="F12" s="441">
        <v>7</v>
      </c>
      <c r="G12" s="825">
        <f>C12+F12</f>
        <v>2013</v>
      </c>
      <c r="H12" s="441"/>
      <c r="I12" s="441"/>
      <c r="J12" s="146"/>
      <c r="K12" s="139">
        <f>D12-D12*E12</f>
        <v>202043</v>
      </c>
      <c r="L12" s="139">
        <f t="shared" ref="L12:L34" si="1">K12/F12/12</f>
        <v>2405.2738095238096</v>
      </c>
      <c r="M12" s="139">
        <f>IF(J12&gt;0,0,IF(OR(AJ12&gt;AK12,AL12&lt;AM12),0,IF(AND(AL12&gt;=AM12,AL12&lt;=AK12),L12*((AL12-AM12)*12),IF(AND(AM12&lt;=AJ12,AK12&gt;=AJ12),((AK12-AJ12)*12)*L12,IF(AL12&gt;AK12,12*L12,0)))))</f>
        <v>0</v>
      </c>
      <c r="N12" s="139">
        <f>IF(AJ12&gt;AK12,0,IF(AL12&lt;AM12,K12,IF(AND(AL12&gt;=AM12,AL12&lt;=AK12),(K12-R12),IF(AND(AM12&lt;=AJ12,AK12&gt;=AJ12),0,IF(AL12&gt;AK12,((AM12-AJ12)*12)*L12,0)))))</f>
        <v>202043</v>
      </c>
      <c r="O12" s="139">
        <f>IF(J12&gt;0,0,AI12+Z12*AG12)*AG12</f>
        <v>202043</v>
      </c>
      <c r="P12" s="139">
        <f>IF(J12&gt;0,(D12-AI12)/2,IF(AJ12&gt;=AM12,(((D12*S12)*AG12)-O12)/2,((((D12*S12)*AG12)-AI12)+(((D12*S12)*AG12)-O12))/2))</f>
        <v>0</v>
      </c>
      <c r="Q12" s="119">
        <f>IF(J12=0,0,IF(AND(AN12&gt;=AM12,AN12&lt;=AL12),((AN12-AM12)*12)*L12,0))</f>
        <v>0</v>
      </c>
      <c r="R12" s="119">
        <f t="shared" ref="R12:R34" si="2">IF(Q12&gt;0,Q12,M12)</f>
        <v>0</v>
      </c>
      <c r="S12" s="120">
        <v>1</v>
      </c>
      <c r="T12" s="140">
        <f>S12*(M12+Q12)</f>
        <v>0</v>
      </c>
      <c r="U12" s="140"/>
      <c r="V12" s="140"/>
      <c r="W12" s="140"/>
      <c r="X12" s="140"/>
      <c r="Y12" s="140"/>
      <c r="Z12" s="119">
        <f t="shared" ref="Z12:Z34" si="3">S12*(M12+Q12)</f>
        <v>0</v>
      </c>
      <c r="AA12" s="141">
        <f>P12*S12</f>
        <v>0</v>
      </c>
      <c r="AB12" s="141">
        <f t="shared" si="0"/>
        <v>0</v>
      </c>
      <c r="AC12" s="141">
        <f t="shared" si="0"/>
        <v>0</v>
      </c>
      <c r="AD12" s="141">
        <f t="shared" si="0"/>
        <v>0</v>
      </c>
      <c r="AE12" s="141">
        <f t="shared" si="0"/>
        <v>0</v>
      </c>
      <c r="AF12" s="141">
        <f t="shared" si="0"/>
        <v>0</v>
      </c>
      <c r="AG12" s="120">
        <v>1</v>
      </c>
      <c r="AH12" s="119">
        <f>N12*S12</f>
        <v>202043</v>
      </c>
      <c r="AI12" s="119">
        <f>AH12*AG12</f>
        <v>202043</v>
      </c>
      <c r="AJ12" s="142">
        <f t="shared" ref="AJ12:AJ35" si="4">$C12+(($B12-1)/12)</f>
        <v>2006.8333333333333</v>
      </c>
      <c r="AK12" s="118">
        <f t="shared" ref="AK12:AK35" si="5">($F$6+1)-($C$6/12)</f>
        <v>2021.6666666666667</v>
      </c>
      <c r="AL12" s="142">
        <f t="shared" ref="AL12:AL35" si="6">$G12+(($B12-1)/12)</f>
        <v>2013.8333333333333</v>
      </c>
      <c r="AM12" s="118">
        <f t="shared" ref="AM12:AM35" si="7">$D$6+($E$6/12)</f>
        <v>2020.25</v>
      </c>
      <c r="AN12" s="118">
        <f t="shared" ref="AN12:AN35" si="8">$I12+(($H12-1)/12)</f>
        <v>-8.3333333333333329E-2</v>
      </c>
      <c r="AO12" s="111"/>
    </row>
    <row r="13" spans="1:41" ht="15.75">
      <c r="A13" s="121" t="s">
        <v>546</v>
      </c>
      <c r="B13" s="121">
        <v>1</v>
      </c>
      <c r="C13" s="121">
        <v>2011</v>
      </c>
      <c r="D13" s="462">
        <v>142500</v>
      </c>
      <c r="E13" s="441">
        <v>0</v>
      </c>
      <c r="F13" s="441">
        <v>7</v>
      </c>
      <c r="G13" s="825">
        <f>C13+F13</f>
        <v>2018</v>
      </c>
      <c r="H13" s="441"/>
      <c r="I13" s="441"/>
      <c r="J13" s="146"/>
      <c r="K13" s="139">
        <f>D13-D13*E13</f>
        <v>142500</v>
      </c>
      <c r="L13" s="139">
        <f t="shared" si="1"/>
        <v>1696.4285714285716</v>
      </c>
      <c r="M13" s="139">
        <f t="shared" ref="M13:M28" si="9">IF(J13&gt;0,0,IF(OR(AJ13&gt;AK13,AL13&lt;AM13),0,IF(AND(AL13&gt;=AM13,AL13&lt;=AK13),L13*((AL13-AM13)*12),IF(AND(AM13&lt;=AJ13,AK13&gt;=AJ13),((AK13-AJ13)*12)*L13,IF(AL13&gt;AK13,12*L13,0)))))</f>
        <v>0</v>
      </c>
      <c r="N13" s="139">
        <f t="shared" ref="N13:N34" si="10">IF(AJ13&gt;AK13,0,IF(AL13&lt;AM13,K13,IF(AND(AL13&gt;=AM13,AL13&lt;=AK13),(K13-R13),IF(AND(AM13&lt;=AJ13,AK13&gt;=AJ13),0,IF(AL13&gt;AK13,((AM13-AJ13)*12)*L13,0)))))</f>
        <v>142500</v>
      </c>
      <c r="O13" s="139">
        <f t="shared" ref="O13:O34" si="11">IF(J13&gt;0,0,AI13+Z13*AG13)*AG13</f>
        <v>142500</v>
      </c>
      <c r="P13" s="139">
        <f t="shared" ref="P13:P28" si="12">IF(J13&gt;0,(D13-AI13)/2,IF(AJ13&gt;=AM13,(((D13*S13)*AG13)-O13)/2,((((D13*S13)*AG13)-AI13)+(((D13*S13)*AG13)-O13))/2))</f>
        <v>0</v>
      </c>
      <c r="Q13" s="119">
        <f>IF(J13=0,0,IF(AND(AN13&gt;=AM13,AN13&lt;=AL13),((AN13-AM13)*12)*L13,0))</f>
        <v>0</v>
      </c>
      <c r="R13" s="119">
        <f t="shared" si="2"/>
        <v>0</v>
      </c>
      <c r="S13" s="120">
        <v>1</v>
      </c>
      <c r="T13" s="140">
        <f>S13*(M13+Q13)</f>
        <v>0</v>
      </c>
      <c r="U13" s="140"/>
      <c r="V13" s="140"/>
      <c r="W13" s="140"/>
      <c r="X13" s="140"/>
      <c r="Y13" s="140"/>
      <c r="Z13" s="119">
        <f t="shared" si="3"/>
        <v>0</v>
      </c>
      <c r="AA13" s="141">
        <f>P13*S13</f>
        <v>0</v>
      </c>
      <c r="AB13" s="141">
        <f t="shared" si="0"/>
        <v>0</v>
      </c>
      <c r="AC13" s="141">
        <f t="shared" si="0"/>
        <v>0</v>
      </c>
      <c r="AD13" s="141">
        <f t="shared" si="0"/>
        <v>0</v>
      </c>
      <c r="AE13" s="141">
        <f t="shared" si="0"/>
        <v>0</v>
      </c>
      <c r="AF13" s="141">
        <f t="shared" si="0"/>
        <v>0</v>
      </c>
      <c r="AG13" s="120">
        <v>1</v>
      </c>
      <c r="AH13" s="119">
        <f>N13*S13</f>
        <v>142500</v>
      </c>
      <c r="AI13" s="119">
        <f>AH13*AG13</f>
        <v>142500</v>
      </c>
      <c r="AJ13" s="142">
        <f t="shared" si="4"/>
        <v>2011</v>
      </c>
      <c r="AK13" s="118">
        <f t="shared" si="5"/>
        <v>2021.6666666666667</v>
      </c>
      <c r="AL13" s="142">
        <f t="shared" si="6"/>
        <v>2018</v>
      </c>
      <c r="AM13" s="118">
        <f t="shared" si="7"/>
        <v>2020.25</v>
      </c>
      <c r="AN13" s="118">
        <f t="shared" si="8"/>
        <v>-8.3333333333333329E-2</v>
      </c>
      <c r="AO13" s="111"/>
    </row>
    <row r="14" spans="1:41" ht="15.75">
      <c r="A14" s="115" t="s">
        <v>547</v>
      </c>
      <c r="B14" s="121">
        <v>10</v>
      </c>
      <c r="C14" s="121">
        <v>2015</v>
      </c>
      <c r="D14" s="462">
        <v>25927</v>
      </c>
      <c r="E14" s="441">
        <v>0</v>
      </c>
      <c r="F14" s="441">
        <v>7</v>
      </c>
      <c r="G14" s="825">
        <f t="shared" ref="G14:G34" si="13">C14+F14</f>
        <v>2022</v>
      </c>
      <c r="H14" s="441"/>
      <c r="I14" s="441"/>
      <c r="J14" s="146"/>
      <c r="K14" s="139">
        <f t="shared" ref="K14:K34" si="14">D14-D14*E14</f>
        <v>25927</v>
      </c>
      <c r="L14" s="139">
        <f t="shared" si="1"/>
        <v>308.65476190476187</v>
      </c>
      <c r="M14" s="139">
        <f t="shared" si="9"/>
        <v>3703.8571428571422</v>
      </c>
      <c r="N14" s="139">
        <f t="shared" si="10"/>
        <v>16667.357142857141</v>
      </c>
      <c r="O14" s="139">
        <f t="shared" si="11"/>
        <v>20371.214285714283</v>
      </c>
      <c r="P14" s="139">
        <f t="shared" si="12"/>
        <v>7407.7142857142881</v>
      </c>
      <c r="Q14" s="119">
        <f t="shared" ref="Q14:Q34" si="15">IF(J14=0,0,IF(AND(AN14&gt;=AM14,AN14&lt;=AL14),((AN14-AM14)*12)*L14,0))</f>
        <v>0</v>
      </c>
      <c r="R14" s="119">
        <f t="shared" si="2"/>
        <v>3703.8571428571422</v>
      </c>
      <c r="S14" s="120">
        <v>1</v>
      </c>
      <c r="T14" s="140">
        <f t="shared" ref="T14:T34" si="16">S14*(M14+Q14)</f>
        <v>3703.8571428571422</v>
      </c>
      <c r="U14" s="140"/>
      <c r="V14" s="140"/>
      <c r="W14" s="140"/>
      <c r="X14" s="140"/>
      <c r="Y14" s="140"/>
      <c r="Z14" s="119">
        <f t="shared" si="3"/>
        <v>3703.8571428571422</v>
      </c>
      <c r="AA14" s="141">
        <f t="shared" ref="AA14:AF29" si="17">P14*S14</f>
        <v>7407.7142857142881</v>
      </c>
      <c r="AB14" s="141">
        <f t="shared" si="0"/>
        <v>0</v>
      </c>
      <c r="AC14" s="141">
        <f t="shared" si="0"/>
        <v>0</v>
      </c>
      <c r="AD14" s="141">
        <f t="shared" si="0"/>
        <v>0</v>
      </c>
      <c r="AE14" s="141">
        <f t="shared" si="0"/>
        <v>0</v>
      </c>
      <c r="AF14" s="141">
        <f t="shared" si="0"/>
        <v>0</v>
      </c>
      <c r="AG14" s="120">
        <v>1</v>
      </c>
      <c r="AH14" s="119">
        <f t="shared" ref="AH14:AH34" si="18">N14*S14</f>
        <v>16667.357142857141</v>
      </c>
      <c r="AI14" s="119">
        <f t="shared" ref="AI14:AI34" si="19">AH14*AG14</f>
        <v>16667.357142857141</v>
      </c>
      <c r="AJ14" s="142">
        <f t="shared" si="4"/>
        <v>2015.75</v>
      </c>
      <c r="AK14" s="118">
        <f t="shared" si="5"/>
        <v>2021.6666666666667</v>
      </c>
      <c r="AL14" s="142">
        <f t="shared" si="6"/>
        <v>2022.75</v>
      </c>
      <c r="AM14" s="118">
        <f t="shared" si="7"/>
        <v>2020.25</v>
      </c>
      <c r="AN14" s="118">
        <f t="shared" si="8"/>
        <v>-8.3333333333333329E-2</v>
      </c>
      <c r="AO14" s="111"/>
    </row>
    <row r="15" spans="1:41" ht="15.75">
      <c r="A15" s="115" t="s">
        <v>548</v>
      </c>
      <c r="B15" s="121">
        <v>1</v>
      </c>
      <c r="C15" s="121">
        <v>2017</v>
      </c>
      <c r="D15" s="462">
        <v>42996</v>
      </c>
      <c r="E15" s="441">
        <v>0</v>
      </c>
      <c r="F15" s="441">
        <v>10</v>
      </c>
      <c r="G15" s="825">
        <f t="shared" si="13"/>
        <v>2027</v>
      </c>
      <c r="H15" s="441"/>
      <c r="I15" s="441"/>
      <c r="J15" s="146"/>
      <c r="K15" s="139">
        <f t="shared" si="14"/>
        <v>42996</v>
      </c>
      <c r="L15" s="139">
        <f t="shared" si="1"/>
        <v>358.3</v>
      </c>
      <c r="M15" s="139">
        <f t="shared" si="9"/>
        <v>4299.6000000000004</v>
      </c>
      <c r="N15" s="139">
        <f t="shared" si="10"/>
        <v>13973.7</v>
      </c>
      <c r="O15" s="139">
        <f t="shared" si="11"/>
        <v>18273.300000000003</v>
      </c>
      <c r="P15" s="139">
        <f t="shared" si="12"/>
        <v>26872.5</v>
      </c>
      <c r="Q15" s="119">
        <f t="shared" si="15"/>
        <v>0</v>
      </c>
      <c r="R15" s="119">
        <f t="shared" si="2"/>
        <v>4299.6000000000004</v>
      </c>
      <c r="S15" s="120">
        <v>1</v>
      </c>
      <c r="T15" s="140">
        <f t="shared" si="16"/>
        <v>4299.6000000000004</v>
      </c>
      <c r="U15" s="140"/>
      <c r="V15" s="140"/>
      <c r="W15" s="140"/>
      <c r="X15" s="140"/>
      <c r="Y15" s="140"/>
      <c r="Z15" s="119">
        <f t="shared" si="3"/>
        <v>4299.6000000000004</v>
      </c>
      <c r="AA15" s="141">
        <f t="shared" si="17"/>
        <v>26872.5</v>
      </c>
      <c r="AB15" s="141">
        <f t="shared" si="0"/>
        <v>0</v>
      </c>
      <c r="AC15" s="141">
        <f t="shared" si="0"/>
        <v>0</v>
      </c>
      <c r="AD15" s="141">
        <f t="shared" si="0"/>
        <v>0</v>
      </c>
      <c r="AE15" s="141">
        <f t="shared" si="0"/>
        <v>0</v>
      </c>
      <c r="AF15" s="141">
        <f t="shared" si="0"/>
        <v>0</v>
      </c>
      <c r="AG15" s="120">
        <v>1</v>
      </c>
      <c r="AH15" s="119">
        <f t="shared" si="18"/>
        <v>13973.7</v>
      </c>
      <c r="AI15" s="119">
        <f t="shared" si="19"/>
        <v>13973.7</v>
      </c>
      <c r="AJ15" s="142">
        <f t="shared" si="4"/>
        <v>2017</v>
      </c>
      <c r="AK15" s="118">
        <f t="shared" si="5"/>
        <v>2021.6666666666667</v>
      </c>
      <c r="AL15" s="142">
        <f t="shared" si="6"/>
        <v>2027</v>
      </c>
      <c r="AM15" s="118">
        <f t="shared" si="7"/>
        <v>2020.25</v>
      </c>
      <c r="AN15" s="118">
        <f t="shared" si="8"/>
        <v>-8.3333333333333329E-2</v>
      </c>
      <c r="AO15" s="111"/>
    </row>
    <row r="16" spans="1:41" ht="15.75">
      <c r="A16" s="115" t="s">
        <v>548</v>
      </c>
      <c r="B16" s="121">
        <v>4</v>
      </c>
      <c r="C16" s="121">
        <v>2017</v>
      </c>
      <c r="D16" s="462">
        <v>37715</v>
      </c>
      <c r="E16" s="441">
        <v>0</v>
      </c>
      <c r="F16" s="441">
        <v>10</v>
      </c>
      <c r="G16" s="825">
        <f t="shared" si="13"/>
        <v>2027</v>
      </c>
      <c r="H16" s="441"/>
      <c r="I16" s="441"/>
      <c r="J16" s="146"/>
      <c r="K16" s="139">
        <f t="shared" si="14"/>
        <v>37715</v>
      </c>
      <c r="L16" s="139">
        <f t="shared" si="1"/>
        <v>314.29166666666669</v>
      </c>
      <c r="M16" s="139">
        <f t="shared" si="9"/>
        <v>3771.5</v>
      </c>
      <c r="N16" s="139">
        <f t="shared" si="10"/>
        <v>11314.5</v>
      </c>
      <c r="O16" s="139">
        <f t="shared" si="11"/>
        <v>15086</v>
      </c>
      <c r="P16" s="139">
        <f t="shared" si="12"/>
        <v>24514.75</v>
      </c>
      <c r="Q16" s="119">
        <f t="shared" si="15"/>
        <v>0</v>
      </c>
      <c r="R16" s="119">
        <f t="shared" si="2"/>
        <v>3771.5</v>
      </c>
      <c r="S16" s="120">
        <v>1</v>
      </c>
      <c r="T16" s="140">
        <f t="shared" si="16"/>
        <v>3771.5</v>
      </c>
      <c r="U16" s="140"/>
      <c r="V16" s="140"/>
      <c r="W16" s="140"/>
      <c r="X16" s="140"/>
      <c r="Y16" s="140"/>
      <c r="Z16" s="119">
        <f t="shared" si="3"/>
        <v>3771.5</v>
      </c>
      <c r="AA16" s="141">
        <f t="shared" si="17"/>
        <v>24514.75</v>
      </c>
      <c r="AB16" s="141">
        <f t="shared" si="0"/>
        <v>0</v>
      </c>
      <c r="AC16" s="141">
        <f t="shared" si="0"/>
        <v>0</v>
      </c>
      <c r="AD16" s="141">
        <f t="shared" si="0"/>
        <v>0</v>
      </c>
      <c r="AE16" s="141">
        <f t="shared" si="0"/>
        <v>0</v>
      </c>
      <c r="AF16" s="141">
        <f t="shared" si="0"/>
        <v>0</v>
      </c>
      <c r="AG16" s="120">
        <v>1</v>
      </c>
      <c r="AH16" s="119">
        <f t="shared" si="18"/>
        <v>11314.5</v>
      </c>
      <c r="AI16" s="119">
        <f t="shared" si="19"/>
        <v>11314.5</v>
      </c>
      <c r="AJ16" s="142">
        <f t="shared" si="4"/>
        <v>2017.25</v>
      </c>
      <c r="AK16" s="118">
        <f t="shared" si="5"/>
        <v>2021.6666666666667</v>
      </c>
      <c r="AL16" s="142">
        <f t="shared" si="6"/>
        <v>2027.25</v>
      </c>
      <c r="AM16" s="118">
        <f t="shared" si="7"/>
        <v>2020.25</v>
      </c>
      <c r="AN16" s="118">
        <f t="shared" si="8"/>
        <v>-8.3333333333333329E-2</v>
      </c>
      <c r="AO16" s="111"/>
    </row>
    <row r="17" spans="1:41" ht="15.75">
      <c r="A17" s="115" t="s">
        <v>548</v>
      </c>
      <c r="B17" s="121">
        <v>5</v>
      </c>
      <c r="C17" s="121">
        <v>2017</v>
      </c>
      <c r="D17" s="462">
        <v>37726</v>
      </c>
      <c r="E17" s="441">
        <v>0</v>
      </c>
      <c r="F17" s="441">
        <v>10</v>
      </c>
      <c r="G17" s="825">
        <f t="shared" si="13"/>
        <v>2027</v>
      </c>
      <c r="H17" s="441"/>
      <c r="I17" s="441"/>
      <c r="J17" s="146"/>
      <c r="K17" s="139">
        <f t="shared" si="14"/>
        <v>37726</v>
      </c>
      <c r="L17" s="139">
        <f t="shared" si="1"/>
        <v>314.38333333333333</v>
      </c>
      <c r="M17" s="139">
        <f t="shared" si="9"/>
        <v>3772.6</v>
      </c>
      <c r="N17" s="139">
        <f t="shared" si="10"/>
        <v>11003.416666666952</v>
      </c>
      <c r="O17" s="139">
        <f t="shared" si="11"/>
        <v>14776.016666666952</v>
      </c>
      <c r="P17" s="139">
        <f t="shared" si="12"/>
        <v>24836.283333333049</v>
      </c>
      <c r="Q17" s="119">
        <f t="shared" si="15"/>
        <v>0</v>
      </c>
      <c r="R17" s="119">
        <f t="shared" si="2"/>
        <v>3772.6</v>
      </c>
      <c r="S17" s="120">
        <v>1</v>
      </c>
      <c r="T17" s="140">
        <f t="shared" si="16"/>
        <v>3772.6</v>
      </c>
      <c r="U17" s="140"/>
      <c r="V17" s="140"/>
      <c r="W17" s="140"/>
      <c r="X17" s="140"/>
      <c r="Y17" s="140"/>
      <c r="Z17" s="119">
        <f t="shared" si="3"/>
        <v>3772.6</v>
      </c>
      <c r="AA17" s="141">
        <f t="shared" si="17"/>
        <v>24836.283333333049</v>
      </c>
      <c r="AB17" s="141">
        <f t="shared" si="0"/>
        <v>0</v>
      </c>
      <c r="AC17" s="141">
        <f t="shared" si="0"/>
        <v>0</v>
      </c>
      <c r="AD17" s="141">
        <f t="shared" si="0"/>
        <v>0</v>
      </c>
      <c r="AE17" s="141">
        <f t="shared" si="0"/>
        <v>0</v>
      </c>
      <c r="AF17" s="141">
        <f t="shared" si="0"/>
        <v>0</v>
      </c>
      <c r="AG17" s="120">
        <v>1</v>
      </c>
      <c r="AH17" s="119">
        <f t="shared" si="18"/>
        <v>11003.416666666952</v>
      </c>
      <c r="AI17" s="119">
        <f t="shared" si="19"/>
        <v>11003.416666666952</v>
      </c>
      <c r="AJ17" s="142">
        <f t="shared" si="4"/>
        <v>2017.3333333333333</v>
      </c>
      <c r="AK17" s="118">
        <f t="shared" si="5"/>
        <v>2021.6666666666667</v>
      </c>
      <c r="AL17" s="142">
        <f t="shared" si="6"/>
        <v>2027.3333333333333</v>
      </c>
      <c r="AM17" s="118">
        <f t="shared" si="7"/>
        <v>2020.25</v>
      </c>
      <c r="AN17" s="118">
        <f t="shared" si="8"/>
        <v>-8.3333333333333329E-2</v>
      </c>
      <c r="AO17" s="111"/>
    </row>
    <row r="18" spans="1:41" ht="15.75">
      <c r="A18" s="115" t="s">
        <v>548</v>
      </c>
      <c r="B18" s="121">
        <v>7</v>
      </c>
      <c r="C18" s="121">
        <v>2017</v>
      </c>
      <c r="D18" s="462">
        <v>46972.89</v>
      </c>
      <c r="E18" s="441">
        <v>0</v>
      </c>
      <c r="F18" s="441">
        <v>10</v>
      </c>
      <c r="G18" s="825">
        <f t="shared" si="13"/>
        <v>2027</v>
      </c>
      <c r="H18" s="441"/>
      <c r="I18" s="441"/>
      <c r="J18" s="146"/>
      <c r="K18" s="139">
        <f t="shared" si="14"/>
        <v>46972.89</v>
      </c>
      <c r="L18" s="139">
        <f t="shared" si="1"/>
        <v>391.44074999999998</v>
      </c>
      <c r="M18" s="139">
        <f t="shared" si="9"/>
        <v>4697.2889999999998</v>
      </c>
      <c r="N18" s="139">
        <f t="shared" si="10"/>
        <v>12917.544749999999</v>
      </c>
      <c r="O18" s="139">
        <f t="shared" si="11"/>
        <v>17614.833749999998</v>
      </c>
      <c r="P18" s="139">
        <f t="shared" si="12"/>
        <v>31706.70075</v>
      </c>
      <c r="Q18" s="119">
        <f t="shared" si="15"/>
        <v>0</v>
      </c>
      <c r="R18" s="119">
        <f t="shared" si="2"/>
        <v>4697.2889999999998</v>
      </c>
      <c r="S18" s="120">
        <v>1</v>
      </c>
      <c r="T18" s="140">
        <f t="shared" si="16"/>
        <v>4697.2889999999998</v>
      </c>
      <c r="U18" s="140"/>
      <c r="V18" s="140"/>
      <c r="W18" s="140"/>
      <c r="X18" s="140"/>
      <c r="Y18" s="140"/>
      <c r="Z18" s="119">
        <f t="shared" si="3"/>
        <v>4697.2889999999998</v>
      </c>
      <c r="AA18" s="141">
        <f t="shared" si="17"/>
        <v>31706.70075</v>
      </c>
      <c r="AB18" s="141">
        <f t="shared" si="0"/>
        <v>0</v>
      </c>
      <c r="AC18" s="141">
        <f t="shared" si="0"/>
        <v>0</v>
      </c>
      <c r="AD18" s="141">
        <f t="shared" si="0"/>
        <v>0</v>
      </c>
      <c r="AE18" s="141">
        <f t="shared" si="0"/>
        <v>0</v>
      </c>
      <c r="AF18" s="141">
        <f t="shared" si="0"/>
        <v>0</v>
      </c>
      <c r="AG18" s="120">
        <v>1</v>
      </c>
      <c r="AH18" s="119">
        <f t="shared" si="18"/>
        <v>12917.544749999999</v>
      </c>
      <c r="AI18" s="119">
        <f t="shared" si="19"/>
        <v>12917.544749999999</v>
      </c>
      <c r="AJ18" s="142">
        <f t="shared" si="4"/>
        <v>2017.5</v>
      </c>
      <c r="AK18" s="118">
        <f t="shared" si="5"/>
        <v>2021.6666666666667</v>
      </c>
      <c r="AL18" s="142">
        <f t="shared" si="6"/>
        <v>2027.5</v>
      </c>
      <c r="AM18" s="118">
        <f t="shared" si="7"/>
        <v>2020.25</v>
      </c>
      <c r="AN18" s="118">
        <f t="shared" si="8"/>
        <v>-8.3333333333333329E-2</v>
      </c>
      <c r="AO18" s="111"/>
    </row>
    <row r="19" spans="1:41" ht="15.75">
      <c r="A19" s="115" t="s">
        <v>548</v>
      </c>
      <c r="B19" s="121">
        <v>6</v>
      </c>
      <c r="C19" s="121">
        <v>2018</v>
      </c>
      <c r="D19" s="462">
        <v>38723</v>
      </c>
      <c r="E19" s="441">
        <v>0</v>
      </c>
      <c r="F19" s="441">
        <v>10</v>
      </c>
      <c r="G19" s="825">
        <f t="shared" si="13"/>
        <v>2028</v>
      </c>
      <c r="H19" s="441"/>
      <c r="I19" s="441"/>
      <c r="J19" s="146"/>
      <c r="K19" s="139">
        <f t="shared" si="14"/>
        <v>38723</v>
      </c>
      <c r="L19" s="139">
        <f t="shared" si="1"/>
        <v>322.69166666666666</v>
      </c>
      <c r="M19" s="139">
        <f t="shared" si="9"/>
        <v>3872.3</v>
      </c>
      <c r="N19" s="139">
        <f t="shared" si="10"/>
        <v>7099.2166666663734</v>
      </c>
      <c r="O19" s="139">
        <f t="shared" si="11"/>
        <v>10971.516666666374</v>
      </c>
      <c r="P19" s="139">
        <f t="shared" si="12"/>
        <v>29687.63333333363</v>
      </c>
      <c r="Q19" s="119">
        <f t="shared" si="15"/>
        <v>0</v>
      </c>
      <c r="R19" s="119">
        <f t="shared" si="2"/>
        <v>3872.3</v>
      </c>
      <c r="S19" s="120">
        <v>1</v>
      </c>
      <c r="T19" s="140">
        <f t="shared" si="16"/>
        <v>3872.3</v>
      </c>
      <c r="U19" s="140"/>
      <c r="V19" s="140"/>
      <c r="W19" s="140"/>
      <c r="X19" s="140"/>
      <c r="Y19" s="140"/>
      <c r="Z19" s="119">
        <f t="shared" si="3"/>
        <v>3872.3</v>
      </c>
      <c r="AA19" s="141">
        <f t="shared" si="17"/>
        <v>29687.63333333363</v>
      </c>
      <c r="AB19" s="141">
        <f t="shared" si="0"/>
        <v>0</v>
      </c>
      <c r="AC19" s="141">
        <f t="shared" si="0"/>
        <v>0</v>
      </c>
      <c r="AD19" s="141">
        <f t="shared" si="0"/>
        <v>0</v>
      </c>
      <c r="AE19" s="141">
        <f t="shared" si="0"/>
        <v>0</v>
      </c>
      <c r="AF19" s="141">
        <f t="shared" si="0"/>
        <v>0</v>
      </c>
      <c r="AG19" s="120">
        <v>1</v>
      </c>
      <c r="AH19" s="119">
        <f t="shared" si="18"/>
        <v>7099.2166666663734</v>
      </c>
      <c r="AI19" s="119">
        <f t="shared" si="19"/>
        <v>7099.2166666663734</v>
      </c>
      <c r="AJ19" s="142">
        <f t="shared" si="4"/>
        <v>2018.4166666666667</v>
      </c>
      <c r="AK19" s="118">
        <f t="shared" si="5"/>
        <v>2021.6666666666667</v>
      </c>
      <c r="AL19" s="142">
        <f t="shared" si="6"/>
        <v>2028.4166666666667</v>
      </c>
      <c r="AM19" s="118">
        <f t="shared" si="7"/>
        <v>2020.25</v>
      </c>
      <c r="AN19" s="118">
        <f t="shared" si="8"/>
        <v>-8.3333333333333329E-2</v>
      </c>
      <c r="AO19" s="111"/>
    </row>
    <row r="20" spans="1:41" ht="15.75">
      <c r="A20" s="115" t="s">
        <v>548</v>
      </c>
      <c r="B20" s="121">
        <v>2</v>
      </c>
      <c r="C20" s="121">
        <v>2018</v>
      </c>
      <c r="D20" s="462">
        <v>46806.47</v>
      </c>
      <c r="E20" s="441">
        <v>0</v>
      </c>
      <c r="F20" s="441">
        <v>10</v>
      </c>
      <c r="G20" s="825">
        <f t="shared" si="13"/>
        <v>2028</v>
      </c>
      <c r="H20" s="441"/>
      <c r="I20" s="441"/>
      <c r="J20" s="146"/>
      <c r="K20" s="139">
        <f t="shared" si="14"/>
        <v>46806.47</v>
      </c>
      <c r="L20" s="139">
        <f t="shared" si="1"/>
        <v>390.05391666666668</v>
      </c>
      <c r="M20" s="139">
        <f t="shared" si="9"/>
        <v>4680.6469999999999</v>
      </c>
      <c r="N20" s="139">
        <f t="shared" si="10"/>
        <v>10141.401833333688</v>
      </c>
      <c r="O20" s="139">
        <f t="shared" si="11"/>
        <v>14822.048833333687</v>
      </c>
      <c r="P20" s="139">
        <f t="shared" si="12"/>
        <v>34324.744666666316</v>
      </c>
      <c r="Q20" s="119">
        <f t="shared" si="15"/>
        <v>0</v>
      </c>
      <c r="R20" s="119">
        <f t="shared" si="2"/>
        <v>4680.6469999999999</v>
      </c>
      <c r="S20" s="120">
        <v>1</v>
      </c>
      <c r="T20" s="140">
        <f t="shared" si="16"/>
        <v>4680.6469999999999</v>
      </c>
      <c r="U20" s="140"/>
      <c r="V20" s="140"/>
      <c r="W20" s="140"/>
      <c r="X20" s="140"/>
      <c r="Y20" s="140"/>
      <c r="Z20" s="119">
        <f t="shared" si="3"/>
        <v>4680.6469999999999</v>
      </c>
      <c r="AA20" s="141">
        <f t="shared" si="17"/>
        <v>34324.744666666316</v>
      </c>
      <c r="AB20" s="141">
        <f t="shared" si="0"/>
        <v>0</v>
      </c>
      <c r="AC20" s="141">
        <f t="shared" si="0"/>
        <v>0</v>
      </c>
      <c r="AD20" s="141">
        <f t="shared" si="0"/>
        <v>0</v>
      </c>
      <c r="AE20" s="141">
        <f t="shared" si="0"/>
        <v>0</v>
      </c>
      <c r="AF20" s="141">
        <f t="shared" si="0"/>
        <v>0</v>
      </c>
      <c r="AG20" s="120">
        <v>1</v>
      </c>
      <c r="AH20" s="119">
        <f t="shared" si="18"/>
        <v>10141.401833333688</v>
      </c>
      <c r="AI20" s="119">
        <f t="shared" si="19"/>
        <v>10141.401833333688</v>
      </c>
      <c r="AJ20" s="142">
        <f t="shared" si="4"/>
        <v>2018.0833333333333</v>
      </c>
      <c r="AK20" s="118">
        <f t="shared" si="5"/>
        <v>2021.6666666666667</v>
      </c>
      <c r="AL20" s="142">
        <f t="shared" si="6"/>
        <v>2028.0833333333333</v>
      </c>
      <c r="AM20" s="118">
        <f t="shared" si="7"/>
        <v>2020.25</v>
      </c>
      <c r="AN20" s="118">
        <f t="shared" si="8"/>
        <v>-8.3333333333333329E-2</v>
      </c>
      <c r="AO20" s="111"/>
    </row>
    <row r="21" spans="1:41" ht="15.75">
      <c r="A21" s="115" t="s">
        <v>548</v>
      </c>
      <c r="B21" s="121">
        <v>9</v>
      </c>
      <c r="C21" s="121">
        <v>2018</v>
      </c>
      <c r="D21" s="462">
        <v>48670.65</v>
      </c>
      <c r="E21" s="441">
        <v>0</v>
      </c>
      <c r="F21" s="441">
        <v>10</v>
      </c>
      <c r="G21" s="825">
        <f t="shared" si="13"/>
        <v>2028</v>
      </c>
      <c r="H21" s="441"/>
      <c r="I21" s="441"/>
      <c r="J21" s="146"/>
      <c r="K21" s="139">
        <f t="shared" si="14"/>
        <v>48670.65</v>
      </c>
      <c r="L21" s="139">
        <f t="shared" si="1"/>
        <v>405.58875000000006</v>
      </c>
      <c r="M21" s="139">
        <f t="shared" si="9"/>
        <v>4867.0650000000005</v>
      </c>
      <c r="N21" s="139">
        <f t="shared" si="10"/>
        <v>7706.1862499996323</v>
      </c>
      <c r="O21" s="139">
        <f t="shared" si="11"/>
        <v>12573.251249999634</v>
      </c>
      <c r="P21" s="139">
        <f t="shared" si="12"/>
        <v>38530.931250000373</v>
      </c>
      <c r="Q21" s="119">
        <f t="shared" si="15"/>
        <v>0</v>
      </c>
      <c r="R21" s="119">
        <f t="shared" si="2"/>
        <v>4867.0650000000005</v>
      </c>
      <c r="S21" s="120">
        <v>1</v>
      </c>
      <c r="T21" s="140">
        <f t="shared" si="16"/>
        <v>4867.0650000000005</v>
      </c>
      <c r="U21" s="140"/>
      <c r="V21" s="140"/>
      <c r="W21" s="140"/>
      <c r="X21" s="140"/>
      <c r="Y21" s="140"/>
      <c r="Z21" s="119">
        <f t="shared" si="3"/>
        <v>4867.0650000000005</v>
      </c>
      <c r="AA21" s="141">
        <f t="shared" si="17"/>
        <v>38530.931250000373</v>
      </c>
      <c r="AB21" s="141">
        <f t="shared" si="0"/>
        <v>0</v>
      </c>
      <c r="AC21" s="141">
        <f t="shared" si="0"/>
        <v>0</v>
      </c>
      <c r="AD21" s="141">
        <f t="shared" si="0"/>
        <v>0</v>
      </c>
      <c r="AE21" s="141">
        <f t="shared" si="0"/>
        <v>0</v>
      </c>
      <c r="AF21" s="141">
        <f t="shared" si="0"/>
        <v>0</v>
      </c>
      <c r="AG21" s="120">
        <v>1</v>
      </c>
      <c r="AH21" s="119">
        <f t="shared" si="18"/>
        <v>7706.1862499996323</v>
      </c>
      <c r="AI21" s="119">
        <f t="shared" si="19"/>
        <v>7706.1862499996323</v>
      </c>
      <c r="AJ21" s="142">
        <f t="shared" si="4"/>
        <v>2018.6666666666667</v>
      </c>
      <c r="AK21" s="118">
        <f t="shared" si="5"/>
        <v>2021.6666666666667</v>
      </c>
      <c r="AL21" s="142">
        <f t="shared" si="6"/>
        <v>2028.6666666666667</v>
      </c>
      <c r="AM21" s="118">
        <f t="shared" si="7"/>
        <v>2020.25</v>
      </c>
      <c r="AN21" s="118">
        <f t="shared" si="8"/>
        <v>-8.3333333333333329E-2</v>
      </c>
      <c r="AO21" s="111"/>
    </row>
    <row r="22" spans="1:41" ht="15.75">
      <c r="A22" s="115" t="s">
        <v>549</v>
      </c>
      <c r="B22" s="121">
        <v>2</v>
      </c>
      <c r="C22" s="121">
        <v>2019</v>
      </c>
      <c r="D22" s="462">
        <v>5277</v>
      </c>
      <c r="E22" s="441">
        <v>0</v>
      </c>
      <c r="F22" s="441">
        <v>10</v>
      </c>
      <c r="G22" s="825">
        <f t="shared" si="13"/>
        <v>2029</v>
      </c>
      <c r="H22" s="441"/>
      <c r="I22" s="441"/>
      <c r="J22" s="146"/>
      <c r="K22" s="139">
        <f t="shared" si="14"/>
        <v>5277</v>
      </c>
      <c r="L22" s="139">
        <f t="shared" si="1"/>
        <v>43.975000000000001</v>
      </c>
      <c r="M22" s="139">
        <f t="shared" si="9"/>
        <v>527.70000000000005</v>
      </c>
      <c r="N22" s="139">
        <f t="shared" si="10"/>
        <v>615.65000000004</v>
      </c>
      <c r="O22" s="139">
        <f t="shared" si="11"/>
        <v>1143.3500000000399</v>
      </c>
      <c r="P22" s="139">
        <f t="shared" si="12"/>
        <v>4397.49999999996</v>
      </c>
      <c r="Q22" s="119">
        <f t="shared" si="15"/>
        <v>0</v>
      </c>
      <c r="R22" s="119">
        <f t="shared" si="2"/>
        <v>527.70000000000005</v>
      </c>
      <c r="S22" s="120">
        <v>1</v>
      </c>
      <c r="T22" s="140">
        <f t="shared" si="16"/>
        <v>527.70000000000005</v>
      </c>
      <c r="U22" s="140"/>
      <c r="V22" s="140"/>
      <c r="W22" s="140"/>
      <c r="X22" s="140"/>
      <c r="Y22" s="140"/>
      <c r="Z22" s="119">
        <f t="shared" si="3"/>
        <v>527.70000000000005</v>
      </c>
      <c r="AA22" s="141">
        <f t="shared" si="17"/>
        <v>4397.49999999996</v>
      </c>
      <c r="AB22" s="141">
        <f t="shared" si="0"/>
        <v>0</v>
      </c>
      <c r="AC22" s="141">
        <f t="shared" si="0"/>
        <v>0</v>
      </c>
      <c r="AD22" s="141">
        <f t="shared" si="0"/>
        <v>0</v>
      </c>
      <c r="AE22" s="141">
        <f t="shared" si="0"/>
        <v>0</v>
      </c>
      <c r="AF22" s="141">
        <f t="shared" si="0"/>
        <v>0</v>
      </c>
      <c r="AG22" s="120">
        <v>1</v>
      </c>
      <c r="AH22" s="119">
        <f t="shared" si="18"/>
        <v>615.65000000004</v>
      </c>
      <c r="AI22" s="119">
        <f t="shared" si="19"/>
        <v>615.65000000004</v>
      </c>
      <c r="AJ22" s="142">
        <f t="shared" si="4"/>
        <v>2019.0833333333333</v>
      </c>
      <c r="AK22" s="118">
        <f t="shared" si="5"/>
        <v>2021.6666666666667</v>
      </c>
      <c r="AL22" s="142">
        <f t="shared" si="6"/>
        <v>2029.0833333333333</v>
      </c>
      <c r="AM22" s="118">
        <f t="shared" si="7"/>
        <v>2020.25</v>
      </c>
      <c r="AN22" s="118">
        <f t="shared" si="8"/>
        <v>-8.3333333333333329E-2</v>
      </c>
      <c r="AO22" s="111"/>
    </row>
    <row r="23" spans="1:41" ht="15.75">
      <c r="A23" s="115" t="s">
        <v>550</v>
      </c>
      <c r="B23" s="121">
        <v>5</v>
      </c>
      <c r="C23" s="121">
        <v>2018</v>
      </c>
      <c r="D23" s="462">
        <v>42353</v>
      </c>
      <c r="E23" s="441">
        <v>0</v>
      </c>
      <c r="F23" s="441">
        <v>5</v>
      </c>
      <c r="G23" s="825">
        <f t="shared" si="13"/>
        <v>2023</v>
      </c>
      <c r="H23" s="441"/>
      <c r="I23" s="441"/>
      <c r="J23" s="146"/>
      <c r="K23" s="139">
        <f t="shared" si="14"/>
        <v>42353</v>
      </c>
      <c r="L23" s="139">
        <f t="shared" si="1"/>
        <v>705.88333333333333</v>
      </c>
      <c r="M23" s="139">
        <f t="shared" si="9"/>
        <v>8470.6</v>
      </c>
      <c r="N23" s="139">
        <f t="shared" si="10"/>
        <v>16235.316666667308</v>
      </c>
      <c r="O23" s="139">
        <f t="shared" si="11"/>
        <v>24705.916666667308</v>
      </c>
      <c r="P23" s="139">
        <f t="shared" si="12"/>
        <v>21882.383333332691</v>
      </c>
      <c r="Q23" s="119">
        <f t="shared" si="15"/>
        <v>0</v>
      </c>
      <c r="R23" s="119">
        <f t="shared" si="2"/>
        <v>8470.6</v>
      </c>
      <c r="S23" s="120">
        <v>1</v>
      </c>
      <c r="T23" s="140">
        <f t="shared" si="16"/>
        <v>8470.6</v>
      </c>
      <c r="U23" s="140"/>
      <c r="V23" s="140"/>
      <c r="W23" s="140"/>
      <c r="X23" s="140"/>
      <c r="Y23" s="140"/>
      <c r="Z23" s="119">
        <f t="shared" si="3"/>
        <v>8470.6</v>
      </c>
      <c r="AA23" s="141">
        <f t="shared" si="17"/>
        <v>21882.383333332691</v>
      </c>
      <c r="AB23" s="141">
        <f t="shared" si="0"/>
        <v>0</v>
      </c>
      <c r="AC23" s="141">
        <f t="shared" si="0"/>
        <v>0</v>
      </c>
      <c r="AD23" s="141">
        <f t="shared" si="0"/>
        <v>0</v>
      </c>
      <c r="AE23" s="141">
        <f t="shared" si="0"/>
        <v>0</v>
      </c>
      <c r="AF23" s="141">
        <f t="shared" si="0"/>
        <v>0</v>
      </c>
      <c r="AG23" s="120">
        <v>1</v>
      </c>
      <c r="AH23" s="119">
        <f t="shared" si="18"/>
        <v>16235.316666667308</v>
      </c>
      <c r="AI23" s="119">
        <f t="shared" si="19"/>
        <v>16235.316666667308</v>
      </c>
      <c r="AJ23" s="142">
        <f t="shared" si="4"/>
        <v>2018.3333333333333</v>
      </c>
      <c r="AK23" s="118">
        <f t="shared" si="5"/>
        <v>2021.6666666666667</v>
      </c>
      <c r="AL23" s="142">
        <f t="shared" si="6"/>
        <v>2023.3333333333333</v>
      </c>
      <c r="AM23" s="118">
        <f t="shared" si="7"/>
        <v>2020.25</v>
      </c>
      <c r="AN23" s="118">
        <f t="shared" si="8"/>
        <v>-8.3333333333333329E-2</v>
      </c>
      <c r="AO23" s="111"/>
    </row>
    <row r="24" spans="1:41" ht="15.75">
      <c r="A24" s="115" t="s">
        <v>550</v>
      </c>
      <c r="B24" s="121">
        <v>5</v>
      </c>
      <c r="C24" s="121">
        <v>2018</v>
      </c>
      <c r="D24" s="466">
        <v>42931</v>
      </c>
      <c r="E24" s="441">
        <v>0</v>
      </c>
      <c r="F24" s="441">
        <v>5</v>
      </c>
      <c r="G24" s="825">
        <f t="shared" si="13"/>
        <v>2023</v>
      </c>
      <c r="H24" s="441"/>
      <c r="I24" s="441"/>
      <c r="J24" s="146"/>
      <c r="K24" s="151">
        <f t="shared" si="14"/>
        <v>42931</v>
      </c>
      <c r="L24" s="151">
        <f t="shared" si="1"/>
        <v>715.51666666666677</v>
      </c>
      <c r="M24" s="139">
        <f t="shared" si="9"/>
        <v>8586.2000000000007</v>
      </c>
      <c r="N24" s="139">
        <f t="shared" si="10"/>
        <v>16456.883333333986</v>
      </c>
      <c r="O24" s="151">
        <f t="shared" si="11"/>
        <v>25043.083333333987</v>
      </c>
      <c r="P24" s="139">
        <f t="shared" si="12"/>
        <v>22181.016666666015</v>
      </c>
      <c r="Q24" s="143">
        <f t="shared" si="15"/>
        <v>0</v>
      </c>
      <c r="R24" s="143">
        <f t="shared" si="2"/>
        <v>8586.2000000000007</v>
      </c>
      <c r="S24" s="120">
        <v>1</v>
      </c>
      <c r="T24" s="140">
        <f t="shared" si="16"/>
        <v>8586.2000000000007</v>
      </c>
      <c r="U24" s="140"/>
      <c r="V24" s="140"/>
      <c r="W24" s="140"/>
      <c r="X24" s="140"/>
      <c r="Y24" s="140"/>
      <c r="Z24" s="119">
        <f t="shared" si="3"/>
        <v>8586.2000000000007</v>
      </c>
      <c r="AA24" s="141">
        <f t="shared" si="17"/>
        <v>22181.016666666015</v>
      </c>
      <c r="AB24" s="141">
        <f t="shared" si="0"/>
        <v>0</v>
      </c>
      <c r="AC24" s="141">
        <f t="shared" si="0"/>
        <v>0</v>
      </c>
      <c r="AD24" s="141">
        <f t="shared" si="0"/>
        <v>0</v>
      </c>
      <c r="AE24" s="141">
        <f t="shared" si="0"/>
        <v>0</v>
      </c>
      <c r="AF24" s="141">
        <f t="shared" si="0"/>
        <v>0</v>
      </c>
      <c r="AG24" s="120">
        <v>1</v>
      </c>
      <c r="AH24" s="119">
        <f t="shared" si="18"/>
        <v>16456.883333333986</v>
      </c>
      <c r="AI24" s="119">
        <f t="shared" si="19"/>
        <v>16456.883333333986</v>
      </c>
      <c r="AJ24" s="142">
        <f t="shared" si="4"/>
        <v>2018.3333333333333</v>
      </c>
      <c r="AK24" s="118">
        <f t="shared" si="5"/>
        <v>2021.6666666666667</v>
      </c>
      <c r="AL24" s="142">
        <f t="shared" si="6"/>
        <v>2023.3333333333333</v>
      </c>
      <c r="AM24" s="118">
        <f t="shared" si="7"/>
        <v>2020.25</v>
      </c>
      <c r="AN24" s="118">
        <f t="shared" si="8"/>
        <v>-8.3333333333333329E-2</v>
      </c>
      <c r="AO24" s="111"/>
    </row>
    <row r="25" spans="1:41" ht="15.75">
      <c r="A25" s="115" t="s">
        <v>551</v>
      </c>
      <c r="B25" s="121">
        <v>2</v>
      </c>
      <c r="C25" s="121">
        <v>2019</v>
      </c>
      <c r="D25" s="462">
        <v>33384</v>
      </c>
      <c r="E25" s="441">
        <v>0</v>
      </c>
      <c r="F25" s="441">
        <v>10</v>
      </c>
      <c r="G25" s="825">
        <f t="shared" si="13"/>
        <v>2029</v>
      </c>
      <c r="H25" s="441"/>
      <c r="I25" s="441"/>
      <c r="J25" s="146"/>
      <c r="K25" s="139">
        <f t="shared" si="14"/>
        <v>33384</v>
      </c>
      <c r="L25" s="139">
        <f t="shared" si="1"/>
        <v>278.2</v>
      </c>
      <c r="M25" s="139">
        <f t="shared" si="9"/>
        <v>3338.3999999999996</v>
      </c>
      <c r="N25" s="139">
        <f t="shared" si="10"/>
        <v>3894.800000000253</v>
      </c>
      <c r="O25" s="139">
        <f t="shared" si="11"/>
        <v>7233.2000000002527</v>
      </c>
      <c r="P25" s="139">
        <f t="shared" si="12"/>
        <v>27819.999999999745</v>
      </c>
      <c r="Q25" s="119">
        <f t="shared" si="15"/>
        <v>0</v>
      </c>
      <c r="R25" s="119">
        <f t="shared" si="2"/>
        <v>3338.3999999999996</v>
      </c>
      <c r="S25" s="120">
        <v>1</v>
      </c>
      <c r="T25" s="140">
        <f t="shared" si="16"/>
        <v>3338.3999999999996</v>
      </c>
      <c r="U25" s="140"/>
      <c r="V25" s="140"/>
      <c r="W25" s="140"/>
      <c r="X25" s="140"/>
      <c r="Y25" s="140"/>
      <c r="Z25" s="119">
        <f t="shared" si="3"/>
        <v>3338.3999999999996</v>
      </c>
      <c r="AA25" s="141">
        <f t="shared" si="17"/>
        <v>27819.999999999745</v>
      </c>
      <c r="AB25" s="141">
        <f t="shared" si="0"/>
        <v>0</v>
      </c>
      <c r="AC25" s="141">
        <f t="shared" si="0"/>
        <v>0</v>
      </c>
      <c r="AD25" s="141">
        <f t="shared" si="0"/>
        <v>0</v>
      </c>
      <c r="AE25" s="141">
        <f t="shared" si="0"/>
        <v>0</v>
      </c>
      <c r="AF25" s="141">
        <f t="shared" si="0"/>
        <v>0</v>
      </c>
      <c r="AG25" s="120">
        <v>1</v>
      </c>
      <c r="AH25" s="119">
        <f t="shared" si="18"/>
        <v>3894.800000000253</v>
      </c>
      <c r="AI25" s="119">
        <f t="shared" si="19"/>
        <v>3894.800000000253</v>
      </c>
      <c r="AJ25" s="142">
        <f t="shared" si="4"/>
        <v>2019.0833333333333</v>
      </c>
      <c r="AK25" s="118">
        <f t="shared" si="5"/>
        <v>2021.6666666666667</v>
      </c>
      <c r="AL25" s="142">
        <f t="shared" si="6"/>
        <v>2029.0833333333333</v>
      </c>
      <c r="AM25" s="118">
        <f t="shared" si="7"/>
        <v>2020.25</v>
      </c>
      <c r="AN25" s="118">
        <f t="shared" si="8"/>
        <v>-8.3333333333333329E-2</v>
      </c>
      <c r="AO25" s="111"/>
    </row>
    <row r="26" spans="1:41" ht="15.75">
      <c r="A26" s="115" t="s">
        <v>552</v>
      </c>
      <c r="B26" s="121">
        <v>6</v>
      </c>
      <c r="C26" s="121">
        <v>2019</v>
      </c>
      <c r="D26" s="462">
        <v>9864</v>
      </c>
      <c r="E26" s="441">
        <v>0</v>
      </c>
      <c r="F26" s="441">
        <v>10</v>
      </c>
      <c r="G26" s="825">
        <f t="shared" si="13"/>
        <v>2029</v>
      </c>
      <c r="H26" s="441"/>
      <c r="I26" s="441"/>
      <c r="J26" s="146"/>
      <c r="K26" s="139">
        <f t="shared" si="14"/>
        <v>9864</v>
      </c>
      <c r="L26" s="139">
        <f t="shared" si="1"/>
        <v>82.2</v>
      </c>
      <c r="M26" s="139">
        <f t="shared" si="9"/>
        <v>986.40000000000009</v>
      </c>
      <c r="N26" s="139">
        <f t="shared" si="10"/>
        <v>821.99999999992531</v>
      </c>
      <c r="O26" s="139">
        <f t="shared" si="11"/>
        <v>1808.3999999999255</v>
      </c>
      <c r="P26" s="139">
        <f t="shared" si="12"/>
        <v>8548.8000000000757</v>
      </c>
      <c r="Q26" s="119">
        <f t="shared" si="15"/>
        <v>0</v>
      </c>
      <c r="R26" s="119">
        <f t="shared" si="2"/>
        <v>986.40000000000009</v>
      </c>
      <c r="S26" s="120">
        <v>1</v>
      </c>
      <c r="T26" s="140">
        <f t="shared" si="16"/>
        <v>986.40000000000009</v>
      </c>
      <c r="U26" s="140"/>
      <c r="V26" s="140"/>
      <c r="W26" s="140"/>
      <c r="X26" s="140"/>
      <c r="Y26" s="140"/>
      <c r="Z26" s="119">
        <f t="shared" si="3"/>
        <v>986.40000000000009</v>
      </c>
      <c r="AA26" s="141">
        <f t="shared" si="17"/>
        <v>8548.8000000000757</v>
      </c>
      <c r="AB26" s="141">
        <f t="shared" si="0"/>
        <v>0</v>
      </c>
      <c r="AC26" s="141">
        <f t="shared" si="0"/>
        <v>0</v>
      </c>
      <c r="AD26" s="141">
        <f t="shared" si="0"/>
        <v>0</v>
      </c>
      <c r="AE26" s="141">
        <f t="shared" si="0"/>
        <v>0</v>
      </c>
      <c r="AF26" s="141">
        <f t="shared" si="0"/>
        <v>0</v>
      </c>
      <c r="AG26" s="120">
        <v>1</v>
      </c>
      <c r="AH26" s="119">
        <f t="shared" si="18"/>
        <v>821.99999999992531</v>
      </c>
      <c r="AI26" s="119">
        <f t="shared" si="19"/>
        <v>821.99999999992531</v>
      </c>
      <c r="AJ26" s="142">
        <f t="shared" si="4"/>
        <v>2019.4166666666667</v>
      </c>
      <c r="AK26" s="118">
        <f t="shared" si="5"/>
        <v>2021.6666666666667</v>
      </c>
      <c r="AL26" s="142">
        <f t="shared" si="6"/>
        <v>2029.4166666666667</v>
      </c>
      <c r="AM26" s="118">
        <f t="shared" si="7"/>
        <v>2020.25</v>
      </c>
      <c r="AN26" s="118">
        <f t="shared" si="8"/>
        <v>-8.3333333333333329E-2</v>
      </c>
      <c r="AO26" s="111"/>
    </row>
    <row r="27" spans="1:41" ht="15.75">
      <c r="A27" s="115" t="s">
        <v>551</v>
      </c>
      <c r="B27" s="121">
        <v>7</v>
      </c>
      <c r="C27" s="121">
        <v>2019</v>
      </c>
      <c r="D27" s="462">
        <v>33137</v>
      </c>
      <c r="E27" s="441">
        <v>0</v>
      </c>
      <c r="F27" s="441">
        <v>10</v>
      </c>
      <c r="G27" s="825">
        <f t="shared" si="13"/>
        <v>2029</v>
      </c>
      <c r="H27" s="441"/>
      <c r="I27" s="441"/>
      <c r="J27" s="146"/>
      <c r="K27" s="139">
        <f t="shared" si="14"/>
        <v>33137</v>
      </c>
      <c r="L27" s="139">
        <f t="shared" si="1"/>
        <v>276.14166666666665</v>
      </c>
      <c r="M27" s="139">
        <f t="shared" si="9"/>
        <v>3313.7</v>
      </c>
      <c r="N27" s="139">
        <f t="shared" si="10"/>
        <v>2485.2749999999996</v>
      </c>
      <c r="O27" s="139">
        <f t="shared" si="11"/>
        <v>5798.9749999999995</v>
      </c>
      <c r="P27" s="139">
        <f t="shared" si="12"/>
        <v>28994.875</v>
      </c>
      <c r="Q27" s="119">
        <f t="shared" si="15"/>
        <v>0</v>
      </c>
      <c r="R27" s="119">
        <f t="shared" si="2"/>
        <v>3313.7</v>
      </c>
      <c r="S27" s="120">
        <v>1</v>
      </c>
      <c r="T27" s="140">
        <f t="shared" si="16"/>
        <v>3313.7</v>
      </c>
      <c r="U27" s="140"/>
      <c r="V27" s="140"/>
      <c r="W27" s="140"/>
      <c r="X27" s="140"/>
      <c r="Y27" s="140"/>
      <c r="Z27" s="119">
        <f t="shared" si="3"/>
        <v>3313.7</v>
      </c>
      <c r="AA27" s="141">
        <f t="shared" si="17"/>
        <v>28994.875</v>
      </c>
      <c r="AB27" s="141">
        <f t="shared" si="17"/>
        <v>0</v>
      </c>
      <c r="AC27" s="141">
        <f t="shared" si="17"/>
        <v>0</v>
      </c>
      <c r="AD27" s="141">
        <f t="shared" si="17"/>
        <v>0</v>
      </c>
      <c r="AE27" s="141">
        <f t="shared" si="17"/>
        <v>0</v>
      </c>
      <c r="AF27" s="141">
        <f t="shared" si="17"/>
        <v>0</v>
      </c>
      <c r="AG27" s="120">
        <v>1</v>
      </c>
      <c r="AH27" s="119">
        <f t="shared" si="18"/>
        <v>2485.2749999999996</v>
      </c>
      <c r="AI27" s="119">
        <f t="shared" si="19"/>
        <v>2485.2749999999996</v>
      </c>
      <c r="AJ27" s="142">
        <f t="shared" si="4"/>
        <v>2019.5</v>
      </c>
      <c r="AK27" s="118">
        <f t="shared" si="5"/>
        <v>2021.6666666666667</v>
      </c>
      <c r="AL27" s="142">
        <f t="shared" si="6"/>
        <v>2029.5</v>
      </c>
      <c r="AM27" s="118">
        <f t="shared" si="7"/>
        <v>2020.25</v>
      </c>
      <c r="AN27" s="118">
        <f t="shared" si="8"/>
        <v>-8.3333333333333329E-2</v>
      </c>
      <c r="AO27" s="111"/>
    </row>
    <row r="28" spans="1:41" ht="15.75">
      <c r="A28" s="115" t="s">
        <v>553</v>
      </c>
      <c r="B28" s="121">
        <v>10</v>
      </c>
      <c r="C28" s="121">
        <v>2019</v>
      </c>
      <c r="D28" s="462">
        <v>6502</v>
      </c>
      <c r="E28" s="441">
        <v>0</v>
      </c>
      <c r="F28" s="441">
        <v>10</v>
      </c>
      <c r="G28" s="825">
        <f t="shared" si="13"/>
        <v>2029</v>
      </c>
      <c r="H28" s="441"/>
      <c r="I28" s="441"/>
      <c r="J28" s="146"/>
      <c r="K28" s="139">
        <f t="shared" si="14"/>
        <v>6502</v>
      </c>
      <c r="L28" s="139">
        <f t="shared" si="1"/>
        <v>54.183333333333337</v>
      </c>
      <c r="M28" s="139">
        <f t="shared" si="9"/>
        <v>650.20000000000005</v>
      </c>
      <c r="N28" s="139">
        <f t="shared" si="10"/>
        <v>325.10000000000002</v>
      </c>
      <c r="O28" s="139">
        <f t="shared" si="11"/>
        <v>975.30000000000007</v>
      </c>
      <c r="P28" s="139">
        <f t="shared" si="12"/>
        <v>5851.7999999999993</v>
      </c>
      <c r="Q28" s="119">
        <f t="shared" si="15"/>
        <v>0</v>
      </c>
      <c r="R28" s="119">
        <f t="shared" si="2"/>
        <v>650.20000000000005</v>
      </c>
      <c r="S28" s="120">
        <v>1</v>
      </c>
      <c r="T28" s="140">
        <f t="shared" si="16"/>
        <v>650.20000000000005</v>
      </c>
      <c r="U28" s="140"/>
      <c r="V28" s="140"/>
      <c r="W28" s="140"/>
      <c r="X28" s="140"/>
      <c r="Y28" s="140"/>
      <c r="Z28" s="119">
        <f t="shared" si="3"/>
        <v>650.20000000000005</v>
      </c>
      <c r="AA28" s="141">
        <f t="shared" si="17"/>
        <v>5851.7999999999993</v>
      </c>
      <c r="AB28" s="141">
        <f t="shared" si="17"/>
        <v>0</v>
      </c>
      <c r="AC28" s="141">
        <f t="shared" si="17"/>
        <v>0</v>
      </c>
      <c r="AD28" s="141">
        <f t="shared" si="17"/>
        <v>0</v>
      </c>
      <c r="AE28" s="141">
        <f t="shared" si="17"/>
        <v>0</v>
      </c>
      <c r="AF28" s="141">
        <f t="shared" si="17"/>
        <v>0</v>
      </c>
      <c r="AG28" s="120">
        <v>1</v>
      </c>
      <c r="AH28" s="119">
        <f t="shared" si="18"/>
        <v>325.10000000000002</v>
      </c>
      <c r="AI28" s="119">
        <f t="shared" si="19"/>
        <v>325.10000000000002</v>
      </c>
      <c r="AJ28" s="142">
        <f t="shared" si="4"/>
        <v>2019.75</v>
      </c>
      <c r="AK28" s="118">
        <f t="shared" si="5"/>
        <v>2021.6666666666667</v>
      </c>
      <c r="AL28" s="142">
        <f t="shared" si="6"/>
        <v>2029.75</v>
      </c>
      <c r="AM28" s="118">
        <f t="shared" si="7"/>
        <v>2020.25</v>
      </c>
      <c r="AN28" s="118">
        <f t="shared" si="8"/>
        <v>-8.3333333333333329E-2</v>
      </c>
      <c r="AO28" s="111"/>
    </row>
    <row r="29" spans="1:41" ht="15.75">
      <c r="A29" s="115" t="s">
        <v>554</v>
      </c>
      <c r="B29" s="121">
        <v>5</v>
      </c>
      <c r="C29" s="121">
        <v>2020</v>
      </c>
      <c r="D29" s="462">
        <v>24107</v>
      </c>
      <c r="E29" s="441">
        <v>0</v>
      </c>
      <c r="F29" s="441">
        <v>10</v>
      </c>
      <c r="G29" s="825">
        <f t="shared" si="13"/>
        <v>2030</v>
      </c>
      <c r="H29" s="441"/>
      <c r="I29" s="441"/>
      <c r="J29" s="146"/>
      <c r="K29" s="139">
        <f t="shared" si="14"/>
        <v>24107</v>
      </c>
      <c r="L29" s="139">
        <f t="shared" si="1"/>
        <v>200.89166666666665</v>
      </c>
      <c r="M29" s="139">
        <f>+L29*12</f>
        <v>2410.6999999999998</v>
      </c>
      <c r="N29" s="139">
        <f t="shared" si="10"/>
        <v>0</v>
      </c>
      <c r="O29" s="139">
        <f t="shared" si="11"/>
        <v>2410.6999999999998</v>
      </c>
      <c r="P29" s="139">
        <f>+K29-((O29+N29)/2)</f>
        <v>22901.65</v>
      </c>
      <c r="Q29" s="119">
        <f t="shared" si="15"/>
        <v>0</v>
      </c>
      <c r="R29" s="119">
        <f t="shared" si="2"/>
        <v>2410.6999999999998</v>
      </c>
      <c r="S29" s="120">
        <v>1</v>
      </c>
      <c r="T29" s="140">
        <f t="shared" si="16"/>
        <v>2410.6999999999998</v>
      </c>
      <c r="U29" s="140"/>
      <c r="V29" s="140"/>
      <c r="W29" s="140"/>
      <c r="X29" s="140"/>
      <c r="Y29" s="140"/>
      <c r="Z29" s="119">
        <f t="shared" si="3"/>
        <v>2410.6999999999998</v>
      </c>
      <c r="AA29" s="141">
        <f t="shared" si="17"/>
        <v>22901.65</v>
      </c>
      <c r="AB29" s="141">
        <f t="shared" si="17"/>
        <v>0</v>
      </c>
      <c r="AC29" s="141">
        <f t="shared" si="17"/>
        <v>0</v>
      </c>
      <c r="AD29" s="141">
        <f t="shared" si="17"/>
        <v>0</v>
      </c>
      <c r="AE29" s="141">
        <f t="shared" si="17"/>
        <v>0</v>
      </c>
      <c r="AF29" s="141">
        <f t="shared" si="17"/>
        <v>0</v>
      </c>
      <c r="AG29" s="120">
        <v>1</v>
      </c>
      <c r="AH29" s="119">
        <f t="shared" si="18"/>
        <v>0</v>
      </c>
      <c r="AI29" s="119">
        <f t="shared" si="19"/>
        <v>0</v>
      </c>
      <c r="AJ29" s="142">
        <f t="shared" si="4"/>
        <v>2020.3333333333333</v>
      </c>
      <c r="AK29" s="118">
        <f t="shared" si="5"/>
        <v>2021.6666666666667</v>
      </c>
      <c r="AL29" s="142">
        <f t="shared" si="6"/>
        <v>2030.3333333333333</v>
      </c>
      <c r="AM29" s="118">
        <f t="shared" si="7"/>
        <v>2020.25</v>
      </c>
      <c r="AN29" s="118">
        <f t="shared" si="8"/>
        <v>-8.3333333333333329E-2</v>
      </c>
      <c r="AO29" s="111"/>
    </row>
    <row r="30" spans="1:41" ht="15.75">
      <c r="A30" s="115" t="s">
        <v>555</v>
      </c>
      <c r="B30" s="121">
        <v>6</v>
      </c>
      <c r="C30" s="121">
        <v>2020</v>
      </c>
      <c r="D30" s="462">
        <v>6555</v>
      </c>
      <c r="E30" s="441">
        <v>0</v>
      </c>
      <c r="F30" s="441">
        <v>10</v>
      </c>
      <c r="G30" s="825">
        <f t="shared" si="13"/>
        <v>2030</v>
      </c>
      <c r="H30" s="441"/>
      <c r="I30" s="441"/>
      <c r="J30" s="146"/>
      <c r="K30" s="139">
        <f t="shared" si="14"/>
        <v>6555</v>
      </c>
      <c r="L30" s="139">
        <f t="shared" si="1"/>
        <v>54.625</v>
      </c>
      <c r="M30" s="139">
        <f t="shared" ref="M30:M34" si="20">+L30*12</f>
        <v>655.5</v>
      </c>
      <c r="N30" s="139">
        <f t="shared" si="10"/>
        <v>0</v>
      </c>
      <c r="O30" s="139">
        <f t="shared" si="11"/>
        <v>655.5</v>
      </c>
      <c r="P30" s="139">
        <f t="shared" ref="P30:P34" si="21">+K30-((O30+N30)/2)</f>
        <v>6227.25</v>
      </c>
      <c r="Q30" s="119">
        <f t="shared" si="15"/>
        <v>0</v>
      </c>
      <c r="R30" s="119">
        <f t="shared" si="2"/>
        <v>655.5</v>
      </c>
      <c r="S30" s="120">
        <v>1</v>
      </c>
      <c r="T30" s="140">
        <f t="shared" si="16"/>
        <v>655.5</v>
      </c>
      <c r="U30" s="140"/>
      <c r="V30" s="140"/>
      <c r="W30" s="140"/>
      <c r="X30" s="140"/>
      <c r="Y30" s="140"/>
      <c r="Z30" s="119">
        <f t="shared" si="3"/>
        <v>655.5</v>
      </c>
      <c r="AA30" s="141">
        <f t="shared" ref="AA30:AF34" si="22">P30*S30</f>
        <v>6227.25</v>
      </c>
      <c r="AB30" s="141">
        <f t="shared" si="22"/>
        <v>0</v>
      </c>
      <c r="AC30" s="141">
        <f t="shared" si="22"/>
        <v>0</v>
      </c>
      <c r="AD30" s="141">
        <f t="shared" si="22"/>
        <v>0</v>
      </c>
      <c r="AE30" s="141">
        <f t="shared" si="22"/>
        <v>0</v>
      </c>
      <c r="AF30" s="141">
        <f t="shared" si="22"/>
        <v>0</v>
      </c>
      <c r="AG30" s="120">
        <v>1</v>
      </c>
      <c r="AH30" s="119">
        <f t="shared" si="18"/>
        <v>0</v>
      </c>
      <c r="AI30" s="119">
        <f t="shared" si="19"/>
        <v>0</v>
      </c>
      <c r="AJ30" s="142">
        <f t="shared" si="4"/>
        <v>2020.4166666666667</v>
      </c>
      <c r="AK30" s="118">
        <f t="shared" si="5"/>
        <v>2021.6666666666667</v>
      </c>
      <c r="AL30" s="142">
        <f t="shared" si="6"/>
        <v>2030.4166666666667</v>
      </c>
      <c r="AM30" s="118">
        <f t="shared" si="7"/>
        <v>2020.25</v>
      </c>
      <c r="AN30" s="118">
        <f t="shared" si="8"/>
        <v>-8.3333333333333329E-2</v>
      </c>
      <c r="AO30" s="111"/>
    </row>
    <row r="31" spans="1:41" ht="15.75">
      <c r="A31" s="115" t="s">
        <v>556</v>
      </c>
      <c r="B31" s="121">
        <v>2</v>
      </c>
      <c r="C31" s="121">
        <v>2020</v>
      </c>
      <c r="D31" s="462">
        <v>6078</v>
      </c>
      <c r="E31" s="441">
        <v>0</v>
      </c>
      <c r="F31" s="441">
        <v>10</v>
      </c>
      <c r="G31" s="825">
        <f t="shared" si="13"/>
        <v>2030</v>
      </c>
      <c r="H31" s="441"/>
      <c r="I31" s="441"/>
      <c r="J31" s="146"/>
      <c r="K31" s="139">
        <f t="shared" si="14"/>
        <v>6078</v>
      </c>
      <c r="L31" s="139">
        <f t="shared" si="1"/>
        <v>50.65</v>
      </c>
      <c r="M31" s="139">
        <f t="shared" si="20"/>
        <v>607.79999999999995</v>
      </c>
      <c r="N31" s="139">
        <f t="shared" si="10"/>
        <v>101.30000000004607</v>
      </c>
      <c r="O31" s="139">
        <f t="shared" si="11"/>
        <v>709.10000000004607</v>
      </c>
      <c r="P31" s="139">
        <f t="shared" si="21"/>
        <v>5672.7999999999538</v>
      </c>
      <c r="Q31" s="119">
        <f t="shared" si="15"/>
        <v>0</v>
      </c>
      <c r="R31" s="119">
        <f t="shared" si="2"/>
        <v>607.79999999999995</v>
      </c>
      <c r="S31" s="120">
        <v>1</v>
      </c>
      <c r="T31" s="140">
        <f t="shared" si="16"/>
        <v>607.79999999999995</v>
      </c>
      <c r="U31" s="140"/>
      <c r="V31" s="140"/>
      <c r="W31" s="140"/>
      <c r="X31" s="140"/>
      <c r="Y31" s="140"/>
      <c r="Z31" s="119">
        <f t="shared" si="3"/>
        <v>607.79999999999995</v>
      </c>
      <c r="AA31" s="141">
        <f t="shared" si="22"/>
        <v>5672.7999999999538</v>
      </c>
      <c r="AB31" s="141">
        <f t="shared" si="22"/>
        <v>0</v>
      </c>
      <c r="AC31" s="141">
        <f t="shared" si="22"/>
        <v>0</v>
      </c>
      <c r="AD31" s="141">
        <f t="shared" si="22"/>
        <v>0</v>
      </c>
      <c r="AE31" s="141">
        <f t="shared" si="22"/>
        <v>0</v>
      </c>
      <c r="AF31" s="141">
        <f t="shared" si="22"/>
        <v>0</v>
      </c>
      <c r="AG31" s="120">
        <v>1</v>
      </c>
      <c r="AH31" s="119">
        <f t="shared" si="18"/>
        <v>101.30000000004607</v>
      </c>
      <c r="AI31" s="119">
        <f t="shared" si="19"/>
        <v>101.30000000004607</v>
      </c>
      <c r="AJ31" s="142">
        <f t="shared" si="4"/>
        <v>2020.0833333333333</v>
      </c>
      <c r="AK31" s="118">
        <f t="shared" si="5"/>
        <v>2021.6666666666667</v>
      </c>
      <c r="AL31" s="142">
        <f t="shared" si="6"/>
        <v>2030.0833333333333</v>
      </c>
      <c r="AM31" s="118">
        <f t="shared" si="7"/>
        <v>2020.25</v>
      </c>
      <c r="AN31" s="118">
        <f t="shared" si="8"/>
        <v>-8.3333333333333329E-2</v>
      </c>
      <c r="AO31" s="111"/>
    </row>
    <row r="32" spans="1:41" ht="15.75">
      <c r="A32" s="115" t="s">
        <v>557</v>
      </c>
      <c r="B32" s="121">
        <v>12</v>
      </c>
      <c r="C32" s="121">
        <v>2020</v>
      </c>
      <c r="D32" s="462">
        <f>177488.96+180486.96</f>
        <v>357975.92</v>
      </c>
      <c r="E32" s="441">
        <v>0</v>
      </c>
      <c r="F32" s="441">
        <v>7</v>
      </c>
      <c r="G32" s="825">
        <f t="shared" si="13"/>
        <v>2027</v>
      </c>
      <c r="H32" s="441"/>
      <c r="I32" s="441"/>
      <c r="J32" s="146"/>
      <c r="K32" s="139">
        <f t="shared" si="14"/>
        <v>357975.92</v>
      </c>
      <c r="L32" s="139">
        <f t="shared" si="1"/>
        <v>4261.6180952380955</v>
      </c>
      <c r="M32" s="139">
        <f t="shared" si="20"/>
        <v>51139.417142857143</v>
      </c>
      <c r="N32" s="139">
        <f t="shared" si="10"/>
        <v>0</v>
      </c>
      <c r="O32" s="139">
        <f t="shared" si="11"/>
        <v>51139.417142857143</v>
      </c>
      <c r="P32" s="139">
        <f t="shared" si="21"/>
        <v>332406.21142857143</v>
      </c>
      <c r="Q32" s="119">
        <f t="shared" si="15"/>
        <v>0</v>
      </c>
      <c r="R32" s="119">
        <f t="shared" si="2"/>
        <v>51139.417142857143</v>
      </c>
      <c r="S32" s="120">
        <v>1</v>
      </c>
      <c r="T32" s="140">
        <f t="shared" si="16"/>
        <v>51139.417142857143</v>
      </c>
      <c r="U32" s="140"/>
      <c r="V32" s="140"/>
      <c r="W32" s="140"/>
      <c r="X32" s="140"/>
      <c r="Y32" s="140"/>
      <c r="Z32" s="119">
        <f t="shared" si="3"/>
        <v>51139.417142857143</v>
      </c>
      <c r="AA32" s="141">
        <f t="shared" si="22"/>
        <v>332406.21142857143</v>
      </c>
      <c r="AB32" s="141">
        <f t="shared" si="22"/>
        <v>0</v>
      </c>
      <c r="AC32" s="141">
        <f t="shared" si="22"/>
        <v>0</v>
      </c>
      <c r="AD32" s="141">
        <f t="shared" si="22"/>
        <v>0</v>
      </c>
      <c r="AE32" s="141">
        <f t="shared" si="22"/>
        <v>0</v>
      </c>
      <c r="AF32" s="141">
        <f t="shared" si="22"/>
        <v>0</v>
      </c>
      <c r="AG32" s="120">
        <v>1</v>
      </c>
      <c r="AH32" s="119">
        <f t="shared" si="18"/>
        <v>0</v>
      </c>
      <c r="AI32" s="119">
        <f t="shared" si="19"/>
        <v>0</v>
      </c>
      <c r="AJ32" s="142">
        <f t="shared" si="4"/>
        <v>2020.9166666666667</v>
      </c>
      <c r="AK32" s="118">
        <f t="shared" si="5"/>
        <v>2021.6666666666667</v>
      </c>
      <c r="AL32" s="142">
        <f t="shared" si="6"/>
        <v>2027.9166666666667</v>
      </c>
      <c r="AM32" s="118">
        <f t="shared" si="7"/>
        <v>2020.25</v>
      </c>
      <c r="AN32" s="118">
        <f t="shared" si="8"/>
        <v>-8.3333333333333329E-2</v>
      </c>
      <c r="AO32" s="111"/>
    </row>
    <row r="33" spans="1:41" ht="15.75">
      <c r="A33" s="115" t="s">
        <v>558</v>
      </c>
      <c r="B33" s="121">
        <v>12</v>
      </c>
      <c r="C33" s="121">
        <v>2020</v>
      </c>
      <c r="D33" s="462">
        <v>357976</v>
      </c>
      <c r="E33" s="441">
        <v>0</v>
      </c>
      <c r="F33" s="441">
        <v>7</v>
      </c>
      <c r="G33" s="825">
        <f t="shared" si="13"/>
        <v>2027</v>
      </c>
      <c r="H33" s="441"/>
      <c r="I33" s="441"/>
      <c r="J33" s="146"/>
      <c r="K33" s="139">
        <f t="shared" si="14"/>
        <v>357976</v>
      </c>
      <c r="L33" s="139">
        <f t="shared" si="1"/>
        <v>4261.6190476190477</v>
      </c>
      <c r="M33" s="139">
        <f t="shared" si="20"/>
        <v>51139.428571428572</v>
      </c>
      <c r="N33" s="139">
        <f t="shared" si="10"/>
        <v>0</v>
      </c>
      <c r="O33" s="139">
        <f t="shared" si="11"/>
        <v>51139.428571428572</v>
      </c>
      <c r="P33" s="139">
        <f t="shared" si="21"/>
        <v>332406.28571428574</v>
      </c>
      <c r="Q33" s="119">
        <f t="shared" si="15"/>
        <v>0</v>
      </c>
      <c r="R33" s="119">
        <f t="shared" si="2"/>
        <v>51139.428571428572</v>
      </c>
      <c r="S33" s="120">
        <v>1</v>
      </c>
      <c r="T33" s="140">
        <f t="shared" si="16"/>
        <v>51139.428571428572</v>
      </c>
      <c r="U33" s="140"/>
      <c r="V33" s="140"/>
      <c r="W33" s="140"/>
      <c r="X33" s="140"/>
      <c r="Y33" s="140"/>
      <c r="Z33" s="119">
        <f t="shared" si="3"/>
        <v>51139.428571428572</v>
      </c>
      <c r="AA33" s="141">
        <f t="shared" si="22"/>
        <v>332406.28571428574</v>
      </c>
      <c r="AB33" s="141">
        <f t="shared" si="22"/>
        <v>0</v>
      </c>
      <c r="AC33" s="141">
        <f t="shared" si="22"/>
        <v>0</v>
      </c>
      <c r="AD33" s="141">
        <f t="shared" si="22"/>
        <v>0</v>
      </c>
      <c r="AE33" s="141">
        <f t="shared" si="22"/>
        <v>0</v>
      </c>
      <c r="AF33" s="141">
        <f t="shared" si="22"/>
        <v>0</v>
      </c>
      <c r="AG33" s="120">
        <v>1</v>
      </c>
      <c r="AH33" s="119">
        <f t="shared" si="18"/>
        <v>0</v>
      </c>
      <c r="AI33" s="119">
        <f t="shared" si="19"/>
        <v>0</v>
      </c>
      <c r="AJ33" s="142">
        <f t="shared" si="4"/>
        <v>2020.9166666666667</v>
      </c>
      <c r="AK33" s="118">
        <f t="shared" si="5"/>
        <v>2021.6666666666667</v>
      </c>
      <c r="AL33" s="142">
        <f t="shared" si="6"/>
        <v>2027.9166666666667</v>
      </c>
      <c r="AM33" s="118">
        <f t="shared" si="7"/>
        <v>2020.25</v>
      </c>
      <c r="AN33" s="118">
        <f t="shared" si="8"/>
        <v>-8.3333333333333329E-2</v>
      </c>
      <c r="AO33" s="111"/>
    </row>
    <row r="34" spans="1:41" ht="15.75">
      <c r="A34" s="115" t="s">
        <v>559</v>
      </c>
      <c r="B34" s="121">
        <v>12</v>
      </c>
      <c r="C34" s="121">
        <v>2020</v>
      </c>
      <c r="D34" s="466">
        <v>357976</v>
      </c>
      <c r="E34" s="468">
        <v>0</v>
      </c>
      <c r="F34" s="468">
        <v>7</v>
      </c>
      <c r="G34" s="826">
        <f t="shared" si="13"/>
        <v>2027</v>
      </c>
      <c r="H34" s="468"/>
      <c r="I34" s="468"/>
      <c r="J34" s="469"/>
      <c r="K34" s="151">
        <f t="shared" si="14"/>
        <v>357976</v>
      </c>
      <c r="L34" s="151">
        <f t="shared" si="1"/>
        <v>4261.6190476190477</v>
      </c>
      <c r="M34" s="151">
        <f t="shared" si="20"/>
        <v>51139.428571428572</v>
      </c>
      <c r="N34" s="151">
        <f t="shared" si="10"/>
        <v>0</v>
      </c>
      <c r="O34" s="151">
        <f t="shared" si="11"/>
        <v>51139.428571428572</v>
      </c>
      <c r="P34" s="151">
        <f t="shared" si="21"/>
        <v>332406.28571428574</v>
      </c>
      <c r="Q34" s="119">
        <f t="shared" si="15"/>
        <v>0</v>
      </c>
      <c r="R34" s="119">
        <f t="shared" si="2"/>
        <v>51139.428571428572</v>
      </c>
      <c r="S34" s="120">
        <v>1</v>
      </c>
      <c r="T34" s="140">
        <f t="shared" si="16"/>
        <v>51139.428571428572</v>
      </c>
      <c r="U34" s="140"/>
      <c r="V34" s="140"/>
      <c r="W34" s="140"/>
      <c r="X34" s="140"/>
      <c r="Y34" s="140"/>
      <c r="Z34" s="119">
        <f t="shared" si="3"/>
        <v>51139.428571428572</v>
      </c>
      <c r="AA34" s="141">
        <f t="shared" si="22"/>
        <v>332406.28571428574</v>
      </c>
      <c r="AB34" s="141">
        <f t="shared" si="22"/>
        <v>0</v>
      </c>
      <c r="AC34" s="141">
        <f t="shared" si="22"/>
        <v>0</v>
      </c>
      <c r="AD34" s="141">
        <f t="shared" si="22"/>
        <v>0</v>
      </c>
      <c r="AE34" s="141">
        <f t="shared" si="22"/>
        <v>0</v>
      </c>
      <c r="AF34" s="141">
        <f t="shared" si="22"/>
        <v>0</v>
      </c>
      <c r="AG34" s="120">
        <v>1</v>
      </c>
      <c r="AH34" s="119">
        <f t="shared" si="18"/>
        <v>0</v>
      </c>
      <c r="AI34" s="119">
        <f t="shared" si="19"/>
        <v>0</v>
      </c>
      <c r="AJ34" s="142">
        <f t="shared" si="4"/>
        <v>2020.9166666666667</v>
      </c>
      <c r="AK34" s="118">
        <f t="shared" si="5"/>
        <v>2021.6666666666667</v>
      </c>
      <c r="AL34" s="142">
        <f t="shared" si="6"/>
        <v>2027.9166666666667</v>
      </c>
      <c r="AM34" s="118">
        <f t="shared" si="7"/>
        <v>2020.25</v>
      </c>
      <c r="AN34" s="118">
        <f t="shared" si="8"/>
        <v>-8.3333333333333329E-2</v>
      </c>
      <c r="AO34" s="111"/>
    </row>
    <row r="35" spans="1:41" ht="15.75">
      <c r="A35" s="115" t="s">
        <v>1502</v>
      </c>
      <c r="B35" s="121">
        <v>3</v>
      </c>
      <c r="C35" s="121">
        <v>2021</v>
      </c>
      <c r="D35" s="463">
        <v>50451</v>
      </c>
      <c r="E35" s="441">
        <v>0</v>
      </c>
      <c r="F35" s="441">
        <v>10</v>
      </c>
      <c r="G35" s="825">
        <f t="shared" ref="G35" si="23">C35+F35</f>
        <v>2031</v>
      </c>
      <c r="H35" s="441"/>
      <c r="I35" s="441"/>
      <c r="J35" s="146"/>
      <c r="K35" s="145">
        <f t="shared" ref="K35" si="24">D35-D35*E35</f>
        <v>50451</v>
      </c>
      <c r="L35" s="145">
        <f t="shared" ref="L35" si="25">K35/F35/12</f>
        <v>420.42500000000001</v>
      </c>
      <c r="M35" s="145">
        <f t="shared" ref="M35" si="26">+L35*12</f>
        <v>5045.1000000000004</v>
      </c>
      <c r="N35" s="145">
        <f t="shared" ref="N35" si="27">IF(AJ35&gt;AK35,0,IF(AL35&lt;AM35,K35,IF(AND(AL35&gt;=AM35,AL35&lt;=AK35),(K35-R35),IF(AND(AM35&lt;=AJ35,AK35&gt;=AJ35),0,IF(AL35&gt;AK35,((AM35-AJ35)*12)*L35,0)))))</f>
        <v>0</v>
      </c>
      <c r="O35" s="145">
        <f t="shared" ref="O35" si="28">IF(J35&gt;0,0,AI35+Z35*AG35)*AG35</f>
        <v>5045.1000000000004</v>
      </c>
      <c r="P35" s="145">
        <f t="shared" ref="P35" si="29">+K35-((O35+N35)/2)</f>
        <v>47928.45</v>
      </c>
      <c r="Q35" s="119">
        <f t="shared" ref="Q35" si="30">IF(J35=0,0,IF(AND(AN35&gt;=AM35,AN35&lt;=AL35),((AN35-AM35)*12)*L35,0))</f>
        <v>0</v>
      </c>
      <c r="R35" s="119">
        <f t="shared" ref="R35" si="31">IF(Q35&gt;0,Q35,M35)</f>
        <v>5045.1000000000004</v>
      </c>
      <c r="S35" s="120">
        <v>1</v>
      </c>
      <c r="T35" s="140">
        <f t="shared" ref="T35" si="32">S35*(M35+Q35)</f>
        <v>5045.1000000000004</v>
      </c>
      <c r="U35" s="140"/>
      <c r="V35" s="140"/>
      <c r="W35" s="140"/>
      <c r="X35" s="140"/>
      <c r="Y35" s="140"/>
      <c r="Z35" s="119">
        <f t="shared" ref="Z35" si="33">S35*(M35+Q35)</f>
        <v>5045.1000000000004</v>
      </c>
      <c r="AA35" s="141">
        <f t="shared" ref="AA35" si="34">P35*S35</f>
        <v>47928.45</v>
      </c>
      <c r="AB35" s="141">
        <f t="shared" ref="AB35" si="35">Q35*T35</f>
        <v>0</v>
      </c>
      <c r="AC35" s="141">
        <f t="shared" ref="AC35" si="36">R35*U35</f>
        <v>0</v>
      </c>
      <c r="AD35" s="141">
        <f t="shared" ref="AD35" si="37">S35*V35</f>
        <v>0</v>
      </c>
      <c r="AE35" s="141">
        <f t="shared" ref="AE35" si="38">T35*W35</f>
        <v>0</v>
      </c>
      <c r="AF35" s="141">
        <f t="shared" ref="AF35" si="39">U35*X35</f>
        <v>0</v>
      </c>
      <c r="AG35" s="120">
        <v>1</v>
      </c>
      <c r="AH35" s="119">
        <f t="shared" ref="AH35" si="40">N35*S35</f>
        <v>0</v>
      </c>
      <c r="AI35" s="119">
        <f t="shared" ref="AI35" si="41">AH35*AG35</f>
        <v>0</v>
      </c>
      <c r="AJ35" s="142">
        <f t="shared" si="4"/>
        <v>2021.1666666666667</v>
      </c>
      <c r="AK35" s="118">
        <f t="shared" si="5"/>
        <v>2021.6666666666667</v>
      </c>
      <c r="AL35" s="142">
        <f t="shared" si="6"/>
        <v>2031.1666666666667</v>
      </c>
      <c r="AM35" s="118">
        <f t="shared" si="7"/>
        <v>2020.25</v>
      </c>
      <c r="AN35" s="118">
        <f t="shared" si="8"/>
        <v>-8.3333333333333329E-2</v>
      </c>
      <c r="AO35" s="111"/>
    </row>
    <row r="36" spans="1:41" ht="15.75">
      <c r="A36" s="121" t="s">
        <v>560</v>
      </c>
      <c r="B36" s="124"/>
      <c r="C36" s="124"/>
      <c r="D36" s="464">
        <f>SUM(D11:D35)</f>
        <v>2543043.9299999997</v>
      </c>
      <c r="E36" s="154"/>
      <c r="F36" s="154"/>
      <c r="G36" s="154"/>
      <c r="H36" s="154"/>
      <c r="I36" s="154"/>
      <c r="J36" s="139"/>
      <c r="K36" s="139">
        <f t="shared" ref="K36:R36" si="42">SUM(K11:K34)</f>
        <v>2492592.9299999997</v>
      </c>
      <c r="L36" s="139">
        <f t="shared" si="42"/>
        <v>31127.513416666668</v>
      </c>
      <c r="M36" s="139">
        <f t="shared" si="42"/>
        <v>216630.33242857142</v>
      </c>
      <c r="N36" s="139">
        <f t="shared" si="42"/>
        <v>1014699.6483095253</v>
      </c>
      <c r="O36" s="139">
        <f t="shared" si="42"/>
        <v>1231329.9807380971</v>
      </c>
      <c r="P36" s="139">
        <f t="shared" si="42"/>
        <v>1369578.1154761889</v>
      </c>
      <c r="Q36" s="119">
        <f t="shared" si="42"/>
        <v>0</v>
      </c>
      <c r="R36" s="119">
        <f t="shared" si="42"/>
        <v>216630.33242857142</v>
      </c>
      <c r="S36" s="119"/>
      <c r="T36" s="140">
        <f t="shared" ref="T36:AF36" si="43">SUM(T11:T13)</f>
        <v>0</v>
      </c>
      <c r="U36" s="140">
        <f t="shared" si="43"/>
        <v>0</v>
      </c>
      <c r="V36" s="140">
        <f t="shared" si="43"/>
        <v>0</v>
      </c>
      <c r="W36" s="140">
        <f t="shared" si="43"/>
        <v>0</v>
      </c>
      <c r="X36" s="140">
        <f t="shared" si="43"/>
        <v>0</v>
      </c>
      <c r="Y36" s="140">
        <f t="shared" si="43"/>
        <v>0</v>
      </c>
      <c r="Z36" s="119">
        <f t="shared" si="43"/>
        <v>0</v>
      </c>
      <c r="AA36" s="141">
        <f t="shared" si="43"/>
        <v>0</v>
      </c>
      <c r="AB36" s="141">
        <f t="shared" si="43"/>
        <v>0</v>
      </c>
      <c r="AC36" s="141">
        <f t="shared" si="43"/>
        <v>0</v>
      </c>
      <c r="AD36" s="141">
        <f t="shared" si="43"/>
        <v>0</v>
      </c>
      <c r="AE36" s="141">
        <f t="shared" si="43"/>
        <v>0</v>
      </c>
      <c r="AF36" s="141">
        <f t="shared" si="43"/>
        <v>0</v>
      </c>
      <c r="AG36" s="119"/>
      <c r="AH36" s="119">
        <f>SUM(AH11:AH13)</f>
        <v>882940</v>
      </c>
      <c r="AI36" s="119">
        <f>SUM(AI11:AI13)</f>
        <v>882940</v>
      </c>
      <c r="AJ36" s="142"/>
      <c r="AK36" s="118"/>
      <c r="AL36" s="142"/>
      <c r="AM36" s="118"/>
      <c r="AN36" s="118"/>
      <c r="AO36" s="111"/>
    </row>
    <row r="37" spans="1:41" ht="15.75">
      <c r="A37" s="121"/>
      <c r="B37" s="124"/>
      <c r="C37" s="124"/>
      <c r="D37" s="465"/>
      <c r="E37" s="443"/>
      <c r="F37" s="441"/>
      <c r="G37" s="441"/>
      <c r="H37" s="441"/>
      <c r="I37" s="441"/>
      <c r="J37" s="442"/>
      <c r="K37" s="442"/>
      <c r="L37" s="146"/>
      <c r="M37" s="146"/>
      <c r="N37" s="146"/>
      <c r="O37" s="146"/>
      <c r="P37" s="146"/>
      <c r="Q37" s="137"/>
      <c r="R37" s="137"/>
      <c r="S37" s="138"/>
      <c r="T37" s="147"/>
      <c r="U37" s="148"/>
      <c r="V37" s="148"/>
      <c r="W37" s="148"/>
      <c r="X37" s="148"/>
      <c r="Y37" s="148"/>
      <c r="Z37" s="137"/>
      <c r="AA37" s="149"/>
      <c r="AB37" s="149"/>
      <c r="AC37" s="149"/>
      <c r="AD37" s="149"/>
      <c r="AE37" s="149"/>
      <c r="AF37" s="149"/>
      <c r="AG37" s="138"/>
      <c r="AH37" s="138"/>
      <c r="AI37" s="138"/>
      <c r="AJ37" s="138"/>
      <c r="AK37" s="138"/>
      <c r="AL37" s="138"/>
      <c r="AM37" s="138"/>
      <c r="AN37" s="138"/>
      <c r="AO37" s="111"/>
    </row>
    <row r="38" spans="1:41" ht="15.75">
      <c r="A38" s="134" t="s">
        <v>561</v>
      </c>
      <c r="B38" s="121"/>
      <c r="C38" s="121"/>
      <c r="D38" s="465"/>
      <c r="E38" s="443"/>
      <c r="F38" s="441"/>
      <c r="G38" s="441"/>
      <c r="H38" s="441"/>
      <c r="I38" s="441"/>
      <c r="J38" s="442"/>
      <c r="K38" s="442"/>
      <c r="L38" s="146"/>
      <c r="M38" s="146"/>
      <c r="N38" s="146"/>
      <c r="O38" s="146"/>
      <c r="P38" s="146"/>
      <c r="Q38" s="137"/>
      <c r="R38" s="137"/>
      <c r="S38" s="138"/>
      <c r="T38" s="147"/>
      <c r="U38" s="148"/>
      <c r="V38" s="148"/>
      <c r="W38" s="148"/>
      <c r="X38" s="148"/>
      <c r="Y38" s="148"/>
      <c r="Z38" s="137"/>
      <c r="AA38" s="149"/>
      <c r="AB38" s="149"/>
      <c r="AC38" s="149"/>
      <c r="AD38" s="149"/>
      <c r="AE38" s="149"/>
      <c r="AF38" s="149"/>
      <c r="AG38" s="138"/>
      <c r="AH38" s="138"/>
      <c r="AI38" s="138"/>
      <c r="AJ38" s="138"/>
      <c r="AK38" s="138"/>
      <c r="AL38" s="138"/>
      <c r="AM38" s="138"/>
      <c r="AN38" s="138"/>
      <c r="AO38" s="111"/>
    </row>
    <row r="39" spans="1:41" ht="15.75">
      <c r="A39" s="134" t="s">
        <v>562</v>
      </c>
      <c r="B39" s="121">
        <v>9</v>
      </c>
      <c r="C39" s="121">
        <v>1994</v>
      </c>
      <c r="D39" s="463">
        <v>161580</v>
      </c>
      <c r="E39" s="441">
        <v>0</v>
      </c>
      <c r="F39" s="441">
        <v>7</v>
      </c>
      <c r="G39" s="825">
        <f>C39+F39</f>
        <v>2001</v>
      </c>
      <c r="H39" s="441"/>
      <c r="I39" s="441"/>
      <c r="J39" s="146"/>
      <c r="K39" s="145">
        <f>D39-D39*E39</f>
        <v>161580</v>
      </c>
      <c r="L39" s="145">
        <f>K39/F39/12</f>
        <v>1923.5714285714284</v>
      </c>
      <c r="M39" s="145">
        <f>IF(J39&gt;0,0,IF(OR(AJ39&gt;AK39,AL39&lt;AM39),0,IF(AND(AL39&gt;=AM39,AL39&lt;=AK39),L39*((AL39-AM39)*12),IF(AND(AM39&lt;=AJ39,AK39&gt;=AJ39),((AK39-AJ39)*12)*L39,IF(AL39&gt;AK39,12*L39,0)))))</f>
        <v>0</v>
      </c>
      <c r="N39" s="145">
        <f>IF(AJ39&gt;AK39,0,IF(AL39&lt;AM39,K39,IF(AND(AL39&gt;=AM39,AL39&lt;=AK39),(K39-R39),IF(AND(AM39&lt;=AJ39,AK39&gt;=AJ39),0,IF(AL39&gt;AK39,((AM39-AJ39)*12)*L39,0)))))</f>
        <v>161580</v>
      </c>
      <c r="O39" s="145">
        <f>IF(J39&gt;0,0,AI39+Z39*AG39)*AG39</f>
        <v>161580</v>
      </c>
      <c r="P39" s="145">
        <f>IF(J39&gt;0,(D39-AI39)/2,IF(AJ39&gt;=AM39,(((D39*S39)*AG39)-O39)/2,((((D39*S39)*AG39)-AI39)+(((D39*S39)*AG39)-O39))/2))</f>
        <v>0</v>
      </c>
      <c r="Q39" s="144">
        <f>IF(J39=0,0,IF(AND(AN39&gt;=AM39,AN39&lt;=AL39),((AN39-AM39)*12)*L39,0))</f>
        <v>0</v>
      </c>
      <c r="R39" s="144">
        <f>IF(Q39&gt;0,Q39,M39)</f>
        <v>0</v>
      </c>
      <c r="S39" s="120">
        <v>1</v>
      </c>
      <c r="T39" s="140">
        <f>S39*(M39+Q39)</f>
        <v>0</v>
      </c>
      <c r="U39" s="140"/>
      <c r="V39" s="140"/>
      <c r="W39" s="140"/>
      <c r="X39" s="140"/>
      <c r="Y39" s="140"/>
      <c r="Z39" s="119">
        <f>S39*(M39+Q39)</f>
        <v>0</v>
      </c>
      <c r="AA39" s="141">
        <f>P39*S39</f>
        <v>0</v>
      </c>
      <c r="AB39" s="141">
        <f t="shared" ref="AB39:AF39" si="44">Q39*T39</f>
        <v>0</v>
      </c>
      <c r="AC39" s="141">
        <f t="shared" si="44"/>
        <v>0</v>
      </c>
      <c r="AD39" s="141">
        <f t="shared" si="44"/>
        <v>0</v>
      </c>
      <c r="AE39" s="141">
        <f t="shared" si="44"/>
        <v>0</v>
      </c>
      <c r="AF39" s="141">
        <f t="shared" si="44"/>
        <v>0</v>
      </c>
      <c r="AG39" s="120">
        <v>1</v>
      </c>
      <c r="AH39" s="119">
        <f>N39*S39</f>
        <v>161580</v>
      </c>
      <c r="AI39" s="119">
        <f>AH39*AG39</f>
        <v>161580</v>
      </c>
      <c r="AJ39" s="142">
        <f>$C39+(($B39-1)/12)</f>
        <v>1994.6666666666667</v>
      </c>
      <c r="AK39" s="118">
        <f>($F$6+1)-($C$6/12)</f>
        <v>2021.6666666666667</v>
      </c>
      <c r="AL39" s="142">
        <f>$G39+(($B39-1)/12)</f>
        <v>2001.6666666666667</v>
      </c>
      <c r="AM39" s="118">
        <f>$D$6+($E$6/12)</f>
        <v>2020.25</v>
      </c>
      <c r="AN39" s="118">
        <f>$I39+(($H39-1)/12)</f>
        <v>-8.3333333333333329E-2</v>
      </c>
      <c r="AO39" s="111"/>
    </row>
    <row r="40" spans="1:41" ht="15.75">
      <c r="A40" s="121" t="s">
        <v>563</v>
      </c>
      <c r="B40" s="124"/>
      <c r="C40" s="124"/>
      <c r="D40" s="464">
        <f>SUM(D39)</f>
        <v>161580</v>
      </c>
      <c r="E40" s="444"/>
      <c r="F40" s="154"/>
      <c r="G40" s="825"/>
      <c r="H40" s="154"/>
      <c r="I40" s="154"/>
      <c r="J40" s="139"/>
      <c r="K40" s="139">
        <f t="shared" ref="K40:AI40" si="45">SUM(K39)</f>
        <v>161580</v>
      </c>
      <c r="L40" s="139">
        <f t="shared" si="45"/>
        <v>1923.5714285714284</v>
      </c>
      <c r="M40" s="139">
        <f t="shared" si="45"/>
        <v>0</v>
      </c>
      <c r="N40" s="139">
        <f t="shared" si="45"/>
        <v>161580</v>
      </c>
      <c r="O40" s="139">
        <f t="shared" si="45"/>
        <v>161580</v>
      </c>
      <c r="P40" s="139">
        <f t="shared" si="45"/>
        <v>0</v>
      </c>
      <c r="Q40" s="119">
        <f t="shared" si="45"/>
        <v>0</v>
      </c>
      <c r="R40" s="119">
        <f t="shared" si="45"/>
        <v>0</v>
      </c>
      <c r="S40" s="119"/>
      <c r="T40" s="140">
        <f>SUM(T39)</f>
        <v>0</v>
      </c>
      <c r="U40" s="140">
        <f t="shared" ref="U40:Y40" si="46">SUM(U39)</f>
        <v>0</v>
      </c>
      <c r="V40" s="140">
        <f t="shared" si="46"/>
        <v>0</v>
      </c>
      <c r="W40" s="140">
        <f t="shared" si="46"/>
        <v>0</v>
      </c>
      <c r="X40" s="140">
        <f t="shared" si="46"/>
        <v>0</v>
      </c>
      <c r="Y40" s="140">
        <f t="shared" si="46"/>
        <v>0</v>
      </c>
      <c r="Z40" s="119">
        <f t="shared" si="45"/>
        <v>0</v>
      </c>
      <c r="AA40" s="141">
        <f t="shared" si="45"/>
        <v>0</v>
      </c>
      <c r="AB40" s="141">
        <f t="shared" si="45"/>
        <v>0</v>
      </c>
      <c r="AC40" s="141">
        <f t="shared" si="45"/>
        <v>0</v>
      </c>
      <c r="AD40" s="141">
        <f t="shared" si="45"/>
        <v>0</v>
      </c>
      <c r="AE40" s="141">
        <f t="shared" si="45"/>
        <v>0</v>
      </c>
      <c r="AF40" s="141">
        <f t="shared" si="45"/>
        <v>0</v>
      </c>
      <c r="AG40" s="119"/>
      <c r="AH40" s="119">
        <f t="shared" si="45"/>
        <v>161580</v>
      </c>
      <c r="AI40" s="119">
        <f t="shared" si="45"/>
        <v>161580</v>
      </c>
      <c r="AJ40" s="142"/>
      <c r="AK40" s="118"/>
      <c r="AL40" s="142"/>
      <c r="AM40" s="118"/>
      <c r="AN40" s="118"/>
      <c r="AO40" s="111"/>
    </row>
    <row r="41" spans="1:41" ht="15.75">
      <c r="A41" s="121"/>
      <c r="B41" s="124"/>
      <c r="C41" s="124"/>
      <c r="D41" s="462"/>
      <c r="E41" s="441"/>
      <c r="F41" s="441"/>
      <c r="G41" s="825"/>
      <c r="H41" s="441"/>
      <c r="I41" s="441"/>
      <c r="J41" s="146"/>
      <c r="K41" s="139"/>
      <c r="L41" s="139"/>
      <c r="M41" s="139"/>
      <c r="N41" s="139"/>
      <c r="O41" s="139"/>
      <c r="P41" s="139"/>
      <c r="Q41" s="119"/>
      <c r="R41" s="119"/>
      <c r="S41" s="120"/>
      <c r="T41" s="140"/>
      <c r="U41" s="140"/>
      <c r="V41" s="140"/>
      <c r="W41" s="140"/>
      <c r="X41" s="140"/>
      <c r="Y41" s="140"/>
      <c r="Z41" s="119"/>
      <c r="AA41" s="141"/>
      <c r="AB41" s="141"/>
      <c r="AC41" s="141"/>
      <c r="AD41" s="141"/>
      <c r="AE41" s="141"/>
      <c r="AF41" s="141"/>
      <c r="AG41" s="120"/>
      <c r="AH41" s="119"/>
      <c r="AI41" s="119"/>
      <c r="AJ41" s="142"/>
      <c r="AK41" s="118"/>
      <c r="AL41" s="142"/>
      <c r="AM41" s="118"/>
      <c r="AN41" s="118"/>
      <c r="AO41" s="111"/>
    </row>
    <row r="42" spans="1:41" ht="15.75">
      <c r="A42" s="134" t="s">
        <v>564</v>
      </c>
      <c r="B42" s="121"/>
      <c r="C42" s="121"/>
      <c r="D42" s="465"/>
      <c r="E42" s="443"/>
      <c r="F42" s="441"/>
      <c r="G42" s="827"/>
      <c r="H42" s="441"/>
      <c r="I42" s="441"/>
      <c r="J42" s="442"/>
      <c r="K42" s="442"/>
      <c r="L42" s="146"/>
      <c r="M42" s="146"/>
      <c r="N42" s="146"/>
      <c r="O42" s="146"/>
      <c r="P42" s="146"/>
      <c r="Q42" s="137"/>
      <c r="R42" s="137"/>
      <c r="S42" s="138"/>
      <c r="T42" s="147"/>
      <c r="U42" s="148"/>
      <c r="V42" s="148"/>
      <c r="W42" s="148"/>
      <c r="X42" s="148"/>
      <c r="Y42" s="148"/>
      <c r="Z42" s="137"/>
      <c r="AA42" s="149"/>
      <c r="AB42" s="149"/>
      <c r="AC42" s="149"/>
      <c r="AD42" s="149"/>
      <c r="AE42" s="149"/>
      <c r="AF42" s="149"/>
      <c r="AG42" s="138"/>
      <c r="AH42" s="138"/>
      <c r="AI42" s="138"/>
      <c r="AJ42" s="138"/>
      <c r="AK42" s="138"/>
      <c r="AL42" s="138"/>
      <c r="AM42" s="138"/>
      <c r="AN42" s="138"/>
      <c r="AO42" s="111"/>
    </row>
    <row r="43" spans="1:41" ht="15.75">
      <c r="A43" s="134" t="s">
        <v>565</v>
      </c>
      <c r="B43" s="121">
        <v>12</v>
      </c>
      <c r="C43" s="121">
        <v>2004</v>
      </c>
      <c r="D43" s="463">
        <f>24837.49+35025</f>
        <v>59862.490000000005</v>
      </c>
      <c r="E43" s="441">
        <v>0</v>
      </c>
      <c r="F43" s="441">
        <v>5</v>
      </c>
      <c r="G43" s="825">
        <f>C43+F43</f>
        <v>2009</v>
      </c>
      <c r="H43" s="441"/>
      <c r="I43" s="441"/>
      <c r="J43" s="146"/>
      <c r="K43" s="145">
        <f>D43-D43*E43</f>
        <v>59862.490000000005</v>
      </c>
      <c r="L43" s="145">
        <f>K43/F43/12</f>
        <v>997.70816666666678</v>
      </c>
      <c r="M43" s="145">
        <f>IF(J43&gt;0,0,IF(OR(AJ43&gt;AK43,AL43&lt;AM43),0,IF(AND(AL43&gt;=AM43,AL43&lt;=AK43),L43*((AL43-AM43)*12),IF(AND(AM43&lt;=AJ43,AK43&gt;=AJ43),((AK43-AJ43)*12)*L43,IF(AL43&gt;AK43,12*L43,0)))))</f>
        <v>0</v>
      </c>
      <c r="N43" s="145">
        <f>IF(AJ43&gt;AK43,0,IF(AL43&lt;AM43,K43,IF(AND(AL43&gt;=AM43,AL43&lt;=AK43),(K43-R43),IF(AND(AM43&lt;=AJ43,AK43&gt;=AJ43),0,IF(AL43&gt;AK43,((AM43-AJ43)*12)*L43,0)))))</f>
        <v>59862.490000000005</v>
      </c>
      <c r="O43" s="145">
        <f>IF(J43&gt;0,0,AI43+Z43*AG43)*AG43</f>
        <v>59862.490000000005</v>
      </c>
      <c r="P43" s="145">
        <f>IF(J43&gt;0,(D43-AI43)/2,IF(AJ43&gt;=AM43,(((D43*S43)*AG43)-O43)/2,((((D43*S43)*AG43)-AI43)+(((D43*S43)*AG43)-O43))/2))</f>
        <v>0</v>
      </c>
      <c r="Q43" s="144">
        <f>IF(J43=0,0,IF(AND(AN43&gt;=AM43,AN43&lt;=AL43),((AN43-AM43)*12)*L43,0))</f>
        <v>0</v>
      </c>
      <c r="R43" s="144">
        <f>IF(Q43&gt;0,Q43,M43)</f>
        <v>0</v>
      </c>
      <c r="S43" s="120">
        <v>1</v>
      </c>
      <c r="T43" s="140">
        <f>S43*(M43+Q43)</f>
        <v>0</v>
      </c>
      <c r="U43" s="140"/>
      <c r="V43" s="140"/>
      <c r="W43" s="140"/>
      <c r="X43" s="140"/>
      <c r="Y43" s="140"/>
      <c r="Z43" s="119">
        <f>S43*(M43+Q43)</f>
        <v>0</v>
      </c>
      <c r="AA43" s="141">
        <f>P43*S43</f>
        <v>0</v>
      </c>
      <c r="AB43" s="141">
        <f t="shared" ref="AB43:AF43" si="47">Q43*T43</f>
        <v>0</v>
      </c>
      <c r="AC43" s="141">
        <f t="shared" si="47"/>
        <v>0</v>
      </c>
      <c r="AD43" s="141">
        <f t="shared" si="47"/>
        <v>0</v>
      </c>
      <c r="AE43" s="141">
        <f t="shared" si="47"/>
        <v>0</v>
      </c>
      <c r="AF43" s="141">
        <f t="shared" si="47"/>
        <v>0</v>
      </c>
      <c r="AG43" s="120">
        <v>1</v>
      </c>
      <c r="AH43" s="119">
        <f>N43*S43</f>
        <v>59862.490000000005</v>
      </c>
      <c r="AI43" s="119">
        <f>AH43*AG43</f>
        <v>59862.490000000005</v>
      </c>
      <c r="AJ43" s="142">
        <f>$C43+(($B43-1)/12)</f>
        <v>2004.9166666666667</v>
      </c>
      <c r="AK43" s="118">
        <f>($F$6+1)-($C$6/12)</f>
        <v>2021.6666666666667</v>
      </c>
      <c r="AL43" s="142">
        <f>$G43+(($B43-1)/12)</f>
        <v>2009.9166666666667</v>
      </c>
      <c r="AM43" s="118">
        <f>$D$6+($E$6/12)</f>
        <v>2020.25</v>
      </c>
      <c r="AN43" s="118">
        <f>$I43+(($H43-1)/12)</f>
        <v>-8.3333333333333329E-2</v>
      </c>
      <c r="AO43" s="111"/>
    </row>
    <row r="44" spans="1:41" ht="15.75">
      <c r="A44" s="121" t="s">
        <v>566</v>
      </c>
      <c r="B44" s="124"/>
      <c r="C44" s="124"/>
      <c r="D44" s="464">
        <f>SUM(D43)</f>
        <v>59862.490000000005</v>
      </c>
      <c r="E44" s="154"/>
      <c r="F44" s="154"/>
      <c r="G44" s="825"/>
      <c r="H44" s="154"/>
      <c r="I44" s="154"/>
      <c r="J44" s="139"/>
      <c r="K44" s="139">
        <f t="shared" ref="K44:AI44" si="48">SUM(K43)</f>
        <v>59862.490000000005</v>
      </c>
      <c r="L44" s="139">
        <f t="shared" si="48"/>
        <v>997.70816666666678</v>
      </c>
      <c r="M44" s="139">
        <f t="shared" si="48"/>
        <v>0</v>
      </c>
      <c r="N44" s="139">
        <f t="shared" si="48"/>
        <v>59862.490000000005</v>
      </c>
      <c r="O44" s="139">
        <f t="shared" si="48"/>
        <v>59862.490000000005</v>
      </c>
      <c r="P44" s="139">
        <f t="shared" si="48"/>
        <v>0</v>
      </c>
      <c r="Q44" s="119">
        <f t="shared" si="48"/>
        <v>0</v>
      </c>
      <c r="R44" s="119">
        <f t="shared" si="48"/>
        <v>0</v>
      </c>
      <c r="S44" s="119"/>
      <c r="T44" s="140">
        <f>SUM(T43)</f>
        <v>0</v>
      </c>
      <c r="U44" s="140"/>
      <c r="V44" s="140"/>
      <c r="W44" s="140"/>
      <c r="X44" s="140"/>
      <c r="Y44" s="140"/>
      <c r="Z44" s="119">
        <f t="shared" si="48"/>
        <v>0</v>
      </c>
      <c r="AA44" s="141">
        <f t="shared" si="48"/>
        <v>0</v>
      </c>
      <c r="AB44" s="141">
        <f t="shared" si="48"/>
        <v>0</v>
      </c>
      <c r="AC44" s="141">
        <f t="shared" si="48"/>
        <v>0</v>
      </c>
      <c r="AD44" s="141">
        <f t="shared" si="48"/>
        <v>0</v>
      </c>
      <c r="AE44" s="141">
        <f t="shared" si="48"/>
        <v>0</v>
      </c>
      <c r="AF44" s="141">
        <f t="shared" si="48"/>
        <v>0</v>
      </c>
      <c r="AG44" s="119"/>
      <c r="AH44" s="119">
        <f t="shared" si="48"/>
        <v>59862.490000000005</v>
      </c>
      <c r="AI44" s="119">
        <f t="shared" si="48"/>
        <v>59862.490000000005</v>
      </c>
      <c r="AJ44" s="142"/>
      <c r="AK44" s="118"/>
      <c r="AL44" s="142"/>
      <c r="AM44" s="118"/>
      <c r="AN44" s="118"/>
      <c r="AO44" s="111"/>
    </row>
    <row r="45" spans="1:41" ht="15.75">
      <c r="A45" s="121"/>
      <c r="B45" s="124"/>
      <c r="C45" s="124"/>
      <c r="D45" s="462"/>
      <c r="E45" s="441"/>
      <c r="F45" s="441"/>
      <c r="G45" s="825"/>
      <c r="H45" s="441"/>
      <c r="I45" s="441"/>
      <c r="J45" s="146"/>
      <c r="K45" s="139"/>
      <c r="L45" s="139"/>
      <c r="M45" s="139"/>
      <c r="N45" s="139"/>
      <c r="O45" s="139"/>
      <c r="P45" s="139"/>
      <c r="Q45" s="119"/>
      <c r="R45" s="119"/>
      <c r="S45" s="120"/>
      <c r="T45" s="140"/>
      <c r="U45" s="140"/>
      <c r="V45" s="140"/>
      <c r="W45" s="140"/>
      <c r="X45" s="140"/>
      <c r="Y45" s="140"/>
      <c r="Z45" s="119"/>
      <c r="AA45" s="141"/>
      <c r="AB45" s="141"/>
      <c r="AC45" s="141"/>
      <c r="AD45" s="141"/>
      <c r="AE45" s="141"/>
      <c r="AF45" s="141"/>
      <c r="AG45" s="120"/>
      <c r="AH45" s="119"/>
      <c r="AI45" s="119"/>
      <c r="AJ45" s="142"/>
      <c r="AK45" s="118"/>
      <c r="AL45" s="142"/>
      <c r="AM45" s="118"/>
      <c r="AN45" s="118"/>
      <c r="AO45" s="111"/>
    </row>
    <row r="46" spans="1:41" ht="15.75">
      <c r="A46" s="134" t="s">
        <v>567</v>
      </c>
      <c r="B46" s="121"/>
      <c r="C46" s="121"/>
      <c r="D46" s="465"/>
      <c r="E46" s="443"/>
      <c r="F46" s="441"/>
      <c r="G46" s="827"/>
      <c r="H46" s="441"/>
      <c r="I46" s="441"/>
      <c r="J46" s="442"/>
      <c r="K46" s="442"/>
      <c r="L46" s="146"/>
      <c r="M46" s="146"/>
      <c r="N46" s="146"/>
      <c r="O46" s="146"/>
      <c r="P46" s="146"/>
      <c r="Q46" s="137"/>
      <c r="R46" s="137"/>
      <c r="S46" s="138"/>
      <c r="T46" s="147"/>
      <c r="U46" s="148"/>
      <c r="V46" s="148"/>
      <c r="W46" s="148"/>
      <c r="X46" s="148"/>
      <c r="Y46" s="148"/>
      <c r="Z46" s="137"/>
      <c r="AA46" s="149"/>
      <c r="AB46" s="149"/>
      <c r="AC46" s="149"/>
      <c r="AD46" s="149"/>
      <c r="AE46" s="149"/>
      <c r="AF46" s="149"/>
      <c r="AG46" s="138"/>
      <c r="AH46" s="138"/>
      <c r="AI46" s="138"/>
      <c r="AJ46" s="138"/>
      <c r="AK46" s="138"/>
      <c r="AL46" s="138"/>
      <c r="AM46" s="138"/>
      <c r="AN46" s="138"/>
      <c r="AO46" s="111"/>
    </row>
    <row r="47" spans="1:41" ht="15.75">
      <c r="A47" s="134" t="s">
        <v>568</v>
      </c>
      <c r="B47" s="67"/>
      <c r="C47" s="67"/>
      <c r="D47" s="467"/>
      <c r="E47" s="445"/>
      <c r="F47" s="445"/>
      <c r="H47" s="445"/>
      <c r="I47" s="445"/>
      <c r="J47" s="445"/>
      <c r="K47" s="445"/>
      <c r="L47" s="445"/>
      <c r="M47" s="445"/>
      <c r="N47" s="445"/>
      <c r="O47" s="445"/>
      <c r="P47" s="445"/>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row>
    <row r="48" spans="1:41" ht="15.75">
      <c r="A48" s="437" t="s">
        <v>569</v>
      </c>
      <c r="B48" s="121">
        <v>2</v>
      </c>
      <c r="C48" s="121">
        <v>1992</v>
      </c>
      <c r="D48" s="462">
        <v>812</v>
      </c>
      <c r="E48" s="441">
        <v>0</v>
      </c>
      <c r="F48" s="441">
        <v>5</v>
      </c>
      <c r="G48" s="825">
        <f>C48+F48</f>
        <v>1997</v>
      </c>
      <c r="H48" s="441"/>
      <c r="I48" s="441"/>
      <c r="J48" s="146"/>
      <c r="K48" s="139">
        <f>D48-D48*E48</f>
        <v>812</v>
      </c>
      <c r="L48" s="139">
        <f>K48/F48/12</f>
        <v>13.533333333333333</v>
      </c>
      <c r="M48" s="139">
        <f>IF(J48&gt;0,0,IF(OR(AJ48&gt;AK48,AL48&lt;AM48),0,IF(AND(AL48&gt;=AM48,AL48&lt;=AK48),L48*((AL48-AM48)*12),IF(AND(AM48&lt;=AJ48,AK48&gt;=AJ48),((AK48-AJ48)*12)*L48,IF(AL48&gt;AK48,12*L48,0)))))</f>
        <v>0</v>
      </c>
      <c r="N48" s="139">
        <f>IF(AJ48&gt;AK48,0,IF(AL48&lt;AM48,K48,IF(AND(AL48&gt;=AM48,AL48&lt;=AK48),(K48-R48),IF(AND(AM48&lt;=AJ48,AK48&gt;=AJ48),0,IF(AL48&gt;AK48,((AM48-AJ48)*12)*L48,0)))))</f>
        <v>812</v>
      </c>
      <c r="O48" s="139">
        <f>IF(J48&gt;0,0,AI48+Z48*AG48)*AG48</f>
        <v>812</v>
      </c>
      <c r="P48" s="139">
        <f>IF(J48&gt;0,(D48-AI48)/2,IF(AJ48&gt;=AM48,(((D48*S48)*AG48)-O48)/2,((((D48*S48)*AG48)-AI48)+(((D48*S48)*AG48)-O48))/2))</f>
        <v>0</v>
      </c>
      <c r="Q48" s="119">
        <f>IF(J48=0,0,IF(AND(AN48&gt;=AM48,AN48&lt;=AL48),((AN48-AM48)*12)*L48,0))</f>
        <v>0</v>
      </c>
      <c r="R48" s="119">
        <f>IF(Q48&gt;0,Q48,M48)</f>
        <v>0</v>
      </c>
      <c r="S48" s="120">
        <v>1</v>
      </c>
      <c r="T48" s="140">
        <f t="shared" ref="T48:Y54" si="49">$S$48*($M$48+$Q$48)*T9</f>
        <v>0</v>
      </c>
      <c r="U48" s="140">
        <f t="shared" si="49"/>
        <v>0</v>
      </c>
      <c r="V48" s="140">
        <f t="shared" si="49"/>
        <v>0</v>
      </c>
      <c r="W48" s="140">
        <f t="shared" si="49"/>
        <v>0</v>
      </c>
      <c r="X48" s="140">
        <f t="shared" si="49"/>
        <v>0</v>
      </c>
      <c r="Y48" s="140">
        <f t="shared" si="49"/>
        <v>0</v>
      </c>
      <c r="Z48" s="119">
        <f>S48*(M48+Q48)</f>
        <v>0</v>
      </c>
      <c r="AA48" s="141">
        <f t="shared" ref="AA48:AF54" si="50">$P$48*$S$48*AA9</f>
        <v>0</v>
      </c>
      <c r="AB48" s="141">
        <f t="shared" si="50"/>
        <v>0</v>
      </c>
      <c r="AC48" s="141">
        <f t="shared" si="50"/>
        <v>0</v>
      </c>
      <c r="AD48" s="141">
        <f t="shared" si="50"/>
        <v>0</v>
      </c>
      <c r="AE48" s="141">
        <f t="shared" si="50"/>
        <v>0</v>
      </c>
      <c r="AF48" s="141">
        <f t="shared" si="50"/>
        <v>0</v>
      </c>
      <c r="AG48" s="120">
        <v>1</v>
      </c>
      <c r="AH48" s="119">
        <f>N48*S48</f>
        <v>812</v>
      </c>
      <c r="AI48" s="119">
        <f>AH48*AG48</f>
        <v>812</v>
      </c>
      <c r="AJ48" s="142">
        <f>$C48+(($B48-1)/12)</f>
        <v>1992.0833333333333</v>
      </c>
      <c r="AK48" s="118">
        <f>($F$6+1)-($C$6/12)</f>
        <v>2021.6666666666667</v>
      </c>
      <c r="AL48" s="142">
        <f>$G48+(($B48-1)/12)</f>
        <v>1997.0833333333333</v>
      </c>
      <c r="AM48" s="118">
        <f>$D$6+($E$6/12)</f>
        <v>2020.25</v>
      </c>
      <c r="AN48" s="118">
        <f>$I48+(($H48-1)/12)</f>
        <v>-8.3333333333333329E-2</v>
      </c>
      <c r="AO48" s="111"/>
    </row>
    <row r="49" spans="1:41" ht="15.75">
      <c r="A49" s="437" t="s">
        <v>570</v>
      </c>
      <c r="B49" s="121">
        <v>2</v>
      </c>
      <c r="C49" s="121">
        <v>1992</v>
      </c>
      <c r="D49" s="462">
        <v>500</v>
      </c>
      <c r="E49" s="441">
        <v>0</v>
      </c>
      <c r="F49" s="441">
        <v>5</v>
      </c>
      <c r="G49" s="825">
        <f t="shared" ref="G49:G61" si="51">C49+F49</f>
        <v>1997</v>
      </c>
      <c r="H49" s="441"/>
      <c r="I49" s="441"/>
      <c r="J49" s="146"/>
      <c r="K49" s="139">
        <f t="shared" ref="K49:K61" si="52">D49-D49*E49</f>
        <v>500</v>
      </c>
      <c r="L49" s="139">
        <f t="shared" ref="L49:L61" si="53">K49/F49/12</f>
        <v>8.3333333333333339</v>
      </c>
      <c r="M49" s="139">
        <f t="shared" ref="M49:M61" si="54">IF(J49&gt;0,0,IF(OR(AJ49&gt;AK49,AL49&lt;AM49),0,IF(AND(AL49&gt;=AM49,AL49&lt;=AK49),L49*((AL49-AM49)*12),IF(AND(AM49&lt;=AJ49,AK49&gt;=AJ49),((AK49-AJ49)*12)*L49,IF(AL49&gt;AK49,12*L49,0)))))</f>
        <v>0</v>
      </c>
      <c r="N49" s="139">
        <f t="shared" ref="N49:N61" si="55">IF(AJ49&gt;AK49,0,IF(AL49&lt;AM49,K49,IF(AND(AL49&gt;=AM49,AL49&lt;=AK49),(K49-R49),IF(AND(AM49&lt;=AJ49,AK49&gt;=AJ49),0,IF(AL49&gt;AK49,((AM49-AJ49)*12)*L49,0)))))</f>
        <v>500</v>
      </c>
      <c r="O49" s="139">
        <f t="shared" ref="O49:O61" si="56">IF(J49&gt;0,0,AI49+Z49*AG49)*AG49</f>
        <v>500</v>
      </c>
      <c r="P49" s="139">
        <f t="shared" ref="P49:P61" si="57">IF(J49&gt;0,(D49-AI49)/2,IF(AJ49&gt;=AM49,(((D49*S49)*AG49)-O49)/2,((((D49*S49)*AG49)-AI49)+(((D49*S49)*AG49)-O49))/2))</f>
        <v>0</v>
      </c>
      <c r="Q49" s="119">
        <f t="shared" ref="Q49:Q61" si="58">IF(J49=0,0,IF(AND(AN49&gt;=AM49,AN49&lt;=AL49),((AN49-AM49)*12)*L49,0))</f>
        <v>0</v>
      </c>
      <c r="R49" s="119">
        <f t="shared" ref="R49:R61" si="59">IF(Q49&gt;0,Q49,M49)</f>
        <v>0</v>
      </c>
      <c r="S49" s="120">
        <v>1</v>
      </c>
      <c r="T49" s="140">
        <f t="shared" si="49"/>
        <v>0</v>
      </c>
      <c r="U49" s="140">
        <f t="shared" si="49"/>
        <v>0</v>
      </c>
      <c r="V49" s="140">
        <f t="shared" si="49"/>
        <v>0</v>
      </c>
      <c r="W49" s="140">
        <f t="shared" si="49"/>
        <v>0</v>
      </c>
      <c r="X49" s="140">
        <f t="shared" si="49"/>
        <v>0</v>
      </c>
      <c r="Y49" s="140">
        <f t="shared" si="49"/>
        <v>0</v>
      </c>
      <c r="Z49" s="119">
        <f t="shared" ref="Z49:Z61" si="60">S49*(M49+Q49)</f>
        <v>0</v>
      </c>
      <c r="AA49" s="141">
        <f t="shared" si="50"/>
        <v>0</v>
      </c>
      <c r="AB49" s="141">
        <f t="shared" si="50"/>
        <v>0</v>
      </c>
      <c r="AC49" s="141">
        <f t="shared" si="50"/>
        <v>0</v>
      </c>
      <c r="AD49" s="141">
        <f t="shared" si="50"/>
        <v>0</v>
      </c>
      <c r="AE49" s="141">
        <f t="shared" si="50"/>
        <v>0</v>
      </c>
      <c r="AF49" s="141">
        <f t="shared" si="50"/>
        <v>0</v>
      </c>
      <c r="AG49" s="120">
        <v>1</v>
      </c>
      <c r="AH49" s="119">
        <f t="shared" ref="AH49:AH61" si="61">N49*S49</f>
        <v>500</v>
      </c>
      <c r="AI49" s="119">
        <f t="shared" ref="AI49:AI61" si="62">AH49*AG49</f>
        <v>500</v>
      </c>
      <c r="AJ49" s="142">
        <f t="shared" ref="AJ49:AJ61" si="63">$C49+(($B49-1)/12)</f>
        <v>1992.0833333333333</v>
      </c>
      <c r="AK49" s="118">
        <f t="shared" ref="AK49:AK61" si="64">($F$6+1)-($C$6/12)</f>
        <v>2021.6666666666667</v>
      </c>
      <c r="AL49" s="142">
        <f t="shared" ref="AL49:AL61" si="65">$G49+(($B49-1)/12)</f>
        <v>1997.0833333333333</v>
      </c>
      <c r="AM49" s="118">
        <f t="shared" ref="AM49:AM61" si="66">$D$6+($E$6/12)</f>
        <v>2020.25</v>
      </c>
      <c r="AN49" s="118">
        <f t="shared" ref="AN49:AN61" si="67">$I49+(($H49-1)/12)</f>
        <v>-8.3333333333333329E-2</v>
      </c>
      <c r="AO49" s="111"/>
    </row>
    <row r="50" spans="1:41" ht="15.75">
      <c r="A50" s="437" t="s">
        <v>571</v>
      </c>
      <c r="B50" s="121">
        <v>5</v>
      </c>
      <c r="C50" s="121">
        <v>1992</v>
      </c>
      <c r="D50" s="462">
        <v>724</v>
      </c>
      <c r="E50" s="441">
        <v>0</v>
      </c>
      <c r="F50" s="441">
        <v>5</v>
      </c>
      <c r="G50" s="825">
        <f t="shared" si="51"/>
        <v>1997</v>
      </c>
      <c r="H50" s="441"/>
      <c r="I50" s="441"/>
      <c r="J50" s="146"/>
      <c r="K50" s="139">
        <f t="shared" si="52"/>
        <v>724</v>
      </c>
      <c r="L50" s="139">
        <f t="shared" si="53"/>
        <v>12.066666666666668</v>
      </c>
      <c r="M50" s="139">
        <f t="shared" si="54"/>
        <v>0</v>
      </c>
      <c r="N50" s="139">
        <f t="shared" si="55"/>
        <v>724</v>
      </c>
      <c r="O50" s="139">
        <f t="shared" si="56"/>
        <v>724</v>
      </c>
      <c r="P50" s="139">
        <f t="shared" si="57"/>
        <v>0</v>
      </c>
      <c r="Q50" s="119">
        <f t="shared" si="58"/>
        <v>0</v>
      </c>
      <c r="R50" s="119">
        <f t="shared" si="59"/>
        <v>0</v>
      </c>
      <c r="S50" s="120">
        <v>1</v>
      </c>
      <c r="T50" s="140">
        <f t="shared" si="49"/>
        <v>0</v>
      </c>
      <c r="U50" s="140">
        <f t="shared" si="49"/>
        <v>0</v>
      </c>
      <c r="V50" s="140">
        <f t="shared" si="49"/>
        <v>0</v>
      </c>
      <c r="W50" s="140">
        <f t="shared" si="49"/>
        <v>0</v>
      </c>
      <c r="X50" s="140">
        <f t="shared" si="49"/>
        <v>0</v>
      </c>
      <c r="Y50" s="140">
        <f t="shared" si="49"/>
        <v>0</v>
      </c>
      <c r="Z50" s="119">
        <f t="shared" si="60"/>
        <v>0</v>
      </c>
      <c r="AA50" s="141">
        <f t="shared" si="50"/>
        <v>0</v>
      </c>
      <c r="AB50" s="141">
        <f t="shared" si="50"/>
        <v>0</v>
      </c>
      <c r="AC50" s="141">
        <f t="shared" si="50"/>
        <v>0</v>
      </c>
      <c r="AD50" s="141">
        <f t="shared" si="50"/>
        <v>0</v>
      </c>
      <c r="AE50" s="141">
        <f t="shared" si="50"/>
        <v>0</v>
      </c>
      <c r="AF50" s="141">
        <f t="shared" si="50"/>
        <v>0</v>
      </c>
      <c r="AG50" s="120">
        <v>1</v>
      </c>
      <c r="AH50" s="119">
        <f t="shared" si="61"/>
        <v>724</v>
      </c>
      <c r="AI50" s="119">
        <f t="shared" si="62"/>
        <v>724</v>
      </c>
      <c r="AJ50" s="142">
        <f t="shared" si="63"/>
        <v>1992.3333333333333</v>
      </c>
      <c r="AK50" s="118">
        <f t="shared" si="64"/>
        <v>2021.6666666666667</v>
      </c>
      <c r="AL50" s="142">
        <f t="shared" si="65"/>
        <v>1997.3333333333333</v>
      </c>
      <c r="AM50" s="118">
        <f t="shared" si="66"/>
        <v>2020.25</v>
      </c>
      <c r="AN50" s="118">
        <f t="shared" si="67"/>
        <v>-8.3333333333333329E-2</v>
      </c>
      <c r="AO50" s="111"/>
    </row>
    <row r="51" spans="1:41" ht="15.75">
      <c r="A51" s="437" t="s">
        <v>572</v>
      </c>
      <c r="B51" s="121">
        <v>5</v>
      </c>
      <c r="C51" s="121">
        <v>1992</v>
      </c>
      <c r="D51" s="462">
        <v>584</v>
      </c>
      <c r="E51" s="441">
        <v>0</v>
      </c>
      <c r="F51" s="441">
        <v>5</v>
      </c>
      <c r="G51" s="825">
        <f t="shared" si="51"/>
        <v>1997</v>
      </c>
      <c r="H51" s="441"/>
      <c r="I51" s="441"/>
      <c r="J51" s="146"/>
      <c r="K51" s="139">
        <f t="shared" si="52"/>
        <v>584</v>
      </c>
      <c r="L51" s="139">
        <f t="shared" si="53"/>
        <v>9.7333333333333325</v>
      </c>
      <c r="M51" s="139">
        <f t="shared" si="54"/>
        <v>0</v>
      </c>
      <c r="N51" s="139">
        <f t="shared" si="55"/>
        <v>584</v>
      </c>
      <c r="O51" s="139">
        <f t="shared" si="56"/>
        <v>584</v>
      </c>
      <c r="P51" s="139">
        <f t="shared" si="57"/>
        <v>0</v>
      </c>
      <c r="Q51" s="119">
        <f t="shared" si="58"/>
        <v>0</v>
      </c>
      <c r="R51" s="119">
        <f t="shared" si="59"/>
        <v>0</v>
      </c>
      <c r="S51" s="120">
        <v>1</v>
      </c>
      <c r="T51" s="140">
        <f t="shared" si="49"/>
        <v>0</v>
      </c>
      <c r="U51" s="140">
        <f t="shared" si="49"/>
        <v>0</v>
      </c>
      <c r="V51" s="140">
        <f t="shared" si="49"/>
        <v>0</v>
      </c>
      <c r="W51" s="140">
        <f t="shared" si="49"/>
        <v>0</v>
      </c>
      <c r="X51" s="140">
        <f t="shared" si="49"/>
        <v>0</v>
      </c>
      <c r="Y51" s="140">
        <f t="shared" si="49"/>
        <v>0</v>
      </c>
      <c r="Z51" s="119">
        <f t="shared" si="60"/>
        <v>0</v>
      </c>
      <c r="AA51" s="141">
        <f t="shared" si="50"/>
        <v>0</v>
      </c>
      <c r="AB51" s="141">
        <f t="shared" si="50"/>
        <v>0</v>
      </c>
      <c r="AC51" s="141">
        <f t="shared" si="50"/>
        <v>0</v>
      </c>
      <c r="AD51" s="141">
        <f t="shared" si="50"/>
        <v>0</v>
      </c>
      <c r="AE51" s="141">
        <f t="shared" si="50"/>
        <v>0</v>
      </c>
      <c r="AF51" s="141">
        <f t="shared" si="50"/>
        <v>0</v>
      </c>
      <c r="AG51" s="120">
        <v>1</v>
      </c>
      <c r="AH51" s="119">
        <f t="shared" si="61"/>
        <v>584</v>
      </c>
      <c r="AI51" s="119">
        <f t="shared" si="62"/>
        <v>584</v>
      </c>
      <c r="AJ51" s="142">
        <f t="shared" si="63"/>
        <v>1992.3333333333333</v>
      </c>
      <c r="AK51" s="118">
        <f t="shared" si="64"/>
        <v>2021.6666666666667</v>
      </c>
      <c r="AL51" s="142">
        <f t="shared" si="65"/>
        <v>1997.3333333333333</v>
      </c>
      <c r="AM51" s="118">
        <f t="shared" si="66"/>
        <v>2020.25</v>
      </c>
      <c r="AN51" s="118">
        <f t="shared" si="67"/>
        <v>-8.3333333333333329E-2</v>
      </c>
      <c r="AO51" s="111"/>
    </row>
    <row r="52" spans="1:41" ht="15.75">
      <c r="A52" s="437" t="s">
        <v>573</v>
      </c>
      <c r="B52" s="121">
        <v>3</v>
      </c>
      <c r="C52" s="121">
        <v>1992</v>
      </c>
      <c r="D52" s="462">
        <v>3337</v>
      </c>
      <c r="E52" s="441">
        <v>0</v>
      </c>
      <c r="F52" s="441">
        <v>5</v>
      </c>
      <c r="G52" s="825">
        <f t="shared" si="51"/>
        <v>1997</v>
      </c>
      <c r="H52" s="441"/>
      <c r="I52" s="441"/>
      <c r="J52" s="146"/>
      <c r="K52" s="139">
        <f t="shared" si="52"/>
        <v>3337</v>
      </c>
      <c r="L52" s="139">
        <f t="shared" si="53"/>
        <v>55.616666666666667</v>
      </c>
      <c r="M52" s="139">
        <f t="shared" si="54"/>
        <v>0</v>
      </c>
      <c r="N52" s="139">
        <f t="shared" si="55"/>
        <v>3337</v>
      </c>
      <c r="O52" s="139">
        <f t="shared" si="56"/>
        <v>3337</v>
      </c>
      <c r="P52" s="139">
        <f t="shared" si="57"/>
        <v>0</v>
      </c>
      <c r="Q52" s="119">
        <f t="shared" si="58"/>
        <v>0</v>
      </c>
      <c r="R52" s="119">
        <f t="shared" si="59"/>
        <v>0</v>
      </c>
      <c r="S52" s="120">
        <v>1</v>
      </c>
      <c r="T52" s="140">
        <f t="shared" si="49"/>
        <v>0</v>
      </c>
      <c r="U52" s="140">
        <f t="shared" si="49"/>
        <v>0</v>
      </c>
      <c r="V52" s="140">
        <f t="shared" si="49"/>
        <v>0</v>
      </c>
      <c r="W52" s="140">
        <f t="shared" si="49"/>
        <v>0</v>
      </c>
      <c r="X52" s="140">
        <f t="shared" si="49"/>
        <v>0</v>
      </c>
      <c r="Y52" s="140">
        <f t="shared" si="49"/>
        <v>0</v>
      </c>
      <c r="Z52" s="119">
        <f t="shared" si="60"/>
        <v>0</v>
      </c>
      <c r="AA52" s="141">
        <f t="shared" si="50"/>
        <v>0</v>
      </c>
      <c r="AB52" s="141">
        <f t="shared" si="50"/>
        <v>0</v>
      </c>
      <c r="AC52" s="141">
        <f t="shared" si="50"/>
        <v>0</v>
      </c>
      <c r="AD52" s="141">
        <f t="shared" si="50"/>
        <v>0</v>
      </c>
      <c r="AE52" s="141">
        <f t="shared" si="50"/>
        <v>0</v>
      </c>
      <c r="AF52" s="141">
        <f t="shared" si="50"/>
        <v>0</v>
      </c>
      <c r="AG52" s="120">
        <v>1</v>
      </c>
      <c r="AH52" s="119">
        <f t="shared" si="61"/>
        <v>3337</v>
      </c>
      <c r="AI52" s="119">
        <f t="shared" si="62"/>
        <v>3337</v>
      </c>
      <c r="AJ52" s="142">
        <f t="shared" si="63"/>
        <v>1992.1666666666667</v>
      </c>
      <c r="AK52" s="118">
        <f t="shared" si="64"/>
        <v>2021.6666666666667</v>
      </c>
      <c r="AL52" s="142">
        <f t="shared" si="65"/>
        <v>1997.1666666666667</v>
      </c>
      <c r="AM52" s="118">
        <f t="shared" si="66"/>
        <v>2020.25</v>
      </c>
      <c r="AN52" s="118">
        <f t="shared" si="67"/>
        <v>-8.3333333333333329E-2</v>
      </c>
      <c r="AO52" s="111"/>
    </row>
    <row r="53" spans="1:41" ht="15.75">
      <c r="A53" s="437" t="s">
        <v>574</v>
      </c>
      <c r="B53" s="121">
        <v>3</v>
      </c>
      <c r="C53" s="121">
        <v>1992</v>
      </c>
      <c r="D53" s="462">
        <v>1739</v>
      </c>
      <c r="E53" s="441">
        <v>0</v>
      </c>
      <c r="F53" s="441">
        <v>5</v>
      </c>
      <c r="G53" s="825">
        <f t="shared" si="51"/>
        <v>1997</v>
      </c>
      <c r="H53" s="441"/>
      <c r="I53" s="441"/>
      <c r="J53" s="146"/>
      <c r="K53" s="139">
        <f t="shared" si="52"/>
        <v>1739</v>
      </c>
      <c r="L53" s="139">
        <f t="shared" si="53"/>
        <v>28.983333333333334</v>
      </c>
      <c r="M53" s="139">
        <f t="shared" si="54"/>
        <v>0</v>
      </c>
      <c r="N53" s="139">
        <f t="shared" si="55"/>
        <v>1739</v>
      </c>
      <c r="O53" s="139">
        <f t="shared" si="56"/>
        <v>1739</v>
      </c>
      <c r="P53" s="139">
        <f t="shared" si="57"/>
        <v>0</v>
      </c>
      <c r="Q53" s="119">
        <f t="shared" si="58"/>
        <v>0</v>
      </c>
      <c r="R53" s="119">
        <f t="shared" si="59"/>
        <v>0</v>
      </c>
      <c r="S53" s="120">
        <v>1</v>
      </c>
      <c r="T53" s="140">
        <f t="shared" si="49"/>
        <v>0</v>
      </c>
      <c r="U53" s="140">
        <f t="shared" si="49"/>
        <v>0</v>
      </c>
      <c r="V53" s="140">
        <f t="shared" si="49"/>
        <v>0</v>
      </c>
      <c r="W53" s="140">
        <f t="shared" si="49"/>
        <v>0</v>
      </c>
      <c r="X53" s="140">
        <f t="shared" si="49"/>
        <v>0</v>
      </c>
      <c r="Y53" s="140">
        <f t="shared" si="49"/>
        <v>0</v>
      </c>
      <c r="Z53" s="119">
        <f t="shared" si="60"/>
        <v>0</v>
      </c>
      <c r="AA53" s="141">
        <f t="shared" si="50"/>
        <v>0</v>
      </c>
      <c r="AB53" s="141">
        <f t="shared" si="50"/>
        <v>0</v>
      </c>
      <c r="AC53" s="141">
        <f t="shared" si="50"/>
        <v>0</v>
      </c>
      <c r="AD53" s="141">
        <f t="shared" si="50"/>
        <v>0</v>
      </c>
      <c r="AE53" s="141">
        <f t="shared" si="50"/>
        <v>0</v>
      </c>
      <c r="AF53" s="141">
        <f t="shared" si="50"/>
        <v>0</v>
      </c>
      <c r="AG53" s="120">
        <v>1</v>
      </c>
      <c r="AH53" s="119">
        <f t="shared" si="61"/>
        <v>1739</v>
      </c>
      <c r="AI53" s="119">
        <f t="shared" si="62"/>
        <v>1739</v>
      </c>
      <c r="AJ53" s="142">
        <f t="shared" si="63"/>
        <v>1992.1666666666667</v>
      </c>
      <c r="AK53" s="118">
        <f t="shared" si="64"/>
        <v>2021.6666666666667</v>
      </c>
      <c r="AL53" s="142">
        <f t="shared" si="65"/>
        <v>1997.1666666666667</v>
      </c>
      <c r="AM53" s="118">
        <f t="shared" si="66"/>
        <v>2020.25</v>
      </c>
      <c r="AN53" s="118">
        <f t="shared" si="67"/>
        <v>-8.3333333333333329E-2</v>
      </c>
      <c r="AO53" s="111"/>
    </row>
    <row r="54" spans="1:41" ht="15.75">
      <c r="A54" s="437" t="s">
        <v>575</v>
      </c>
      <c r="B54" s="121">
        <v>3</v>
      </c>
      <c r="C54" s="121">
        <v>1992</v>
      </c>
      <c r="D54" s="462">
        <v>1152</v>
      </c>
      <c r="E54" s="441">
        <v>0</v>
      </c>
      <c r="F54" s="441">
        <v>5</v>
      </c>
      <c r="G54" s="825">
        <f t="shared" si="51"/>
        <v>1997</v>
      </c>
      <c r="H54" s="441"/>
      <c r="I54" s="441"/>
      <c r="J54" s="146"/>
      <c r="K54" s="139">
        <f t="shared" si="52"/>
        <v>1152</v>
      </c>
      <c r="L54" s="139">
        <f t="shared" si="53"/>
        <v>19.2</v>
      </c>
      <c r="M54" s="139">
        <f t="shared" si="54"/>
        <v>0</v>
      </c>
      <c r="N54" s="139">
        <f t="shared" si="55"/>
        <v>1152</v>
      </c>
      <c r="O54" s="139">
        <f t="shared" si="56"/>
        <v>1152</v>
      </c>
      <c r="P54" s="139">
        <f t="shared" si="57"/>
        <v>0</v>
      </c>
      <c r="Q54" s="119">
        <f t="shared" si="58"/>
        <v>0</v>
      </c>
      <c r="R54" s="119">
        <f t="shared" si="59"/>
        <v>0</v>
      </c>
      <c r="S54" s="120">
        <v>1</v>
      </c>
      <c r="T54" s="140">
        <f t="shared" si="49"/>
        <v>0</v>
      </c>
      <c r="U54" s="140">
        <f t="shared" si="49"/>
        <v>0</v>
      </c>
      <c r="V54" s="140">
        <f t="shared" si="49"/>
        <v>0</v>
      </c>
      <c r="W54" s="140">
        <f t="shared" si="49"/>
        <v>0</v>
      </c>
      <c r="X54" s="140">
        <f t="shared" si="49"/>
        <v>0</v>
      </c>
      <c r="Y54" s="140">
        <f t="shared" si="49"/>
        <v>0</v>
      </c>
      <c r="Z54" s="119">
        <f t="shared" si="60"/>
        <v>0</v>
      </c>
      <c r="AA54" s="141">
        <f t="shared" si="50"/>
        <v>0</v>
      </c>
      <c r="AB54" s="141">
        <f t="shared" si="50"/>
        <v>0</v>
      </c>
      <c r="AC54" s="141">
        <f t="shared" si="50"/>
        <v>0</v>
      </c>
      <c r="AD54" s="141">
        <f t="shared" si="50"/>
        <v>0</v>
      </c>
      <c r="AE54" s="141">
        <f t="shared" si="50"/>
        <v>0</v>
      </c>
      <c r="AF54" s="141">
        <f t="shared" si="50"/>
        <v>0</v>
      </c>
      <c r="AG54" s="120">
        <v>1</v>
      </c>
      <c r="AH54" s="119">
        <f t="shared" si="61"/>
        <v>1152</v>
      </c>
      <c r="AI54" s="119">
        <f t="shared" si="62"/>
        <v>1152</v>
      </c>
      <c r="AJ54" s="142">
        <f t="shared" si="63"/>
        <v>1992.1666666666667</v>
      </c>
      <c r="AK54" s="118">
        <f t="shared" si="64"/>
        <v>2021.6666666666667</v>
      </c>
      <c r="AL54" s="142">
        <f t="shared" si="65"/>
        <v>1997.1666666666667</v>
      </c>
      <c r="AM54" s="118">
        <f t="shared" si="66"/>
        <v>2020.25</v>
      </c>
      <c r="AN54" s="118">
        <f t="shared" si="67"/>
        <v>-8.3333333333333329E-2</v>
      </c>
      <c r="AO54" s="111"/>
    </row>
    <row r="55" spans="1:41" ht="15.75">
      <c r="A55" s="437" t="s">
        <v>576</v>
      </c>
      <c r="B55" s="121">
        <v>10</v>
      </c>
      <c r="C55" s="121">
        <v>1992</v>
      </c>
      <c r="D55" s="462">
        <v>857</v>
      </c>
      <c r="E55" s="441">
        <v>0</v>
      </c>
      <c r="F55" s="441">
        <v>5</v>
      </c>
      <c r="G55" s="825">
        <f t="shared" si="51"/>
        <v>1997</v>
      </c>
      <c r="H55" s="441"/>
      <c r="I55" s="441"/>
      <c r="J55" s="146"/>
      <c r="K55" s="139">
        <f t="shared" si="52"/>
        <v>857</v>
      </c>
      <c r="L55" s="139">
        <f t="shared" si="53"/>
        <v>14.283333333333333</v>
      </c>
      <c r="M55" s="139">
        <f t="shared" si="54"/>
        <v>0</v>
      </c>
      <c r="N55" s="139">
        <f t="shared" si="55"/>
        <v>857</v>
      </c>
      <c r="O55" s="139">
        <f t="shared" si="56"/>
        <v>857</v>
      </c>
      <c r="P55" s="139">
        <f t="shared" si="57"/>
        <v>0</v>
      </c>
      <c r="Q55" s="119">
        <f t="shared" si="58"/>
        <v>0</v>
      </c>
      <c r="R55" s="119">
        <f t="shared" si="59"/>
        <v>0</v>
      </c>
      <c r="S55" s="120">
        <v>1</v>
      </c>
      <c r="T55" s="140">
        <f t="shared" ref="T55:Y61" si="68">$S$48*($M$48+$Q$48)*T10</f>
        <v>0</v>
      </c>
      <c r="U55" s="140">
        <f t="shared" si="68"/>
        <v>0</v>
      </c>
      <c r="V55" s="140">
        <f t="shared" si="68"/>
        <v>0</v>
      </c>
      <c r="W55" s="140">
        <f t="shared" si="68"/>
        <v>0</v>
      </c>
      <c r="X55" s="140">
        <f t="shared" si="68"/>
        <v>0</v>
      </c>
      <c r="Y55" s="140">
        <f t="shared" si="68"/>
        <v>0</v>
      </c>
      <c r="Z55" s="119">
        <f t="shared" si="60"/>
        <v>0</v>
      </c>
      <c r="AA55" s="141">
        <f t="shared" ref="AA55:AF61" si="69">$P$48*$S$48*AA10</f>
        <v>0</v>
      </c>
      <c r="AB55" s="141">
        <f t="shared" si="69"/>
        <v>0</v>
      </c>
      <c r="AC55" s="141">
        <f t="shared" si="69"/>
        <v>0</v>
      </c>
      <c r="AD55" s="141">
        <f t="shared" si="69"/>
        <v>0</v>
      </c>
      <c r="AE55" s="141">
        <f t="shared" si="69"/>
        <v>0</v>
      </c>
      <c r="AF55" s="141">
        <f t="shared" si="69"/>
        <v>0</v>
      </c>
      <c r="AG55" s="120">
        <v>1</v>
      </c>
      <c r="AH55" s="119">
        <f t="shared" si="61"/>
        <v>857</v>
      </c>
      <c r="AI55" s="119">
        <f t="shared" si="62"/>
        <v>857</v>
      </c>
      <c r="AJ55" s="142">
        <f t="shared" si="63"/>
        <v>1992.75</v>
      </c>
      <c r="AK55" s="118">
        <f t="shared" si="64"/>
        <v>2021.6666666666667</v>
      </c>
      <c r="AL55" s="142">
        <f t="shared" si="65"/>
        <v>1997.75</v>
      </c>
      <c r="AM55" s="118">
        <f t="shared" si="66"/>
        <v>2020.25</v>
      </c>
      <c r="AN55" s="118">
        <f t="shared" si="67"/>
        <v>-8.3333333333333329E-2</v>
      </c>
      <c r="AO55" s="111"/>
    </row>
    <row r="56" spans="1:41" ht="15.75">
      <c r="A56" s="437" t="s">
        <v>571</v>
      </c>
      <c r="B56" s="121">
        <v>9</v>
      </c>
      <c r="C56" s="121">
        <v>1998</v>
      </c>
      <c r="D56" s="462">
        <v>2203</v>
      </c>
      <c r="E56" s="441">
        <v>0</v>
      </c>
      <c r="F56" s="441">
        <v>5</v>
      </c>
      <c r="G56" s="825">
        <f t="shared" si="51"/>
        <v>2003</v>
      </c>
      <c r="H56" s="441"/>
      <c r="I56" s="441"/>
      <c r="J56" s="146"/>
      <c r="K56" s="139">
        <f t="shared" si="52"/>
        <v>2203</v>
      </c>
      <c r="L56" s="139">
        <f t="shared" si="53"/>
        <v>36.716666666666669</v>
      </c>
      <c r="M56" s="139">
        <f t="shared" si="54"/>
        <v>0</v>
      </c>
      <c r="N56" s="139">
        <f t="shared" si="55"/>
        <v>2203</v>
      </c>
      <c r="O56" s="139">
        <f t="shared" si="56"/>
        <v>2203</v>
      </c>
      <c r="P56" s="139">
        <f t="shared" si="57"/>
        <v>0</v>
      </c>
      <c r="Q56" s="119">
        <f t="shared" si="58"/>
        <v>0</v>
      </c>
      <c r="R56" s="119">
        <f t="shared" si="59"/>
        <v>0</v>
      </c>
      <c r="S56" s="120">
        <v>1</v>
      </c>
      <c r="T56" s="140">
        <f t="shared" si="68"/>
        <v>0</v>
      </c>
      <c r="U56" s="140">
        <f t="shared" si="68"/>
        <v>0</v>
      </c>
      <c r="V56" s="140">
        <f t="shared" si="68"/>
        <v>0</v>
      </c>
      <c r="W56" s="140">
        <f t="shared" si="68"/>
        <v>0</v>
      </c>
      <c r="X56" s="140">
        <f t="shared" si="68"/>
        <v>0</v>
      </c>
      <c r="Y56" s="140">
        <f t="shared" si="68"/>
        <v>0</v>
      </c>
      <c r="Z56" s="119">
        <f t="shared" si="60"/>
        <v>0</v>
      </c>
      <c r="AA56" s="141">
        <f t="shared" si="69"/>
        <v>0</v>
      </c>
      <c r="AB56" s="141">
        <f t="shared" si="69"/>
        <v>0</v>
      </c>
      <c r="AC56" s="141">
        <f t="shared" si="69"/>
        <v>0</v>
      </c>
      <c r="AD56" s="141">
        <f t="shared" si="69"/>
        <v>0</v>
      </c>
      <c r="AE56" s="141">
        <f t="shared" si="69"/>
        <v>0</v>
      </c>
      <c r="AF56" s="141">
        <f t="shared" si="69"/>
        <v>0</v>
      </c>
      <c r="AG56" s="120">
        <v>1</v>
      </c>
      <c r="AH56" s="119">
        <f t="shared" si="61"/>
        <v>2203</v>
      </c>
      <c r="AI56" s="119">
        <f t="shared" si="62"/>
        <v>2203</v>
      </c>
      <c r="AJ56" s="142">
        <f t="shared" si="63"/>
        <v>1998.6666666666667</v>
      </c>
      <c r="AK56" s="118">
        <f t="shared" si="64"/>
        <v>2021.6666666666667</v>
      </c>
      <c r="AL56" s="142">
        <f t="shared" si="65"/>
        <v>2003.6666666666667</v>
      </c>
      <c r="AM56" s="118">
        <f t="shared" si="66"/>
        <v>2020.25</v>
      </c>
      <c r="AN56" s="118">
        <f t="shared" si="67"/>
        <v>-8.3333333333333329E-2</v>
      </c>
      <c r="AO56" s="111"/>
    </row>
    <row r="57" spans="1:41" ht="15.75">
      <c r="A57" s="437" t="s">
        <v>577</v>
      </c>
      <c r="B57" s="121">
        <v>5</v>
      </c>
      <c r="C57" s="121">
        <v>2010</v>
      </c>
      <c r="D57" s="462">
        <v>2665</v>
      </c>
      <c r="E57" s="441">
        <v>0</v>
      </c>
      <c r="F57" s="441">
        <v>5</v>
      </c>
      <c r="G57" s="825">
        <f t="shared" si="51"/>
        <v>2015</v>
      </c>
      <c r="H57" s="441"/>
      <c r="I57" s="441"/>
      <c r="J57" s="146"/>
      <c r="K57" s="139">
        <f t="shared" si="52"/>
        <v>2665</v>
      </c>
      <c r="L57" s="139">
        <f t="shared" si="53"/>
        <v>44.416666666666664</v>
      </c>
      <c r="M57" s="139">
        <f t="shared" si="54"/>
        <v>0</v>
      </c>
      <c r="N57" s="139">
        <f t="shared" si="55"/>
        <v>2665</v>
      </c>
      <c r="O57" s="139">
        <f t="shared" si="56"/>
        <v>2665</v>
      </c>
      <c r="P57" s="139">
        <f t="shared" si="57"/>
        <v>0</v>
      </c>
      <c r="Q57" s="119">
        <f t="shared" si="58"/>
        <v>0</v>
      </c>
      <c r="R57" s="119">
        <f t="shared" si="59"/>
        <v>0</v>
      </c>
      <c r="S57" s="120">
        <v>1</v>
      </c>
      <c r="T57" s="140">
        <f t="shared" si="68"/>
        <v>0</v>
      </c>
      <c r="U57" s="140">
        <f t="shared" si="68"/>
        <v>0</v>
      </c>
      <c r="V57" s="140">
        <f t="shared" si="68"/>
        <v>0</v>
      </c>
      <c r="W57" s="140">
        <f t="shared" si="68"/>
        <v>0</v>
      </c>
      <c r="X57" s="140">
        <f t="shared" si="68"/>
        <v>0</v>
      </c>
      <c r="Y57" s="140">
        <f t="shared" si="68"/>
        <v>0</v>
      </c>
      <c r="Z57" s="119">
        <f t="shared" si="60"/>
        <v>0</v>
      </c>
      <c r="AA57" s="141">
        <f t="shared" si="69"/>
        <v>0</v>
      </c>
      <c r="AB57" s="141">
        <f t="shared" si="69"/>
        <v>0</v>
      </c>
      <c r="AC57" s="141">
        <f t="shared" si="69"/>
        <v>0</v>
      </c>
      <c r="AD57" s="141">
        <f t="shared" si="69"/>
        <v>0</v>
      </c>
      <c r="AE57" s="141">
        <f t="shared" si="69"/>
        <v>0</v>
      </c>
      <c r="AF57" s="141">
        <f t="shared" si="69"/>
        <v>0</v>
      </c>
      <c r="AG57" s="120">
        <v>1</v>
      </c>
      <c r="AH57" s="119">
        <f t="shared" si="61"/>
        <v>2665</v>
      </c>
      <c r="AI57" s="119">
        <f t="shared" si="62"/>
        <v>2665</v>
      </c>
      <c r="AJ57" s="142">
        <f t="shared" si="63"/>
        <v>2010.3333333333333</v>
      </c>
      <c r="AK57" s="118">
        <f t="shared" si="64"/>
        <v>2021.6666666666667</v>
      </c>
      <c r="AL57" s="142">
        <f t="shared" si="65"/>
        <v>2015.3333333333333</v>
      </c>
      <c r="AM57" s="118">
        <f t="shared" si="66"/>
        <v>2020.25</v>
      </c>
      <c r="AN57" s="118">
        <f t="shared" si="67"/>
        <v>-8.3333333333333329E-2</v>
      </c>
      <c r="AO57" s="111"/>
    </row>
    <row r="58" spans="1:41" ht="15.75">
      <c r="A58" s="437" t="s">
        <v>578</v>
      </c>
      <c r="B58" s="121">
        <v>5</v>
      </c>
      <c r="C58" s="121">
        <v>2010</v>
      </c>
      <c r="D58" s="462">
        <v>35283</v>
      </c>
      <c r="E58" s="441">
        <v>0</v>
      </c>
      <c r="F58" s="441">
        <v>5</v>
      </c>
      <c r="G58" s="825">
        <f t="shared" si="51"/>
        <v>2015</v>
      </c>
      <c r="H58" s="441"/>
      <c r="I58" s="441"/>
      <c r="J58" s="146"/>
      <c r="K58" s="139">
        <f t="shared" si="52"/>
        <v>35283</v>
      </c>
      <c r="L58" s="139">
        <f t="shared" si="53"/>
        <v>588.05000000000007</v>
      </c>
      <c r="M58" s="139">
        <f t="shared" si="54"/>
        <v>0</v>
      </c>
      <c r="N58" s="139">
        <f t="shared" si="55"/>
        <v>35283</v>
      </c>
      <c r="O58" s="139">
        <f t="shared" si="56"/>
        <v>35283</v>
      </c>
      <c r="P58" s="139">
        <f t="shared" si="57"/>
        <v>0</v>
      </c>
      <c r="Q58" s="119">
        <f t="shared" si="58"/>
        <v>0</v>
      </c>
      <c r="R58" s="119">
        <f t="shared" si="59"/>
        <v>0</v>
      </c>
      <c r="S58" s="120">
        <v>1</v>
      </c>
      <c r="T58" s="140">
        <f t="shared" si="68"/>
        <v>0</v>
      </c>
      <c r="U58" s="140">
        <f t="shared" si="68"/>
        <v>0</v>
      </c>
      <c r="V58" s="140">
        <f t="shared" si="68"/>
        <v>0</v>
      </c>
      <c r="W58" s="140">
        <f t="shared" si="68"/>
        <v>0</v>
      </c>
      <c r="X58" s="140">
        <f t="shared" si="68"/>
        <v>0</v>
      </c>
      <c r="Y58" s="140">
        <f t="shared" si="68"/>
        <v>0</v>
      </c>
      <c r="Z58" s="119">
        <f t="shared" si="60"/>
        <v>0</v>
      </c>
      <c r="AA58" s="141">
        <f t="shared" si="69"/>
        <v>0</v>
      </c>
      <c r="AB58" s="141">
        <f t="shared" si="69"/>
        <v>0</v>
      </c>
      <c r="AC58" s="141">
        <f t="shared" si="69"/>
        <v>0</v>
      </c>
      <c r="AD58" s="141">
        <f t="shared" si="69"/>
        <v>0</v>
      </c>
      <c r="AE58" s="141">
        <f t="shared" si="69"/>
        <v>0</v>
      </c>
      <c r="AF58" s="141">
        <f t="shared" si="69"/>
        <v>0</v>
      </c>
      <c r="AG58" s="120">
        <v>1</v>
      </c>
      <c r="AH58" s="119">
        <f t="shared" si="61"/>
        <v>35283</v>
      </c>
      <c r="AI58" s="119">
        <f t="shared" si="62"/>
        <v>35283</v>
      </c>
      <c r="AJ58" s="142">
        <f t="shared" si="63"/>
        <v>2010.3333333333333</v>
      </c>
      <c r="AK58" s="118">
        <f t="shared" si="64"/>
        <v>2021.6666666666667</v>
      </c>
      <c r="AL58" s="142">
        <f t="shared" si="65"/>
        <v>2015.3333333333333</v>
      </c>
      <c r="AM58" s="118">
        <f t="shared" si="66"/>
        <v>2020.25</v>
      </c>
      <c r="AN58" s="118">
        <f t="shared" si="67"/>
        <v>-8.3333333333333329E-2</v>
      </c>
      <c r="AO58" s="111"/>
    </row>
    <row r="59" spans="1:41" ht="15.75">
      <c r="A59" s="437" t="s">
        <v>579</v>
      </c>
      <c r="B59" s="121">
        <v>11</v>
      </c>
      <c r="C59" s="121">
        <v>2010</v>
      </c>
      <c r="D59" s="462">
        <v>1505</v>
      </c>
      <c r="E59" s="441">
        <v>0</v>
      </c>
      <c r="F59" s="441">
        <v>5</v>
      </c>
      <c r="G59" s="825">
        <f t="shared" si="51"/>
        <v>2015</v>
      </c>
      <c r="H59" s="441"/>
      <c r="I59" s="441"/>
      <c r="J59" s="146"/>
      <c r="K59" s="139">
        <f t="shared" si="52"/>
        <v>1505</v>
      </c>
      <c r="L59" s="139">
        <f t="shared" si="53"/>
        <v>25.083333333333332</v>
      </c>
      <c r="M59" s="139">
        <f t="shared" si="54"/>
        <v>0</v>
      </c>
      <c r="N59" s="139">
        <f t="shared" si="55"/>
        <v>1505</v>
      </c>
      <c r="O59" s="139">
        <f t="shared" si="56"/>
        <v>1505</v>
      </c>
      <c r="P59" s="139">
        <f t="shared" si="57"/>
        <v>0</v>
      </c>
      <c r="Q59" s="119">
        <f t="shared" si="58"/>
        <v>0</v>
      </c>
      <c r="R59" s="119">
        <f t="shared" si="59"/>
        <v>0</v>
      </c>
      <c r="S59" s="120">
        <v>1</v>
      </c>
      <c r="T59" s="140">
        <f t="shared" si="68"/>
        <v>0</v>
      </c>
      <c r="U59" s="140">
        <f t="shared" si="68"/>
        <v>0</v>
      </c>
      <c r="V59" s="140">
        <f t="shared" si="68"/>
        <v>0</v>
      </c>
      <c r="W59" s="140">
        <f t="shared" si="68"/>
        <v>0</v>
      </c>
      <c r="X59" s="140">
        <f t="shared" si="68"/>
        <v>0</v>
      </c>
      <c r="Y59" s="140">
        <f t="shared" si="68"/>
        <v>0</v>
      </c>
      <c r="Z59" s="119">
        <f t="shared" si="60"/>
        <v>0</v>
      </c>
      <c r="AA59" s="141">
        <f t="shared" si="69"/>
        <v>0</v>
      </c>
      <c r="AB59" s="141">
        <f t="shared" si="69"/>
        <v>0</v>
      </c>
      <c r="AC59" s="141">
        <f t="shared" si="69"/>
        <v>0</v>
      </c>
      <c r="AD59" s="141">
        <f t="shared" si="69"/>
        <v>0</v>
      </c>
      <c r="AE59" s="141">
        <f t="shared" si="69"/>
        <v>0</v>
      </c>
      <c r="AF59" s="141">
        <f t="shared" si="69"/>
        <v>0</v>
      </c>
      <c r="AG59" s="120">
        <v>1</v>
      </c>
      <c r="AH59" s="119">
        <f t="shared" si="61"/>
        <v>1505</v>
      </c>
      <c r="AI59" s="119">
        <f t="shared" si="62"/>
        <v>1505</v>
      </c>
      <c r="AJ59" s="142">
        <f t="shared" si="63"/>
        <v>2010.8333333333333</v>
      </c>
      <c r="AK59" s="118">
        <f t="shared" si="64"/>
        <v>2021.6666666666667</v>
      </c>
      <c r="AL59" s="142">
        <f t="shared" si="65"/>
        <v>2015.8333333333333</v>
      </c>
      <c r="AM59" s="118">
        <f t="shared" si="66"/>
        <v>2020.25</v>
      </c>
      <c r="AN59" s="118">
        <f t="shared" si="67"/>
        <v>-8.3333333333333329E-2</v>
      </c>
      <c r="AO59" s="111"/>
    </row>
    <row r="60" spans="1:41" ht="15.75">
      <c r="A60" s="437" t="s">
        <v>580</v>
      </c>
      <c r="B60" s="121">
        <v>7</v>
      </c>
      <c r="C60" s="121">
        <v>2019</v>
      </c>
      <c r="D60" s="462">
        <v>9945</v>
      </c>
      <c r="E60" s="441">
        <v>0</v>
      </c>
      <c r="F60" s="441">
        <v>5</v>
      </c>
      <c r="G60" s="825">
        <f t="shared" si="51"/>
        <v>2024</v>
      </c>
      <c r="H60" s="441"/>
      <c r="I60" s="441"/>
      <c r="J60" s="146"/>
      <c r="K60" s="139">
        <f t="shared" si="52"/>
        <v>9945</v>
      </c>
      <c r="L60" s="139">
        <f t="shared" si="53"/>
        <v>165.75</v>
      </c>
      <c r="M60" s="139">
        <f t="shared" si="54"/>
        <v>1989</v>
      </c>
      <c r="N60" s="139">
        <f t="shared" si="55"/>
        <v>1491.75</v>
      </c>
      <c r="O60" s="139">
        <f t="shared" si="56"/>
        <v>3480.75</v>
      </c>
      <c r="P60" s="139">
        <f t="shared" si="57"/>
        <v>7458.75</v>
      </c>
      <c r="Q60" s="119">
        <f t="shared" si="58"/>
        <v>0</v>
      </c>
      <c r="R60" s="119">
        <f t="shared" si="59"/>
        <v>1989</v>
      </c>
      <c r="S60" s="120">
        <v>1</v>
      </c>
      <c r="T60" s="140">
        <f t="shared" si="68"/>
        <v>0</v>
      </c>
      <c r="U60" s="140">
        <f t="shared" si="68"/>
        <v>0</v>
      </c>
      <c r="V60" s="140">
        <f t="shared" si="68"/>
        <v>0</v>
      </c>
      <c r="W60" s="140">
        <f t="shared" si="68"/>
        <v>0</v>
      </c>
      <c r="X60" s="140">
        <f t="shared" si="68"/>
        <v>0</v>
      </c>
      <c r="Y60" s="140">
        <f t="shared" si="68"/>
        <v>0</v>
      </c>
      <c r="Z60" s="119">
        <f t="shared" si="60"/>
        <v>1989</v>
      </c>
      <c r="AA60" s="141">
        <f t="shared" si="69"/>
        <v>0</v>
      </c>
      <c r="AB60" s="141">
        <f t="shared" si="69"/>
        <v>0</v>
      </c>
      <c r="AC60" s="141">
        <f t="shared" si="69"/>
        <v>0</v>
      </c>
      <c r="AD60" s="141">
        <f t="shared" si="69"/>
        <v>0</v>
      </c>
      <c r="AE60" s="141">
        <f t="shared" si="69"/>
        <v>0</v>
      </c>
      <c r="AF60" s="141">
        <f t="shared" si="69"/>
        <v>0</v>
      </c>
      <c r="AG60" s="120">
        <v>1</v>
      </c>
      <c r="AH60" s="119">
        <f t="shared" si="61"/>
        <v>1491.75</v>
      </c>
      <c r="AI60" s="119">
        <f t="shared" si="62"/>
        <v>1491.75</v>
      </c>
      <c r="AJ60" s="142">
        <f t="shared" si="63"/>
        <v>2019.5</v>
      </c>
      <c r="AK60" s="118">
        <f t="shared" si="64"/>
        <v>2021.6666666666667</v>
      </c>
      <c r="AL60" s="142">
        <f t="shared" si="65"/>
        <v>2024.5</v>
      </c>
      <c r="AM60" s="118">
        <f t="shared" si="66"/>
        <v>2020.25</v>
      </c>
      <c r="AN60" s="118">
        <f t="shared" si="67"/>
        <v>-8.3333333333333329E-2</v>
      </c>
      <c r="AO60" s="111"/>
    </row>
    <row r="61" spans="1:41" ht="15.75">
      <c r="A61" s="437" t="s">
        <v>581</v>
      </c>
      <c r="B61" s="121">
        <v>10</v>
      </c>
      <c r="C61" s="121">
        <v>2019</v>
      </c>
      <c r="D61" s="463">
        <v>10049</v>
      </c>
      <c r="E61" s="441">
        <v>0</v>
      </c>
      <c r="F61" s="441">
        <v>5</v>
      </c>
      <c r="G61" s="825">
        <f t="shared" si="51"/>
        <v>2024</v>
      </c>
      <c r="H61" s="441"/>
      <c r="I61" s="441"/>
      <c r="J61" s="146"/>
      <c r="K61" s="145">
        <f t="shared" si="52"/>
        <v>10049</v>
      </c>
      <c r="L61" s="145">
        <f t="shared" si="53"/>
        <v>167.48333333333332</v>
      </c>
      <c r="M61" s="145">
        <f t="shared" si="54"/>
        <v>2009.7999999999997</v>
      </c>
      <c r="N61" s="145">
        <f t="shared" si="55"/>
        <v>1004.8999999999999</v>
      </c>
      <c r="O61" s="145">
        <f t="shared" si="56"/>
        <v>3014.7</v>
      </c>
      <c r="P61" s="145">
        <f t="shared" si="57"/>
        <v>8039.2000000000007</v>
      </c>
      <c r="Q61" s="119">
        <f t="shared" si="58"/>
        <v>0</v>
      </c>
      <c r="R61" s="119">
        <f t="shared" si="59"/>
        <v>2009.7999999999997</v>
      </c>
      <c r="S61" s="120">
        <v>1</v>
      </c>
      <c r="T61" s="140">
        <f t="shared" si="68"/>
        <v>0</v>
      </c>
      <c r="U61" s="140">
        <f t="shared" si="68"/>
        <v>0</v>
      </c>
      <c r="V61" s="140">
        <f t="shared" si="68"/>
        <v>0</v>
      </c>
      <c r="W61" s="140">
        <f t="shared" si="68"/>
        <v>0</v>
      </c>
      <c r="X61" s="140">
        <f t="shared" si="68"/>
        <v>0</v>
      </c>
      <c r="Y61" s="140">
        <f t="shared" si="68"/>
        <v>0</v>
      </c>
      <c r="Z61" s="119">
        <f t="shared" si="60"/>
        <v>2009.7999999999997</v>
      </c>
      <c r="AA61" s="141">
        <f t="shared" si="69"/>
        <v>0</v>
      </c>
      <c r="AB61" s="141">
        <f t="shared" si="69"/>
        <v>0</v>
      </c>
      <c r="AC61" s="141">
        <f t="shared" si="69"/>
        <v>0</v>
      </c>
      <c r="AD61" s="141">
        <f t="shared" si="69"/>
        <v>0</v>
      </c>
      <c r="AE61" s="141">
        <f t="shared" si="69"/>
        <v>0</v>
      </c>
      <c r="AF61" s="141">
        <f t="shared" si="69"/>
        <v>0</v>
      </c>
      <c r="AG61" s="120">
        <v>1</v>
      </c>
      <c r="AH61" s="119">
        <f t="shared" si="61"/>
        <v>1004.8999999999999</v>
      </c>
      <c r="AI61" s="119">
        <f t="shared" si="62"/>
        <v>1004.8999999999999</v>
      </c>
      <c r="AJ61" s="142">
        <f t="shared" si="63"/>
        <v>2019.75</v>
      </c>
      <c r="AK61" s="118">
        <f t="shared" si="64"/>
        <v>2021.6666666666667</v>
      </c>
      <c r="AL61" s="142">
        <f t="shared" si="65"/>
        <v>2024.75</v>
      </c>
      <c r="AM61" s="118">
        <f t="shared" si="66"/>
        <v>2020.25</v>
      </c>
      <c r="AN61" s="118">
        <f t="shared" si="67"/>
        <v>-8.3333333333333329E-2</v>
      </c>
      <c r="AO61" s="111"/>
    </row>
    <row r="62" spans="1:41" ht="15.75">
      <c r="A62" s="438" t="s">
        <v>582</v>
      </c>
      <c r="B62" s="124"/>
      <c r="C62" s="124"/>
      <c r="D62" s="464">
        <f>SUM(D48:D61)</f>
        <v>71355</v>
      </c>
      <c r="E62" s="154"/>
      <c r="F62" s="154"/>
      <c r="G62" s="154"/>
      <c r="H62" s="154"/>
      <c r="I62" s="154"/>
      <c r="J62" s="139"/>
      <c r="K62" s="139">
        <f t="shared" ref="K62:R62" si="70">SUM(K48:K61)</f>
        <v>71355</v>
      </c>
      <c r="L62" s="139">
        <f t="shared" si="70"/>
        <v>1189.25</v>
      </c>
      <c r="M62" s="139">
        <f t="shared" si="70"/>
        <v>3998.7999999999997</v>
      </c>
      <c r="N62" s="139">
        <f t="shared" si="70"/>
        <v>53857.65</v>
      </c>
      <c r="O62" s="139">
        <f t="shared" si="70"/>
        <v>57856.45</v>
      </c>
      <c r="P62" s="139">
        <f t="shared" si="70"/>
        <v>15497.95</v>
      </c>
      <c r="Q62" s="119">
        <f t="shared" si="70"/>
        <v>0</v>
      </c>
      <c r="R62" s="119">
        <f t="shared" si="70"/>
        <v>3998.7999999999997</v>
      </c>
      <c r="S62" s="119"/>
      <c r="T62" s="140">
        <f t="shared" ref="T62:AF62" si="71">SUM(T48)</f>
        <v>0</v>
      </c>
      <c r="U62" s="140">
        <f t="shared" si="71"/>
        <v>0</v>
      </c>
      <c r="V62" s="140">
        <f t="shared" si="71"/>
        <v>0</v>
      </c>
      <c r="W62" s="140">
        <f t="shared" si="71"/>
        <v>0</v>
      </c>
      <c r="X62" s="140">
        <f t="shared" si="71"/>
        <v>0</v>
      </c>
      <c r="Y62" s="140">
        <f t="shared" si="71"/>
        <v>0</v>
      </c>
      <c r="Z62" s="119">
        <f t="shared" si="71"/>
        <v>0</v>
      </c>
      <c r="AA62" s="141">
        <f t="shared" si="71"/>
        <v>0</v>
      </c>
      <c r="AB62" s="141">
        <f t="shared" si="71"/>
        <v>0</v>
      </c>
      <c r="AC62" s="141">
        <f t="shared" si="71"/>
        <v>0</v>
      </c>
      <c r="AD62" s="141">
        <f t="shared" si="71"/>
        <v>0</v>
      </c>
      <c r="AE62" s="141">
        <f t="shared" si="71"/>
        <v>0</v>
      </c>
      <c r="AF62" s="141">
        <f t="shared" si="71"/>
        <v>0</v>
      </c>
      <c r="AG62" s="119"/>
      <c r="AH62" s="119">
        <f>SUM(AH48)</f>
        <v>812</v>
      </c>
      <c r="AI62" s="119">
        <f>SUM(AI48)</f>
        <v>812</v>
      </c>
      <c r="AJ62" s="142"/>
      <c r="AK62" s="118"/>
      <c r="AL62" s="142"/>
      <c r="AM62" s="118"/>
      <c r="AN62" s="118"/>
      <c r="AO62" s="111"/>
    </row>
    <row r="63" spans="1:41" ht="15.75">
      <c r="A63" s="121"/>
      <c r="B63" s="124"/>
      <c r="C63" s="124"/>
      <c r="D63" s="462"/>
      <c r="E63" s="441"/>
      <c r="F63" s="441"/>
      <c r="G63" s="154"/>
      <c r="H63" s="441"/>
      <c r="I63" s="441"/>
      <c r="J63" s="146"/>
      <c r="K63" s="139"/>
      <c r="L63" s="139"/>
      <c r="M63" s="139"/>
      <c r="N63" s="139"/>
      <c r="O63" s="139"/>
      <c r="P63" s="139"/>
      <c r="Q63" s="119"/>
      <c r="R63" s="119"/>
      <c r="S63" s="120"/>
      <c r="T63" s="140"/>
      <c r="U63" s="140"/>
      <c r="V63" s="140"/>
      <c r="W63" s="140"/>
      <c r="X63" s="140"/>
      <c r="Y63" s="140"/>
      <c r="Z63" s="119"/>
      <c r="AA63" s="141"/>
      <c r="AB63" s="141"/>
      <c r="AC63" s="141"/>
      <c r="AD63" s="141"/>
      <c r="AE63" s="141"/>
      <c r="AF63" s="141"/>
      <c r="AG63" s="120"/>
      <c r="AH63" s="119"/>
      <c r="AI63" s="119"/>
      <c r="AJ63" s="142"/>
      <c r="AK63" s="118"/>
      <c r="AL63" s="142"/>
      <c r="AM63" s="118"/>
      <c r="AN63" s="118"/>
      <c r="AO63" s="111"/>
    </row>
    <row r="64" spans="1:41" ht="15.75">
      <c r="A64" s="134" t="s">
        <v>583</v>
      </c>
      <c r="B64" s="121"/>
      <c r="C64" s="121"/>
      <c r="D64" s="465"/>
      <c r="E64" s="443"/>
      <c r="F64" s="441"/>
      <c r="G64" s="441"/>
      <c r="H64" s="441"/>
      <c r="I64" s="441"/>
      <c r="J64" s="442"/>
      <c r="K64" s="442"/>
      <c r="L64" s="146"/>
      <c r="M64" s="146"/>
      <c r="N64" s="146"/>
      <c r="O64" s="146"/>
      <c r="P64" s="146"/>
      <c r="Q64" s="137"/>
      <c r="R64" s="137"/>
      <c r="S64" s="138"/>
      <c r="T64" s="147"/>
      <c r="U64" s="148"/>
      <c r="V64" s="148"/>
      <c r="W64" s="148"/>
      <c r="X64" s="148"/>
      <c r="Y64" s="148"/>
      <c r="Z64" s="137"/>
      <c r="AA64" s="149"/>
      <c r="AB64" s="149"/>
      <c r="AC64" s="149"/>
      <c r="AD64" s="149"/>
      <c r="AE64" s="149"/>
      <c r="AF64" s="149"/>
      <c r="AG64" s="138"/>
      <c r="AH64" s="138"/>
      <c r="AI64" s="138"/>
      <c r="AJ64" s="138"/>
      <c r="AK64" s="138"/>
      <c r="AL64" s="138"/>
      <c r="AM64" s="138"/>
      <c r="AN64" s="138"/>
      <c r="AO64" s="111"/>
    </row>
    <row r="65" spans="1:41" ht="15.75">
      <c r="A65" s="134" t="s">
        <v>584</v>
      </c>
      <c r="B65" s="121">
        <v>12</v>
      </c>
      <c r="C65" s="121">
        <v>2003</v>
      </c>
      <c r="D65" s="462">
        <v>54300</v>
      </c>
      <c r="E65" s="441">
        <v>0</v>
      </c>
      <c r="F65" s="441">
        <v>5</v>
      </c>
      <c r="G65" s="825">
        <f>C65+F65</f>
        <v>2008</v>
      </c>
      <c r="H65" s="441"/>
      <c r="I65" s="441"/>
      <c r="J65" s="146"/>
      <c r="K65" s="139">
        <f>D65-D65*E65</f>
        <v>54300</v>
      </c>
      <c r="L65" s="139">
        <f>K65/F65/12</f>
        <v>905</v>
      </c>
      <c r="M65" s="139">
        <f>IF(J65&gt;0,0,IF(OR(AJ65&gt;AK65,AL65&lt;AM65),0,IF(AND(AL65&gt;=AM65,AL65&lt;=AK65),L65*((AL65-AM65)*12),IF(AND(AM65&lt;=AJ65,AK65&gt;=AJ65),((AK65-AJ65)*12)*L65,IF(AL65&gt;AK65,12*L65,0)))))</f>
        <v>0</v>
      </c>
      <c r="N65" s="139">
        <f>IF(AJ65&gt;AK65,0,IF(AL65&lt;AM65,K65,IF(AND(AL65&gt;=AM65,AL65&lt;=AK65),(K65-R65),IF(AND(AM65&lt;=AJ65,AK65&gt;=AJ65),0,IF(AL65&gt;AK65,((AM65-AJ65)*12)*L65,0)))))</f>
        <v>54300</v>
      </c>
      <c r="O65" s="139">
        <f>IF(J65&gt;0,0,AI65+Z65*AG65)*AG65</f>
        <v>54300</v>
      </c>
      <c r="P65" s="139">
        <f>IF(J65&gt;0,(D65-AI65)/2,IF(AJ65&gt;=AM65,(((D65*S65)*AG65)-O65)/2,((((D65*S65)*AG65)-AI65)+(((D65*S65)*AG65)-O65))/2))</f>
        <v>0</v>
      </c>
      <c r="Q65" s="119">
        <f>IF(J65=0,0,IF(AND(AN65&gt;=AM65,AN65&lt;=AL65),((AN65-AM65)*12)*L65,0))</f>
        <v>0</v>
      </c>
      <c r="R65" s="119">
        <f>IF(Q65&gt;0,Q65,M65)</f>
        <v>0</v>
      </c>
      <c r="S65" s="120">
        <v>1</v>
      </c>
      <c r="T65" s="140">
        <f>S65*(M65+Q65)</f>
        <v>0</v>
      </c>
      <c r="U65" s="140"/>
      <c r="V65" s="140"/>
      <c r="W65" s="140"/>
      <c r="X65" s="140"/>
      <c r="Y65" s="140"/>
      <c r="Z65" s="119">
        <f>S65*(M65+Q65)</f>
        <v>0</v>
      </c>
      <c r="AA65" s="141">
        <f>P65*S65</f>
        <v>0</v>
      </c>
      <c r="AB65" s="141">
        <f t="shared" ref="AB65:AF68" si="72">Q65*T65</f>
        <v>0</v>
      </c>
      <c r="AC65" s="141">
        <f t="shared" si="72"/>
        <v>0</v>
      </c>
      <c r="AD65" s="141">
        <f t="shared" si="72"/>
        <v>0</v>
      </c>
      <c r="AE65" s="141">
        <f t="shared" si="72"/>
        <v>0</v>
      </c>
      <c r="AF65" s="141">
        <f t="shared" si="72"/>
        <v>0</v>
      </c>
      <c r="AG65" s="120">
        <v>1</v>
      </c>
      <c r="AH65" s="119">
        <f>N65*S65</f>
        <v>54300</v>
      </c>
      <c r="AI65" s="119">
        <f>AH65*AG65</f>
        <v>54300</v>
      </c>
      <c r="AJ65" s="142">
        <f>$C65+(($B65-1)/12)</f>
        <v>2003.9166666666667</v>
      </c>
      <c r="AK65" s="118">
        <f>($F$6+1)-($C$6/12)</f>
        <v>2021.6666666666667</v>
      </c>
      <c r="AL65" s="142">
        <f>$G65+(($B65-1)/12)</f>
        <v>2008.9166666666667</v>
      </c>
      <c r="AM65" s="118">
        <f>$D$6+($E$6/12)</f>
        <v>2020.25</v>
      </c>
      <c r="AN65" s="118">
        <f>$I65+(($H65-1)/12)</f>
        <v>-8.3333333333333329E-2</v>
      </c>
      <c r="AO65" s="111"/>
    </row>
    <row r="66" spans="1:41" ht="15.75">
      <c r="A66" s="115" t="s">
        <v>585</v>
      </c>
      <c r="B66" s="121">
        <v>4</v>
      </c>
      <c r="C66" s="121">
        <v>2014</v>
      </c>
      <c r="D66" s="462">
        <v>28000</v>
      </c>
      <c r="E66" s="441">
        <v>0</v>
      </c>
      <c r="F66" s="441">
        <v>5</v>
      </c>
      <c r="G66" s="825">
        <f t="shared" ref="G66:G68" si="73">C66+F66</f>
        <v>2019</v>
      </c>
      <c r="H66" s="441"/>
      <c r="I66" s="441"/>
      <c r="J66" s="146"/>
      <c r="K66" s="139">
        <f t="shared" ref="K66:K68" si="74">D66-D66*E66</f>
        <v>28000</v>
      </c>
      <c r="L66" s="139">
        <f t="shared" ref="L66:L68" si="75">K66/F66/12</f>
        <v>466.66666666666669</v>
      </c>
      <c r="M66" s="139">
        <f t="shared" ref="M66:M68" si="76">IF(J66&gt;0,0,IF(OR(AJ66&gt;AK66,AL66&lt;AM66),0,IF(AND(AL66&gt;=AM66,AL66&lt;=AK66),L66*((AL66-AM66)*12),IF(AND(AM66&lt;=AJ66,AK66&gt;=AJ66),((AK66-AJ66)*12)*L66,IF(AL66&gt;AK66,12*L66,0)))))</f>
        <v>0</v>
      </c>
      <c r="N66" s="139">
        <f>+L66*45</f>
        <v>21000</v>
      </c>
      <c r="O66" s="139">
        <f t="shared" ref="O66:O68" si="77">IF(J66&gt;0,0,AI66+Z66*AG66)*AG66</f>
        <v>21000</v>
      </c>
      <c r="P66" s="139">
        <f t="shared" ref="P66:P68" si="78">IF(J66&gt;0,(D66-AI66)/2,IF(AJ66&gt;=AM66,(((D66*S66)*AG66)-O66)/2,((((D66*S66)*AG66)-AI66)+(((D66*S66)*AG66)-O66))/2))</f>
        <v>7000</v>
      </c>
      <c r="Q66" s="119">
        <f t="shared" ref="Q66:Q68" si="79">IF(J66=0,0,IF(AND(AN66&gt;=AM66,AN66&lt;=AL66),((AN66-AM66)*12)*L66,0))</f>
        <v>0</v>
      </c>
      <c r="R66" s="119">
        <f t="shared" ref="R66:R68" si="80">IF(Q66&gt;0,Q66,M66)</f>
        <v>0</v>
      </c>
      <c r="S66" s="120">
        <v>1</v>
      </c>
      <c r="T66" s="140">
        <f t="shared" ref="T66:T68" si="81">S66*(M66+Q66)</f>
        <v>0</v>
      </c>
      <c r="U66" s="140"/>
      <c r="V66" s="140"/>
      <c r="W66" s="140"/>
      <c r="X66" s="140"/>
      <c r="Y66" s="140"/>
      <c r="Z66" s="119">
        <f t="shared" ref="Z66:Z68" si="82">S66*(M66+Q66)</f>
        <v>0</v>
      </c>
      <c r="AA66" s="141">
        <f t="shared" ref="AA66:AA68" si="83">P66*S66</f>
        <v>7000</v>
      </c>
      <c r="AB66" s="141">
        <f t="shared" si="72"/>
        <v>0</v>
      </c>
      <c r="AC66" s="141">
        <f t="shared" si="72"/>
        <v>0</v>
      </c>
      <c r="AD66" s="141">
        <f t="shared" si="72"/>
        <v>0</v>
      </c>
      <c r="AE66" s="141">
        <f t="shared" si="72"/>
        <v>0</v>
      </c>
      <c r="AF66" s="141">
        <f t="shared" si="72"/>
        <v>0</v>
      </c>
      <c r="AG66" s="120">
        <v>1</v>
      </c>
      <c r="AH66" s="119">
        <f t="shared" ref="AH66:AH68" si="84">N66*S66</f>
        <v>21000</v>
      </c>
      <c r="AI66" s="119">
        <f t="shared" ref="AI66:AI68" si="85">AH66*AG66</f>
        <v>21000</v>
      </c>
      <c r="AJ66" s="142">
        <f t="shared" ref="AJ66:AJ68" si="86">$C66+(($B66-1)/12)</f>
        <v>2014.25</v>
      </c>
      <c r="AK66" s="118">
        <f t="shared" ref="AK66:AK68" si="87">($F$6+1)-($C$6/12)</f>
        <v>2021.6666666666667</v>
      </c>
      <c r="AL66" s="142">
        <f t="shared" ref="AL66:AL68" si="88">$G66+(($B66-1)/12)</f>
        <v>2019.25</v>
      </c>
      <c r="AM66" s="118">
        <f t="shared" ref="AM66:AM68" si="89">$D$6+($E$6/12)</f>
        <v>2020.25</v>
      </c>
      <c r="AN66" s="118">
        <f t="shared" ref="AN66:AN68" si="90">$I66+(($H66-1)/12)</f>
        <v>-8.3333333333333329E-2</v>
      </c>
      <c r="AO66" s="111"/>
    </row>
    <row r="67" spans="1:41" ht="15.75">
      <c r="A67" s="115" t="s">
        <v>586</v>
      </c>
      <c r="B67" s="121">
        <v>9</v>
      </c>
      <c r="C67" s="121">
        <v>2015</v>
      </c>
      <c r="D67" s="462">
        <v>65592</v>
      </c>
      <c r="E67" s="441">
        <v>0</v>
      </c>
      <c r="F67" s="441">
        <v>5</v>
      </c>
      <c r="G67" s="825">
        <f t="shared" si="73"/>
        <v>2020</v>
      </c>
      <c r="H67" s="441"/>
      <c r="I67" s="441"/>
      <c r="J67" s="146"/>
      <c r="K67" s="139">
        <f t="shared" si="74"/>
        <v>65592</v>
      </c>
      <c r="L67" s="139">
        <f t="shared" si="75"/>
        <v>1093.2</v>
      </c>
      <c r="M67" s="139">
        <f t="shared" si="76"/>
        <v>5466.0000000009941</v>
      </c>
      <c r="N67" s="139">
        <f>+L67*28</f>
        <v>30609.600000000002</v>
      </c>
      <c r="O67" s="139">
        <f t="shared" si="77"/>
        <v>36075.600000000995</v>
      </c>
      <c r="P67" s="139">
        <f t="shared" si="78"/>
        <v>32249.399999999499</v>
      </c>
      <c r="Q67" s="119">
        <f t="shared" si="79"/>
        <v>0</v>
      </c>
      <c r="R67" s="119">
        <f t="shared" si="80"/>
        <v>5466.0000000009941</v>
      </c>
      <c r="S67" s="120">
        <v>1</v>
      </c>
      <c r="T67" s="140">
        <f t="shared" si="81"/>
        <v>5466.0000000009941</v>
      </c>
      <c r="U67" s="140"/>
      <c r="V67" s="140"/>
      <c r="W67" s="140"/>
      <c r="X67" s="140"/>
      <c r="Y67" s="140"/>
      <c r="Z67" s="119">
        <f t="shared" si="82"/>
        <v>5466.0000000009941</v>
      </c>
      <c r="AA67" s="141">
        <f t="shared" si="83"/>
        <v>32249.399999999499</v>
      </c>
      <c r="AB67" s="141">
        <f t="shared" si="72"/>
        <v>0</v>
      </c>
      <c r="AC67" s="141">
        <f t="shared" si="72"/>
        <v>0</v>
      </c>
      <c r="AD67" s="141">
        <f t="shared" si="72"/>
        <v>0</v>
      </c>
      <c r="AE67" s="141">
        <f t="shared" si="72"/>
        <v>0</v>
      </c>
      <c r="AF67" s="141">
        <f t="shared" si="72"/>
        <v>0</v>
      </c>
      <c r="AG67" s="120">
        <v>1</v>
      </c>
      <c r="AH67" s="119">
        <f t="shared" si="84"/>
        <v>30609.600000000002</v>
      </c>
      <c r="AI67" s="119">
        <f t="shared" si="85"/>
        <v>30609.600000000002</v>
      </c>
      <c r="AJ67" s="142">
        <f t="shared" si="86"/>
        <v>2015.6666666666667</v>
      </c>
      <c r="AK67" s="118">
        <f t="shared" si="87"/>
        <v>2021.6666666666667</v>
      </c>
      <c r="AL67" s="142">
        <f t="shared" si="88"/>
        <v>2020.6666666666667</v>
      </c>
      <c r="AM67" s="118">
        <f t="shared" si="89"/>
        <v>2020.25</v>
      </c>
      <c r="AN67" s="118">
        <f t="shared" si="90"/>
        <v>-8.3333333333333329E-2</v>
      </c>
      <c r="AO67" s="111"/>
    </row>
    <row r="68" spans="1:41" ht="15.75">
      <c r="A68" s="115" t="s">
        <v>587</v>
      </c>
      <c r="B68" s="121">
        <v>6</v>
      </c>
      <c r="C68" s="121">
        <v>2017</v>
      </c>
      <c r="D68" s="463">
        <v>31276</v>
      </c>
      <c r="E68" s="441">
        <v>0</v>
      </c>
      <c r="F68" s="441">
        <v>5</v>
      </c>
      <c r="G68" s="825">
        <f t="shared" si="73"/>
        <v>2022</v>
      </c>
      <c r="H68" s="441"/>
      <c r="I68" s="441"/>
      <c r="J68" s="146"/>
      <c r="K68" s="145">
        <f t="shared" si="74"/>
        <v>31276</v>
      </c>
      <c r="L68" s="145">
        <f t="shared" si="75"/>
        <v>521.26666666666665</v>
      </c>
      <c r="M68" s="145">
        <f t="shared" si="76"/>
        <v>6255.2</v>
      </c>
      <c r="N68" s="145">
        <f>+L68*7</f>
        <v>3648.8666666666668</v>
      </c>
      <c r="O68" s="145">
        <f t="shared" si="77"/>
        <v>9904.0666666666657</v>
      </c>
      <c r="P68" s="145">
        <f t="shared" si="78"/>
        <v>24499.533333333333</v>
      </c>
      <c r="Q68" s="144">
        <f t="shared" si="79"/>
        <v>0</v>
      </c>
      <c r="R68" s="144">
        <f t="shared" si="80"/>
        <v>6255.2</v>
      </c>
      <c r="S68" s="120">
        <v>1</v>
      </c>
      <c r="T68" s="140">
        <f t="shared" si="81"/>
        <v>6255.2</v>
      </c>
      <c r="U68" s="140"/>
      <c r="V68" s="140"/>
      <c r="W68" s="140"/>
      <c r="X68" s="140"/>
      <c r="Y68" s="140"/>
      <c r="Z68" s="119">
        <f t="shared" si="82"/>
        <v>6255.2</v>
      </c>
      <c r="AA68" s="141">
        <f t="shared" si="83"/>
        <v>24499.533333333333</v>
      </c>
      <c r="AB68" s="141">
        <f t="shared" si="72"/>
        <v>0</v>
      </c>
      <c r="AC68" s="141">
        <f t="shared" si="72"/>
        <v>0</v>
      </c>
      <c r="AD68" s="141">
        <f t="shared" si="72"/>
        <v>0</v>
      </c>
      <c r="AE68" s="141">
        <f t="shared" si="72"/>
        <v>0</v>
      </c>
      <c r="AF68" s="141">
        <f t="shared" si="72"/>
        <v>0</v>
      </c>
      <c r="AG68" s="120">
        <v>1</v>
      </c>
      <c r="AH68" s="119">
        <f t="shared" si="84"/>
        <v>3648.8666666666668</v>
      </c>
      <c r="AI68" s="119">
        <f t="shared" si="85"/>
        <v>3648.8666666666668</v>
      </c>
      <c r="AJ68" s="142">
        <f t="shared" si="86"/>
        <v>2017.4166666666667</v>
      </c>
      <c r="AK68" s="118">
        <f t="shared" si="87"/>
        <v>2021.6666666666667</v>
      </c>
      <c r="AL68" s="142">
        <f t="shared" si="88"/>
        <v>2022.4166666666667</v>
      </c>
      <c r="AM68" s="118">
        <f t="shared" si="89"/>
        <v>2020.25</v>
      </c>
      <c r="AN68" s="118">
        <f t="shared" si="90"/>
        <v>-8.3333333333333329E-2</v>
      </c>
      <c r="AO68" s="111"/>
    </row>
    <row r="69" spans="1:41" ht="15.75">
      <c r="A69" s="121" t="s">
        <v>588</v>
      </c>
      <c r="B69" s="124"/>
      <c r="C69" s="124"/>
      <c r="D69" s="464">
        <f>SUM(D65:D68)</f>
        <v>179168</v>
      </c>
      <c r="E69" s="154"/>
      <c r="F69" s="154"/>
      <c r="G69" s="154"/>
      <c r="H69" s="154"/>
      <c r="I69" s="154"/>
      <c r="J69" s="139"/>
      <c r="K69" s="139">
        <f t="shared" ref="K69:R69" si="91">SUM(K65:K68)</f>
        <v>179168</v>
      </c>
      <c r="L69" s="139">
        <f t="shared" si="91"/>
        <v>2986.1333333333332</v>
      </c>
      <c r="M69" s="139">
        <f t="shared" si="91"/>
        <v>11721.200000000994</v>
      </c>
      <c r="N69" s="139">
        <f t="shared" si="91"/>
        <v>109558.46666666667</v>
      </c>
      <c r="O69" s="139">
        <f t="shared" si="91"/>
        <v>121279.66666666766</v>
      </c>
      <c r="P69" s="139">
        <f t="shared" si="91"/>
        <v>63748.933333332832</v>
      </c>
      <c r="Q69" s="119">
        <f t="shared" si="91"/>
        <v>0</v>
      </c>
      <c r="R69" s="119">
        <f t="shared" si="91"/>
        <v>11721.200000000994</v>
      </c>
      <c r="S69" s="119"/>
      <c r="T69" s="140">
        <f>SUM(T65)</f>
        <v>0</v>
      </c>
      <c r="U69" s="140"/>
      <c r="V69" s="140"/>
      <c r="W69" s="140"/>
      <c r="X69" s="140"/>
      <c r="Y69" s="140"/>
      <c r="Z69" s="119">
        <f t="shared" ref="Z69:AF69" si="92">SUM(Z65)</f>
        <v>0</v>
      </c>
      <c r="AA69" s="141">
        <f t="shared" si="92"/>
        <v>0</v>
      </c>
      <c r="AB69" s="141">
        <f t="shared" si="92"/>
        <v>0</v>
      </c>
      <c r="AC69" s="141">
        <f t="shared" si="92"/>
        <v>0</v>
      </c>
      <c r="AD69" s="141">
        <f t="shared" si="92"/>
        <v>0</v>
      </c>
      <c r="AE69" s="141">
        <f t="shared" si="92"/>
        <v>0</v>
      </c>
      <c r="AF69" s="141">
        <f t="shared" si="92"/>
        <v>0</v>
      </c>
      <c r="AG69" s="119"/>
      <c r="AH69" s="119">
        <f>SUM(AH65)</f>
        <v>54300</v>
      </c>
      <c r="AI69" s="119">
        <f>SUM(AI65)</f>
        <v>54300</v>
      </c>
      <c r="AJ69" s="142"/>
      <c r="AK69" s="118"/>
      <c r="AL69" s="142"/>
      <c r="AM69" s="118"/>
      <c r="AN69" s="118"/>
      <c r="AO69" s="111"/>
    </row>
    <row r="70" spans="1:41" ht="15.75">
      <c r="A70" s="121"/>
      <c r="B70" s="124"/>
      <c r="C70" s="124"/>
      <c r="D70" s="462"/>
      <c r="E70" s="441"/>
      <c r="F70" s="441"/>
      <c r="G70" s="154"/>
      <c r="H70" s="441"/>
      <c r="I70" s="441"/>
      <c r="J70" s="146"/>
      <c r="K70" s="139"/>
      <c r="L70" s="139"/>
      <c r="M70" s="139"/>
      <c r="N70" s="139"/>
      <c r="O70" s="139"/>
      <c r="P70" s="139"/>
      <c r="Q70" s="119"/>
      <c r="R70" s="119"/>
      <c r="S70" s="120"/>
      <c r="T70" s="140"/>
      <c r="U70" s="140"/>
      <c r="V70" s="140"/>
      <c r="W70" s="140"/>
      <c r="X70" s="140"/>
      <c r="Y70" s="140"/>
      <c r="Z70" s="119"/>
      <c r="AA70" s="141"/>
      <c r="AB70" s="141"/>
      <c r="AC70" s="141"/>
      <c r="AD70" s="141"/>
      <c r="AE70" s="141"/>
      <c r="AF70" s="141"/>
      <c r="AG70" s="120"/>
      <c r="AH70" s="119"/>
      <c r="AI70" s="119"/>
      <c r="AJ70" s="142"/>
      <c r="AK70" s="118"/>
      <c r="AL70" s="142"/>
      <c r="AM70" s="118"/>
      <c r="AN70" s="118"/>
      <c r="AO70" s="111"/>
    </row>
    <row r="71" spans="1:41" ht="15.75">
      <c r="A71" s="134" t="s">
        <v>589</v>
      </c>
      <c r="B71" s="121"/>
      <c r="C71" s="121"/>
      <c r="D71" s="465"/>
      <c r="E71" s="443"/>
      <c r="F71" s="441"/>
      <c r="G71" s="441"/>
      <c r="H71" s="441"/>
      <c r="I71" s="441"/>
      <c r="J71" s="442"/>
      <c r="K71" s="442"/>
      <c r="L71" s="146"/>
      <c r="M71" s="146"/>
      <c r="N71" s="146"/>
      <c r="O71" s="146"/>
      <c r="P71" s="146"/>
      <c r="Q71" s="137"/>
      <c r="R71" s="137"/>
      <c r="S71" s="138"/>
      <c r="T71" s="147"/>
      <c r="U71" s="148"/>
      <c r="V71" s="148"/>
      <c r="W71" s="148"/>
      <c r="X71" s="148"/>
      <c r="Y71" s="148"/>
      <c r="Z71" s="137"/>
      <c r="AA71" s="149"/>
      <c r="AB71" s="149"/>
      <c r="AC71" s="149"/>
      <c r="AD71" s="149"/>
      <c r="AE71" s="149"/>
      <c r="AF71" s="149"/>
      <c r="AG71" s="138"/>
      <c r="AH71" s="138"/>
      <c r="AI71" s="138"/>
      <c r="AJ71" s="138"/>
      <c r="AK71" s="138"/>
      <c r="AL71" s="138"/>
      <c r="AM71" s="138"/>
      <c r="AN71" s="138"/>
      <c r="AO71" s="111"/>
    </row>
    <row r="72" spans="1:41" ht="15.75">
      <c r="A72" s="134" t="s">
        <v>590</v>
      </c>
      <c r="B72" s="121">
        <v>8</v>
      </c>
      <c r="C72" s="121">
        <v>2004</v>
      </c>
      <c r="D72" s="462">
        <v>345807</v>
      </c>
      <c r="E72" s="441">
        <v>0</v>
      </c>
      <c r="F72" s="441">
        <v>7</v>
      </c>
      <c r="G72" s="825">
        <f>C72+F72</f>
        <v>2011</v>
      </c>
      <c r="H72" s="441"/>
      <c r="I72" s="441"/>
      <c r="J72" s="146"/>
      <c r="K72" s="139">
        <f>D72-D72*E72</f>
        <v>345807</v>
      </c>
      <c r="L72" s="139">
        <f>K72/F72/12</f>
        <v>4116.75</v>
      </c>
      <c r="M72" s="139">
        <f>IF(J72&gt;0,0,IF(OR(AJ72&gt;AK72,AL72&lt;AM72),0,IF(AND(AL72&gt;=AM72,AL72&lt;=AK72),L72*((AL72-AM72)*12),IF(AND(AM72&lt;=AJ72,AK72&gt;=AJ72),((AK72-AJ72)*12)*L72,IF(AL72&gt;AK72,12*L72,0)))))</f>
        <v>0</v>
      </c>
      <c r="N72" s="139">
        <f>IF(AJ72&gt;AK72,0,IF(AL72&lt;AM72,K72,IF(AND(AL72&gt;=AM72,AL72&lt;=AK72),(K72-R72),IF(AND(AM72&lt;=AJ72,AK72&gt;=AJ72),0,IF(AL72&gt;AK72,((AM72-AJ72)*12)*L72,0)))))</f>
        <v>345807</v>
      </c>
      <c r="O72" s="139">
        <f>IF(J72&gt;0,0,AI72+Z72*AG72)*AG72</f>
        <v>345807</v>
      </c>
      <c r="P72" s="139">
        <f>IF(J72&gt;0,(D72-AI72)/2,IF(AJ72&gt;=AM72,(((D72*S72)*AG72)-O72)/2,((((D72*S72)*AG72)-AI72)+(((D72*S72)*AG72)-O72))/2))</f>
        <v>0</v>
      </c>
      <c r="Q72" s="119">
        <f>IF(J72=0,0,IF(AND(AN72&gt;=AM72,AN72&lt;=AL72),((AN72-AM72)*12)*L72,0))</f>
        <v>0</v>
      </c>
      <c r="R72" s="119">
        <f>IF(Q72&gt;0,Q72,M72)</f>
        <v>0</v>
      </c>
      <c r="S72" s="120">
        <v>1</v>
      </c>
      <c r="T72" s="140">
        <f>$S$72*($M$72+$Q$72)*T9</f>
        <v>0</v>
      </c>
      <c r="U72" s="140">
        <f>$S$72*($M$72+$Q$72)*0</f>
        <v>0</v>
      </c>
      <c r="V72" s="140">
        <f>$S$72*($M$72+$Q$72)*V9</f>
        <v>0</v>
      </c>
      <c r="W72" s="140">
        <f>$S$72*($M$72+$Q$72)*0</f>
        <v>0</v>
      </c>
      <c r="X72" s="140">
        <f>$S$72*($M$72+$Q$72)*0</f>
        <v>0</v>
      </c>
      <c r="Y72" s="140">
        <f>$S$72*($M$72+$Q$72)*0</f>
        <v>0</v>
      </c>
      <c r="Z72" s="119">
        <f>S72*(M72+Q72)</f>
        <v>0</v>
      </c>
      <c r="AA72" s="118"/>
      <c r="AB72" s="141"/>
      <c r="AC72" s="141"/>
      <c r="AD72" s="141">
        <f>P72*S72</f>
        <v>0</v>
      </c>
      <c r="AE72" s="141">
        <f>T72*W72</f>
        <v>0</v>
      </c>
      <c r="AF72" s="141">
        <f>U72*X72</f>
        <v>0</v>
      </c>
      <c r="AG72" s="120">
        <v>1</v>
      </c>
      <c r="AH72" s="119">
        <f>N72*S72</f>
        <v>345807</v>
      </c>
      <c r="AI72" s="119">
        <f>AH72*AG72</f>
        <v>345807</v>
      </c>
      <c r="AJ72" s="142">
        <f>$C72+(($B72-1)/12)</f>
        <v>2004.5833333333333</v>
      </c>
      <c r="AK72" s="118">
        <f>($F$6+1)-($C$6/12)</f>
        <v>2021.6666666666667</v>
      </c>
      <c r="AL72" s="142">
        <f>$G72+(($B72-1)/12)</f>
        <v>2011.5833333333333</v>
      </c>
      <c r="AM72" s="118">
        <f>$D$6+($E$6/12)</f>
        <v>2020.25</v>
      </c>
      <c r="AN72" s="118">
        <f>$I72+(($H72-1)/12)</f>
        <v>-8.3333333333333329E-2</v>
      </c>
      <c r="AO72" s="111"/>
    </row>
    <row r="73" spans="1:41" ht="15.75">
      <c r="A73" s="121" t="s">
        <v>591</v>
      </c>
      <c r="B73" s="121">
        <v>12</v>
      </c>
      <c r="C73" s="121">
        <v>2009</v>
      </c>
      <c r="D73" s="462">
        <v>109275</v>
      </c>
      <c r="E73" s="441">
        <v>0</v>
      </c>
      <c r="F73" s="441">
        <v>7</v>
      </c>
      <c r="G73" s="825">
        <f>C73+F73</f>
        <v>2016</v>
      </c>
      <c r="H73" s="441"/>
      <c r="I73" s="441"/>
      <c r="J73" s="146"/>
      <c r="K73" s="139">
        <f>D73-D73*E73</f>
        <v>109275</v>
      </c>
      <c r="L73" s="139">
        <f t="shared" ref="L73:L75" si="93">K73/F73/12</f>
        <v>1300.8928571428571</v>
      </c>
      <c r="M73" s="139">
        <f>IF(J73&gt;0,0,IF(OR(AJ73&gt;AK73,AL73&lt;AM73),0,IF(AND(AL73&gt;=AM73,AL73&lt;=AK73),L73*((AL73-AM73)*12),IF(AND(AM73&lt;=AJ73,AK73&gt;=AJ73),((AK73-AJ73)*12)*L73,IF(AL73&gt;AK73,12*L73,0)))))</f>
        <v>0</v>
      </c>
      <c r="N73" s="139">
        <f>IF(AJ73&gt;AK73,0,IF(AL73&lt;AM73,K73,IF(AND(AL73&gt;=AM73,AL73&lt;=AK73),(K73-R73),IF(AND(AM73&lt;=AJ73,AK73&gt;=AJ73),0,IF(AL73&gt;AK73,((AM73-AJ73)*12)*L73,0)))))</f>
        <v>109275</v>
      </c>
      <c r="O73" s="139">
        <f>IF(J73&gt;0,0,AI73+Z73*AG73)*AG73</f>
        <v>109275</v>
      </c>
      <c r="P73" s="139">
        <f>IF(J73&gt;0,(D73-AI73)/2,IF(AJ73&gt;=AM73,(((D73*S73)*AG73)-O73)/2,((((D73*S73)*AG73)-AI73)+(((D73*S73)*AG73)-O73))/2))</f>
        <v>0</v>
      </c>
      <c r="Q73" s="119">
        <f>IF(J73=0,0,IF(AND(AN73&gt;=AM73,AN73&lt;=AL73),((AN73-AM73)*12)*L73,0))</f>
        <v>0</v>
      </c>
      <c r="R73" s="119">
        <f t="shared" ref="R73:R75" si="94">IF(Q73&gt;0,Q73,M73)</f>
        <v>0</v>
      </c>
      <c r="S73" s="120">
        <v>1</v>
      </c>
      <c r="T73" s="140">
        <f>$S$73*($M$73+$Q$73)*0</f>
        <v>0</v>
      </c>
      <c r="U73" s="140">
        <f>$S$73*($M$73+$Q$73)*0</f>
        <v>0</v>
      </c>
      <c r="V73" s="140">
        <f>$S$73*($M$73+$Q$73)*0.8</f>
        <v>0</v>
      </c>
      <c r="W73" s="140">
        <f>$S$73*($M$73+$Q$73)*0.2</f>
        <v>0</v>
      </c>
      <c r="X73" s="140">
        <f>$S$73*($M$73+$Q$73)*0</f>
        <v>0</v>
      </c>
      <c r="Y73" s="140">
        <f>$S$73*($M$73+$Q$73)*0</f>
        <v>0</v>
      </c>
      <c r="Z73" s="119">
        <f t="shared" ref="Z73:Z75" si="95">S73*(M73+Q73)</f>
        <v>0</v>
      </c>
      <c r="AA73" s="118"/>
      <c r="AB73" s="141"/>
      <c r="AC73" s="141"/>
      <c r="AD73" s="141">
        <f>P73*S73*0.8</f>
        <v>0</v>
      </c>
      <c r="AE73" s="141">
        <f>P73*S73*0.2</f>
        <v>0</v>
      </c>
      <c r="AF73" s="141">
        <f>U73*X73</f>
        <v>0</v>
      </c>
      <c r="AG73" s="120">
        <v>1</v>
      </c>
      <c r="AH73" s="119">
        <f>N73*S73</f>
        <v>109275</v>
      </c>
      <c r="AI73" s="119">
        <f>AH73*AG73</f>
        <v>109275</v>
      </c>
      <c r="AJ73" s="142">
        <f t="shared" ref="AJ73:AJ75" si="96">$C73+(($B73-1)/12)</f>
        <v>2009.9166666666667</v>
      </c>
      <c r="AK73" s="118">
        <f t="shared" ref="AK73:AK75" si="97">($F$6+1)-($C$6/12)</f>
        <v>2021.6666666666667</v>
      </c>
      <c r="AL73" s="142">
        <f t="shared" ref="AL73:AL75" si="98">$G73+(($B73-1)/12)</f>
        <v>2016.9166666666667</v>
      </c>
      <c r="AM73" s="118">
        <f t="shared" ref="AM73:AM75" si="99">$D$6+($E$6/12)</f>
        <v>2020.25</v>
      </c>
      <c r="AN73" s="118">
        <f t="shared" ref="AN73:AN75" si="100">$I73+(($H73-1)/12)</f>
        <v>-8.3333333333333329E-2</v>
      </c>
      <c r="AO73" s="111"/>
    </row>
    <row r="74" spans="1:41" ht="15.75">
      <c r="A74" s="121" t="s">
        <v>592</v>
      </c>
      <c r="B74" s="121">
        <v>12</v>
      </c>
      <c r="C74" s="121">
        <v>2009</v>
      </c>
      <c r="D74" s="462">
        <v>109275</v>
      </c>
      <c r="E74" s="441">
        <v>0</v>
      </c>
      <c r="F74" s="441">
        <v>7</v>
      </c>
      <c r="G74" s="825">
        <f>C74+F74</f>
        <v>2016</v>
      </c>
      <c r="H74" s="441"/>
      <c r="I74" s="441"/>
      <c r="J74" s="146"/>
      <c r="K74" s="139">
        <f>D74-D74*E74</f>
        <v>109275</v>
      </c>
      <c r="L74" s="139">
        <f t="shared" si="93"/>
        <v>1300.8928571428571</v>
      </c>
      <c r="M74" s="139">
        <f>IF(J74&gt;0,0,IF(OR(AJ74&gt;AK74,AL74&lt;AM74),0,IF(AND(AL74&gt;=AM74,AL74&lt;=AK74),L74*((AL74-AM74)*12),IF(AND(AM74&lt;=AJ74,AK74&gt;=AJ74),((AK74-AJ74)*12)*L74,IF(AL74&gt;AK74,12*L74,0)))))</f>
        <v>0</v>
      </c>
      <c r="N74" s="139">
        <f>IF(AJ74&gt;AK74,0,IF(AL74&lt;AM74,K74,IF(AND(AL74&gt;=AM74,AL74&lt;=AK74),(K74-R74),IF(AND(AM74&lt;=AJ74,AK74&gt;=AJ74),0,IF(AL74&gt;AK74,((AM74-AJ74)*12)*L74,0)))))</f>
        <v>109275</v>
      </c>
      <c r="O74" s="139">
        <f>IF(J74&gt;0,0,AI74+Z74*AG74)*AG74</f>
        <v>109275</v>
      </c>
      <c r="P74" s="139">
        <f>IF(J74&gt;0,(D74-AI74)/2,IF(AJ74&gt;=AM74,(((D74*S74)*AG74)-O74)/2,((((D74*S74)*AG74)-AI74)+(((D74*S74)*AG74)-O74))/2))</f>
        <v>0</v>
      </c>
      <c r="Q74" s="119">
        <f>IF(J74=0,0,IF(AND(AN74&gt;=AM74,AN74&lt;=AL74),((AN74-AM74)*12)*L74,0))</f>
        <v>0</v>
      </c>
      <c r="R74" s="119">
        <f t="shared" si="94"/>
        <v>0</v>
      </c>
      <c r="S74" s="120">
        <v>1</v>
      </c>
      <c r="T74" s="140">
        <f>$S$74*($M$74+$Q$74)*0</f>
        <v>0</v>
      </c>
      <c r="U74" s="140">
        <f>$S$74*($M$74+$Q$74)*0</f>
        <v>0</v>
      </c>
      <c r="V74" s="140">
        <f>$S$74*($M$74+$Q$74)</f>
        <v>0</v>
      </c>
      <c r="W74" s="140">
        <f t="shared" ref="W74:Y75" si="101">$S$74*($M$74+$Q$74)*0</f>
        <v>0</v>
      </c>
      <c r="X74" s="140">
        <f t="shared" si="101"/>
        <v>0</v>
      </c>
      <c r="Y74" s="140">
        <f t="shared" si="101"/>
        <v>0</v>
      </c>
      <c r="Z74" s="119">
        <f t="shared" si="95"/>
        <v>0</v>
      </c>
      <c r="AA74" s="118"/>
      <c r="AB74" s="141"/>
      <c r="AC74" s="141"/>
      <c r="AD74" s="141">
        <f>P74*S74</f>
        <v>0</v>
      </c>
      <c r="AE74" s="141">
        <f>T74*W74</f>
        <v>0</v>
      </c>
      <c r="AF74" s="141">
        <f>U74*X74</f>
        <v>0</v>
      </c>
      <c r="AG74" s="120">
        <v>1</v>
      </c>
      <c r="AH74" s="119">
        <f>N74*S74</f>
        <v>109275</v>
      </c>
      <c r="AI74" s="119">
        <f>AH74*AG74</f>
        <v>109275</v>
      </c>
      <c r="AJ74" s="142">
        <f t="shared" si="96"/>
        <v>2009.9166666666667</v>
      </c>
      <c r="AK74" s="118">
        <f t="shared" si="97"/>
        <v>2021.6666666666667</v>
      </c>
      <c r="AL74" s="142">
        <f t="shared" si="98"/>
        <v>2016.9166666666667</v>
      </c>
      <c r="AM74" s="118">
        <f t="shared" si="99"/>
        <v>2020.25</v>
      </c>
      <c r="AN74" s="118">
        <f t="shared" si="100"/>
        <v>-8.3333333333333329E-2</v>
      </c>
      <c r="AO74" s="111"/>
    </row>
    <row r="75" spans="1:41" ht="15.75">
      <c r="A75" s="115" t="s">
        <v>593</v>
      </c>
      <c r="B75" s="121">
        <v>7</v>
      </c>
      <c r="C75" s="121">
        <v>2014</v>
      </c>
      <c r="D75" s="463">
        <v>23932.87</v>
      </c>
      <c r="E75" s="441">
        <v>0</v>
      </c>
      <c r="F75" s="441">
        <v>7</v>
      </c>
      <c r="G75" s="825">
        <f>C75+F75</f>
        <v>2021</v>
      </c>
      <c r="H75" s="441"/>
      <c r="I75" s="441"/>
      <c r="J75" s="146"/>
      <c r="K75" s="145">
        <f>D75-D75*E75</f>
        <v>23932.87</v>
      </c>
      <c r="L75" s="145">
        <f t="shared" si="93"/>
        <v>284.91511904761904</v>
      </c>
      <c r="M75" s="145">
        <f>IF(J75&gt;0,0,IF(OR(AJ75&gt;AK75,AL75&lt;AM75),0,IF(AND(AL75&gt;=AM75,AL75&lt;=AK75),L75*((AL75-AM75)*12),IF(AND(AM75&lt;=AJ75,AK75&gt;=AJ75),((AK75-AJ75)*12)*L75,IF(AL75&gt;AK75,12*L75,0)))))</f>
        <v>4273.7267857142861</v>
      </c>
      <c r="N75" s="145">
        <f>+L75*42</f>
        <v>11966.434999999999</v>
      </c>
      <c r="O75" s="145">
        <f>IF(J75&gt;0,0,AI75+Z75*AG75)*AG75</f>
        <v>16240.161785714285</v>
      </c>
      <c r="P75" s="145">
        <f>IF(J75&gt;0,(D75-AI75)/2,IF(AJ75&gt;=AM75,(((D75*S75)*AG75)-O75)/2,((((D75*S75)*AG75)-AI75)+(((D75*S75)*AG75)-O75))/2))</f>
        <v>9829.5716071428578</v>
      </c>
      <c r="Q75" s="144">
        <f>IF(J75=0,0,IF(AND(AN75&gt;=AM75,AN75&lt;=AL75),((AN75-AM75)*12)*L75,0))</f>
        <v>0</v>
      </c>
      <c r="R75" s="144">
        <f t="shared" si="94"/>
        <v>4273.7267857142861</v>
      </c>
      <c r="S75" s="120">
        <v>1</v>
      </c>
      <c r="T75" s="140">
        <f>$S$74*($M$74+$Q$74)*0</f>
        <v>0</v>
      </c>
      <c r="U75" s="140">
        <f>$S$74*($M$74+$Q$74)*0</f>
        <v>0</v>
      </c>
      <c r="V75" s="140">
        <f>$S$74*($M$74+$Q$74)</f>
        <v>0</v>
      </c>
      <c r="W75" s="140">
        <f t="shared" si="101"/>
        <v>0</v>
      </c>
      <c r="X75" s="140">
        <f t="shared" si="101"/>
        <v>0</v>
      </c>
      <c r="Y75" s="140">
        <f t="shared" si="101"/>
        <v>0</v>
      </c>
      <c r="Z75" s="119">
        <f t="shared" si="95"/>
        <v>4273.7267857142861</v>
      </c>
      <c r="AA75" s="118"/>
      <c r="AB75" s="141"/>
      <c r="AC75" s="141"/>
      <c r="AD75" s="141">
        <f>P75*S75</f>
        <v>9829.5716071428578</v>
      </c>
      <c r="AE75" s="141">
        <f>T75*W75</f>
        <v>0</v>
      </c>
      <c r="AF75" s="141">
        <f>U75*X75</f>
        <v>0</v>
      </c>
      <c r="AG75" s="120">
        <v>1</v>
      </c>
      <c r="AH75" s="119">
        <f>N75*S75</f>
        <v>11966.434999999999</v>
      </c>
      <c r="AI75" s="119">
        <f>AH75*AG75</f>
        <v>11966.434999999999</v>
      </c>
      <c r="AJ75" s="142">
        <f t="shared" si="96"/>
        <v>2014.5</v>
      </c>
      <c r="AK75" s="118">
        <f t="shared" si="97"/>
        <v>2021.6666666666667</v>
      </c>
      <c r="AL75" s="142">
        <f t="shared" si="98"/>
        <v>2021.5</v>
      </c>
      <c r="AM75" s="118">
        <f t="shared" si="99"/>
        <v>2020.25</v>
      </c>
      <c r="AN75" s="118">
        <f t="shared" si="100"/>
        <v>-8.3333333333333329E-2</v>
      </c>
      <c r="AO75" s="111"/>
    </row>
    <row r="76" spans="1:41" ht="15.75">
      <c r="A76" s="121" t="s">
        <v>594</v>
      </c>
      <c r="B76" s="124"/>
      <c r="C76" s="124"/>
      <c r="D76" s="464">
        <f>SUM(D72:D75)</f>
        <v>588289.87</v>
      </c>
      <c r="E76" s="154"/>
      <c r="F76" s="154"/>
      <c r="G76" s="154"/>
      <c r="H76" s="154"/>
      <c r="I76" s="154"/>
      <c r="J76" s="139"/>
      <c r="K76" s="139">
        <f t="shared" ref="K76:R76" si="102">SUM(K72:K75)</f>
        <v>588289.87</v>
      </c>
      <c r="L76" s="139">
        <f t="shared" si="102"/>
        <v>7003.4508333333324</v>
      </c>
      <c r="M76" s="139">
        <f t="shared" si="102"/>
        <v>4273.7267857142861</v>
      </c>
      <c r="N76" s="139">
        <f t="shared" si="102"/>
        <v>576323.43500000006</v>
      </c>
      <c r="O76" s="139">
        <f t="shared" si="102"/>
        <v>580597.16178571433</v>
      </c>
      <c r="P76" s="139">
        <f t="shared" si="102"/>
        <v>9829.5716071428578</v>
      </c>
      <c r="Q76" s="119">
        <f t="shared" si="102"/>
        <v>0</v>
      </c>
      <c r="R76" s="119">
        <f t="shared" si="102"/>
        <v>4273.7267857142861</v>
      </c>
      <c r="S76" s="119"/>
      <c r="T76" s="140">
        <f>SUM(T72:T74)</f>
        <v>0</v>
      </c>
      <c r="U76" s="140">
        <f t="shared" ref="U76:Y76" si="103">SUM(U72:U74)</f>
        <v>0</v>
      </c>
      <c r="V76" s="140">
        <f t="shared" si="103"/>
        <v>0</v>
      </c>
      <c r="W76" s="140">
        <f t="shared" si="103"/>
        <v>0</v>
      </c>
      <c r="X76" s="140">
        <f t="shared" si="103"/>
        <v>0</v>
      </c>
      <c r="Y76" s="140">
        <f t="shared" si="103"/>
        <v>0</v>
      </c>
      <c r="Z76" s="119">
        <f>SUM(Z72:Z74)</f>
        <v>0</v>
      </c>
      <c r="AA76" s="141">
        <f>SUM(AA72:AA74)</f>
        <v>0</v>
      </c>
      <c r="AB76" s="141">
        <f t="shared" ref="AB76:AF76" si="104">SUM(AB72:AB74)</f>
        <v>0</v>
      </c>
      <c r="AC76" s="141">
        <f t="shared" si="104"/>
        <v>0</v>
      </c>
      <c r="AD76" s="141">
        <f t="shared" si="104"/>
        <v>0</v>
      </c>
      <c r="AE76" s="141">
        <f t="shared" si="104"/>
        <v>0</v>
      </c>
      <c r="AF76" s="141">
        <f t="shared" si="104"/>
        <v>0</v>
      </c>
      <c r="AG76" s="119"/>
      <c r="AH76" s="119">
        <f>SUM(AH72:AH74)</f>
        <v>564357</v>
      </c>
      <c r="AI76" s="119">
        <f>SUM(AI72:AI74)</f>
        <v>564357</v>
      </c>
      <c r="AJ76" s="142"/>
      <c r="AK76" s="118"/>
      <c r="AL76" s="142"/>
      <c r="AM76" s="118"/>
      <c r="AN76" s="118"/>
      <c r="AO76" s="111"/>
    </row>
    <row r="77" spans="1:41" ht="15.75">
      <c r="A77" s="121"/>
      <c r="B77" s="124"/>
      <c r="C77" s="124"/>
      <c r="D77" s="465"/>
      <c r="E77" s="443"/>
      <c r="F77" s="441"/>
      <c r="G77" s="441"/>
      <c r="H77" s="441"/>
      <c r="I77" s="441"/>
      <c r="J77" s="442"/>
      <c r="K77" s="442"/>
      <c r="L77" s="146"/>
      <c r="M77" s="146"/>
      <c r="N77" s="146"/>
      <c r="O77" s="146"/>
      <c r="P77" s="146"/>
      <c r="Q77" s="137"/>
      <c r="R77" s="137"/>
      <c r="S77" s="138"/>
      <c r="T77" s="147"/>
      <c r="U77" s="148"/>
      <c r="V77" s="148"/>
      <c r="W77" s="148"/>
      <c r="X77" s="148"/>
      <c r="Y77" s="148"/>
      <c r="Z77" s="137"/>
      <c r="AA77" s="149"/>
      <c r="AB77" s="149"/>
      <c r="AC77" s="149"/>
      <c r="AD77" s="149"/>
      <c r="AE77" s="149"/>
      <c r="AF77" s="149"/>
      <c r="AG77" s="138"/>
      <c r="AH77" s="138"/>
      <c r="AI77" s="138"/>
      <c r="AJ77" s="138"/>
      <c r="AK77" s="138"/>
      <c r="AL77" s="138"/>
      <c r="AM77" s="138"/>
      <c r="AN77" s="138"/>
      <c r="AO77" s="111"/>
    </row>
    <row r="78" spans="1:41" ht="15.75">
      <c r="A78" s="134" t="s">
        <v>595</v>
      </c>
      <c r="B78" s="121"/>
      <c r="C78" s="121"/>
      <c r="D78" s="465"/>
      <c r="E78" s="443"/>
      <c r="F78" s="441"/>
      <c r="G78" s="441"/>
      <c r="H78" s="441"/>
      <c r="I78" s="441"/>
      <c r="J78" s="442"/>
      <c r="K78" s="442"/>
      <c r="L78" s="146"/>
      <c r="M78" s="146"/>
      <c r="N78" s="146"/>
      <c r="O78" s="146"/>
      <c r="P78" s="146"/>
      <c r="Q78" s="137"/>
      <c r="R78" s="137"/>
      <c r="S78" s="138"/>
      <c r="T78" s="147"/>
      <c r="U78" s="148"/>
      <c r="V78" s="148"/>
      <c r="W78" s="148"/>
      <c r="X78" s="148"/>
      <c r="Y78" s="148"/>
      <c r="Z78" s="137"/>
      <c r="AA78" s="149"/>
      <c r="AB78" s="149"/>
      <c r="AC78" s="149"/>
      <c r="AD78" s="149"/>
      <c r="AE78" s="149"/>
      <c r="AF78" s="149"/>
      <c r="AG78" s="138"/>
      <c r="AH78" s="138"/>
      <c r="AI78" s="138"/>
      <c r="AJ78" s="138"/>
      <c r="AK78" s="138"/>
      <c r="AL78" s="138"/>
      <c r="AM78" s="138"/>
      <c r="AN78" s="138"/>
      <c r="AO78" s="111"/>
    </row>
    <row r="79" spans="1:41" ht="15.75">
      <c r="A79" s="121" t="s">
        <v>596</v>
      </c>
      <c r="B79" s="121">
        <v>6</v>
      </c>
      <c r="C79" s="121">
        <v>2000</v>
      </c>
      <c r="D79" s="462">
        <v>176150</v>
      </c>
      <c r="E79" s="441">
        <v>0</v>
      </c>
      <c r="F79" s="441">
        <v>7</v>
      </c>
      <c r="G79" s="825">
        <f t="shared" ref="G79:G81" si="105">C79+F79</f>
        <v>2007</v>
      </c>
      <c r="H79" s="441"/>
      <c r="I79" s="441"/>
      <c r="J79" s="146"/>
      <c r="K79" s="139">
        <f t="shared" ref="K79:K81" si="106">D79-D79*E79</f>
        <v>176150</v>
      </c>
      <c r="L79" s="139">
        <f t="shared" ref="L79:L81" si="107">K79/F79/12</f>
        <v>2097.0238095238096</v>
      </c>
      <c r="M79" s="139">
        <f t="shared" ref="M79:M81" si="108">IF(J79&gt;0,0,IF(OR(AJ79&gt;AK79,AL79&lt;AM79),0,IF(AND(AL79&gt;=AM79,AL79&lt;=AK79),L79*((AL79-AM79)*12),IF(AND(AM79&lt;=AJ79,AK79&gt;=AJ79),((AK79-AJ79)*12)*L79,IF(AL79&gt;AK79,12*L79,0)))))</f>
        <v>0</v>
      </c>
      <c r="N79" s="139">
        <f t="shared" ref="N79:N81" si="109">IF(AJ79&gt;AK79,0,IF(AL79&lt;AM79,K79,IF(AND(AL79&gt;=AM79,AL79&lt;=AK79),(K79-R79),IF(AND(AM79&lt;=AJ79,AK79&gt;=AJ79),0,IF(AL79&gt;AK79,((AM79-AJ79)*12)*L79,0)))))</f>
        <v>176150</v>
      </c>
      <c r="O79" s="139">
        <f t="shared" ref="O79:O81" si="110">IF(J79&gt;0,0,AI79+Z79*AG79)*AG79</f>
        <v>176150</v>
      </c>
      <c r="P79" s="139">
        <f t="shared" ref="P79:P81" si="111">IF(J79&gt;0,(D79-AI79)/2,IF(AJ79&gt;=AM79,(((D79*S79)*AG79)-O79)/2,((((D79*S79)*AG79)-AI79)+(((D79*S79)*AG79)-O79))/2))</f>
        <v>0</v>
      </c>
      <c r="Q79" s="119">
        <f t="shared" ref="Q79:Q81" si="112">IF(J79=0,0,IF(AND(AN79&gt;=AM79,AN79&lt;=AL79),((AN79-AM79)*12)*L79,0))</f>
        <v>0</v>
      </c>
      <c r="R79" s="119">
        <f t="shared" ref="R79:R81" si="113">IF(Q79&gt;0,Q79,M79)</f>
        <v>0</v>
      </c>
      <c r="S79" s="120">
        <v>1</v>
      </c>
      <c r="T79" s="140">
        <f>$S$79*($M$79+$Q$79)*0.25</f>
        <v>0</v>
      </c>
      <c r="U79" s="140">
        <f>$S$79*($M$79+$Q$79)*0.5</f>
        <v>0</v>
      </c>
      <c r="V79" s="140">
        <f t="shared" ref="V79" si="114">$S$79*($M$79+$Q$79)*0.25</f>
        <v>0</v>
      </c>
      <c r="W79" s="140"/>
      <c r="X79" s="140"/>
      <c r="Y79" s="140"/>
      <c r="Z79" s="119">
        <f t="shared" ref="Z79:Z81" si="115">S79*(M79+Q79)</f>
        <v>0</v>
      </c>
      <c r="AA79" s="141">
        <f>$P$79*$S$79*0.25</f>
        <v>0</v>
      </c>
      <c r="AB79" s="141">
        <f>$P$79*$S$79*0.5</f>
        <v>0</v>
      </c>
      <c r="AC79" s="141">
        <f t="shared" ref="AC79" si="116">$P$79*$S$79*0.25</f>
        <v>0</v>
      </c>
      <c r="AD79" s="141"/>
      <c r="AE79" s="141"/>
      <c r="AF79" s="141"/>
      <c r="AG79" s="120">
        <v>1</v>
      </c>
      <c r="AH79" s="119">
        <f t="shared" ref="AH79:AH81" si="117">N79*S79</f>
        <v>176150</v>
      </c>
      <c r="AI79" s="119">
        <f t="shared" ref="AI79:AI81" si="118">AH79*AG79</f>
        <v>176150</v>
      </c>
      <c r="AJ79" s="142">
        <f t="shared" ref="AJ79:AJ81" si="119">$C79+(($B79-1)/12)</f>
        <v>2000.4166666666667</v>
      </c>
      <c r="AK79" s="118">
        <f t="shared" ref="AK79:AK81" si="120">($F$6+1)-($C$6/12)</f>
        <v>2021.6666666666667</v>
      </c>
      <c r="AL79" s="142">
        <f t="shared" ref="AL79:AL81" si="121">$G79+(($B79-1)/12)</f>
        <v>2007.4166666666667</v>
      </c>
      <c r="AM79" s="118">
        <f t="shared" ref="AM79:AM81" si="122">$D$6+($E$6/12)</f>
        <v>2020.25</v>
      </c>
      <c r="AN79" s="118">
        <f t="shared" ref="AN79:AN81" si="123">$I79+(($H79-1)/12)</f>
        <v>-8.3333333333333329E-2</v>
      </c>
      <c r="AO79" s="111"/>
    </row>
    <row r="80" spans="1:41" ht="15.75">
      <c r="A80" s="121" t="s">
        <v>597</v>
      </c>
      <c r="B80" s="121">
        <v>12</v>
      </c>
      <c r="C80" s="121">
        <v>2009</v>
      </c>
      <c r="D80" s="462">
        <v>272605</v>
      </c>
      <c r="E80" s="441">
        <v>0</v>
      </c>
      <c r="F80" s="441">
        <v>7</v>
      </c>
      <c r="G80" s="825">
        <f t="shared" si="105"/>
        <v>2016</v>
      </c>
      <c r="H80" s="441"/>
      <c r="I80" s="441"/>
      <c r="J80" s="146"/>
      <c r="K80" s="139">
        <f t="shared" si="106"/>
        <v>272605</v>
      </c>
      <c r="L80" s="139">
        <f t="shared" si="107"/>
        <v>3245.2976190476188</v>
      </c>
      <c r="M80" s="139">
        <f t="shared" si="108"/>
        <v>0</v>
      </c>
      <c r="N80" s="139">
        <f t="shared" si="109"/>
        <v>272605</v>
      </c>
      <c r="O80" s="139">
        <f t="shared" si="110"/>
        <v>272605</v>
      </c>
      <c r="P80" s="139">
        <f t="shared" si="111"/>
        <v>0</v>
      </c>
      <c r="Q80" s="119">
        <f t="shared" si="112"/>
        <v>0</v>
      </c>
      <c r="R80" s="119">
        <f t="shared" si="113"/>
        <v>0</v>
      </c>
      <c r="S80" s="120">
        <v>1</v>
      </c>
      <c r="T80" s="140">
        <f>$S$80*($M$80+$Q$80)*0.25</f>
        <v>0</v>
      </c>
      <c r="U80" s="140">
        <f>$S$80*($M$80+$Q$80)*0.5</f>
        <v>0</v>
      </c>
      <c r="V80" s="140">
        <f t="shared" ref="V80" si="124">$S$80*($M$80+$Q$80)*0.25</f>
        <v>0</v>
      </c>
      <c r="W80" s="140"/>
      <c r="X80" s="140"/>
      <c r="Y80" s="140"/>
      <c r="Z80" s="119">
        <f t="shared" si="115"/>
        <v>0</v>
      </c>
      <c r="AA80" s="141">
        <f>$P$80*$S$80*0.25</f>
        <v>0</v>
      </c>
      <c r="AB80" s="141">
        <f>$P$80*$S$80*0.5</f>
        <v>0</v>
      </c>
      <c r="AC80" s="141">
        <f t="shared" ref="AC80" si="125">$P$80*$S$80*0.25</f>
        <v>0</v>
      </c>
      <c r="AD80" s="141"/>
      <c r="AE80" s="141"/>
      <c r="AF80" s="141"/>
      <c r="AG80" s="120">
        <v>1</v>
      </c>
      <c r="AH80" s="119">
        <f t="shared" si="117"/>
        <v>272605</v>
      </c>
      <c r="AI80" s="119">
        <f t="shared" si="118"/>
        <v>272605</v>
      </c>
      <c r="AJ80" s="142">
        <f t="shared" si="119"/>
        <v>2009.9166666666667</v>
      </c>
      <c r="AK80" s="118">
        <f t="shared" si="120"/>
        <v>2021.6666666666667</v>
      </c>
      <c r="AL80" s="142">
        <f t="shared" si="121"/>
        <v>2016.9166666666667</v>
      </c>
      <c r="AM80" s="118">
        <f t="shared" si="122"/>
        <v>2020.25</v>
      </c>
      <c r="AN80" s="118">
        <f t="shared" si="123"/>
        <v>-8.3333333333333329E-2</v>
      </c>
      <c r="AO80" s="111"/>
    </row>
    <row r="81" spans="1:41" ht="15.75">
      <c r="A81" s="121" t="s">
        <v>598</v>
      </c>
      <c r="B81" s="121">
        <v>8</v>
      </c>
      <c r="C81" s="121">
        <v>2013</v>
      </c>
      <c r="D81" s="463">
        <v>331074</v>
      </c>
      <c r="E81" s="441">
        <v>0</v>
      </c>
      <c r="F81" s="441">
        <v>7</v>
      </c>
      <c r="G81" s="825">
        <f t="shared" si="105"/>
        <v>2020</v>
      </c>
      <c r="H81" s="441"/>
      <c r="I81" s="441"/>
      <c r="J81" s="146"/>
      <c r="K81" s="145">
        <f t="shared" si="106"/>
        <v>331074</v>
      </c>
      <c r="L81" s="145">
        <f t="shared" si="107"/>
        <v>3941.3571428571431</v>
      </c>
      <c r="M81" s="145">
        <f t="shared" si="108"/>
        <v>15765.428571424987</v>
      </c>
      <c r="N81" s="145">
        <f t="shared" si="109"/>
        <v>315308.57142857503</v>
      </c>
      <c r="O81" s="145">
        <f t="shared" si="110"/>
        <v>331074</v>
      </c>
      <c r="P81" s="145">
        <f t="shared" si="111"/>
        <v>7882.7142857124854</v>
      </c>
      <c r="Q81" s="119">
        <f t="shared" si="112"/>
        <v>0</v>
      </c>
      <c r="R81" s="119">
        <f t="shared" si="113"/>
        <v>15765.428571424987</v>
      </c>
      <c r="S81" s="120">
        <v>1</v>
      </c>
      <c r="T81" s="140">
        <f>$S$81*($M$81+$Q$81)*0.25</f>
        <v>3941.3571428562468</v>
      </c>
      <c r="U81" s="140">
        <f>$S$81*($M$81+$Q$81)*0.5</f>
        <v>7882.7142857124936</v>
      </c>
      <c r="V81" s="140">
        <f t="shared" ref="V81" si="126">$S$81*($M$81+$Q$81)*0.25</f>
        <v>3941.3571428562468</v>
      </c>
      <c r="W81" s="140"/>
      <c r="X81" s="140"/>
      <c r="Y81" s="140"/>
      <c r="Z81" s="119">
        <f t="shared" si="115"/>
        <v>15765.428571424987</v>
      </c>
      <c r="AA81" s="141">
        <f>$P$81*$S$81*0.25</f>
        <v>1970.6785714281214</v>
      </c>
      <c r="AB81" s="141">
        <f>$P$81*$S$81*0.5</f>
        <v>3941.3571428562427</v>
      </c>
      <c r="AC81" s="141">
        <f t="shared" ref="AC81" si="127">$P$81*$S$81*0.25</f>
        <v>1970.6785714281214</v>
      </c>
      <c r="AD81" s="141"/>
      <c r="AE81" s="141"/>
      <c r="AF81" s="141"/>
      <c r="AG81" s="120">
        <v>1</v>
      </c>
      <c r="AH81" s="119">
        <f t="shared" si="117"/>
        <v>315308.57142857503</v>
      </c>
      <c r="AI81" s="119">
        <f t="shared" si="118"/>
        <v>315308.57142857503</v>
      </c>
      <c r="AJ81" s="142">
        <f t="shared" si="119"/>
        <v>2013.5833333333333</v>
      </c>
      <c r="AK81" s="118">
        <f t="shared" si="120"/>
        <v>2021.6666666666667</v>
      </c>
      <c r="AL81" s="142">
        <f t="shared" si="121"/>
        <v>2020.5833333333333</v>
      </c>
      <c r="AM81" s="118">
        <f t="shared" si="122"/>
        <v>2020.25</v>
      </c>
      <c r="AN81" s="118">
        <f t="shared" si="123"/>
        <v>-8.3333333333333329E-2</v>
      </c>
      <c r="AO81" s="111"/>
    </row>
    <row r="82" spans="1:41" ht="15.75">
      <c r="A82" s="121" t="s">
        <v>599</v>
      </c>
      <c r="B82" s="124"/>
      <c r="C82" s="124"/>
      <c r="D82" s="464">
        <f>SUM(D79:D81)</f>
        <v>779829</v>
      </c>
      <c r="E82" s="154"/>
      <c r="F82" s="154"/>
      <c r="G82" s="154"/>
      <c r="H82" s="154"/>
      <c r="I82" s="154"/>
      <c r="J82" s="139"/>
      <c r="K82" s="139">
        <f t="shared" ref="K82:R82" si="128">SUM(K79:K81)</f>
        <v>779829</v>
      </c>
      <c r="L82" s="139">
        <f t="shared" si="128"/>
        <v>9283.6785714285725</v>
      </c>
      <c r="M82" s="139">
        <f t="shared" si="128"/>
        <v>15765.428571424987</v>
      </c>
      <c r="N82" s="139">
        <f t="shared" si="128"/>
        <v>764063.57142857509</v>
      </c>
      <c r="O82" s="139">
        <f t="shared" si="128"/>
        <v>779829</v>
      </c>
      <c r="P82" s="139">
        <f t="shared" si="128"/>
        <v>7882.7142857124854</v>
      </c>
      <c r="Q82" s="119">
        <f t="shared" si="128"/>
        <v>0</v>
      </c>
      <c r="R82" s="119">
        <f t="shared" si="128"/>
        <v>15765.428571424987</v>
      </c>
      <c r="S82" s="119"/>
      <c r="T82" s="140">
        <f t="shared" ref="T82:AF82" si="129">SUM(T79:T81)</f>
        <v>3941.3571428562468</v>
      </c>
      <c r="U82" s="140">
        <f t="shared" si="129"/>
        <v>7882.7142857124936</v>
      </c>
      <c r="V82" s="140">
        <f t="shared" si="129"/>
        <v>3941.3571428562468</v>
      </c>
      <c r="W82" s="140">
        <f t="shared" si="129"/>
        <v>0</v>
      </c>
      <c r="X82" s="140">
        <f t="shared" si="129"/>
        <v>0</v>
      </c>
      <c r="Y82" s="140">
        <f t="shared" si="129"/>
        <v>0</v>
      </c>
      <c r="Z82" s="119">
        <f t="shared" si="129"/>
        <v>15765.428571424987</v>
      </c>
      <c r="AA82" s="141">
        <f t="shared" si="129"/>
        <v>1970.6785714281214</v>
      </c>
      <c r="AB82" s="141">
        <f t="shared" si="129"/>
        <v>3941.3571428562427</v>
      </c>
      <c r="AC82" s="141">
        <f t="shared" si="129"/>
        <v>1970.6785714281214</v>
      </c>
      <c r="AD82" s="141">
        <f t="shared" si="129"/>
        <v>0</v>
      </c>
      <c r="AE82" s="141">
        <f t="shared" si="129"/>
        <v>0</v>
      </c>
      <c r="AF82" s="141">
        <f t="shared" si="129"/>
        <v>0</v>
      </c>
      <c r="AG82" s="119"/>
      <c r="AH82" s="119">
        <f>SUM(AH79:AH81)</f>
        <v>764063.57142857509</v>
      </c>
      <c r="AI82" s="119">
        <f>SUM(AI79:AI81)</f>
        <v>764063.57142857509</v>
      </c>
      <c r="AJ82" s="142"/>
      <c r="AK82" s="118"/>
      <c r="AL82" s="142"/>
      <c r="AM82" s="118"/>
      <c r="AN82" s="118"/>
      <c r="AO82" s="111"/>
    </row>
    <row r="83" spans="1:41" ht="15.75">
      <c r="A83" s="121"/>
      <c r="B83" s="124"/>
      <c r="C83" s="124"/>
      <c r="D83" s="465"/>
      <c r="E83" s="443"/>
      <c r="F83" s="441"/>
      <c r="G83" s="441"/>
      <c r="H83" s="441"/>
      <c r="I83" s="441"/>
      <c r="J83" s="442"/>
      <c r="K83" s="442"/>
      <c r="L83" s="146"/>
      <c r="M83" s="146"/>
      <c r="N83" s="146"/>
      <c r="O83" s="146"/>
      <c r="P83" s="146"/>
      <c r="Q83" s="137"/>
      <c r="R83" s="137"/>
      <c r="S83" s="138"/>
      <c r="T83" s="147"/>
      <c r="U83" s="148"/>
      <c r="V83" s="148"/>
      <c r="W83" s="148"/>
      <c r="X83" s="148"/>
      <c r="Y83" s="148"/>
      <c r="Z83" s="137"/>
      <c r="AA83" s="149"/>
      <c r="AB83" s="149"/>
      <c r="AC83" s="149"/>
      <c r="AD83" s="149"/>
      <c r="AE83" s="149"/>
      <c r="AF83" s="149"/>
      <c r="AG83" s="138"/>
      <c r="AH83" s="138"/>
      <c r="AI83" s="138"/>
      <c r="AJ83" s="138"/>
      <c r="AK83" s="138"/>
      <c r="AL83" s="138"/>
      <c r="AM83" s="138"/>
      <c r="AN83" s="138"/>
      <c r="AO83" s="111"/>
    </row>
    <row r="84" spans="1:41" ht="15.75">
      <c r="A84" s="134" t="s">
        <v>600</v>
      </c>
      <c r="B84" s="121"/>
      <c r="C84" s="121"/>
      <c r="D84" s="465"/>
      <c r="E84" s="443"/>
      <c r="F84" s="441"/>
      <c r="G84" s="441"/>
      <c r="H84" s="441"/>
      <c r="I84" s="441"/>
      <c r="J84" s="442"/>
      <c r="K84" s="442"/>
      <c r="L84" s="146"/>
      <c r="M84" s="146"/>
      <c r="N84" s="146"/>
      <c r="O84" s="146"/>
      <c r="P84" s="146"/>
      <c r="Q84" s="137"/>
      <c r="R84" s="137"/>
      <c r="S84" s="138"/>
      <c r="T84" s="147"/>
      <c r="U84" s="148"/>
      <c r="V84" s="148"/>
      <c r="W84" s="148"/>
      <c r="X84" s="148"/>
      <c r="Y84" s="148"/>
      <c r="Z84" s="137"/>
      <c r="AA84" s="149"/>
      <c r="AB84" s="149"/>
      <c r="AC84" s="149"/>
      <c r="AD84" s="149"/>
      <c r="AE84" s="149"/>
      <c r="AF84" s="149"/>
      <c r="AG84" s="138"/>
      <c r="AH84" s="138"/>
      <c r="AI84" s="138"/>
      <c r="AJ84" s="138"/>
      <c r="AK84" s="138"/>
      <c r="AL84" s="138"/>
      <c r="AM84" s="138"/>
      <c r="AN84" s="138"/>
      <c r="AO84" s="111"/>
    </row>
    <row r="85" spans="1:41" ht="15.75">
      <c r="A85" s="134" t="s">
        <v>601</v>
      </c>
      <c r="B85" s="121">
        <v>9</v>
      </c>
      <c r="C85" s="121">
        <v>2001</v>
      </c>
      <c r="D85" s="462">
        <v>657555</v>
      </c>
      <c r="E85" s="441">
        <v>0</v>
      </c>
      <c r="F85" s="441">
        <v>10</v>
      </c>
      <c r="G85" s="825">
        <f t="shared" ref="G85:G90" si="130">C85+F85</f>
        <v>2011</v>
      </c>
      <c r="H85" s="441"/>
      <c r="I85" s="441"/>
      <c r="J85" s="146"/>
      <c r="K85" s="139">
        <f t="shared" ref="K85:K90" si="131">D85-D85*E85</f>
        <v>657555</v>
      </c>
      <c r="L85" s="139">
        <f t="shared" ref="L85:L90" si="132">K85/F85/12</f>
        <v>5479.625</v>
      </c>
      <c r="M85" s="139">
        <f t="shared" ref="M85:M90" si="133">IF(J85&gt;0,0,IF(OR(AJ85&gt;AK85,AL85&lt;AM85),0,IF(AND(AL85&gt;=AM85,AL85&lt;=AK85),L85*((AL85-AM85)*12),IF(AND(AM85&lt;=AJ85,AK85&gt;=AJ85),((AK85-AJ85)*12)*L85,IF(AL85&gt;AK85,12*L85,0)))))</f>
        <v>0</v>
      </c>
      <c r="N85" s="139">
        <f t="shared" ref="N85:N90" si="134">IF(AJ85&gt;AK85,0,IF(AL85&lt;AM85,K85,IF(AND(AL85&gt;=AM85,AL85&lt;=AK85),(K85-R85),IF(AND(AM85&lt;=AJ85,AK85&gt;=AJ85),0,IF(AL85&gt;AK85,((AM85-AJ85)*12)*L85,0)))))</f>
        <v>657555</v>
      </c>
      <c r="O85" s="139">
        <f t="shared" ref="O85:O90" si="135">IF(J85&gt;0,0,AI85+Z85*AG85)*AG85</f>
        <v>657555</v>
      </c>
      <c r="P85" s="139">
        <f t="shared" ref="P85:P90" si="136">IF(J85&gt;0,(D85-AI85)/2,IF(AJ85&gt;=AM85,(((D85*S85)*AG85)-O85)/2,((((D85*S85)*AG85)-AI85)+(((D85*S85)*AG85)-O85))/2))</f>
        <v>0</v>
      </c>
      <c r="Q85" s="119">
        <f t="shared" ref="Q85:Q90" si="137">IF(J85=0,0,IF(AND(AN85&gt;=AM85,AN85&lt;=AL85),((AN85-AM85)*12)*L85,0))</f>
        <v>0</v>
      </c>
      <c r="R85" s="119">
        <f t="shared" ref="R85:R90" si="138">IF(Q85&gt;0,Q85,M85)</f>
        <v>0</v>
      </c>
      <c r="S85" s="120">
        <v>1</v>
      </c>
      <c r="T85" s="140">
        <f>S85*(M85+Q85)</f>
        <v>0</v>
      </c>
      <c r="U85" s="140"/>
      <c r="V85" s="140"/>
      <c r="W85" s="140"/>
      <c r="X85" s="140"/>
      <c r="Y85" s="140"/>
      <c r="Z85" s="119">
        <f t="shared" ref="Z85:Z90" si="139">S85*(M85+Q85)</f>
        <v>0</v>
      </c>
      <c r="AA85" s="141">
        <f t="shared" ref="AA85:AA90" si="140">P85*S85</f>
        <v>0</v>
      </c>
      <c r="AB85" s="141"/>
      <c r="AC85" s="141"/>
      <c r="AD85" s="141"/>
      <c r="AE85" s="141"/>
      <c r="AF85" s="141"/>
      <c r="AG85" s="120">
        <v>1</v>
      </c>
      <c r="AH85" s="119">
        <f t="shared" ref="AH85:AH90" si="141">N85*S85</f>
        <v>657555</v>
      </c>
      <c r="AI85" s="119">
        <f t="shared" ref="AI85:AI90" si="142">AH85*AG85</f>
        <v>657555</v>
      </c>
      <c r="AJ85" s="142">
        <f t="shared" ref="AJ85:AJ90" si="143">$C85+(($B85-1)/12)</f>
        <v>2001.6666666666667</v>
      </c>
      <c r="AK85" s="118">
        <f t="shared" ref="AK85:AK90" si="144">($F$6+1)-($C$6/12)</f>
        <v>2021.6666666666667</v>
      </c>
      <c r="AL85" s="142">
        <f t="shared" ref="AL85:AL90" si="145">$G85+(($B85-1)/12)</f>
        <v>2011.6666666666667</v>
      </c>
      <c r="AM85" s="118">
        <f t="shared" ref="AM85:AM90" si="146">$D$6+($E$6/12)</f>
        <v>2020.25</v>
      </c>
      <c r="AN85" s="118">
        <f t="shared" ref="AN85:AN90" si="147">$I85+(($H85-1)/12)</f>
        <v>-8.3333333333333329E-2</v>
      </c>
      <c r="AO85" s="111"/>
    </row>
    <row r="86" spans="1:41" ht="15.75">
      <c r="A86" s="121" t="s">
        <v>602</v>
      </c>
      <c r="B86" s="121">
        <v>4</v>
      </c>
      <c r="C86" s="121">
        <v>2005</v>
      </c>
      <c r="D86" s="462">
        <v>73158</v>
      </c>
      <c r="E86" s="441">
        <v>0</v>
      </c>
      <c r="F86" s="441">
        <v>10</v>
      </c>
      <c r="G86" s="825">
        <f t="shared" si="130"/>
        <v>2015</v>
      </c>
      <c r="H86" s="441"/>
      <c r="I86" s="441"/>
      <c r="J86" s="146"/>
      <c r="K86" s="139">
        <f t="shared" si="131"/>
        <v>73158</v>
      </c>
      <c r="L86" s="139">
        <f t="shared" si="132"/>
        <v>609.65</v>
      </c>
      <c r="M86" s="139">
        <f t="shared" si="133"/>
        <v>0</v>
      </c>
      <c r="N86" s="139">
        <f t="shared" si="134"/>
        <v>73158</v>
      </c>
      <c r="O86" s="139">
        <f t="shared" si="135"/>
        <v>73158</v>
      </c>
      <c r="P86" s="139">
        <f t="shared" si="136"/>
        <v>0</v>
      </c>
      <c r="Q86" s="119">
        <f t="shared" si="137"/>
        <v>0</v>
      </c>
      <c r="R86" s="119">
        <f t="shared" si="138"/>
        <v>0</v>
      </c>
      <c r="S86" s="120">
        <v>1</v>
      </c>
      <c r="T86" s="140">
        <f t="shared" ref="T86:T90" si="148">S86*(M86+Q86)</f>
        <v>0</v>
      </c>
      <c r="U86" s="140"/>
      <c r="V86" s="140"/>
      <c r="W86" s="140"/>
      <c r="X86" s="140"/>
      <c r="Y86" s="140"/>
      <c r="Z86" s="119">
        <f t="shared" si="139"/>
        <v>0</v>
      </c>
      <c r="AA86" s="141">
        <f t="shared" si="140"/>
        <v>0</v>
      </c>
      <c r="AB86" s="141"/>
      <c r="AC86" s="141"/>
      <c r="AD86" s="141"/>
      <c r="AE86" s="141"/>
      <c r="AF86" s="141"/>
      <c r="AG86" s="120">
        <v>1</v>
      </c>
      <c r="AH86" s="119">
        <f t="shared" si="141"/>
        <v>73158</v>
      </c>
      <c r="AI86" s="119">
        <f t="shared" si="142"/>
        <v>73158</v>
      </c>
      <c r="AJ86" s="142">
        <f t="shared" si="143"/>
        <v>2005.25</v>
      </c>
      <c r="AK86" s="118">
        <f t="shared" si="144"/>
        <v>2021.6666666666667</v>
      </c>
      <c r="AL86" s="142">
        <f t="shared" si="145"/>
        <v>2015.25</v>
      </c>
      <c r="AM86" s="118">
        <f t="shared" si="146"/>
        <v>2020.25</v>
      </c>
      <c r="AN86" s="118">
        <f t="shared" si="147"/>
        <v>-8.3333333333333329E-2</v>
      </c>
      <c r="AO86" s="111"/>
    </row>
    <row r="87" spans="1:41" ht="15.75">
      <c r="A87" s="121" t="s">
        <v>603</v>
      </c>
      <c r="B87" s="121">
        <v>7</v>
      </c>
      <c r="C87" s="121">
        <v>2006</v>
      </c>
      <c r="D87" s="462">
        <v>73006</v>
      </c>
      <c r="E87" s="441">
        <v>0</v>
      </c>
      <c r="F87" s="441">
        <v>10</v>
      </c>
      <c r="G87" s="825">
        <f t="shared" si="130"/>
        <v>2016</v>
      </c>
      <c r="H87" s="441"/>
      <c r="I87" s="441"/>
      <c r="J87" s="146"/>
      <c r="K87" s="139">
        <f t="shared" si="131"/>
        <v>73006</v>
      </c>
      <c r="L87" s="139">
        <f t="shared" si="132"/>
        <v>608.38333333333333</v>
      </c>
      <c r="M87" s="139">
        <f t="shared" si="133"/>
        <v>0</v>
      </c>
      <c r="N87" s="139">
        <f t="shared" si="134"/>
        <v>73006</v>
      </c>
      <c r="O87" s="139">
        <f t="shared" si="135"/>
        <v>73006</v>
      </c>
      <c r="P87" s="139">
        <f t="shared" si="136"/>
        <v>0</v>
      </c>
      <c r="Q87" s="119">
        <f t="shared" si="137"/>
        <v>0</v>
      </c>
      <c r="R87" s="119">
        <f t="shared" si="138"/>
        <v>0</v>
      </c>
      <c r="S87" s="120">
        <v>1</v>
      </c>
      <c r="T87" s="140">
        <f t="shared" si="148"/>
        <v>0</v>
      </c>
      <c r="U87" s="140"/>
      <c r="V87" s="140"/>
      <c r="W87" s="140"/>
      <c r="X87" s="140"/>
      <c r="Y87" s="140"/>
      <c r="Z87" s="119">
        <f t="shared" si="139"/>
        <v>0</v>
      </c>
      <c r="AA87" s="141">
        <f t="shared" si="140"/>
        <v>0</v>
      </c>
      <c r="AB87" s="141"/>
      <c r="AC87" s="141"/>
      <c r="AD87" s="141"/>
      <c r="AE87" s="141"/>
      <c r="AF87" s="141"/>
      <c r="AG87" s="120">
        <v>1</v>
      </c>
      <c r="AH87" s="119">
        <f t="shared" si="141"/>
        <v>73006</v>
      </c>
      <c r="AI87" s="119">
        <f t="shared" si="142"/>
        <v>73006</v>
      </c>
      <c r="AJ87" s="142">
        <f t="shared" si="143"/>
        <v>2006.5</v>
      </c>
      <c r="AK87" s="118">
        <f t="shared" si="144"/>
        <v>2021.6666666666667</v>
      </c>
      <c r="AL87" s="142">
        <f t="shared" si="145"/>
        <v>2016.5</v>
      </c>
      <c r="AM87" s="118">
        <f t="shared" si="146"/>
        <v>2020.25</v>
      </c>
      <c r="AN87" s="118">
        <f t="shared" si="147"/>
        <v>-8.3333333333333329E-2</v>
      </c>
      <c r="AO87" s="111"/>
    </row>
    <row r="88" spans="1:41" ht="15.75">
      <c r="A88" s="121" t="s">
        <v>604</v>
      </c>
      <c r="B88" s="121">
        <v>6</v>
      </c>
      <c r="C88" s="121">
        <v>2007</v>
      </c>
      <c r="D88" s="462">
        <v>216327</v>
      </c>
      <c r="E88" s="441">
        <v>0</v>
      </c>
      <c r="F88" s="441">
        <v>10</v>
      </c>
      <c r="G88" s="825">
        <f t="shared" si="130"/>
        <v>2017</v>
      </c>
      <c r="H88" s="441"/>
      <c r="I88" s="441"/>
      <c r="J88" s="146"/>
      <c r="K88" s="139">
        <f t="shared" si="131"/>
        <v>216327</v>
      </c>
      <c r="L88" s="139">
        <f t="shared" si="132"/>
        <v>1802.7250000000001</v>
      </c>
      <c r="M88" s="139">
        <f t="shared" si="133"/>
        <v>0</v>
      </c>
      <c r="N88" s="139">
        <f t="shared" si="134"/>
        <v>216327</v>
      </c>
      <c r="O88" s="139">
        <f t="shared" si="135"/>
        <v>216327</v>
      </c>
      <c r="P88" s="139">
        <f t="shared" si="136"/>
        <v>0</v>
      </c>
      <c r="Q88" s="119">
        <f t="shared" si="137"/>
        <v>0</v>
      </c>
      <c r="R88" s="119">
        <f t="shared" si="138"/>
        <v>0</v>
      </c>
      <c r="S88" s="120">
        <v>1</v>
      </c>
      <c r="T88" s="140">
        <f t="shared" si="148"/>
        <v>0</v>
      </c>
      <c r="U88" s="140"/>
      <c r="V88" s="140"/>
      <c r="W88" s="140"/>
      <c r="X88" s="140"/>
      <c r="Y88" s="140"/>
      <c r="Z88" s="119">
        <f t="shared" si="139"/>
        <v>0</v>
      </c>
      <c r="AA88" s="141">
        <f t="shared" si="140"/>
        <v>0</v>
      </c>
      <c r="AB88" s="141"/>
      <c r="AC88" s="141"/>
      <c r="AD88" s="141"/>
      <c r="AE88" s="141"/>
      <c r="AF88" s="141"/>
      <c r="AG88" s="120">
        <v>1</v>
      </c>
      <c r="AH88" s="119">
        <f t="shared" si="141"/>
        <v>216327</v>
      </c>
      <c r="AI88" s="119">
        <f t="shared" si="142"/>
        <v>216327</v>
      </c>
      <c r="AJ88" s="142">
        <f t="shared" si="143"/>
        <v>2007.4166666666667</v>
      </c>
      <c r="AK88" s="118">
        <f t="shared" si="144"/>
        <v>2021.6666666666667</v>
      </c>
      <c r="AL88" s="142">
        <f t="shared" si="145"/>
        <v>2017.4166666666667</v>
      </c>
      <c r="AM88" s="118">
        <f t="shared" si="146"/>
        <v>2020.25</v>
      </c>
      <c r="AN88" s="118">
        <f t="shared" si="147"/>
        <v>-8.3333333333333329E-2</v>
      </c>
      <c r="AO88" s="111"/>
    </row>
    <row r="89" spans="1:41" ht="15.75">
      <c r="A89" s="121" t="s">
        <v>605</v>
      </c>
      <c r="B89" s="121">
        <v>7</v>
      </c>
      <c r="C89" s="121">
        <v>2008</v>
      </c>
      <c r="D89" s="462">
        <v>226031</v>
      </c>
      <c r="E89" s="441">
        <v>0</v>
      </c>
      <c r="F89" s="441">
        <v>10</v>
      </c>
      <c r="G89" s="825">
        <f t="shared" si="130"/>
        <v>2018</v>
      </c>
      <c r="H89" s="441"/>
      <c r="I89" s="441"/>
      <c r="J89" s="146"/>
      <c r="K89" s="139">
        <f t="shared" si="131"/>
        <v>226031</v>
      </c>
      <c r="L89" s="139">
        <f t="shared" si="132"/>
        <v>1883.5916666666665</v>
      </c>
      <c r="M89" s="139">
        <f t="shared" si="133"/>
        <v>0</v>
      </c>
      <c r="N89" s="139">
        <f t="shared" si="134"/>
        <v>226031</v>
      </c>
      <c r="O89" s="139">
        <f t="shared" si="135"/>
        <v>226031</v>
      </c>
      <c r="P89" s="139">
        <f t="shared" si="136"/>
        <v>0</v>
      </c>
      <c r="Q89" s="119">
        <f t="shared" si="137"/>
        <v>0</v>
      </c>
      <c r="R89" s="119">
        <f t="shared" si="138"/>
        <v>0</v>
      </c>
      <c r="S89" s="120">
        <v>1</v>
      </c>
      <c r="T89" s="140">
        <f t="shared" si="148"/>
        <v>0</v>
      </c>
      <c r="U89" s="140"/>
      <c r="V89" s="140"/>
      <c r="W89" s="140"/>
      <c r="X89" s="140"/>
      <c r="Y89" s="140"/>
      <c r="Z89" s="119">
        <f t="shared" si="139"/>
        <v>0</v>
      </c>
      <c r="AA89" s="141">
        <f t="shared" si="140"/>
        <v>0</v>
      </c>
      <c r="AB89" s="141"/>
      <c r="AC89" s="141"/>
      <c r="AD89" s="141"/>
      <c r="AE89" s="141"/>
      <c r="AF89" s="141"/>
      <c r="AG89" s="120">
        <v>1</v>
      </c>
      <c r="AH89" s="119">
        <f t="shared" si="141"/>
        <v>226031</v>
      </c>
      <c r="AI89" s="119">
        <f t="shared" si="142"/>
        <v>226031</v>
      </c>
      <c r="AJ89" s="142">
        <f t="shared" si="143"/>
        <v>2008.5</v>
      </c>
      <c r="AK89" s="118">
        <f t="shared" si="144"/>
        <v>2021.6666666666667</v>
      </c>
      <c r="AL89" s="142">
        <f t="shared" si="145"/>
        <v>2018.5</v>
      </c>
      <c r="AM89" s="118">
        <f t="shared" si="146"/>
        <v>2020.25</v>
      </c>
      <c r="AN89" s="118">
        <f t="shared" si="147"/>
        <v>-8.3333333333333329E-2</v>
      </c>
      <c r="AO89" s="111"/>
    </row>
    <row r="90" spans="1:41" ht="15.75">
      <c r="A90" s="115" t="s">
        <v>606</v>
      </c>
      <c r="B90" s="121">
        <v>6</v>
      </c>
      <c r="C90" s="121">
        <v>2011</v>
      </c>
      <c r="D90" s="463">
        <v>61256.84</v>
      </c>
      <c r="E90" s="441">
        <v>0</v>
      </c>
      <c r="F90" s="441">
        <v>10</v>
      </c>
      <c r="G90" s="825">
        <f t="shared" si="130"/>
        <v>2021</v>
      </c>
      <c r="H90" s="441"/>
      <c r="I90" s="441"/>
      <c r="J90" s="146"/>
      <c r="K90" s="145">
        <f t="shared" si="131"/>
        <v>61256.84</v>
      </c>
      <c r="L90" s="145">
        <f t="shared" si="132"/>
        <v>510.47366666666659</v>
      </c>
      <c r="M90" s="145">
        <f t="shared" si="133"/>
        <v>7146.6313333337966</v>
      </c>
      <c r="N90" s="145">
        <f t="shared" si="134"/>
        <v>54110.2086666662</v>
      </c>
      <c r="O90" s="145">
        <f t="shared" si="135"/>
        <v>61256.84</v>
      </c>
      <c r="P90" s="145">
        <f t="shared" si="136"/>
        <v>3573.3156666668983</v>
      </c>
      <c r="Q90" s="119">
        <f t="shared" si="137"/>
        <v>0</v>
      </c>
      <c r="R90" s="119">
        <f t="shared" si="138"/>
        <v>7146.6313333337966</v>
      </c>
      <c r="S90" s="120">
        <v>1</v>
      </c>
      <c r="T90" s="140">
        <f t="shared" si="148"/>
        <v>7146.6313333337966</v>
      </c>
      <c r="U90" s="140"/>
      <c r="V90" s="140"/>
      <c r="W90" s="140"/>
      <c r="X90" s="140"/>
      <c r="Y90" s="140"/>
      <c r="Z90" s="119">
        <f t="shared" si="139"/>
        <v>7146.6313333337966</v>
      </c>
      <c r="AA90" s="141">
        <f t="shared" si="140"/>
        <v>3573.3156666668983</v>
      </c>
      <c r="AB90" s="141"/>
      <c r="AC90" s="141"/>
      <c r="AD90" s="141"/>
      <c r="AE90" s="141"/>
      <c r="AF90" s="141"/>
      <c r="AG90" s="120">
        <v>1</v>
      </c>
      <c r="AH90" s="119">
        <f t="shared" si="141"/>
        <v>54110.2086666662</v>
      </c>
      <c r="AI90" s="119">
        <f t="shared" si="142"/>
        <v>54110.2086666662</v>
      </c>
      <c r="AJ90" s="142">
        <f t="shared" si="143"/>
        <v>2011.4166666666667</v>
      </c>
      <c r="AK90" s="118">
        <f t="shared" si="144"/>
        <v>2021.6666666666667</v>
      </c>
      <c r="AL90" s="142">
        <f t="shared" si="145"/>
        <v>2021.4166666666667</v>
      </c>
      <c r="AM90" s="118">
        <f t="shared" si="146"/>
        <v>2020.25</v>
      </c>
      <c r="AN90" s="118">
        <f t="shared" si="147"/>
        <v>-8.3333333333333329E-2</v>
      </c>
      <c r="AO90" s="111"/>
    </row>
    <row r="91" spans="1:41" ht="15.75">
      <c r="A91" s="121" t="s">
        <v>607</v>
      </c>
      <c r="B91" s="124"/>
      <c r="C91" s="124"/>
      <c r="D91" s="464">
        <f>SUM(D85:D90)</f>
        <v>1307333.8400000001</v>
      </c>
      <c r="E91" s="154"/>
      <c r="F91" s="154"/>
      <c r="G91" s="825"/>
      <c r="H91" s="154"/>
      <c r="I91" s="154"/>
      <c r="J91" s="139"/>
      <c r="K91" s="139">
        <f t="shared" ref="K91:R91" si="149">SUM(K85:K90)</f>
        <v>1307333.8400000001</v>
      </c>
      <c r="L91" s="139">
        <f t="shared" si="149"/>
        <v>10894.448666666667</v>
      </c>
      <c r="M91" s="139">
        <f t="shared" si="149"/>
        <v>7146.6313333337966</v>
      </c>
      <c r="N91" s="139">
        <f t="shared" si="149"/>
        <v>1300187.2086666662</v>
      </c>
      <c r="O91" s="139">
        <f t="shared" si="149"/>
        <v>1307333.8400000001</v>
      </c>
      <c r="P91" s="139">
        <f t="shared" si="149"/>
        <v>3573.3156666668983</v>
      </c>
      <c r="Q91" s="119">
        <f t="shared" si="149"/>
        <v>0</v>
      </c>
      <c r="R91" s="119">
        <f t="shared" si="149"/>
        <v>7146.6313333337966</v>
      </c>
      <c r="S91" s="119"/>
      <c r="T91" s="119">
        <f>SUM(T85:T90)</f>
        <v>7146.6313333337966</v>
      </c>
      <c r="U91" s="140"/>
      <c r="V91" s="140"/>
      <c r="W91" s="140"/>
      <c r="X91" s="140"/>
      <c r="Y91" s="140"/>
      <c r="Z91" s="119">
        <f t="shared" ref="Z91:AF91" si="150">SUM(Z85:Z89)</f>
        <v>0</v>
      </c>
      <c r="AA91" s="141">
        <f t="shared" si="150"/>
        <v>0</v>
      </c>
      <c r="AB91" s="141">
        <f t="shared" si="150"/>
        <v>0</v>
      </c>
      <c r="AC91" s="141">
        <f t="shared" si="150"/>
        <v>0</v>
      </c>
      <c r="AD91" s="141">
        <f t="shared" si="150"/>
        <v>0</v>
      </c>
      <c r="AE91" s="141">
        <f t="shared" si="150"/>
        <v>0</v>
      </c>
      <c r="AF91" s="141">
        <f t="shared" si="150"/>
        <v>0</v>
      </c>
      <c r="AG91" s="119"/>
      <c r="AH91" s="119">
        <f>SUM(AH85:AH89)</f>
        <v>1246077</v>
      </c>
      <c r="AI91" s="119">
        <f>SUM(AI85:AI89)</f>
        <v>1246077</v>
      </c>
      <c r="AJ91" s="142"/>
      <c r="AK91" s="118"/>
      <c r="AL91" s="142"/>
      <c r="AM91" s="118"/>
      <c r="AN91" s="118"/>
      <c r="AO91" s="111"/>
    </row>
    <row r="92" spans="1:41" ht="15.75">
      <c r="A92" s="121"/>
      <c r="B92" s="124"/>
      <c r="C92" s="124"/>
      <c r="D92" s="465"/>
      <c r="E92" s="443"/>
      <c r="F92" s="441"/>
      <c r="G92" s="827"/>
      <c r="H92" s="441"/>
      <c r="I92" s="441"/>
      <c r="J92" s="442"/>
      <c r="K92" s="442"/>
      <c r="L92" s="146"/>
      <c r="M92" s="146"/>
      <c r="N92" s="146"/>
      <c r="O92" s="146"/>
      <c r="P92" s="146"/>
      <c r="Q92" s="137"/>
      <c r="R92" s="137"/>
      <c r="S92" s="138"/>
      <c r="T92" s="147"/>
      <c r="U92" s="148"/>
      <c r="V92" s="148"/>
      <c r="W92" s="148"/>
      <c r="X92" s="148"/>
      <c r="Y92" s="148"/>
      <c r="Z92" s="137"/>
      <c r="AA92" s="149"/>
      <c r="AB92" s="149"/>
      <c r="AC92" s="149"/>
      <c r="AD92" s="149"/>
      <c r="AE92" s="149"/>
      <c r="AF92" s="149"/>
      <c r="AG92" s="138"/>
      <c r="AH92" s="138"/>
      <c r="AI92" s="138"/>
      <c r="AJ92" s="138"/>
      <c r="AK92" s="138"/>
      <c r="AL92" s="138"/>
      <c r="AM92" s="138"/>
      <c r="AN92" s="138"/>
      <c r="AO92" s="111"/>
    </row>
    <row r="93" spans="1:41" ht="15.75">
      <c r="A93" s="134" t="s">
        <v>608</v>
      </c>
      <c r="B93" s="121"/>
      <c r="C93" s="121"/>
      <c r="D93" s="465"/>
      <c r="E93" s="443"/>
      <c r="F93" s="441"/>
      <c r="G93" s="827"/>
      <c r="H93" s="441"/>
      <c r="I93" s="441"/>
      <c r="J93" s="442"/>
      <c r="K93" s="442"/>
      <c r="L93" s="146"/>
      <c r="M93" s="146"/>
      <c r="N93" s="146"/>
      <c r="O93" s="146"/>
      <c r="P93" s="146"/>
      <c r="Q93" s="137"/>
      <c r="R93" s="137"/>
      <c r="S93" s="138"/>
      <c r="T93" s="147"/>
      <c r="U93" s="148"/>
      <c r="V93" s="148"/>
      <c r="W93" s="148"/>
      <c r="X93" s="148"/>
      <c r="Y93" s="148"/>
      <c r="Z93" s="137"/>
      <c r="AA93" s="149"/>
      <c r="AB93" s="149"/>
      <c r="AC93" s="149"/>
      <c r="AD93" s="149"/>
      <c r="AE93" s="149"/>
      <c r="AF93" s="149"/>
      <c r="AG93" s="138"/>
      <c r="AH93" s="138"/>
      <c r="AI93" s="138"/>
      <c r="AJ93" s="138"/>
      <c r="AK93" s="138"/>
      <c r="AL93" s="138"/>
      <c r="AM93" s="138"/>
      <c r="AN93" s="138"/>
      <c r="AO93" s="111"/>
    </row>
    <row r="94" spans="1:41" ht="15.75">
      <c r="A94" s="134" t="s">
        <v>609</v>
      </c>
      <c r="B94" s="121">
        <v>9</v>
      </c>
      <c r="C94" s="121">
        <v>1998</v>
      </c>
      <c r="D94" s="462">
        <v>1079082</v>
      </c>
      <c r="E94" s="441">
        <v>0</v>
      </c>
      <c r="F94" s="441">
        <v>10</v>
      </c>
      <c r="G94" s="825">
        <f t="shared" ref="G94:G116" si="151">C94+F94</f>
        <v>2008</v>
      </c>
      <c r="H94" s="441"/>
      <c r="I94" s="441"/>
      <c r="J94" s="146"/>
      <c r="K94" s="139">
        <f t="shared" ref="K94:K116" si="152">D94-D94*E94</f>
        <v>1079082</v>
      </c>
      <c r="L94" s="139">
        <f t="shared" ref="L94:L116" si="153">K94/F94/12</f>
        <v>8992.35</v>
      </c>
      <c r="M94" s="139">
        <f t="shared" ref="M94:M112" si="154">IF(J94&gt;0,0,IF(OR(AJ94&gt;AK94,AL94&lt;AM94),0,IF(AND(AL94&gt;=AM94,AL94&lt;=AK94),L94*((AL94-AM94)*12),IF(AND(AM94&lt;=AJ94,AK94&gt;=AJ94),((AK94-AJ94)*12)*L94,IF(AL94&gt;AK94,12*L94,0)))))</f>
        <v>0</v>
      </c>
      <c r="N94" s="139">
        <f t="shared" ref="N94:N116" si="155">IF(AJ94&gt;AK94,0,IF(AL94&lt;AM94,K94,IF(AND(AL94&gt;=AM94,AL94&lt;=AK94),(K94-R94),IF(AND(AM94&lt;=AJ94,AK94&gt;=AJ94),0,IF(AL94&gt;AK94,((AM94-AJ94)*12)*L94,0)))))</f>
        <v>1079082</v>
      </c>
      <c r="O94" s="139">
        <f t="shared" ref="O94:O116" si="156">IF(J94&gt;0,0,AI94+Z94*AG94)*AG94</f>
        <v>1079082</v>
      </c>
      <c r="P94" s="139">
        <f t="shared" ref="P94:P112" si="157">IF(J94&gt;0,(D94-AI94)/2,IF(AJ94&gt;=AM94,(((D94*S94)*AG94)-O94)/2,((((D94*S94)*AG94)-AI94)+(((D94*S94)*AG94)-O94))/2))</f>
        <v>0</v>
      </c>
      <c r="Q94" s="119">
        <f t="shared" ref="Q94:Q116" si="158">IF(J94=0,0,IF(AND(AN94&gt;=AM94,AN94&lt;=AL94),((AN94-AM94)*12)*L94,0))</f>
        <v>0</v>
      </c>
      <c r="R94" s="119">
        <f t="shared" ref="R94:R116" si="159">IF(Q94&gt;0,Q94,M94)</f>
        <v>0</v>
      </c>
      <c r="S94" s="120">
        <v>1</v>
      </c>
      <c r="T94" s="140">
        <f>S94*(M94+Q94)</f>
        <v>0</v>
      </c>
      <c r="U94" s="140"/>
      <c r="V94" s="140"/>
      <c r="W94" s="140"/>
      <c r="X94" s="140"/>
      <c r="Y94" s="140"/>
      <c r="Z94" s="119">
        <f t="shared" ref="Z94:Z116" si="160">S94*(M94+Q94)</f>
        <v>0</v>
      </c>
      <c r="AA94" s="141">
        <f t="shared" ref="AA94:AF112" si="161">P94*S94</f>
        <v>0</v>
      </c>
      <c r="AB94" s="141"/>
      <c r="AC94" s="141"/>
      <c r="AD94" s="141"/>
      <c r="AE94" s="141"/>
      <c r="AF94" s="141"/>
      <c r="AG94" s="120">
        <v>1</v>
      </c>
      <c r="AH94" s="119">
        <f t="shared" ref="AH94:AH116" si="162">N94*S94</f>
        <v>1079082</v>
      </c>
      <c r="AI94" s="119">
        <f t="shared" ref="AI94:AI116" si="163">AH94*AG94</f>
        <v>1079082</v>
      </c>
      <c r="AJ94" s="142">
        <f t="shared" ref="AJ94:AJ116" si="164">$C94+(($B94-1)/12)</f>
        <v>1998.6666666666667</v>
      </c>
      <c r="AK94" s="118">
        <f t="shared" ref="AK94:AK116" si="165">($F$6+1)-($C$6/12)</f>
        <v>2021.6666666666667</v>
      </c>
      <c r="AL94" s="142">
        <f t="shared" ref="AL94:AL116" si="166">$G94+(($B94-1)/12)</f>
        <v>2008.6666666666667</v>
      </c>
      <c r="AM94" s="118">
        <f t="shared" ref="AM94:AM116" si="167">$D$6+($E$6/12)</f>
        <v>2020.25</v>
      </c>
      <c r="AN94" s="118">
        <f t="shared" ref="AN94:AN116" si="168">$I94+(($H94-1)/12)</f>
        <v>-8.3333333333333329E-2</v>
      </c>
      <c r="AO94" s="111"/>
    </row>
    <row r="95" spans="1:41" ht="15.75">
      <c r="A95" s="121" t="s">
        <v>610</v>
      </c>
      <c r="B95" s="121">
        <v>12</v>
      </c>
      <c r="C95" s="121">
        <v>2005</v>
      </c>
      <c r="D95" s="462">
        <v>18069</v>
      </c>
      <c r="E95" s="441">
        <v>0</v>
      </c>
      <c r="F95" s="441">
        <v>10</v>
      </c>
      <c r="G95" s="825">
        <f t="shared" si="151"/>
        <v>2015</v>
      </c>
      <c r="H95" s="441"/>
      <c r="I95" s="441"/>
      <c r="J95" s="146"/>
      <c r="K95" s="139">
        <f t="shared" si="152"/>
        <v>18069</v>
      </c>
      <c r="L95" s="139">
        <f t="shared" si="153"/>
        <v>150.57500000000002</v>
      </c>
      <c r="M95" s="139">
        <f t="shared" si="154"/>
        <v>0</v>
      </c>
      <c r="N95" s="139">
        <f t="shared" si="155"/>
        <v>18069</v>
      </c>
      <c r="O95" s="139">
        <f t="shared" si="156"/>
        <v>18069</v>
      </c>
      <c r="P95" s="139">
        <f t="shared" si="157"/>
        <v>0</v>
      </c>
      <c r="Q95" s="119">
        <f t="shared" si="158"/>
        <v>0</v>
      </c>
      <c r="R95" s="119">
        <f t="shared" si="159"/>
        <v>0</v>
      </c>
      <c r="S95" s="120">
        <v>1</v>
      </c>
      <c r="T95" s="140">
        <f t="shared" ref="T95:T116" si="169">S95*(M95+Q95)</f>
        <v>0</v>
      </c>
      <c r="U95" s="140"/>
      <c r="V95" s="140"/>
      <c r="W95" s="140"/>
      <c r="X95" s="140"/>
      <c r="Y95" s="140"/>
      <c r="Z95" s="119">
        <f t="shared" si="160"/>
        <v>0</v>
      </c>
      <c r="AA95" s="141">
        <f t="shared" si="161"/>
        <v>0</v>
      </c>
      <c r="AB95" s="141"/>
      <c r="AC95" s="141"/>
      <c r="AD95" s="141"/>
      <c r="AE95" s="141"/>
      <c r="AF95" s="141"/>
      <c r="AG95" s="120">
        <v>1</v>
      </c>
      <c r="AH95" s="119">
        <f t="shared" si="162"/>
        <v>18069</v>
      </c>
      <c r="AI95" s="119">
        <f t="shared" si="163"/>
        <v>18069</v>
      </c>
      <c r="AJ95" s="142">
        <f t="shared" si="164"/>
        <v>2005.9166666666667</v>
      </c>
      <c r="AK95" s="118">
        <f t="shared" si="165"/>
        <v>2021.6666666666667</v>
      </c>
      <c r="AL95" s="142">
        <f t="shared" si="166"/>
        <v>2015.9166666666667</v>
      </c>
      <c r="AM95" s="118">
        <f t="shared" si="167"/>
        <v>2020.25</v>
      </c>
      <c r="AN95" s="118">
        <f t="shared" si="168"/>
        <v>-8.3333333333333329E-2</v>
      </c>
      <c r="AO95" s="111"/>
    </row>
    <row r="96" spans="1:41" ht="15.75">
      <c r="A96" s="121" t="s">
        <v>611</v>
      </c>
      <c r="B96" s="121">
        <v>7</v>
      </c>
      <c r="C96" s="121">
        <v>2006</v>
      </c>
      <c r="D96" s="462">
        <v>103430</v>
      </c>
      <c r="E96" s="441">
        <v>0</v>
      </c>
      <c r="F96" s="441">
        <v>10</v>
      </c>
      <c r="G96" s="825">
        <f t="shared" si="151"/>
        <v>2016</v>
      </c>
      <c r="H96" s="441"/>
      <c r="I96" s="441"/>
      <c r="J96" s="146"/>
      <c r="K96" s="139">
        <f t="shared" si="152"/>
        <v>103430</v>
      </c>
      <c r="L96" s="139">
        <f t="shared" si="153"/>
        <v>861.91666666666663</v>
      </c>
      <c r="M96" s="139">
        <f t="shared" si="154"/>
        <v>0</v>
      </c>
      <c r="N96" s="139">
        <f t="shared" si="155"/>
        <v>103430</v>
      </c>
      <c r="O96" s="139">
        <f t="shared" si="156"/>
        <v>103430</v>
      </c>
      <c r="P96" s="139">
        <f t="shared" si="157"/>
        <v>0</v>
      </c>
      <c r="Q96" s="119">
        <f t="shared" si="158"/>
        <v>0</v>
      </c>
      <c r="R96" s="119">
        <f t="shared" si="159"/>
        <v>0</v>
      </c>
      <c r="S96" s="120">
        <v>1</v>
      </c>
      <c r="T96" s="140">
        <f t="shared" si="169"/>
        <v>0</v>
      </c>
      <c r="U96" s="140"/>
      <c r="V96" s="140"/>
      <c r="W96" s="140"/>
      <c r="X96" s="140"/>
      <c r="Y96" s="140"/>
      <c r="Z96" s="119">
        <f t="shared" si="160"/>
        <v>0</v>
      </c>
      <c r="AA96" s="141">
        <f t="shared" si="161"/>
        <v>0</v>
      </c>
      <c r="AB96" s="141"/>
      <c r="AC96" s="141"/>
      <c r="AD96" s="141"/>
      <c r="AE96" s="141"/>
      <c r="AF96" s="141"/>
      <c r="AG96" s="120">
        <v>1</v>
      </c>
      <c r="AH96" s="119">
        <f t="shared" si="162"/>
        <v>103430</v>
      </c>
      <c r="AI96" s="119">
        <f t="shared" si="163"/>
        <v>103430</v>
      </c>
      <c r="AJ96" s="142">
        <f t="shared" si="164"/>
        <v>2006.5</v>
      </c>
      <c r="AK96" s="118">
        <f t="shared" si="165"/>
        <v>2021.6666666666667</v>
      </c>
      <c r="AL96" s="142">
        <f t="shared" si="166"/>
        <v>2016.5</v>
      </c>
      <c r="AM96" s="118">
        <f t="shared" si="167"/>
        <v>2020.25</v>
      </c>
      <c r="AN96" s="118">
        <f t="shared" si="168"/>
        <v>-8.3333333333333329E-2</v>
      </c>
      <c r="AO96" s="111"/>
    </row>
    <row r="97" spans="1:41" ht="15.75">
      <c r="A97" s="121" t="s">
        <v>612</v>
      </c>
      <c r="B97" s="121">
        <v>6</v>
      </c>
      <c r="C97" s="121">
        <v>2007</v>
      </c>
      <c r="D97" s="462">
        <v>81493</v>
      </c>
      <c r="E97" s="441">
        <v>0</v>
      </c>
      <c r="F97" s="441">
        <v>10</v>
      </c>
      <c r="G97" s="825">
        <f t="shared" si="151"/>
        <v>2017</v>
      </c>
      <c r="H97" s="441"/>
      <c r="I97" s="441"/>
      <c r="J97" s="146"/>
      <c r="K97" s="139">
        <f t="shared" si="152"/>
        <v>81493</v>
      </c>
      <c r="L97" s="139">
        <f t="shared" si="153"/>
        <v>679.10833333333335</v>
      </c>
      <c r="M97" s="139">
        <f t="shared" si="154"/>
        <v>0</v>
      </c>
      <c r="N97" s="139">
        <f t="shared" si="155"/>
        <v>81493</v>
      </c>
      <c r="O97" s="139">
        <f t="shared" si="156"/>
        <v>81493</v>
      </c>
      <c r="P97" s="139">
        <f t="shared" si="157"/>
        <v>0</v>
      </c>
      <c r="Q97" s="119">
        <f t="shared" si="158"/>
        <v>0</v>
      </c>
      <c r="R97" s="119">
        <f t="shared" si="159"/>
        <v>0</v>
      </c>
      <c r="S97" s="120">
        <v>1</v>
      </c>
      <c r="T97" s="140">
        <f t="shared" si="169"/>
        <v>0</v>
      </c>
      <c r="U97" s="140"/>
      <c r="V97" s="140"/>
      <c r="W97" s="140"/>
      <c r="X97" s="140"/>
      <c r="Y97" s="140"/>
      <c r="Z97" s="119">
        <f t="shared" si="160"/>
        <v>0</v>
      </c>
      <c r="AA97" s="141">
        <f t="shared" si="161"/>
        <v>0</v>
      </c>
      <c r="AB97" s="141"/>
      <c r="AC97" s="141"/>
      <c r="AD97" s="141"/>
      <c r="AE97" s="141"/>
      <c r="AF97" s="141"/>
      <c r="AG97" s="120">
        <v>1</v>
      </c>
      <c r="AH97" s="119">
        <f t="shared" si="162"/>
        <v>81493</v>
      </c>
      <c r="AI97" s="119">
        <f t="shared" si="163"/>
        <v>81493</v>
      </c>
      <c r="AJ97" s="142">
        <f t="shared" si="164"/>
        <v>2007.4166666666667</v>
      </c>
      <c r="AK97" s="118">
        <f t="shared" si="165"/>
        <v>2021.6666666666667</v>
      </c>
      <c r="AL97" s="142">
        <f t="shared" si="166"/>
        <v>2017.4166666666667</v>
      </c>
      <c r="AM97" s="118">
        <f t="shared" si="167"/>
        <v>2020.25</v>
      </c>
      <c r="AN97" s="118">
        <f t="shared" si="168"/>
        <v>-8.3333333333333329E-2</v>
      </c>
      <c r="AO97" s="111"/>
    </row>
    <row r="98" spans="1:41" ht="15.75">
      <c r="A98" s="121" t="s">
        <v>613</v>
      </c>
      <c r="B98" s="121">
        <v>7</v>
      </c>
      <c r="C98" s="121">
        <v>2008</v>
      </c>
      <c r="D98" s="462">
        <v>52604</v>
      </c>
      <c r="E98" s="441">
        <v>0</v>
      </c>
      <c r="F98" s="441">
        <v>10</v>
      </c>
      <c r="G98" s="825">
        <f t="shared" si="151"/>
        <v>2018</v>
      </c>
      <c r="H98" s="441"/>
      <c r="I98" s="441"/>
      <c r="J98" s="146"/>
      <c r="K98" s="139">
        <f t="shared" si="152"/>
        <v>52604</v>
      </c>
      <c r="L98" s="139">
        <f t="shared" si="153"/>
        <v>438.36666666666662</v>
      </c>
      <c r="M98" s="139">
        <f t="shared" si="154"/>
        <v>0</v>
      </c>
      <c r="N98" s="139">
        <f t="shared" si="155"/>
        <v>52604</v>
      </c>
      <c r="O98" s="139">
        <f t="shared" si="156"/>
        <v>52604</v>
      </c>
      <c r="P98" s="139">
        <f t="shared" si="157"/>
        <v>0</v>
      </c>
      <c r="Q98" s="119">
        <f t="shared" si="158"/>
        <v>0</v>
      </c>
      <c r="R98" s="119">
        <f t="shared" si="159"/>
        <v>0</v>
      </c>
      <c r="S98" s="120">
        <v>1</v>
      </c>
      <c r="T98" s="140">
        <f t="shared" si="169"/>
        <v>0</v>
      </c>
      <c r="U98" s="140"/>
      <c r="V98" s="140"/>
      <c r="W98" s="140"/>
      <c r="X98" s="140"/>
      <c r="Y98" s="140"/>
      <c r="Z98" s="119">
        <f t="shared" si="160"/>
        <v>0</v>
      </c>
      <c r="AA98" s="141">
        <f t="shared" si="161"/>
        <v>0</v>
      </c>
      <c r="AB98" s="141"/>
      <c r="AC98" s="141"/>
      <c r="AD98" s="141"/>
      <c r="AE98" s="141"/>
      <c r="AF98" s="141"/>
      <c r="AG98" s="120">
        <v>1</v>
      </c>
      <c r="AH98" s="119">
        <f t="shared" si="162"/>
        <v>52604</v>
      </c>
      <c r="AI98" s="119">
        <f t="shared" si="163"/>
        <v>52604</v>
      </c>
      <c r="AJ98" s="142">
        <f t="shared" si="164"/>
        <v>2008.5</v>
      </c>
      <c r="AK98" s="118">
        <f t="shared" si="165"/>
        <v>2021.6666666666667</v>
      </c>
      <c r="AL98" s="142">
        <f t="shared" si="166"/>
        <v>2018.5</v>
      </c>
      <c r="AM98" s="118">
        <f t="shared" si="167"/>
        <v>2020.25</v>
      </c>
      <c r="AN98" s="118">
        <f t="shared" si="168"/>
        <v>-8.3333333333333329E-2</v>
      </c>
      <c r="AO98" s="111"/>
    </row>
    <row r="99" spans="1:41" ht="15.75">
      <c r="A99" s="121" t="s">
        <v>614</v>
      </c>
      <c r="B99" s="121">
        <v>9</v>
      </c>
      <c r="C99" s="121">
        <v>2009</v>
      </c>
      <c r="D99" s="462">
        <v>52088</v>
      </c>
      <c r="E99" s="441">
        <v>0</v>
      </c>
      <c r="F99" s="441">
        <v>10</v>
      </c>
      <c r="G99" s="825">
        <f t="shared" si="151"/>
        <v>2019</v>
      </c>
      <c r="H99" s="441"/>
      <c r="I99" s="441"/>
      <c r="J99" s="146"/>
      <c r="K99" s="139">
        <f t="shared" si="152"/>
        <v>52088</v>
      </c>
      <c r="L99" s="139">
        <f t="shared" si="153"/>
        <v>434.06666666666666</v>
      </c>
      <c r="M99" s="139">
        <f t="shared" si="154"/>
        <v>0</v>
      </c>
      <c r="N99" s="139">
        <f t="shared" si="155"/>
        <v>52088</v>
      </c>
      <c r="O99" s="139">
        <f t="shared" si="156"/>
        <v>52088</v>
      </c>
      <c r="P99" s="139">
        <f t="shared" si="157"/>
        <v>0</v>
      </c>
      <c r="Q99" s="119">
        <f t="shared" si="158"/>
        <v>0</v>
      </c>
      <c r="R99" s="119">
        <f t="shared" si="159"/>
        <v>0</v>
      </c>
      <c r="S99" s="120">
        <v>1</v>
      </c>
      <c r="T99" s="140">
        <f t="shared" si="169"/>
        <v>0</v>
      </c>
      <c r="U99" s="140"/>
      <c r="V99" s="140"/>
      <c r="W99" s="140"/>
      <c r="X99" s="140"/>
      <c r="Y99" s="140"/>
      <c r="Z99" s="119">
        <f t="shared" si="160"/>
        <v>0</v>
      </c>
      <c r="AA99" s="141">
        <f t="shared" si="161"/>
        <v>0</v>
      </c>
      <c r="AB99" s="141"/>
      <c r="AC99" s="141"/>
      <c r="AD99" s="141"/>
      <c r="AE99" s="141"/>
      <c r="AF99" s="141"/>
      <c r="AG99" s="120">
        <v>1</v>
      </c>
      <c r="AH99" s="119">
        <f t="shared" si="162"/>
        <v>52088</v>
      </c>
      <c r="AI99" s="119">
        <f t="shared" si="163"/>
        <v>52088</v>
      </c>
      <c r="AJ99" s="142">
        <f t="shared" si="164"/>
        <v>2009.6666666666667</v>
      </c>
      <c r="AK99" s="118">
        <f t="shared" si="165"/>
        <v>2021.6666666666667</v>
      </c>
      <c r="AL99" s="142">
        <f t="shared" si="166"/>
        <v>2019.6666666666667</v>
      </c>
      <c r="AM99" s="118">
        <f t="shared" si="167"/>
        <v>2020.25</v>
      </c>
      <c r="AN99" s="118">
        <f t="shared" si="168"/>
        <v>-8.3333333333333329E-2</v>
      </c>
      <c r="AO99" s="111"/>
    </row>
    <row r="100" spans="1:41" ht="15.75">
      <c r="A100" s="121" t="s">
        <v>615</v>
      </c>
      <c r="B100" s="121">
        <v>8</v>
      </c>
      <c r="C100" s="121">
        <v>2013</v>
      </c>
      <c r="D100" s="462">
        <v>23423</v>
      </c>
      <c r="E100" s="441">
        <v>0</v>
      </c>
      <c r="F100" s="441">
        <v>10</v>
      </c>
      <c r="G100" s="825">
        <f t="shared" si="151"/>
        <v>2023</v>
      </c>
      <c r="H100" s="441"/>
      <c r="I100" s="441"/>
      <c r="J100" s="146"/>
      <c r="K100" s="139">
        <f t="shared" si="152"/>
        <v>23423</v>
      </c>
      <c r="L100" s="139">
        <f t="shared" si="153"/>
        <v>195.19166666666669</v>
      </c>
      <c r="M100" s="139">
        <f t="shared" si="154"/>
        <v>2342.3000000000002</v>
      </c>
      <c r="N100" s="139">
        <f t="shared" si="155"/>
        <v>15615.333333333512</v>
      </c>
      <c r="O100" s="139">
        <f t="shared" si="156"/>
        <v>17957.633333333513</v>
      </c>
      <c r="P100" s="139">
        <f t="shared" si="157"/>
        <v>6636.5166666664873</v>
      </c>
      <c r="Q100" s="119">
        <f t="shared" si="158"/>
        <v>0</v>
      </c>
      <c r="R100" s="119">
        <f t="shared" si="159"/>
        <v>2342.3000000000002</v>
      </c>
      <c r="S100" s="120">
        <v>1</v>
      </c>
      <c r="T100" s="140">
        <f t="shared" si="169"/>
        <v>2342.3000000000002</v>
      </c>
      <c r="U100" s="140"/>
      <c r="V100" s="140"/>
      <c r="W100" s="140"/>
      <c r="X100" s="140"/>
      <c r="Y100" s="140"/>
      <c r="Z100" s="119">
        <f t="shared" si="160"/>
        <v>2342.3000000000002</v>
      </c>
      <c r="AA100" s="141">
        <f t="shared" si="161"/>
        <v>6636.5166666664873</v>
      </c>
      <c r="AB100" s="141"/>
      <c r="AC100" s="141"/>
      <c r="AD100" s="141"/>
      <c r="AE100" s="141"/>
      <c r="AF100" s="141"/>
      <c r="AG100" s="120">
        <v>1</v>
      </c>
      <c r="AH100" s="119">
        <f t="shared" si="162"/>
        <v>15615.333333333512</v>
      </c>
      <c r="AI100" s="119">
        <f t="shared" si="163"/>
        <v>15615.333333333512</v>
      </c>
      <c r="AJ100" s="142">
        <f t="shared" si="164"/>
        <v>2013.5833333333333</v>
      </c>
      <c r="AK100" s="118">
        <f t="shared" si="165"/>
        <v>2021.6666666666667</v>
      </c>
      <c r="AL100" s="142">
        <f t="shared" si="166"/>
        <v>2023.5833333333333</v>
      </c>
      <c r="AM100" s="118">
        <f t="shared" si="167"/>
        <v>2020.25</v>
      </c>
      <c r="AN100" s="118">
        <f t="shared" si="168"/>
        <v>-8.3333333333333329E-2</v>
      </c>
      <c r="AO100" s="111"/>
    </row>
    <row r="101" spans="1:41" ht="15.75">
      <c r="A101" s="115" t="s">
        <v>616</v>
      </c>
      <c r="B101" s="121">
        <v>4</v>
      </c>
      <c r="C101" s="121">
        <v>2014</v>
      </c>
      <c r="D101" s="462">
        <v>107933</v>
      </c>
      <c r="E101" s="441">
        <v>0</v>
      </c>
      <c r="F101" s="441">
        <v>10</v>
      </c>
      <c r="G101" s="825">
        <f t="shared" si="151"/>
        <v>2024</v>
      </c>
      <c r="H101" s="441"/>
      <c r="I101" s="441"/>
      <c r="J101" s="146"/>
      <c r="K101" s="139">
        <f t="shared" si="152"/>
        <v>107933</v>
      </c>
      <c r="L101" s="139">
        <f t="shared" si="153"/>
        <v>899.44166666666661</v>
      </c>
      <c r="M101" s="139">
        <f t="shared" si="154"/>
        <v>10793.3</v>
      </c>
      <c r="N101" s="139">
        <f t="shared" si="155"/>
        <v>64759.799999999996</v>
      </c>
      <c r="O101" s="139">
        <f t="shared" si="156"/>
        <v>75553.099999999991</v>
      </c>
      <c r="P101" s="139">
        <f t="shared" si="157"/>
        <v>37776.550000000003</v>
      </c>
      <c r="Q101" s="119">
        <f t="shared" si="158"/>
        <v>0</v>
      </c>
      <c r="R101" s="119">
        <f t="shared" si="159"/>
        <v>10793.3</v>
      </c>
      <c r="S101" s="120">
        <v>1</v>
      </c>
      <c r="T101" s="140">
        <f t="shared" si="169"/>
        <v>10793.3</v>
      </c>
      <c r="U101" s="140"/>
      <c r="V101" s="140"/>
      <c r="W101" s="140"/>
      <c r="X101" s="140"/>
      <c r="Y101" s="140"/>
      <c r="Z101" s="119">
        <f t="shared" si="160"/>
        <v>10793.3</v>
      </c>
      <c r="AA101" s="141">
        <f t="shared" si="161"/>
        <v>37776.550000000003</v>
      </c>
      <c r="AB101" s="141"/>
      <c r="AC101" s="141"/>
      <c r="AD101" s="141"/>
      <c r="AE101" s="141"/>
      <c r="AF101" s="141"/>
      <c r="AG101" s="120">
        <v>1</v>
      </c>
      <c r="AH101" s="119">
        <f t="shared" si="162"/>
        <v>64759.799999999996</v>
      </c>
      <c r="AI101" s="119">
        <f t="shared" si="163"/>
        <v>64759.799999999996</v>
      </c>
      <c r="AJ101" s="142">
        <f t="shared" si="164"/>
        <v>2014.25</v>
      </c>
      <c r="AK101" s="118">
        <f t="shared" si="165"/>
        <v>2021.6666666666667</v>
      </c>
      <c r="AL101" s="142">
        <f t="shared" si="166"/>
        <v>2024.25</v>
      </c>
      <c r="AM101" s="118">
        <f t="shared" si="167"/>
        <v>2020.25</v>
      </c>
      <c r="AN101" s="118">
        <f t="shared" si="168"/>
        <v>-8.3333333333333329E-2</v>
      </c>
      <c r="AO101" s="111"/>
    </row>
    <row r="102" spans="1:41" ht="15.75">
      <c r="A102" s="115" t="s">
        <v>617</v>
      </c>
      <c r="B102" s="121">
        <v>7</v>
      </c>
      <c r="C102" s="121">
        <v>2015</v>
      </c>
      <c r="D102" s="462">
        <f>9041.76+9041.76</f>
        <v>18083.52</v>
      </c>
      <c r="E102" s="441">
        <v>0</v>
      </c>
      <c r="F102" s="441">
        <v>10</v>
      </c>
      <c r="G102" s="825">
        <f t="shared" si="151"/>
        <v>2025</v>
      </c>
      <c r="H102" s="441"/>
      <c r="I102" s="441"/>
      <c r="J102" s="146"/>
      <c r="K102" s="139">
        <f t="shared" si="152"/>
        <v>18083.52</v>
      </c>
      <c r="L102" s="139">
        <f t="shared" si="153"/>
        <v>150.696</v>
      </c>
      <c r="M102" s="139">
        <f t="shared" si="154"/>
        <v>1808.3519999999999</v>
      </c>
      <c r="N102" s="139">
        <f t="shared" si="155"/>
        <v>8589.6720000000005</v>
      </c>
      <c r="O102" s="139">
        <f t="shared" si="156"/>
        <v>10398.024000000001</v>
      </c>
      <c r="P102" s="139">
        <f t="shared" si="157"/>
        <v>8589.6719999999987</v>
      </c>
      <c r="Q102" s="119">
        <f t="shared" si="158"/>
        <v>0</v>
      </c>
      <c r="R102" s="119">
        <f t="shared" si="159"/>
        <v>1808.3519999999999</v>
      </c>
      <c r="S102" s="120">
        <v>1</v>
      </c>
      <c r="T102" s="140">
        <f t="shared" si="169"/>
        <v>1808.3519999999999</v>
      </c>
      <c r="U102" s="140"/>
      <c r="V102" s="140"/>
      <c r="W102" s="140"/>
      <c r="X102" s="140"/>
      <c r="Y102" s="140"/>
      <c r="Z102" s="119">
        <f t="shared" si="160"/>
        <v>1808.3519999999999</v>
      </c>
      <c r="AA102" s="141">
        <f t="shared" si="161"/>
        <v>8589.6719999999987</v>
      </c>
      <c r="AB102" s="141"/>
      <c r="AC102" s="141"/>
      <c r="AD102" s="141"/>
      <c r="AE102" s="141"/>
      <c r="AF102" s="141"/>
      <c r="AG102" s="120">
        <v>1</v>
      </c>
      <c r="AH102" s="119">
        <f t="shared" si="162"/>
        <v>8589.6720000000005</v>
      </c>
      <c r="AI102" s="119">
        <f t="shared" si="163"/>
        <v>8589.6720000000005</v>
      </c>
      <c r="AJ102" s="142">
        <f t="shared" si="164"/>
        <v>2015.5</v>
      </c>
      <c r="AK102" s="118">
        <f t="shared" si="165"/>
        <v>2021.6666666666667</v>
      </c>
      <c r="AL102" s="142">
        <f t="shared" si="166"/>
        <v>2025.5</v>
      </c>
      <c r="AM102" s="118">
        <f t="shared" si="167"/>
        <v>2020.25</v>
      </c>
      <c r="AN102" s="118">
        <f t="shared" si="168"/>
        <v>-8.3333333333333329E-2</v>
      </c>
      <c r="AO102" s="111"/>
    </row>
    <row r="103" spans="1:41" ht="15.75">
      <c r="A103" s="115" t="s">
        <v>617</v>
      </c>
      <c r="B103" s="121">
        <v>11</v>
      </c>
      <c r="C103" s="121">
        <v>2015</v>
      </c>
      <c r="D103" s="462">
        <v>5964</v>
      </c>
      <c r="E103" s="441">
        <v>0</v>
      </c>
      <c r="F103" s="441">
        <v>10</v>
      </c>
      <c r="G103" s="825">
        <f t="shared" si="151"/>
        <v>2025</v>
      </c>
      <c r="H103" s="441"/>
      <c r="I103" s="441"/>
      <c r="J103" s="146"/>
      <c r="K103" s="139">
        <f t="shared" si="152"/>
        <v>5964</v>
      </c>
      <c r="L103" s="139">
        <f t="shared" si="153"/>
        <v>49.699999999999996</v>
      </c>
      <c r="M103" s="139">
        <f t="shared" si="154"/>
        <v>596.4</v>
      </c>
      <c r="N103" s="139">
        <f t="shared" si="155"/>
        <v>2634.1000000000449</v>
      </c>
      <c r="O103" s="139">
        <f t="shared" si="156"/>
        <v>3230.500000000045</v>
      </c>
      <c r="P103" s="139">
        <f t="shared" si="157"/>
        <v>3031.6999999999553</v>
      </c>
      <c r="Q103" s="119">
        <f t="shared" si="158"/>
        <v>0</v>
      </c>
      <c r="R103" s="119">
        <f t="shared" si="159"/>
        <v>596.4</v>
      </c>
      <c r="S103" s="120">
        <v>1</v>
      </c>
      <c r="T103" s="140">
        <f t="shared" si="169"/>
        <v>596.4</v>
      </c>
      <c r="U103" s="140"/>
      <c r="V103" s="140"/>
      <c r="W103" s="140"/>
      <c r="X103" s="140"/>
      <c r="Y103" s="140"/>
      <c r="Z103" s="119">
        <f t="shared" si="160"/>
        <v>596.4</v>
      </c>
      <c r="AA103" s="141">
        <f t="shared" si="161"/>
        <v>3031.6999999999553</v>
      </c>
      <c r="AB103" s="141"/>
      <c r="AC103" s="141"/>
      <c r="AD103" s="141"/>
      <c r="AE103" s="141"/>
      <c r="AF103" s="141"/>
      <c r="AG103" s="120">
        <v>1</v>
      </c>
      <c r="AH103" s="119">
        <f t="shared" si="162"/>
        <v>2634.1000000000449</v>
      </c>
      <c r="AI103" s="119">
        <f t="shared" si="163"/>
        <v>2634.1000000000449</v>
      </c>
      <c r="AJ103" s="142">
        <f t="shared" si="164"/>
        <v>2015.8333333333333</v>
      </c>
      <c r="AK103" s="118">
        <f t="shared" si="165"/>
        <v>2021.6666666666667</v>
      </c>
      <c r="AL103" s="142">
        <f t="shared" si="166"/>
        <v>2025.8333333333333</v>
      </c>
      <c r="AM103" s="118">
        <f t="shared" si="167"/>
        <v>2020.25</v>
      </c>
      <c r="AN103" s="118">
        <f t="shared" si="168"/>
        <v>-8.3333333333333329E-2</v>
      </c>
      <c r="AO103" s="111"/>
    </row>
    <row r="104" spans="1:41" ht="15.75">
      <c r="A104" s="115" t="s">
        <v>618</v>
      </c>
      <c r="B104" s="121">
        <v>2</v>
      </c>
      <c r="C104" s="121">
        <v>2016</v>
      </c>
      <c r="D104" s="462">
        <f>8293.74+10663.38+10663.38</f>
        <v>29620.5</v>
      </c>
      <c r="E104" s="441">
        <v>0</v>
      </c>
      <c r="F104" s="441">
        <v>10</v>
      </c>
      <c r="G104" s="825">
        <f t="shared" si="151"/>
        <v>2026</v>
      </c>
      <c r="H104" s="441"/>
      <c r="I104" s="441"/>
      <c r="J104" s="146"/>
      <c r="K104" s="139">
        <f t="shared" si="152"/>
        <v>29620.5</v>
      </c>
      <c r="L104" s="139">
        <f t="shared" si="153"/>
        <v>246.83750000000001</v>
      </c>
      <c r="M104" s="139">
        <f t="shared" si="154"/>
        <v>2962.05</v>
      </c>
      <c r="N104" s="139">
        <f t="shared" si="155"/>
        <v>12341.875000000226</v>
      </c>
      <c r="O104" s="139">
        <f t="shared" si="156"/>
        <v>15303.925000000225</v>
      </c>
      <c r="P104" s="139">
        <f t="shared" si="157"/>
        <v>15797.599999999775</v>
      </c>
      <c r="Q104" s="119">
        <f t="shared" si="158"/>
        <v>0</v>
      </c>
      <c r="R104" s="119">
        <f t="shared" si="159"/>
        <v>2962.05</v>
      </c>
      <c r="S104" s="120">
        <v>1</v>
      </c>
      <c r="T104" s="140">
        <f t="shared" si="169"/>
        <v>2962.05</v>
      </c>
      <c r="U104" s="140"/>
      <c r="V104" s="140"/>
      <c r="W104" s="140"/>
      <c r="X104" s="140"/>
      <c r="Y104" s="140"/>
      <c r="Z104" s="119">
        <f t="shared" si="160"/>
        <v>2962.05</v>
      </c>
      <c r="AA104" s="141">
        <f t="shared" si="161"/>
        <v>15797.599999999775</v>
      </c>
      <c r="AB104" s="141"/>
      <c r="AC104" s="141"/>
      <c r="AD104" s="141"/>
      <c r="AE104" s="141"/>
      <c r="AF104" s="141"/>
      <c r="AG104" s="120">
        <v>1</v>
      </c>
      <c r="AH104" s="119">
        <f t="shared" si="162"/>
        <v>12341.875000000226</v>
      </c>
      <c r="AI104" s="119">
        <f t="shared" si="163"/>
        <v>12341.875000000226</v>
      </c>
      <c r="AJ104" s="142">
        <f t="shared" si="164"/>
        <v>2016.0833333333333</v>
      </c>
      <c r="AK104" s="118">
        <f t="shared" si="165"/>
        <v>2021.6666666666667</v>
      </c>
      <c r="AL104" s="142">
        <f t="shared" si="166"/>
        <v>2026.0833333333333</v>
      </c>
      <c r="AM104" s="118">
        <f t="shared" si="167"/>
        <v>2020.25</v>
      </c>
      <c r="AN104" s="118">
        <f t="shared" si="168"/>
        <v>-8.3333333333333329E-2</v>
      </c>
      <c r="AO104" s="111"/>
    </row>
    <row r="105" spans="1:41" ht="15.75">
      <c r="A105" s="115" t="s">
        <v>619</v>
      </c>
      <c r="B105" s="121">
        <v>7</v>
      </c>
      <c r="C105" s="121">
        <v>2017</v>
      </c>
      <c r="D105" s="462">
        <v>87036</v>
      </c>
      <c r="E105" s="441">
        <v>0</v>
      </c>
      <c r="F105" s="441">
        <v>10</v>
      </c>
      <c r="G105" s="825">
        <f t="shared" si="151"/>
        <v>2027</v>
      </c>
      <c r="H105" s="441"/>
      <c r="I105" s="441"/>
      <c r="J105" s="146"/>
      <c r="K105" s="139">
        <f t="shared" si="152"/>
        <v>87036</v>
      </c>
      <c r="L105" s="139">
        <f t="shared" si="153"/>
        <v>725.30000000000007</v>
      </c>
      <c r="M105" s="139">
        <f t="shared" si="154"/>
        <v>8703.6</v>
      </c>
      <c r="N105" s="139">
        <f t="shared" si="155"/>
        <v>23934.9</v>
      </c>
      <c r="O105" s="139">
        <f t="shared" si="156"/>
        <v>32638.5</v>
      </c>
      <c r="P105" s="139">
        <f t="shared" si="157"/>
        <v>58749.3</v>
      </c>
      <c r="Q105" s="119">
        <f t="shared" si="158"/>
        <v>0</v>
      </c>
      <c r="R105" s="119">
        <f t="shared" si="159"/>
        <v>8703.6</v>
      </c>
      <c r="S105" s="120">
        <v>1</v>
      </c>
      <c r="T105" s="140">
        <f t="shared" si="169"/>
        <v>8703.6</v>
      </c>
      <c r="U105" s="140"/>
      <c r="V105" s="140"/>
      <c r="W105" s="140"/>
      <c r="X105" s="140"/>
      <c r="Y105" s="140"/>
      <c r="Z105" s="119">
        <f t="shared" si="160"/>
        <v>8703.6</v>
      </c>
      <c r="AA105" s="141">
        <f t="shared" si="161"/>
        <v>58749.3</v>
      </c>
      <c r="AB105" s="141"/>
      <c r="AC105" s="141"/>
      <c r="AD105" s="141"/>
      <c r="AE105" s="141"/>
      <c r="AF105" s="141"/>
      <c r="AG105" s="120">
        <v>1</v>
      </c>
      <c r="AH105" s="119">
        <f t="shared" si="162"/>
        <v>23934.9</v>
      </c>
      <c r="AI105" s="119">
        <f t="shared" si="163"/>
        <v>23934.9</v>
      </c>
      <c r="AJ105" s="142">
        <f t="shared" si="164"/>
        <v>2017.5</v>
      </c>
      <c r="AK105" s="118">
        <f t="shared" si="165"/>
        <v>2021.6666666666667</v>
      </c>
      <c r="AL105" s="142">
        <f t="shared" si="166"/>
        <v>2027.5</v>
      </c>
      <c r="AM105" s="118">
        <f t="shared" si="167"/>
        <v>2020.25</v>
      </c>
      <c r="AN105" s="118">
        <f t="shared" si="168"/>
        <v>-8.3333333333333329E-2</v>
      </c>
      <c r="AO105" s="111"/>
    </row>
    <row r="106" spans="1:41" ht="15.75">
      <c r="A106" s="115" t="s">
        <v>620</v>
      </c>
      <c r="B106" s="121">
        <v>2</v>
      </c>
      <c r="C106" s="121">
        <v>2018</v>
      </c>
      <c r="D106" s="462">
        <v>175053</v>
      </c>
      <c r="E106" s="441">
        <v>0</v>
      </c>
      <c r="F106" s="441">
        <v>10</v>
      </c>
      <c r="G106" s="825">
        <f t="shared" si="151"/>
        <v>2028</v>
      </c>
      <c r="H106" s="441"/>
      <c r="I106" s="441"/>
      <c r="J106" s="146"/>
      <c r="K106" s="139">
        <f t="shared" si="152"/>
        <v>175053</v>
      </c>
      <c r="L106" s="139">
        <f t="shared" si="153"/>
        <v>1458.7749999999999</v>
      </c>
      <c r="M106" s="139">
        <f t="shared" si="154"/>
        <v>17505.3</v>
      </c>
      <c r="N106" s="139">
        <f t="shared" si="155"/>
        <v>37928.150000001326</v>
      </c>
      <c r="O106" s="139">
        <f t="shared" si="156"/>
        <v>55433.450000001321</v>
      </c>
      <c r="P106" s="139">
        <f t="shared" si="157"/>
        <v>128372.19999999867</v>
      </c>
      <c r="Q106" s="119">
        <f t="shared" si="158"/>
        <v>0</v>
      </c>
      <c r="R106" s="119">
        <f t="shared" si="159"/>
        <v>17505.3</v>
      </c>
      <c r="S106" s="120">
        <v>1</v>
      </c>
      <c r="T106" s="140">
        <f t="shared" si="169"/>
        <v>17505.3</v>
      </c>
      <c r="U106" s="140"/>
      <c r="V106" s="140"/>
      <c r="W106" s="140"/>
      <c r="X106" s="140"/>
      <c r="Y106" s="140"/>
      <c r="Z106" s="119">
        <f t="shared" si="160"/>
        <v>17505.3</v>
      </c>
      <c r="AA106" s="141">
        <f t="shared" si="161"/>
        <v>128372.19999999867</v>
      </c>
      <c r="AB106" s="141"/>
      <c r="AC106" s="141"/>
      <c r="AD106" s="141"/>
      <c r="AE106" s="141"/>
      <c r="AF106" s="141"/>
      <c r="AG106" s="120">
        <v>1</v>
      </c>
      <c r="AH106" s="119">
        <f t="shared" si="162"/>
        <v>37928.150000001326</v>
      </c>
      <c r="AI106" s="119">
        <f t="shared" si="163"/>
        <v>37928.150000001326</v>
      </c>
      <c r="AJ106" s="142">
        <f t="shared" si="164"/>
        <v>2018.0833333333333</v>
      </c>
      <c r="AK106" s="118">
        <f t="shared" si="165"/>
        <v>2021.6666666666667</v>
      </c>
      <c r="AL106" s="142">
        <f t="shared" si="166"/>
        <v>2028.0833333333333</v>
      </c>
      <c r="AM106" s="118">
        <f t="shared" si="167"/>
        <v>2020.25</v>
      </c>
      <c r="AN106" s="118">
        <f t="shared" si="168"/>
        <v>-8.3333333333333329E-2</v>
      </c>
      <c r="AO106" s="111"/>
    </row>
    <row r="107" spans="1:41" ht="15.75">
      <c r="A107" s="439" t="s">
        <v>621</v>
      </c>
      <c r="B107" s="121">
        <v>1</v>
      </c>
      <c r="C107" s="121">
        <v>2019</v>
      </c>
      <c r="D107" s="462">
        <v>237834</v>
      </c>
      <c r="E107" s="441">
        <v>0</v>
      </c>
      <c r="F107" s="441">
        <v>10</v>
      </c>
      <c r="G107" s="825">
        <f t="shared" si="151"/>
        <v>2029</v>
      </c>
      <c r="H107" s="441"/>
      <c r="I107" s="441"/>
      <c r="J107" s="146"/>
      <c r="K107" s="139">
        <f t="shared" si="152"/>
        <v>237834</v>
      </c>
      <c r="L107" s="139">
        <f t="shared" si="153"/>
        <v>1981.95</v>
      </c>
      <c r="M107" s="139">
        <f t="shared" si="154"/>
        <v>23783.4</v>
      </c>
      <c r="N107" s="139">
        <f t="shared" si="155"/>
        <v>29729.25</v>
      </c>
      <c r="O107" s="139">
        <f t="shared" si="156"/>
        <v>53512.65</v>
      </c>
      <c r="P107" s="139">
        <f t="shared" si="157"/>
        <v>196213.05</v>
      </c>
      <c r="Q107" s="119">
        <f t="shared" si="158"/>
        <v>0</v>
      </c>
      <c r="R107" s="119">
        <f t="shared" si="159"/>
        <v>23783.4</v>
      </c>
      <c r="S107" s="120">
        <v>1</v>
      </c>
      <c r="T107" s="140">
        <f t="shared" si="169"/>
        <v>23783.4</v>
      </c>
      <c r="U107" s="140"/>
      <c r="V107" s="140"/>
      <c r="W107" s="140"/>
      <c r="X107" s="140"/>
      <c r="Y107" s="140"/>
      <c r="Z107" s="119">
        <f t="shared" si="160"/>
        <v>23783.4</v>
      </c>
      <c r="AA107" s="141">
        <f t="shared" si="161"/>
        <v>196213.05</v>
      </c>
      <c r="AB107" s="141"/>
      <c r="AC107" s="141"/>
      <c r="AD107" s="141"/>
      <c r="AE107" s="141"/>
      <c r="AF107" s="141"/>
      <c r="AG107" s="120">
        <v>1</v>
      </c>
      <c r="AH107" s="119">
        <f t="shared" si="162"/>
        <v>29729.25</v>
      </c>
      <c r="AI107" s="119">
        <f t="shared" si="163"/>
        <v>29729.25</v>
      </c>
      <c r="AJ107" s="142">
        <f t="shared" si="164"/>
        <v>2019</v>
      </c>
      <c r="AK107" s="118">
        <f t="shared" si="165"/>
        <v>2021.6666666666667</v>
      </c>
      <c r="AL107" s="142">
        <f t="shared" si="166"/>
        <v>2029</v>
      </c>
      <c r="AM107" s="118">
        <f t="shared" si="167"/>
        <v>2020.25</v>
      </c>
      <c r="AN107" s="118">
        <f t="shared" si="168"/>
        <v>-8.3333333333333329E-2</v>
      </c>
      <c r="AO107" s="111"/>
    </row>
    <row r="108" spans="1:41" ht="15.75">
      <c r="A108" s="437" t="s">
        <v>622</v>
      </c>
      <c r="B108" s="121">
        <v>10</v>
      </c>
      <c r="C108" s="121">
        <v>2020</v>
      </c>
      <c r="D108" s="462">
        <v>30327</v>
      </c>
      <c r="E108" s="441">
        <v>0</v>
      </c>
      <c r="F108" s="441">
        <v>10</v>
      </c>
      <c r="G108" s="825">
        <f t="shared" si="151"/>
        <v>2030</v>
      </c>
      <c r="H108" s="441"/>
      <c r="I108" s="441"/>
      <c r="J108" s="146"/>
      <c r="K108" s="139">
        <f t="shared" si="152"/>
        <v>30327</v>
      </c>
      <c r="L108" s="139">
        <f t="shared" si="153"/>
        <v>252.72499999999999</v>
      </c>
      <c r="M108" s="139">
        <f t="shared" ref="M108:M109" si="170">+L108*12</f>
        <v>3032.7</v>
      </c>
      <c r="N108" s="139">
        <f t="shared" si="155"/>
        <v>0</v>
      </c>
      <c r="O108" s="139">
        <f t="shared" si="156"/>
        <v>3032.7</v>
      </c>
      <c r="P108" s="139">
        <f t="shared" ref="P108:P109" si="171">((K108-N108)+(K108-O108))/2</f>
        <v>28810.65</v>
      </c>
      <c r="Q108" s="119">
        <f t="shared" si="158"/>
        <v>0</v>
      </c>
      <c r="R108" s="119">
        <f t="shared" si="159"/>
        <v>3032.7</v>
      </c>
      <c r="S108" s="120">
        <v>1</v>
      </c>
      <c r="T108" s="140">
        <f t="shared" si="169"/>
        <v>3032.7</v>
      </c>
      <c r="U108" s="140"/>
      <c r="V108" s="140"/>
      <c r="W108" s="140"/>
      <c r="X108" s="140"/>
      <c r="Y108" s="140"/>
      <c r="Z108" s="119">
        <f t="shared" si="160"/>
        <v>3032.7</v>
      </c>
      <c r="AA108" s="141">
        <f t="shared" si="161"/>
        <v>28810.65</v>
      </c>
      <c r="AB108" s="141"/>
      <c r="AC108" s="141"/>
      <c r="AD108" s="141"/>
      <c r="AE108" s="141"/>
      <c r="AF108" s="141"/>
      <c r="AG108" s="120">
        <v>1</v>
      </c>
      <c r="AH108" s="119">
        <f t="shared" si="162"/>
        <v>0</v>
      </c>
      <c r="AI108" s="119">
        <f t="shared" si="163"/>
        <v>0</v>
      </c>
      <c r="AJ108" s="142">
        <f t="shared" si="164"/>
        <v>2020.75</v>
      </c>
      <c r="AK108" s="118">
        <f t="shared" si="165"/>
        <v>2021.6666666666667</v>
      </c>
      <c r="AL108" s="142">
        <f t="shared" si="166"/>
        <v>2030.75</v>
      </c>
      <c r="AM108" s="118">
        <f t="shared" si="167"/>
        <v>2020.25</v>
      </c>
      <c r="AN108" s="118">
        <f t="shared" si="168"/>
        <v>-8.3333333333333329E-2</v>
      </c>
      <c r="AO108" s="111"/>
    </row>
    <row r="109" spans="1:41" ht="15.75">
      <c r="A109" s="437" t="s">
        <v>622</v>
      </c>
      <c r="B109" s="121">
        <v>10</v>
      </c>
      <c r="C109" s="121">
        <v>2020</v>
      </c>
      <c r="D109" s="462">
        <v>22114</v>
      </c>
      <c r="E109" s="441">
        <v>0</v>
      </c>
      <c r="F109" s="441">
        <v>10</v>
      </c>
      <c r="G109" s="825">
        <f t="shared" si="151"/>
        <v>2030</v>
      </c>
      <c r="H109" s="441"/>
      <c r="I109" s="441"/>
      <c r="J109" s="146"/>
      <c r="K109" s="139">
        <f t="shared" si="152"/>
        <v>22114</v>
      </c>
      <c r="L109" s="139">
        <f t="shared" si="153"/>
        <v>184.28333333333333</v>
      </c>
      <c r="M109" s="139">
        <f t="shared" si="170"/>
        <v>2211.4</v>
      </c>
      <c r="N109" s="139">
        <f t="shared" si="155"/>
        <v>0</v>
      </c>
      <c r="O109" s="139">
        <f t="shared" si="156"/>
        <v>2211.4</v>
      </c>
      <c r="P109" s="139">
        <f t="shared" si="171"/>
        <v>21008.3</v>
      </c>
      <c r="Q109" s="119">
        <f t="shared" si="158"/>
        <v>0</v>
      </c>
      <c r="R109" s="119">
        <f t="shared" si="159"/>
        <v>2211.4</v>
      </c>
      <c r="S109" s="120">
        <v>1</v>
      </c>
      <c r="T109" s="140">
        <f t="shared" si="169"/>
        <v>2211.4</v>
      </c>
      <c r="U109" s="140"/>
      <c r="V109" s="140"/>
      <c r="W109" s="140"/>
      <c r="X109" s="140"/>
      <c r="Y109" s="140"/>
      <c r="Z109" s="119">
        <f t="shared" si="160"/>
        <v>2211.4</v>
      </c>
      <c r="AA109" s="141">
        <f t="shared" si="161"/>
        <v>21008.3</v>
      </c>
      <c r="AB109" s="141">
        <f t="shared" si="161"/>
        <v>0</v>
      </c>
      <c r="AC109" s="141">
        <f t="shared" si="161"/>
        <v>0</v>
      </c>
      <c r="AD109" s="141">
        <f t="shared" si="161"/>
        <v>0</v>
      </c>
      <c r="AE109" s="141">
        <f t="shared" si="161"/>
        <v>0</v>
      </c>
      <c r="AF109" s="141">
        <f t="shared" si="161"/>
        <v>0</v>
      </c>
      <c r="AG109" s="120">
        <v>1</v>
      </c>
      <c r="AH109" s="119">
        <f t="shared" si="162"/>
        <v>0</v>
      </c>
      <c r="AI109" s="119">
        <f t="shared" si="163"/>
        <v>0</v>
      </c>
      <c r="AJ109" s="142">
        <f t="shared" si="164"/>
        <v>2020.75</v>
      </c>
      <c r="AK109" s="118">
        <f t="shared" si="165"/>
        <v>2021.6666666666667</v>
      </c>
      <c r="AL109" s="142">
        <f t="shared" si="166"/>
        <v>2030.75</v>
      </c>
      <c r="AM109" s="118">
        <f t="shared" si="167"/>
        <v>2020.25</v>
      </c>
      <c r="AN109" s="118">
        <f t="shared" si="168"/>
        <v>-8.3333333333333329E-2</v>
      </c>
      <c r="AO109" s="111"/>
    </row>
    <row r="110" spans="1:41" ht="15.75">
      <c r="A110" s="437" t="s">
        <v>623</v>
      </c>
      <c r="B110" s="121">
        <v>1</v>
      </c>
      <c r="C110" s="121">
        <v>2020</v>
      </c>
      <c r="D110" s="462">
        <v>12517</v>
      </c>
      <c r="E110" s="441">
        <v>0</v>
      </c>
      <c r="F110" s="441">
        <v>10</v>
      </c>
      <c r="G110" s="825">
        <f t="shared" si="151"/>
        <v>2030</v>
      </c>
      <c r="H110" s="441"/>
      <c r="I110" s="441"/>
      <c r="J110" s="146"/>
      <c r="K110" s="139">
        <f t="shared" si="152"/>
        <v>12517</v>
      </c>
      <c r="L110" s="139">
        <f t="shared" si="153"/>
        <v>104.30833333333334</v>
      </c>
      <c r="M110" s="139">
        <f t="shared" si="154"/>
        <v>1251.7</v>
      </c>
      <c r="N110" s="139">
        <f t="shared" si="155"/>
        <v>312.92500000000001</v>
      </c>
      <c r="O110" s="139">
        <f t="shared" si="156"/>
        <v>1564.625</v>
      </c>
      <c r="P110" s="139">
        <f t="shared" si="157"/>
        <v>11578.225</v>
      </c>
      <c r="Q110" s="119">
        <f t="shared" si="158"/>
        <v>0</v>
      </c>
      <c r="R110" s="119">
        <f t="shared" si="159"/>
        <v>1251.7</v>
      </c>
      <c r="S110" s="120">
        <v>1</v>
      </c>
      <c r="T110" s="140">
        <f t="shared" si="169"/>
        <v>1251.7</v>
      </c>
      <c r="U110" s="140"/>
      <c r="V110" s="140"/>
      <c r="W110" s="140"/>
      <c r="X110" s="140"/>
      <c r="Y110" s="140"/>
      <c r="Z110" s="119">
        <f t="shared" si="160"/>
        <v>1251.7</v>
      </c>
      <c r="AA110" s="141">
        <f t="shared" si="161"/>
        <v>11578.225</v>
      </c>
      <c r="AB110" s="141">
        <f t="shared" si="161"/>
        <v>0</v>
      </c>
      <c r="AC110" s="141">
        <f t="shared" si="161"/>
        <v>0</v>
      </c>
      <c r="AD110" s="141">
        <f t="shared" si="161"/>
        <v>0</v>
      </c>
      <c r="AE110" s="141">
        <f t="shared" si="161"/>
        <v>0</v>
      </c>
      <c r="AF110" s="141">
        <f t="shared" si="161"/>
        <v>0</v>
      </c>
      <c r="AG110" s="120">
        <v>1</v>
      </c>
      <c r="AH110" s="119">
        <f t="shared" si="162"/>
        <v>312.92500000000001</v>
      </c>
      <c r="AI110" s="119">
        <f t="shared" si="163"/>
        <v>312.92500000000001</v>
      </c>
      <c r="AJ110" s="142">
        <f t="shared" si="164"/>
        <v>2020</v>
      </c>
      <c r="AK110" s="118">
        <f t="shared" si="165"/>
        <v>2021.6666666666667</v>
      </c>
      <c r="AL110" s="142">
        <f t="shared" si="166"/>
        <v>2030</v>
      </c>
      <c r="AM110" s="118">
        <f t="shared" si="167"/>
        <v>2020.25</v>
      </c>
      <c r="AN110" s="118">
        <f t="shared" si="168"/>
        <v>-8.3333333333333329E-2</v>
      </c>
      <c r="AO110" s="111"/>
    </row>
    <row r="111" spans="1:41" ht="15.75">
      <c r="A111" s="437" t="s">
        <v>624</v>
      </c>
      <c r="B111" s="121">
        <v>3</v>
      </c>
      <c r="C111" s="121">
        <v>2020</v>
      </c>
      <c r="D111" s="462">
        <v>28810</v>
      </c>
      <c r="E111" s="441">
        <v>0</v>
      </c>
      <c r="F111" s="441">
        <v>10</v>
      </c>
      <c r="G111" s="825">
        <f t="shared" si="151"/>
        <v>2030</v>
      </c>
      <c r="H111" s="441"/>
      <c r="I111" s="441"/>
      <c r="J111" s="146"/>
      <c r="K111" s="139">
        <f t="shared" si="152"/>
        <v>28810</v>
      </c>
      <c r="L111" s="139">
        <f t="shared" si="153"/>
        <v>240.08333333333334</v>
      </c>
      <c r="M111" s="139">
        <f t="shared" si="154"/>
        <v>2881</v>
      </c>
      <c r="N111" s="139">
        <f t="shared" si="155"/>
        <v>240.08333333311498</v>
      </c>
      <c r="O111" s="139">
        <f t="shared" si="156"/>
        <v>3121.0833333331148</v>
      </c>
      <c r="P111" s="139">
        <f t="shared" si="157"/>
        <v>27129.416666666886</v>
      </c>
      <c r="Q111" s="119">
        <f t="shared" si="158"/>
        <v>0</v>
      </c>
      <c r="R111" s="119">
        <f t="shared" si="159"/>
        <v>2881</v>
      </c>
      <c r="S111" s="120">
        <v>1</v>
      </c>
      <c r="T111" s="140">
        <f t="shared" si="169"/>
        <v>2881</v>
      </c>
      <c r="U111" s="140"/>
      <c r="V111" s="140"/>
      <c r="W111" s="140"/>
      <c r="X111" s="140"/>
      <c r="Y111" s="140"/>
      <c r="Z111" s="119">
        <f t="shared" si="160"/>
        <v>2881</v>
      </c>
      <c r="AA111" s="141">
        <f t="shared" si="161"/>
        <v>27129.416666666886</v>
      </c>
      <c r="AB111" s="141">
        <f t="shared" si="161"/>
        <v>0</v>
      </c>
      <c r="AC111" s="141">
        <f t="shared" si="161"/>
        <v>0</v>
      </c>
      <c r="AD111" s="141">
        <f t="shared" si="161"/>
        <v>0</v>
      </c>
      <c r="AE111" s="141">
        <f t="shared" si="161"/>
        <v>0</v>
      </c>
      <c r="AF111" s="141">
        <f t="shared" si="161"/>
        <v>0</v>
      </c>
      <c r="AG111" s="120">
        <v>1</v>
      </c>
      <c r="AH111" s="119">
        <f t="shared" si="162"/>
        <v>240.08333333311498</v>
      </c>
      <c r="AI111" s="119">
        <f t="shared" si="163"/>
        <v>240.08333333311498</v>
      </c>
      <c r="AJ111" s="142">
        <f t="shared" si="164"/>
        <v>2020.1666666666667</v>
      </c>
      <c r="AK111" s="118">
        <f t="shared" si="165"/>
        <v>2021.6666666666667</v>
      </c>
      <c r="AL111" s="142">
        <f t="shared" si="166"/>
        <v>2030.1666666666667</v>
      </c>
      <c r="AM111" s="118">
        <f t="shared" si="167"/>
        <v>2020.25</v>
      </c>
      <c r="AN111" s="118">
        <f t="shared" si="168"/>
        <v>-8.3333333333333329E-2</v>
      </c>
      <c r="AO111" s="111"/>
    </row>
    <row r="112" spans="1:41" ht="15.75">
      <c r="A112" s="437" t="s">
        <v>625</v>
      </c>
      <c r="B112" s="121">
        <v>3</v>
      </c>
      <c r="C112" s="121">
        <v>2020</v>
      </c>
      <c r="D112" s="462">
        <v>16680</v>
      </c>
      <c r="E112" s="441">
        <v>0</v>
      </c>
      <c r="F112" s="441">
        <v>10</v>
      </c>
      <c r="G112" s="825">
        <f t="shared" si="151"/>
        <v>2030</v>
      </c>
      <c r="H112" s="441"/>
      <c r="I112" s="441"/>
      <c r="J112" s="146"/>
      <c r="K112" s="139">
        <f t="shared" si="152"/>
        <v>16680</v>
      </c>
      <c r="L112" s="139">
        <f t="shared" si="153"/>
        <v>139</v>
      </c>
      <c r="M112" s="139">
        <f t="shared" si="154"/>
        <v>1668</v>
      </c>
      <c r="N112" s="139">
        <f t="shared" si="155"/>
        <v>138.99999999987358</v>
      </c>
      <c r="O112" s="139">
        <f t="shared" si="156"/>
        <v>1806.9999999998736</v>
      </c>
      <c r="P112" s="139">
        <f t="shared" si="157"/>
        <v>15707.000000000127</v>
      </c>
      <c r="Q112" s="119">
        <f t="shared" si="158"/>
        <v>0</v>
      </c>
      <c r="R112" s="119">
        <f t="shared" si="159"/>
        <v>1668</v>
      </c>
      <c r="S112" s="120">
        <v>1</v>
      </c>
      <c r="T112" s="140">
        <f t="shared" si="169"/>
        <v>1668</v>
      </c>
      <c r="U112" s="140"/>
      <c r="V112" s="140"/>
      <c r="W112" s="140"/>
      <c r="X112" s="140"/>
      <c r="Y112" s="140"/>
      <c r="Z112" s="119">
        <f t="shared" si="160"/>
        <v>1668</v>
      </c>
      <c r="AA112" s="141">
        <f t="shared" si="161"/>
        <v>15707.000000000127</v>
      </c>
      <c r="AB112" s="141"/>
      <c r="AC112" s="141"/>
      <c r="AD112" s="141"/>
      <c r="AE112" s="141"/>
      <c r="AF112" s="141"/>
      <c r="AG112" s="120">
        <v>1</v>
      </c>
      <c r="AH112" s="119">
        <f t="shared" si="162"/>
        <v>138.99999999987358</v>
      </c>
      <c r="AI112" s="119">
        <f t="shared" si="163"/>
        <v>138.99999999987358</v>
      </c>
      <c r="AJ112" s="142">
        <f t="shared" si="164"/>
        <v>2020.1666666666667</v>
      </c>
      <c r="AK112" s="118">
        <f t="shared" si="165"/>
        <v>2021.6666666666667</v>
      </c>
      <c r="AL112" s="142">
        <f t="shared" si="166"/>
        <v>2030.1666666666667</v>
      </c>
      <c r="AM112" s="118">
        <f t="shared" si="167"/>
        <v>2020.25</v>
      </c>
      <c r="AN112" s="118">
        <f t="shared" si="168"/>
        <v>-8.3333333333333329E-2</v>
      </c>
      <c r="AO112" s="111"/>
    </row>
    <row r="113" spans="1:41" ht="15.75">
      <c r="A113" s="437" t="s">
        <v>625</v>
      </c>
      <c r="B113" s="121">
        <v>4</v>
      </c>
      <c r="C113" s="121">
        <v>2020</v>
      </c>
      <c r="D113" s="462">
        <v>24551</v>
      </c>
      <c r="E113" s="441">
        <v>0</v>
      </c>
      <c r="F113" s="441">
        <v>10</v>
      </c>
      <c r="G113" s="825">
        <f t="shared" si="151"/>
        <v>2030</v>
      </c>
      <c r="H113" s="441"/>
      <c r="I113" s="441"/>
      <c r="J113" s="146"/>
      <c r="K113" s="139">
        <f t="shared" si="152"/>
        <v>24551</v>
      </c>
      <c r="L113" s="139">
        <f t="shared" si="153"/>
        <v>204.59166666666667</v>
      </c>
      <c r="M113" s="139">
        <f>+L113*12</f>
        <v>2455.1</v>
      </c>
      <c r="N113" s="139">
        <f t="shared" si="155"/>
        <v>0</v>
      </c>
      <c r="O113" s="139">
        <f t="shared" si="156"/>
        <v>2455.1</v>
      </c>
      <c r="P113" s="139">
        <f t="shared" ref="P113:P116" si="172">((K113-N113)+(K113-O113))/2</f>
        <v>23323.45</v>
      </c>
      <c r="Q113" s="119">
        <f t="shared" si="158"/>
        <v>0</v>
      </c>
      <c r="R113" s="119">
        <f t="shared" si="159"/>
        <v>2455.1</v>
      </c>
      <c r="S113" s="120">
        <v>1</v>
      </c>
      <c r="T113" s="140">
        <f t="shared" si="169"/>
        <v>2455.1</v>
      </c>
      <c r="U113" s="140"/>
      <c r="V113" s="140"/>
      <c r="W113" s="140"/>
      <c r="X113" s="140"/>
      <c r="Y113" s="140"/>
      <c r="Z113" s="119">
        <f t="shared" si="160"/>
        <v>2455.1</v>
      </c>
      <c r="AA113" s="141">
        <f t="shared" ref="AA113:AA116" si="173">P113*S113</f>
        <v>23323.45</v>
      </c>
      <c r="AB113" s="141"/>
      <c r="AC113" s="141"/>
      <c r="AD113" s="141"/>
      <c r="AE113" s="141"/>
      <c r="AF113" s="141"/>
      <c r="AG113" s="120">
        <v>1</v>
      </c>
      <c r="AH113" s="119">
        <f t="shared" si="162"/>
        <v>0</v>
      </c>
      <c r="AI113" s="119">
        <f t="shared" si="163"/>
        <v>0</v>
      </c>
      <c r="AJ113" s="142">
        <f t="shared" si="164"/>
        <v>2020.25</v>
      </c>
      <c r="AK113" s="118">
        <f t="shared" si="165"/>
        <v>2021.6666666666667</v>
      </c>
      <c r="AL113" s="142">
        <f t="shared" si="166"/>
        <v>2030.25</v>
      </c>
      <c r="AM113" s="118">
        <f t="shared" si="167"/>
        <v>2020.25</v>
      </c>
      <c r="AN113" s="118">
        <f t="shared" si="168"/>
        <v>-8.3333333333333329E-2</v>
      </c>
      <c r="AO113" s="111"/>
    </row>
    <row r="114" spans="1:41" ht="15.75">
      <c r="A114" s="437" t="s">
        <v>625</v>
      </c>
      <c r="B114" s="121">
        <v>4</v>
      </c>
      <c r="C114" s="121">
        <v>2020</v>
      </c>
      <c r="D114" s="462">
        <v>32896</v>
      </c>
      <c r="E114" s="441">
        <v>0</v>
      </c>
      <c r="F114" s="441">
        <v>10</v>
      </c>
      <c r="G114" s="825">
        <f t="shared" si="151"/>
        <v>2030</v>
      </c>
      <c r="H114" s="441"/>
      <c r="I114" s="441"/>
      <c r="J114" s="146"/>
      <c r="K114" s="139">
        <f t="shared" si="152"/>
        <v>32896</v>
      </c>
      <c r="L114" s="139">
        <f t="shared" si="153"/>
        <v>274.13333333333333</v>
      </c>
      <c r="M114" s="139">
        <f t="shared" ref="M114:M116" si="174">+L114*12</f>
        <v>3289.6</v>
      </c>
      <c r="N114" s="139">
        <f t="shared" si="155"/>
        <v>0</v>
      </c>
      <c r="O114" s="139">
        <f t="shared" si="156"/>
        <v>3289.6</v>
      </c>
      <c r="P114" s="139">
        <f t="shared" si="172"/>
        <v>31251.200000000001</v>
      </c>
      <c r="Q114" s="119">
        <f t="shared" si="158"/>
        <v>0</v>
      </c>
      <c r="R114" s="119">
        <f t="shared" si="159"/>
        <v>3289.6</v>
      </c>
      <c r="S114" s="120">
        <v>1</v>
      </c>
      <c r="T114" s="140">
        <f t="shared" si="169"/>
        <v>3289.6</v>
      </c>
      <c r="U114" s="140"/>
      <c r="V114" s="140"/>
      <c r="W114" s="140"/>
      <c r="X114" s="140"/>
      <c r="Y114" s="140"/>
      <c r="Z114" s="119">
        <f t="shared" si="160"/>
        <v>3289.6</v>
      </c>
      <c r="AA114" s="141">
        <f t="shared" si="173"/>
        <v>31251.200000000001</v>
      </c>
      <c r="AB114" s="141"/>
      <c r="AC114" s="141"/>
      <c r="AD114" s="141"/>
      <c r="AE114" s="141"/>
      <c r="AF114" s="141"/>
      <c r="AG114" s="120">
        <v>1</v>
      </c>
      <c r="AH114" s="119">
        <f t="shared" si="162"/>
        <v>0</v>
      </c>
      <c r="AI114" s="119">
        <f t="shared" si="163"/>
        <v>0</v>
      </c>
      <c r="AJ114" s="142">
        <f t="shared" si="164"/>
        <v>2020.25</v>
      </c>
      <c r="AK114" s="118">
        <f t="shared" si="165"/>
        <v>2021.6666666666667</v>
      </c>
      <c r="AL114" s="142">
        <f t="shared" si="166"/>
        <v>2030.25</v>
      </c>
      <c r="AM114" s="118">
        <f t="shared" si="167"/>
        <v>2020.25</v>
      </c>
      <c r="AN114" s="118">
        <f t="shared" si="168"/>
        <v>-8.3333333333333329E-2</v>
      </c>
      <c r="AO114" s="111"/>
    </row>
    <row r="115" spans="1:41" ht="15.75">
      <c r="A115" s="437" t="s">
        <v>625</v>
      </c>
      <c r="B115" s="121">
        <v>4</v>
      </c>
      <c r="C115" s="121">
        <v>2020</v>
      </c>
      <c r="D115" s="462">
        <v>5380</v>
      </c>
      <c r="E115" s="441">
        <v>0</v>
      </c>
      <c r="F115" s="441">
        <v>10</v>
      </c>
      <c r="G115" s="825">
        <f t="shared" si="151"/>
        <v>2030</v>
      </c>
      <c r="H115" s="441"/>
      <c r="I115" s="441"/>
      <c r="J115" s="146"/>
      <c r="K115" s="139">
        <f t="shared" si="152"/>
        <v>5380</v>
      </c>
      <c r="L115" s="139">
        <f t="shared" si="153"/>
        <v>44.833333333333336</v>
      </c>
      <c r="M115" s="139">
        <f t="shared" si="174"/>
        <v>538</v>
      </c>
      <c r="N115" s="139">
        <f t="shared" si="155"/>
        <v>0</v>
      </c>
      <c r="O115" s="139">
        <f t="shared" si="156"/>
        <v>538</v>
      </c>
      <c r="P115" s="139">
        <f t="shared" si="172"/>
        <v>5111</v>
      </c>
      <c r="Q115" s="119">
        <f t="shared" si="158"/>
        <v>0</v>
      </c>
      <c r="R115" s="119">
        <f t="shared" si="159"/>
        <v>538</v>
      </c>
      <c r="S115" s="120">
        <v>1</v>
      </c>
      <c r="T115" s="140">
        <f t="shared" si="169"/>
        <v>538</v>
      </c>
      <c r="U115" s="140"/>
      <c r="V115" s="140"/>
      <c r="W115" s="140"/>
      <c r="X115" s="140"/>
      <c r="Y115" s="140"/>
      <c r="Z115" s="119">
        <f t="shared" si="160"/>
        <v>538</v>
      </c>
      <c r="AA115" s="141">
        <f t="shared" si="173"/>
        <v>5111</v>
      </c>
      <c r="AB115" s="141"/>
      <c r="AC115" s="141"/>
      <c r="AD115" s="141"/>
      <c r="AE115" s="141"/>
      <c r="AF115" s="141"/>
      <c r="AG115" s="120">
        <v>1</v>
      </c>
      <c r="AH115" s="119">
        <f t="shared" si="162"/>
        <v>0</v>
      </c>
      <c r="AI115" s="119">
        <f t="shared" si="163"/>
        <v>0</v>
      </c>
      <c r="AJ115" s="142">
        <f t="shared" si="164"/>
        <v>2020.25</v>
      </c>
      <c r="AK115" s="118">
        <f t="shared" si="165"/>
        <v>2021.6666666666667</v>
      </c>
      <c r="AL115" s="142">
        <f t="shared" si="166"/>
        <v>2030.25</v>
      </c>
      <c r="AM115" s="118">
        <f t="shared" si="167"/>
        <v>2020.25</v>
      </c>
      <c r="AN115" s="118">
        <f t="shared" si="168"/>
        <v>-8.3333333333333329E-2</v>
      </c>
      <c r="AO115" s="111"/>
    </row>
    <row r="116" spans="1:41" ht="15.75">
      <c r="A116" s="437" t="s">
        <v>625</v>
      </c>
      <c r="B116" s="121">
        <v>4</v>
      </c>
      <c r="C116" s="121">
        <v>2020</v>
      </c>
      <c r="D116" s="463">
        <v>3459</v>
      </c>
      <c r="E116" s="441">
        <v>0</v>
      </c>
      <c r="F116" s="441">
        <v>10</v>
      </c>
      <c r="G116" s="825">
        <f t="shared" si="151"/>
        <v>2030</v>
      </c>
      <c r="H116" s="441"/>
      <c r="I116" s="441"/>
      <c r="J116" s="146"/>
      <c r="K116" s="145">
        <f t="shared" si="152"/>
        <v>3459</v>
      </c>
      <c r="L116" s="145">
        <f t="shared" si="153"/>
        <v>28.824999999999999</v>
      </c>
      <c r="M116" s="145">
        <f t="shared" si="174"/>
        <v>345.9</v>
      </c>
      <c r="N116" s="145">
        <f t="shared" si="155"/>
        <v>0</v>
      </c>
      <c r="O116" s="145">
        <f t="shared" si="156"/>
        <v>345.9</v>
      </c>
      <c r="P116" s="145">
        <f t="shared" si="172"/>
        <v>3286.05</v>
      </c>
      <c r="Q116" s="119">
        <f t="shared" si="158"/>
        <v>0</v>
      </c>
      <c r="R116" s="119">
        <f t="shared" si="159"/>
        <v>345.9</v>
      </c>
      <c r="S116" s="120">
        <v>1</v>
      </c>
      <c r="T116" s="140">
        <f t="shared" si="169"/>
        <v>345.9</v>
      </c>
      <c r="U116" s="140"/>
      <c r="V116" s="140"/>
      <c r="W116" s="140"/>
      <c r="X116" s="140"/>
      <c r="Y116" s="140"/>
      <c r="Z116" s="119">
        <f t="shared" si="160"/>
        <v>345.9</v>
      </c>
      <c r="AA116" s="141">
        <f t="shared" si="173"/>
        <v>3286.05</v>
      </c>
      <c r="AB116" s="141"/>
      <c r="AC116" s="141"/>
      <c r="AD116" s="141"/>
      <c r="AE116" s="141"/>
      <c r="AF116" s="141"/>
      <c r="AG116" s="120">
        <v>1</v>
      </c>
      <c r="AH116" s="119">
        <f t="shared" si="162"/>
        <v>0</v>
      </c>
      <c r="AI116" s="119">
        <f t="shared" si="163"/>
        <v>0</v>
      </c>
      <c r="AJ116" s="142">
        <f t="shared" si="164"/>
        <v>2020.25</v>
      </c>
      <c r="AK116" s="118">
        <f t="shared" si="165"/>
        <v>2021.6666666666667</v>
      </c>
      <c r="AL116" s="142">
        <f t="shared" si="166"/>
        <v>2030.25</v>
      </c>
      <c r="AM116" s="118">
        <f t="shared" si="167"/>
        <v>2020.25</v>
      </c>
      <c r="AN116" s="118">
        <f t="shared" si="168"/>
        <v>-8.3333333333333329E-2</v>
      </c>
      <c r="AO116" s="111"/>
    </row>
    <row r="117" spans="1:41" ht="15.75">
      <c r="A117" s="438" t="s">
        <v>626</v>
      </c>
      <c r="B117" s="124"/>
      <c r="C117" s="124"/>
      <c r="D117" s="464">
        <f>SUM(D94:D116)</f>
        <v>2248447.02</v>
      </c>
      <c r="E117" s="154"/>
      <c r="F117" s="154"/>
      <c r="G117" s="154"/>
      <c r="H117" s="154"/>
      <c r="I117" s="154"/>
      <c r="J117" s="139"/>
      <c r="K117" s="139">
        <f t="shared" ref="K117:R117" si="175">SUM(K94:K116)</f>
        <v>2248447.02</v>
      </c>
      <c r="L117" s="139">
        <f t="shared" si="175"/>
        <v>18737.058500000003</v>
      </c>
      <c r="M117" s="139">
        <f t="shared" si="175"/>
        <v>86168.101999999984</v>
      </c>
      <c r="N117" s="139">
        <f t="shared" si="175"/>
        <v>1582991.0886666679</v>
      </c>
      <c r="O117" s="139">
        <f t="shared" si="175"/>
        <v>1669159.1906666679</v>
      </c>
      <c r="P117" s="139">
        <f t="shared" si="175"/>
        <v>622371.88033333188</v>
      </c>
      <c r="Q117" s="119">
        <f t="shared" si="175"/>
        <v>0</v>
      </c>
      <c r="R117" s="119">
        <f t="shared" si="175"/>
        <v>86168.101999999984</v>
      </c>
      <c r="S117" s="119"/>
      <c r="T117" s="119">
        <f>SUM(T94:T116)</f>
        <v>86168.101999999984</v>
      </c>
      <c r="U117" s="141"/>
      <c r="V117" s="141"/>
      <c r="W117" s="141"/>
      <c r="X117" s="141"/>
      <c r="Y117" s="141"/>
      <c r="Z117" s="119">
        <f t="shared" ref="Z117:AF117" si="176">SUM(Z94:Z100)</f>
        <v>2342.3000000000002</v>
      </c>
      <c r="AA117" s="141">
        <f t="shared" si="176"/>
        <v>6636.5166666664873</v>
      </c>
      <c r="AB117" s="141">
        <f t="shared" si="176"/>
        <v>0</v>
      </c>
      <c r="AC117" s="141">
        <f t="shared" si="176"/>
        <v>0</v>
      </c>
      <c r="AD117" s="141">
        <f t="shared" si="176"/>
        <v>0</v>
      </c>
      <c r="AE117" s="141">
        <f t="shared" si="176"/>
        <v>0</v>
      </c>
      <c r="AF117" s="141">
        <f t="shared" si="176"/>
        <v>0</v>
      </c>
      <c r="AG117" s="119"/>
      <c r="AH117" s="119">
        <f>SUM(AH94:AH100)</f>
        <v>1402381.3333333335</v>
      </c>
      <c r="AI117" s="119">
        <f>SUM(AI94:AI100)</f>
        <v>1402381.3333333335</v>
      </c>
      <c r="AJ117" s="142"/>
      <c r="AK117" s="118"/>
      <c r="AL117" s="142"/>
      <c r="AM117" s="118"/>
      <c r="AN117" s="118"/>
      <c r="AO117" s="111"/>
    </row>
    <row r="118" spans="1:41" ht="15.75">
      <c r="A118" s="121"/>
      <c r="B118" s="124"/>
      <c r="C118" s="124"/>
      <c r="D118" s="465"/>
      <c r="E118" s="443"/>
      <c r="F118" s="441"/>
      <c r="G118" s="441"/>
      <c r="H118" s="441"/>
      <c r="I118" s="441"/>
      <c r="J118" s="442"/>
      <c r="K118" s="442"/>
      <c r="L118" s="146"/>
      <c r="M118" s="146"/>
      <c r="N118" s="146"/>
      <c r="O118" s="146"/>
      <c r="P118" s="146"/>
      <c r="Q118" s="137"/>
      <c r="R118" s="137"/>
      <c r="S118" s="138"/>
      <c r="T118" s="149"/>
      <c r="U118" s="150"/>
      <c r="V118" s="150"/>
      <c r="W118" s="150"/>
      <c r="X118" s="150"/>
      <c r="Y118" s="150"/>
      <c r="Z118" s="137"/>
      <c r="AA118" s="149"/>
      <c r="AB118" s="149"/>
      <c r="AC118" s="149"/>
      <c r="AD118" s="149"/>
      <c r="AE118" s="149"/>
      <c r="AF118" s="149"/>
      <c r="AG118" s="138"/>
      <c r="AH118" s="138"/>
      <c r="AI118" s="138"/>
      <c r="AJ118" s="138"/>
      <c r="AK118" s="138"/>
      <c r="AL118" s="138"/>
      <c r="AM118" s="138"/>
      <c r="AN118" s="138"/>
      <c r="AO118" s="111"/>
    </row>
    <row r="119" spans="1:41" ht="15.75">
      <c r="A119" s="134" t="s">
        <v>627</v>
      </c>
      <c r="B119" s="121"/>
      <c r="C119" s="121"/>
      <c r="D119" s="465"/>
      <c r="E119" s="443"/>
      <c r="F119" s="441"/>
      <c r="G119" s="441"/>
      <c r="H119" s="441"/>
      <c r="I119" s="441"/>
      <c r="J119" s="442"/>
      <c r="K119" s="442"/>
      <c r="L119" s="146"/>
      <c r="M119" s="146"/>
      <c r="N119" s="146"/>
      <c r="O119" s="146"/>
      <c r="P119" s="146"/>
      <c r="Q119" s="137"/>
      <c r="R119" s="137"/>
      <c r="S119" s="138"/>
      <c r="T119" s="149"/>
      <c r="U119" s="150"/>
      <c r="V119" s="150"/>
      <c r="W119" s="150"/>
      <c r="X119" s="150"/>
      <c r="Y119" s="150"/>
      <c r="Z119" s="137"/>
      <c r="AA119" s="149"/>
      <c r="AB119" s="149"/>
      <c r="AC119" s="149"/>
      <c r="AD119" s="149"/>
      <c r="AE119" s="149"/>
      <c r="AF119" s="149"/>
      <c r="AG119" s="138"/>
      <c r="AH119" s="138"/>
      <c r="AI119" s="138"/>
      <c r="AJ119" s="138"/>
      <c r="AK119" s="138"/>
      <c r="AL119" s="138"/>
      <c r="AM119" s="138"/>
      <c r="AN119" s="138"/>
      <c r="AO119" s="111"/>
    </row>
    <row r="120" spans="1:41" ht="15.75">
      <c r="A120" s="134" t="s">
        <v>628</v>
      </c>
      <c r="B120" s="121">
        <v>8</v>
      </c>
      <c r="C120" s="121">
        <v>1996</v>
      </c>
      <c r="D120" s="462">
        <v>54058</v>
      </c>
      <c r="E120" s="441">
        <v>0</v>
      </c>
      <c r="F120" s="441">
        <v>7</v>
      </c>
      <c r="G120" s="825">
        <f>C120+F120</f>
        <v>2003</v>
      </c>
      <c r="H120" s="441"/>
      <c r="I120" s="441"/>
      <c r="J120" s="146"/>
      <c r="K120" s="139">
        <f>D120-D120*E120</f>
        <v>54058</v>
      </c>
      <c r="L120" s="139">
        <f t="shared" ref="L120:L123" si="177">K120/F120/12</f>
        <v>643.54761904761904</v>
      </c>
      <c r="M120" s="139">
        <f>IF(J120&gt;0,0,IF(OR(AJ120&gt;AK120,AL120&lt;AM120),0,IF(AND(AL120&gt;=AM120,AL120&lt;=AK120),L120*((AL120-AM120)*12),IF(AND(AM120&lt;=AJ120,AK120&gt;=AJ120),((AK120-AJ120)*12)*L120,IF(AL120&gt;AK120,12*L120,0)))))</f>
        <v>0</v>
      </c>
      <c r="N120" s="139">
        <f>IF(AJ120&gt;AK120,0,IF(AL120&lt;AM120,K120,IF(AND(AL120&gt;=AM120,AL120&lt;=AK120),(K120-R120),IF(AND(AM120&lt;=AJ120,AK120&gt;=AJ120),0,IF(AL120&gt;AK120,((AM120-AJ120)*12)*L120,0)))))</f>
        <v>54058</v>
      </c>
      <c r="O120" s="139">
        <f>IF(J120&gt;0,0,AI120+Z120*AG120)*AG120</f>
        <v>54058</v>
      </c>
      <c r="P120" s="139">
        <f>IF(J120&gt;0,(D120-AI120)/2,IF(AJ120&gt;=AM120,(((D120*S120)*AG120)-O120)/2,((((D120*S120)*AG120)-AI120)+(((D120*S120)*AG120)-O120))/2))</f>
        <v>0</v>
      </c>
      <c r="Q120" s="119">
        <f>IF(J120=0,0,IF(AND(AN120&gt;=AM120,AN120&lt;=AL120),((AN120-AM120)*12)*L120,0))</f>
        <v>0</v>
      </c>
      <c r="R120" s="119">
        <f t="shared" ref="R120:R123" si="178">IF(Q120&gt;0,Q120,M120)</f>
        <v>0</v>
      </c>
      <c r="S120" s="120">
        <v>1</v>
      </c>
      <c r="T120" s="118"/>
      <c r="U120" s="141"/>
      <c r="V120" s="141"/>
      <c r="W120" s="141"/>
      <c r="X120" s="141"/>
      <c r="Y120" s="141">
        <f>S120*(M120+Q120)</f>
        <v>0</v>
      </c>
      <c r="Z120" s="119">
        <f t="shared" ref="Z120:Z123" si="179">S120*(M120+Q120)</f>
        <v>0</v>
      </c>
      <c r="AA120" s="118"/>
      <c r="AB120" s="141"/>
      <c r="AC120" s="141"/>
      <c r="AD120" s="141"/>
      <c r="AE120" s="141"/>
      <c r="AF120" s="141">
        <f>P120*S120</f>
        <v>0</v>
      </c>
      <c r="AG120" s="120">
        <v>1</v>
      </c>
      <c r="AH120" s="119">
        <f>N120*S120</f>
        <v>54058</v>
      </c>
      <c r="AI120" s="119">
        <f>AH120*AG120</f>
        <v>54058</v>
      </c>
      <c r="AJ120" s="142">
        <f t="shared" ref="AJ120:AJ123" si="180">$C120+(($B120-1)/12)</f>
        <v>1996.5833333333333</v>
      </c>
      <c r="AK120" s="118">
        <f t="shared" ref="AK120:AK123" si="181">($F$6+1)-($C$6/12)</f>
        <v>2021.6666666666667</v>
      </c>
      <c r="AL120" s="142">
        <f t="shared" ref="AL120:AL123" si="182">$G120+(($B120-1)/12)</f>
        <v>2003.5833333333333</v>
      </c>
      <c r="AM120" s="118">
        <f t="shared" ref="AM120:AM123" si="183">$D$6+($E$6/12)</f>
        <v>2020.25</v>
      </c>
      <c r="AN120" s="118">
        <f t="shared" ref="AN120:AN123" si="184">$I120+(($H120-1)/12)</f>
        <v>-8.3333333333333329E-2</v>
      </c>
      <c r="AO120" s="111"/>
    </row>
    <row r="121" spans="1:41" ht="15.75">
      <c r="A121" s="121" t="s">
        <v>604</v>
      </c>
      <c r="B121" s="121">
        <v>7</v>
      </c>
      <c r="C121" s="121">
        <v>2007</v>
      </c>
      <c r="D121" s="462">
        <v>1029</v>
      </c>
      <c r="E121" s="441">
        <v>0</v>
      </c>
      <c r="F121" s="441">
        <v>10</v>
      </c>
      <c r="G121" s="825">
        <f>C121+F121</f>
        <v>2017</v>
      </c>
      <c r="H121" s="441"/>
      <c r="I121" s="441"/>
      <c r="J121" s="146"/>
      <c r="K121" s="139">
        <f>D121-D121*E121</f>
        <v>1029</v>
      </c>
      <c r="L121" s="139">
        <f t="shared" si="177"/>
        <v>8.5750000000000011</v>
      </c>
      <c r="M121" s="139">
        <f>IF(J121&gt;0,0,IF(OR(AJ121&gt;AK121,AL121&lt;AM121),0,IF(AND(AL121&gt;=AM121,AL121&lt;=AK121),L121*((AL121-AM121)*12),IF(AND(AM121&lt;=AJ121,AK121&gt;=AJ121),((AK121-AJ121)*12)*L121,IF(AL121&gt;AK121,12*L121,0)))))</f>
        <v>0</v>
      </c>
      <c r="N121" s="139">
        <f>IF(AJ121&gt;AK121,0,IF(AL121&lt;AM121,K121,IF(AND(AL121&gt;=AM121,AL121&lt;=AK121),(K121-R121),IF(AND(AM121&lt;=AJ121,AK121&gt;=AJ121),0,IF(AL121&gt;AK121,((AM121-AJ121)*12)*L121,0)))))</f>
        <v>1029</v>
      </c>
      <c r="O121" s="139">
        <f>IF(J121&gt;0,0,AI121+Z121*AG121)*AG121</f>
        <v>1029</v>
      </c>
      <c r="P121" s="139">
        <f>IF(J121&gt;0,(D121-AI121)/2,IF(AJ121&gt;=AM121,(((D121*S121)*AG121)-O121)/2,((((D121*S121)*AG121)-AI121)+(((D121*S121)*AG121)-O121))/2))</f>
        <v>0</v>
      </c>
      <c r="Q121" s="119">
        <f>IF(J121=0,0,IF(AND(AN121&gt;=AM121,AN121&lt;=AL121),((AN121-AM121)*12)*L121,0))</f>
        <v>0</v>
      </c>
      <c r="R121" s="119">
        <f t="shared" si="178"/>
        <v>0</v>
      </c>
      <c r="S121" s="120">
        <v>1</v>
      </c>
      <c r="T121" s="118"/>
      <c r="U121" s="141"/>
      <c r="V121" s="141"/>
      <c r="W121" s="141"/>
      <c r="X121" s="141"/>
      <c r="Y121" s="141">
        <f>S121*(M121+Q121)</f>
        <v>0</v>
      </c>
      <c r="Z121" s="119">
        <f t="shared" si="179"/>
        <v>0</v>
      </c>
      <c r="AA121" s="118"/>
      <c r="AB121" s="141"/>
      <c r="AC121" s="141"/>
      <c r="AD121" s="141"/>
      <c r="AE121" s="141"/>
      <c r="AF121" s="141">
        <f>P121*S121</f>
        <v>0</v>
      </c>
      <c r="AG121" s="120">
        <v>1</v>
      </c>
      <c r="AH121" s="119">
        <f>N121*S121</f>
        <v>1029</v>
      </c>
      <c r="AI121" s="119">
        <f>AH121*AG121</f>
        <v>1029</v>
      </c>
      <c r="AJ121" s="142">
        <f t="shared" si="180"/>
        <v>2007.5</v>
      </c>
      <c r="AK121" s="118">
        <f t="shared" si="181"/>
        <v>2021.6666666666667</v>
      </c>
      <c r="AL121" s="142">
        <f t="shared" si="182"/>
        <v>2017.5</v>
      </c>
      <c r="AM121" s="118">
        <f t="shared" si="183"/>
        <v>2020.25</v>
      </c>
      <c r="AN121" s="118">
        <f t="shared" si="184"/>
        <v>-8.3333333333333329E-2</v>
      </c>
      <c r="AO121" s="111"/>
    </row>
    <row r="122" spans="1:41" ht="15.75">
      <c r="A122" s="121" t="s">
        <v>605</v>
      </c>
      <c r="B122" s="121">
        <v>3</v>
      </c>
      <c r="C122" s="121">
        <v>2008</v>
      </c>
      <c r="D122" s="462">
        <f>14563.8+2519.52</f>
        <v>17083.32</v>
      </c>
      <c r="E122" s="441">
        <v>0</v>
      </c>
      <c r="F122" s="441">
        <v>10</v>
      </c>
      <c r="G122" s="825">
        <f>C122+F122</f>
        <v>2018</v>
      </c>
      <c r="H122" s="441"/>
      <c r="I122" s="441"/>
      <c r="J122" s="146"/>
      <c r="K122" s="139">
        <f>D122-D122*E122</f>
        <v>17083.32</v>
      </c>
      <c r="L122" s="139">
        <f t="shared" si="177"/>
        <v>142.36099999999999</v>
      </c>
      <c r="M122" s="139">
        <f>IF(J122&gt;0,0,IF(OR(AJ122&gt;AK122,AL122&lt;AM122),0,IF(AND(AL122&gt;=AM122,AL122&lt;=AK122),L122*((AL122-AM122)*12),IF(AND(AM122&lt;=AJ122,AK122&gt;=AJ122),((AK122-AJ122)*12)*L122,IF(AL122&gt;AK122,12*L122,0)))))</f>
        <v>0</v>
      </c>
      <c r="N122" s="139">
        <f>IF(AJ122&gt;AK122,0,IF(AL122&lt;AM122,K122,IF(AND(AL122&gt;=AM122,AL122&lt;=AK122),(K122-R122),IF(AND(AM122&lt;=AJ122,AK122&gt;=AJ122),0,IF(AL122&gt;AK122,((AM122-AJ122)*12)*L122,0)))))</f>
        <v>17083.32</v>
      </c>
      <c r="O122" s="139">
        <f>IF(J122&gt;0,0,AI122+Z122*AG122)*AG122</f>
        <v>17083.32</v>
      </c>
      <c r="P122" s="139">
        <f>IF(J122&gt;0,(D122-AI122)/2,IF(AJ122&gt;=AM122,(((D122*S122)*AG122)-O122)/2,((((D122*S122)*AG122)-AI122)+(((D122*S122)*AG122)-O122))/2))</f>
        <v>0</v>
      </c>
      <c r="Q122" s="119">
        <f>IF(J122=0,0,IF(AND(AN122&gt;=AM122,AN122&lt;=AL122),((AN122-AM122)*12)*L122,0))</f>
        <v>0</v>
      </c>
      <c r="R122" s="119">
        <f t="shared" si="178"/>
        <v>0</v>
      </c>
      <c r="S122" s="120">
        <v>1</v>
      </c>
      <c r="T122" s="118"/>
      <c r="U122" s="141"/>
      <c r="V122" s="141"/>
      <c r="W122" s="141"/>
      <c r="X122" s="141"/>
      <c r="Y122" s="141">
        <f>S122*(M122+Q122)</f>
        <v>0</v>
      </c>
      <c r="Z122" s="119">
        <f t="shared" si="179"/>
        <v>0</v>
      </c>
      <c r="AA122" s="118"/>
      <c r="AB122" s="141"/>
      <c r="AC122" s="141"/>
      <c r="AD122" s="141"/>
      <c r="AE122" s="141"/>
      <c r="AF122" s="141">
        <f>P122*S122</f>
        <v>0</v>
      </c>
      <c r="AG122" s="120">
        <v>1</v>
      </c>
      <c r="AH122" s="119">
        <f>N122*S122</f>
        <v>17083.32</v>
      </c>
      <c r="AI122" s="119">
        <f>AH122*AG122</f>
        <v>17083.32</v>
      </c>
      <c r="AJ122" s="142">
        <f t="shared" si="180"/>
        <v>2008.1666666666667</v>
      </c>
      <c r="AK122" s="118">
        <f t="shared" si="181"/>
        <v>2021.6666666666667</v>
      </c>
      <c r="AL122" s="142">
        <f t="shared" si="182"/>
        <v>2018.1666666666667</v>
      </c>
      <c r="AM122" s="118">
        <f t="shared" si="183"/>
        <v>2020.25</v>
      </c>
      <c r="AN122" s="118">
        <f t="shared" si="184"/>
        <v>-8.3333333333333329E-2</v>
      </c>
      <c r="AO122" s="111"/>
    </row>
    <row r="123" spans="1:41" ht="15.75">
      <c r="A123" s="115" t="s">
        <v>629</v>
      </c>
      <c r="B123" s="121">
        <v>4</v>
      </c>
      <c r="C123" s="121">
        <v>2014</v>
      </c>
      <c r="D123" s="463">
        <v>3000</v>
      </c>
      <c r="E123" s="441">
        <v>0</v>
      </c>
      <c r="F123" s="441">
        <v>10</v>
      </c>
      <c r="G123" s="825">
        <f>C123+F123</f>
        <v>2024</v>
      </c>
      <c r="H123" s="441"/>
      <c r="I123" s="441"/>
      <c r="J123" s="146"/>
      <c r="K123" s="145">
        <f>D123-D123*E123</f>
        <v>3000</v>
      </c>
      <c r="L123" s="145">
        <f t="shared" si="177"/>
        <v>25</v>
      </c>
      <c r="M123" s="145">
        <f>IF(J123&gt;0,0,IF(OR(AJ123&gt;AK123,AL123&lt;AM123),0,IF(AND(AL123&gt;=AM123,AL123&lt;=AK123),L123*((AL123-AM123)*12),IF(AND(AM123&lt;=AJ123,AK123&gt;=AJ123),((AK123-AJ123)*12)*L123,IF(AL123&gt;AK123,12*L123,0)))))</f>
        <v>300</v>
      </c>
      <c r="N123" s="145">
        <f>+L123*44</f>
        <v>1100</v>
      </c>
      <c r="O123" s="145">
        <f>IF(J123&gt;0,0,AI123+Z123*AG123)*AG123</f>
        <v>1400</v>
      </c>
      <c r="P123" s="145">
        <f t="shared" ref="P123" si="185">((K123-N123)+(K123-O123))/2</f>
        <v>1750</v>
      </c>
      <c r="Q123" s="144">
        <f>IF(J123=0,0,IF(AND(AN123&gt;=AM123,AN123&lt;=AL123),((AN123-AM123)*12)*L123,0))</f>
        <v>0</v>
      </c>
      <c r="R123" s="144">
        <f t="shared" si="178"/>
        <v>300</v>
      </c>
      <c r="S123" s="120">
        <v>1</v>
      </c>
      <c r="T123" s="118"/>
      <c r="U123" s="141"/>
      <c r="V123" s="141"/>
      <c r="W123" s="141"/>
      <c r="X123" s="141"/>
      <c r="Y123" s="141">
        <f>S123*(M123+Q123)</f>
        <v>300</v>
      </c>
      <c r="Z123" s="119">
        <f t="shared" si="179"/>
        <v>300</v>
      </c>
      <c r="AA123" s="118"/>
      <c r="AB123" s="141"/>
      <c r="AC123" s="141"/>
      <c r="AD123" s="141"/>
      <c r="AE123" s="141"/>
      <c r="AF123" s="141">
        <f>P123*S123</f>
        <v>1750</v>
      </c>
      <c r="AG123" s="120">
        <v>1</v>
      </c>
      <c r="AH123" s="119">
        <f>N123*S123</f>
        <v>1100</v>
      </c>
      <c r="AI123" s="119">
        <f>AH123*AG123</f>
        <v>1100</v>
      </c>
      <c r="AJ123" s="142">
        <f t="shared" si="180"/>
        <v>2014.25</v>
      </c>
      <c r="AK123" s="118">
        <f t="shared" si="181"/>
        <v>2021.6666666666667</v>
      </c>
      <c r="AL123" s="142">
        <f t="shared" si="182"/>
        <v>2024.25</v>
      </c>
      <c r="AM123" s="118">
        <f t="shared" si="183"/>
        <v>2020.25</v>
      </c>
      <c r="AN123" s="118">
        <f t="shared" si="184"/>
        <v>-8.3333333333333329E-2</v>
      </c>
      <c r="AO123" s="111"/>
    </row>
    <row r="124" spans="1:41" ht="15.75">
      <c r="A124" s="121" t="s">
        <v>630</v>
      </c>
      <c r="B124" s="124"/>
      <c r="C124" s="124"/>
      <c r="D124" s="464">
        <f>SUM(D120:D123)</f>
        <v>75170.320000000007</v>
      </c>
      <c r="E124" s="154"/>
      <c r="F124" s="154"/>
      <c r="G124" s="154"/>
      <c r="H124" s="154"/>
      <c r="I124" s="154"/>
      <c r="J124" s="139"/>
      <c r="K124" s="139">
        <f t="shared" ref="K124:R124" si="186">SUM(K120:K123)</f>
        <v>75170.320000000007</v>
      </c>
      <c r="L124" s="139">
        <f t="shared" si="186"/>
        <v>819.48361904761907</v>
      </c>
      <c r="M124" s="139">
        <f t="shared" si="186"/>
        <v>300</v>
      </c>
      <c r="N124" s="139">
        <f t="shared" si="186"/>
        <v>73270.320000000007</v>
      </c>
      <c r="O124" s="139">
        <f t="shared" si="186"/>
        <v>73570.320000000007</v>
      </c>
      <c r="P124" s="139">
        <f t="shared" si="186"/>
        <v>1750</v>
      </c>
      <c r="Q124" s="119">
        <f t="shared" si="186"/>
        <v>0</v>
      </c>
      <c r="R124" s="119">
        <f t="shared" si="186"/>
        <v>300</v>
      </c>
      <c r="S124" s="119"/>
      <c r="T124" s="141">
        <f t="shared" ref="T124:AF124" si="187">SUM(T120:T123)</f>
        <v>0</v>
      </c>
      <c r="U124" s="141">
        <f t="shared" si="187"/>
        <v>0</v>
      </c>
      <c r="V124" s="141">
        <f t="shared" si="187"/>
        <v>0</v>
      </c>
      <c r="W124" s="141">
        <f t="shared" si="187"/>
        <v>0</v>
      </c>
      <c r="X124" s="141">
        <f t="shared" si="187"/>
        <v>0</v>
      </c>
      <c r="Y124" s="141">
        <f t="shared" si="187"/>
        <v>300</v>
      </c>
      <c r="Z124" s="119">
        <f t="shared" si="187"/>
        <v>300</v>
      </c>
      <c r="AA124" s="141">
        <f t="shared" si="187"/>
        <v>0</v>
      </c>
      <c r="AB124" s="141">
        <f t="shared" si="187"/>
        <v>0</v>
      </c>
      <c r="AC124" s="141">
        <f t="shared" si="187"/>
        <v>0</v>
      </c>
      <c r="AD124" s="141">
        <f t="shared" si="187"/>
        <v>0</v>
      </c>
      <c r="AE124" s="141">
        <f t="shared" si="187"/>
        <v>0</v>
      </c>
      <c r="AF124" s="141">
        <f t="shared" si="187"/>
        <v>1750</v>
      </c>
      <c r="AG124" s="119"/>
      <c r="AH124" s="119">
        <f>SUM(AH120:AH123)</f>
        <v>73270.320000000007</v>
      </c>
      <c r="AI124" s="119">
        <f>SUM(AI120:AI123)</f>
        <v>73270.320000000007</v>
      </c>
      <c r="AJ124" s="142"/>
      <c r="AK124" s="118"/>
      <c r="AL124" s="142"/>
      <c r="AM124" s="118"/>
      <c r="AN124" s="118"/>
      <c r="AO124" s="111"/>
    </row>
    <row r="125" spans="1:41" ht="15.75">
      <c r="A125" s="121"/>
      <c r="B125" s="124"/>
      <c r="C125" s="124"/>
      <c r="D125" s="465"/>
      <c r="E125" s="443"/>
      <c r="F125" s="441"/>
      <c r="G125" s="441"/>
      <c r="H125" s="441"/>
      <c r="I125" s="441"/>
      <c r="J125" s="442"/>
      <c r="K125" s="442"/>
      <c r="L125" s="146"/>
      <c r="M125" s="146"/>
      <c r="N125" s="146"/>
      <c r="O125" s="146"/>
      <c r="P125" s="146"/>
      <c r="Q125" s="137"/>
      <c r="R125" s="137"/>
      <c r="S125" s="138"/>
      <c r="T125" s="149"/>
      <c r="U125" s="150"/>
      <c r="V125" s="150"/>
      <c r="W125" s="150"/>
      <c r="X125" s="150"/>
      <c r="Y125" s="150"/>
      <c r="Z125" s="137"/>
      <c r="AA125" s="149"/>
      <c r="AB125" s="149"/>
      <c r="AC125" s="149"/>
      <c r="AD125" s="149"/>
      <c r="AE125" s="149"/>
      <c r="AF125" s="149"/>
      <c r="AG125" s="138"/>
      <c r="AH125" s="138"/>
      <c r="AI125" s="138"/>
      <c r="AJ125" s="138"/>
      <c r="AK125" s="138"/>
      <c r="AL125" s="138"/>
      <c r="AM125" s="138"/>
      <c r="AN125" s="138"/>
      <c r="AO125" s="111"/>
    </row>
    <row r="126" spans="1:41" ht="15.75">
      <c r="A126" s="134" t="s">
        <v>589</v>
      </c>
      <c r="B126" s="121"/>
      <c r="C126" s="121"/>
      <c r="D126" s="465"/>
      <c r="E126" s="443"/>
      <c r="F126" s="441"/>
      <c r="G126" s="441"/>
      <c r="H126" s="441"/>
      <c r="I126" s="441"/>
      <c r="J126" s="442"/>
      <c r="K126" s="442"/>
      <c r="L126" s="146"/>
      <c r="M126" s="146"/>
      <c r="N126" s="146"/>
      <c r="O126" s="146"/>
      <c r="P126" s="146"/>
      <c r="Q126" s="137"/>
      <c r="R126" s="137"/>
      <c r="S126" s="138"/>
      <c r="T126" s="149"/>
      <c r="U126" s="150"/>
      <c r="V126" s="150"/>
      <c r="W126" s="150"/>
      <c r="X126" s="150"/>
      <c r="Y126" s="150"/>
      <c r="Z126" s="137"/>
      <c r="AA126" s="149"/>
      <c r="AB126" s="149"/>
      <c r="AC126" s="149"/>
      <c r="AD126" s="149"/>
      <c r="AE126" s="149"/>
      <c r="AF126" s="149"/>
      <c r="AG126" s="138"/>
      <c r="AH126" s="138"/>
      <c r="AI126" s="138"/>
      <c r="AJ126" s="138"/>
      <c r="AK126" s="138"/>
      <c r="AL126" s="138"/>
      <c r="AM126" s="138"/>
      <c r="AN126" s="138"/>
      <c r="AO126" s="111"/>
    </row>
    <row r="127" spans="1:41" ht="15.75">
      <c r="A127" s="134" t="s">
        <v>631</v>
      </c>
      <c r="B127" s="121"/>
      <c r="C127" s="121"/>
      <c r="D127" s="462"/>
      <c r="E127" s="441"/>
      <c r="F127" s="441"/>
      <c r="G127" s="154"/>
      <c r="H127" s="441"/>
      <c r="I127" s="441"/>
      <c r="J127" s="146"/>
      <c r="K127" s="139"/>
      <c r="L127" s="139"/>
      <c r="M127" s="139"/>
      <c r="N127" s="139"/>
      <c r="O127" s="139"/>
      <c r="P127" s="139"/>
      <c r="Q127" s="119"/>
      <c r="R127" s="119"/>
      <c r="S127" s="120"/>
      <c r="T127" s="118"/>
      <c r="U127" s="141"/>
      <c r="V127" s="141"/>
      <c r="W127" s="141"/>
      <c r="X127" s="141"/>
      <c r="Y127" s="141"/>
      <c r="Z127" s="119"/>
      <c r="AA127" s="118"/>
      <c r="AB127" s="141"/>
      <c r="AC127" s="141"/>
      <c r="AD127" s="141"/>
      <c r="AE127" s="141"/>
      <c r="AF127" s="141"/>
      <c r="AG127" s="120"/>
      <c r="AH127" s="119"/>
      <c r="AI127" s="119"/>
      <c r="AJ127" s="142"/>
      <c r="AK127" s="118"/>
      <c r="AL127" s="142"/>
      <c r="AM127" s="118"/>
      <c r="AN127" s="118"/>
      <c r="AO127" s="111"/>
    </row>
    <row r="128" spans="1:41" ht="15.75">
      <c r="A128" s="115" t="s">
        <v>632</v>
      </c>
      <c r="B128" s="121">
        <v>2</v>
      </c>
      <c r="C128" s="121">
        <v>2016</v>
      </c>
      <c r="D128" s="462">
        <v>48531.76</v>
      </c>
      <c r="E128" s="441">
        <v>0</v>
      </c>
      <c r="F128" s="441">
        <v>10</v>
      </c>
      <c r="G128" s="825">
        <f t="shared" ref="G128:G131" si="188">C128+F128</f>
        <v>2026</v>
      </c>
      <c r="H128" s="441"/>
      <c r="I128" s="441"/>
      <c r="J128" s="146"/>
      <c r="K128" s="139">
        <f t="shared" ref="K128:K131" si="189">D128-D128*E128</f>
        <v>48531.76</v>
      </c>
      <c r="L128" s="139">
        <f t="shared" ref="L128:L131" si="190">K128/F128/12</f>
        <v>404.43133333333338</v>
      </c>
      <c r="M128" s="139">
        <f>IF(J128&gt;0,0,IF(OR(AJ128&gt;AK128,AL128&lt;AM128),0,IF(AND(AL128&gt;=AM128,AL128&lt;=AK128),L128*((AL128-AM128)*12),IF(AND(AM128&lt;=AJ128,AK128&gt;=AJ128),((AK128-AJ128)*12)*L128,IF(AL128&gt;AK128,12*L128,0)))))</f>
        <v>4853.1760000000004</v>
      </c>
      <c r="N128" s="139">
        <f>+L128*22</f>
        <v>8897.4893333333348</v>
      </c>
      <c r="O128" s="139">
        <f t="shared" ref="O128:O131" si="191">IF(J128&gt;0,0,AI128+Z128*AG128)*AG128</f>
        <v>13750.665333333334</v>
      </c>
      <c r="P128" s="151">
        <f t="shared" ref="P128:P131" si="192">((K128-N128)+(K128-O128))/2</f>
        <v>37207.682666666668</v>
      </c>
      <c r="Q128" s="119">
        <f t="shared" ref="Q128:Q131" si="193">IF(J128=0,0,IF(AND(AN128&gt;=AM128,AN128&lt;=AL128),((AN128-AM128)*12)*L128,0))</f>
        <v>0</v>
      </c>
      <c r="R128" s="119">
        <f t="shared" ref="R128:R131" si="194">IF(Q128&gt;0,Q128,M128)</f>
        <v>4853.1760000000004</v>
      </c>
      <c r="S128" s="120">
        <v>1</v>
      </c>
      <c r="T128" s="118"/>
      <c r="U128" s="141"/>
      <c r="V128" s="141">
        <f t="shared" ref="V128:V131" si="195">S128*(M128+Q128)</f>
        <v>4853.1760000000004</v>
      </c>
      <c r="W128" s="141"/>
      <c r="X128" s="141"/>
      <c r="Y128" s="141"/>
      <c r="Z128" s="119">
        <f t="shared" ref="Z128:Z131" si="196">S128*(M128+Q128)</f>
        <v>4853.1760000000004</v>
      </c>
      <c r="AA128" s="118"/>
      <c r="AB128" s="141"/>
      <c r="AC128" s="141">
        <f t="shared" ref="AC128:AC131" si="197">P128*S128</f>
        <v>37207.682666666668</v>
      </c>
      <c r="AD128" s="141"/>
      <c r="AE128" s="141"/>
      <c r="AF128" s="141"/>
      <c r="AG128" s="120">
        <v>1</v>
      </c>
      <c r="AH128" s="119">
        <f t="shared" ref="AH128:AH131" si="198">N128*S128</f>
        <v>8897.4893333333348</v>
      </c>
      <c r="AI128" s="119">
        <f t="shared" ref="AI128:AI131" si="199">AH128*AG128</f>
        <v>8897.4893333333348</v>
      </c>
      <c r="AJ128" s="142">
        <f t="shared" ref="AJ128:AJ131" si="200">$C128+(($B128-1)/12)</f>
        <v>2016.0833333333333</v>
      </c>
      <c r="AK128" s="118">
        <f t="shared" ref="AK128:AK131" si="201">($F$6+1)-($C$6/12)</f>
        <v>2021.6666666666667</v>
      </c>
      <c r="AL128" s="142">
        <f t="shared" ref="AL128:AL131" si="202">$G128+(($B128-1)/12)</f>
        <v>2026.0833333333333</v>
      </c>
      <c r="AM128" s="118">
        <f t="shared" ref="AM128:AM131" si="203">$D$6+($E$6/12)</f>
        <v>2020.25</v>
      </c>
      <c r="AN128" s="118">
        <f t="shared" ref="AN128:AN131" si="204">$I128+(($H128-1)/12)</f>
        <v>-8.3333333333333329E-2</v>
      </c>
      <c r="AO128" s="111"/>
    </row>
    <row r="129" spans="1:41" ht="15.75">
      <c r="A129" s="115" t="s">
        <v>633</v>
      </c>
      <c r="B129" s="121">
        <v>4</v>
      </c>
      <c r="C129" s="121">
        <v>2016</v>
      </c>
      <c r="D129" s="462">
        <v>25161.7</v>
      </c>
      <c r="E129" s="441">
        <v>0</v>
      </c>
      <c r="F129" s="441">
        <v>10</v>
      </c>
      <c r="G129" s="825">
        <f t="shared" si="188"/>
        <v>2026</v>
      </c>
      <c r="H129" s="441"/>
      <c r="I129" s="441"/>
      <c r="J129" s="146"/>
      <c r="K129" s="139">
        <f t="shared" si="189"/>
        <v>25161.7</v>
      </c>
      <c r="L129" s="139">
        <f t="shared" si="190"/>
        <v>209.68083333333334</v>
      </c>
      <c r="M129" s="139">
        <f>IF(J129&gt;0,0,IF(OR(AJ129&gt;AK129,AL129&lt;AM129),0,IF(AND(AL129&gt;=AM129,AL129&lt;=AK129),L129*((AL129-AM129)*12),IF(AND(AM129&lt;=AJ129,AK129&gt;=AJ129),((AK129-AJ129)*12)*L129,IF(AL129&gt;AK129,12*L129,0)))))</f>
        <v>2516.17</v>
      </c>
      <c r="N129" s="139">
        <f>+L129*20</f>
        <v>4193.6166666666668</v>
      </c>
      <c r="O129" s="139">
        <f t="shared" si="191"/>
        <v>6709.7866666666669</v>
      </c>
      <c r="P129" s="151">
        <f t="shared" si="192"/>
        <v>19709.998333333337</v>
      </c>
      <c r="Q129" s="119">
        <f t="shared" si="193"/>
        <v>0</v>
      </c>
      <c r="R129" s="119">
        <f t="shared" si="194"/>
        <v>2516.17</v>
      </c>
      <c r="S129" s="120">
        <v>1</v>
      </c>
      <c r="T129" s="118"/>
      <c r="U129" s="141"/>
      <c r="V129" s="141">
        <f t="shared" si="195"/>
        <v>2516.17</v>
      </c>
      <c r="W129" s="141"/>
      <c r="X129" s="141"/>
      <c r="Y129" s="141"/>
      <c r="Z129" s="119">
        <f t="shared" si="196"/>
        <v>2516.17</v>
      </c>
      <c r="AA129" s="118"/>
      <c r="AB129" s="141"/>
      <c r="AC129" s="141">
        <f t="shared" si="197"/>
        <v>19709.998333333337</v>
      </c>
      <c r="AD129" s="141"/>
      <c r="AE129" s="141"/>
      <c r="AF129" s="141"/>
      <c r="AG129" s="120">
        <v>1</v>
      </c>
      <c r="AH129" s="119">
        <f t="shared" si="198"/>
        <v>4193.6166666666668</v>
      </c>
      <c r="AI129" s="119">
        <f t="shared" si="199"/>
        <v>4193.6166666666668</v>
      </c>
      <c r="AJ129" s="142">
        <f t="shared" si="200"/>
        <v>2016.25</v>
      </c>
      <c r="AK129" s="118">
        <f t="shared" si="201"/>
        <v>2021.6666666666667</v>
      </c>
      <c r="AL129" s="142">
        <f t="shared" si="202"/>
        <v>2026.25</v>
      </c>
      <c r="AM129" s="118">
        <f t="shared" si="203"/>
        <v>2020.25</v>
      </c>
      <c r="AN129" s="118">
        <f t="shared" si="204"/>
        <v>-8.3333333333333329E-2</v>
      </c>
      <c r="AO129" s="111"/>
    </row>
    <row r="130" spans="1:41" ht="15.75">
      <c r="A130" s="115" t="s">
        <v>634</v>
      </c>
      <c r="B130" s="121">
        <v>6</v>
      </c>
      <c r="C130" s="121">
        <v>2016</v>
      </c>
      <c r="D130" s="462">
        <v>36307</v>
      </c>
      <c r="E130" s="441">
        <v>0</v>
      </c>
      <c r="F130" s="441">
        <v>10</v>
      </c>
      <c r="G130" s="825">
        <f t="shared" si="188"/>
        <v>2026</v>
      </c>
      <c r="H130" s="441"/>
      <c r="I130" s="441"/>
      <c r="J130" s="146"/>
      <c r="K130" s="139">
        <f t="shared" si="189"/>
        <v>36307</v>
      </c>
      <c r="L130" s="139">
        <f t="shared" si="190"/>
        <v>302.55833333333334</v>
      </c>
      <c r="M130" s="139">
        <f>IF(J130&gt;0,0,IF(OR(AJ130&gt;AK130,AL130&lt;AM130),0,IF(AND(AL130&gt;=AM130,AL130&lt;=AK130),L130*((AL130-AM130)*12),IF(AND(AM130&lt;=AJ130,AK130&gt;=AJ130),((AK130-AJ130)*12)*L130,IF(AL130&gt;AK130,12*L130,0)))))</f>
        <v>3630.7</v>
      </c>
      <c r="N130" s="139">
        <f>+L130*19</f>
        <v>5748.6083333333336</v>
      </c>
      <c r="O130" s="139">
        <f t="shared" si="191"/>
        <v>9379.3083333333343</v>
      </c>
      <c r="P130" s="151">
        <f t="shared" si="192"/>
        <v>28743.041666666664</v>
      </c>
      <c r="Q130" s="119">
        <f t="shared" si="193"/>
        <v>0</v>
      </c>
      <c r="R130" s="119">
        <f t="shared" si="194"/>
        <v>3630.7</v>
      </c>
      <c r="S130" s="120">
        <v>1</v>
      </c>
      <c r="T130" s="118"/>
      <c r="U130" s="141"/>
      <c r="V130" s="141">
        <f t="shared" si="195"/>
        <v>3630.7</v>
      </c>
      <c r="W130" s="141"/>
      <c r="X130" s="141"/>
      <c r="Y130" s="141"/>
      <c r="Z130" s="119">
        <f t="shared" si="196"/>
        <v>3630.7</v>
      </c>
      <c r="AA130" s="118"/>
      <c r="AB130" s="141"/>
      <c r="AC130" s="141">
        <f t="shared" si="197"/>
        <v>28743.041666666664</v>
      </c>
      <c r="AD130" s="141"/>
      <c r="AE130" s="141"/>
      <c r="AF130" s="141"/>
      <c r="AG130" s="120">
        <v>1</v>
      </c>
      <c r="AH130" s="119">
        <f t="shared" si="198"/>
        <v>5748.6083333333336</v>
      </c>
      <c r="AI130" s="119">
        <f t="shared" si="199"/>
        <v>5748.6083333333336</v>
      </c>
      <c r="AJ130" s="142">
        <f t="shared" si="200"/>
        <v>2016.4166666666667</v>
      </c>
      <c r="AK130" s="118">
        <f t="shared" si="201"/>
        <v>2021.6666666666667</v>
      </c>
      <c r="AL130" s="142">
        <f t="shared" si="202"/>
        <v>2026.4166666666667</v>
      </c>
      <c r="AM130" s="118">
        <f t="shared" si="203"/>
        <v>2020.25</v>
      </c>
      <c r="AN130" s="118">
        <f t="shared" si="204"/>
        <v>-8.3333333333333329E-2</v>
      </c>
      <c r="AO130" s="111"/>
    </row>
    <row r="131" spans="1:41" ht="15.75">
      <c r="A131" s="115" t="s">
        <v>635</v>
      </c>
      <c r="B131" s="121">
        <v>9</v>
      </c>
      <c r="C131" s="121">
        <v>2017</v>
      </c>
      <c r="D131" s="463">
        <v>50342</v>
      </c>
      <c r="E131" s="441">
        <v>0</v>
      </c>
      <c r="F131" s="441">
        <v>10</v>
      </c>
      <c r="G131" s="825">
        <f t="shared" si="188"/>
        <v>2027</v>
      </c>
      <c r="H131" s="441"/>
      <c r="I131" s="441"/>
      <c r="J131" s="146"/>
      <c r="K131" s="145">
        <f t="shared" si="189"/>
        <v>50342</v>
      </c>
      <c r="L131" s="145">
        <f t="shared" si="190"/>
        <v>419.51666666666665</v>
      </c>
      <c r="M131" s="145">
        <f t="shared" ref="M131" si="205">+L131*12</f>
        <v>5034.2</v>
      </c>
      <c r="N131" s="145">
        <f>+L131*4</f>
        <v>1678.0666666666666</v>
      </c>
      <c r="O131" s="145">
        <f t="shared" si="191"/>
        <v>6712.2666666666664</v>
      </c>
      <c r="P131" s="151">
        <f t="shared" si="192"/>
        <v>46146.833333333336</v>
      </c>
      <c r="Q131" s="144">
        <f t="shared" si="193"/>
        <v>0</v>
      </c>
      <c r="R131" s="144">
        <f t="shared" si="194"/>
        <v>5034.2</v>
      </c>
      <c r="S131" s="120">
        <v>1</v>
      </c>
      <c r="T131" s="118"/>
      <c r="U131" s="141"/>
      <c r="V131" s="141">
        <f t="shared" si="195"/>
        <v>5034.2</v>
      </c>
      <c r="W131" s="141"/>
      <c r="X131" s="141"/>
      <c r="Y131" s="141"/>
      <c r="Z131" s="119">
        <f t="shared" si="196"/>
        <v>5034.2</v>
      </c>
      <c r="AA131" s="118"/>
      <c r="AB131" s="141"/>
      <c r="AC131" s="141">
        <f t="shared" si="197"/>
        <v>46146.833333333336</v>
      </c>
      <c r="AD131" s="141"/>
      <c r="AE131" s="141"/>
      <c r="AF131" s="141"/>
      <c r="AG131" s="120">
        <v>1</v>
      </c>
      <c r="AH131" s="119">
        <f t="shared" si="198"/>
        <v>1678.0666666666666</v>
      </c>
      <c r="AI131" s="119">
        <f t="shared" si="199"/>
        <v>1678.0666666666666</v>
      </c>
      <c r="AJ131" s="142">
        <f t="shared" si="200"/>
        <v>2017.6666666666667</v>
      </c>
      <c r="AK131" s="118">
        <f t="shared" si="201"/>
        <v>2021.6666666666667</v>
      </c>
      <c r="AL131" s="142">
        <f t="shared" si="202"/>
        <v>2027.6666666666667</v>
      </c>
      <c r="AM131" s="118">
        <f t="shared" si="203"/>
        <v>2020.25</v>
      </c>
      <c r="AN131" s="118">
        <f t="shared" si="204"/>
        <v>-8.3333333333333329E-2</v>
      </c>
      <c r="AO131" s="111"/>
    </row>
    <row r="132" spans="1:41" ht="15.75">
      <c r="A132" s="121" t="s">
        <v>594</v>
      </c>
      <c r="B132" s="124"/>
      <c r="C132" s="124"/>
      <c r="D132" s="464">
        <f>SUM(D127:D131)</f>
        <v>160342.46000000002</v>
      </c>
      <c r="E132" s="154"/>
      <c r="F132" s="154"/>
      <c r="G132" s="154"/>
      <c r="H132" s="154"/>
      <c r="I132" s="154"/>
      <c r="J132" s="139"/>
      <c r="K132" s="139">
        <f t="shared" ref="K132:R132" si="206">SUM(K127:K131)</f>
        <v>160342.46000000002</v>
      </c>
      <c r="L132" s="139">
        <f t="shared" si="206"/>
        <v>1336.1871666666668</v>
      </c>
      <c r="M132" s="139">
        <f t="shared" si="206"/>
        <v>16034.245999999999</v>
      </c>
      <c r="N132" s="139">
        <f t="shared" si="206"/>
        <v>20517.781000000003</v>
      </c>
      <c r="O132" s="139">
        <f t="shared" si="206"/>
        <v>36552.027000000002</v>
      </c>
      <c r="P132" s="139">
        <f t="shared" si="206"/>
        <v>131807.55600000001</v>
      </c>
      <c r="Q132" s="119">
        <f t="shared" si="206"/>
        <v>0</v>
      </c>
      <c r="R132" s="119">
        <f t="shared" si="206"/>
        <v>16034.245999999999</v>
      </c>
      <c r="S132" s="119"/>
      <c r="T132" s="141">
        <f t="shared" ref="T132:AF132" si="207">SUM(T127:T131)</f>
        <v>0</v>
      </c>
      <c r="U132" s="141">
        <f t="shared" si="207"/>
        <v>0</v>
      </c>
      <c r="V132" s="141">
        <f t="shared" si="207"/>
        <v>16034.245999999999</v>
      </c>
      <c r="W132" s="141">
        <f t="shared" si="207"/>
        <v>0</v>
      </c>
      <c r="X132" s="141">
        <f t="shared" si="207"/>
        <v>0</v>
      </c>
      <c r="Y132" s="141">
        <f t="shared" si="207"/>
        <v>0</v>
      </c>
      <c r="Z132" s="119">
        <f t="shared" si="207"/>
        <v>16034.245999999999</v>
      </c>
      <c r="AA132" s="141">
        <f t="shared" si="207"/>
        <v>0</v>
      </c>
      <c r="AB132" s="141">
        <f t="shared" si="207"/>
        <v>0</v>
      </c>
      <c r="AC132" s="141">
        <f t="shared" si="207"/>
        <v>131807.55600000001</v>
      </c>
      <c r="AD132" s="141">
        <f t="shared" si="207"/>
        <v>0</v>
      </c>
      <c r="AE132" s="141">
        <f t="shared" si="207"/>
        <v>0</v>
      </c>
      <c r="AF132" s="141">
        <f t="shared" si="207"/>
        <v>0</v>
      </c>
      <c r="AG132" s="119"/>
      <c r="AH132" s="119">
        <f>SUM(AH127:AH131)</f>
        <v>20517.781000000003</v>
      </c>
      <c r="AI132" s="119">
        <f>SUM(AI127:AI131)</f>
        <v>20517.781000000003</v>
      </c>
      <c r="AJ132" s="142"/>
      <c r="AK132" s="118"/>
      <c r="AL132" s="142"/>
      <c r="AM132" s="118"/>
      <c r="AN132" s="118"/>
      <c r="AO132" s="111"/>
    </row>
    <row r="133" spans="1:41" ht="15.75">
      <c r="A133" s="121"/>
      <c r="B133" s="124"/>
      <c r="C133" s="124"/>
      <c r="D133" s="465"/>
      <c r="E133" s="443"/>
      <c r="F133" s="441"/>
      <c r="G133" s="441"/>
      <c r="H133" s="441"/>
      <c r="I133" s="441"/>
      <c r="J133" s="442"/>
      <c r="K133" s="442"/>
      <c r="L133" s="146"/>
      <c r="M133" s="146"/>
      <c r="N133" s="146"/>
      <c r="O133" s="146"/>
      <c r="P133" s="146"/>
      <c r="Q133" s="137"/>
      <c r="R133" s="137"/>
      <c r="S133" s="138"/>
      <c r="T133" s="149"/>
      <c r="U133" s="150"/>
      <c r="V133" s="150"/>
      <c r="W133" s="150"/>
      <c r="X133" s="150"/>
      <c r="Y133" s="150"/>
      <c r="Z133" s="137"/>
      <c r="AA133" s="149"/>
      <c r="AB133" s="149"/>
      <c r="AC133" s="149"/>
      <c r="AD133" s="149"/>
      <c r="AE133" s="149"/>
      <c r="AF133" s="149"/>
      <c r="AG133" s="138"/>
      <c r="AH133" s="138"/>
      <c r="AI133" s="138"/>
      <c r="AJ133" s="138"/>
      <c r="AK133" s="138"/>
      <c r="AL133" s="138"/>
      <c r="AM133" s="138"/>
      <c r="AN133" s="138"/>
      <c r="AO133" s="111"/>
    </row>
    <row r="134" spans="1:41" ht="15.75">
      <c r="A134" s="134" t="s">
        <v>636</v>
      </c>
      <c r="B134" s="121"/>
      <c r="C134" s="121"/>
      <c r="D134" s="465"/>
      <c r="E134" s="443"/>
      <c r="F134" s="441"/>
      <c r="G134" s="441"/>
      <c r="H134" s="441"/>
      <c r="I134" s="441"/>
      <c r="J134" s="442"/>
      <c r="K134" s="442"/>
      <c r="L134" s="146"/>
      <c r="M134" s="146"/>
      <c r="N134" s="146"/>
      <c r="O134" s="146"/>
      <c r="P134" s="146"/>
      <c r="Q134" s="137"/>
      <c r="R134" s="137"/>
      <c r="S134" s="138"/>
      <c r="T134" s="149"/>
      <c r="U134" s="150"/>
      <c r="V134" s="150"/>
      <c r="W134" s="150"/>
      <c r="X134" s="150"/>
      <c r="Y134" s="150"/>
      <c r="Z134" s="137"/>
      <c r="AA134" s="149"/>
      <c r="AB134" s="149"/>
      <c r="AC134" s="149"/>
      <c r="AD134" s="149"/>
      <c r="AE134" s="149"/>
      <c r="AF134" s="149"/>
      <c r="AG134" s="138"/>
      <c r="AH134" s="138"/>
      <c r="AI134" s="138"/>
      <c r="AJ134" s="138"/>
      <c r="AK134" s="138"/>
      <c r="AL134" s="138"/>
      <c r="AM134" s="138"/>
      <c r="AN134" s="138"/>
      <c r="AO134" s="111"/>
    </row>
    <row r="135" spans="1:41" ht="15.75">
      <c r="A135" s="134" t="s">
        <v>637</v>
      </c>
      <c r="B135" s="121"/>
      <c r="C135" s="121"/>
      <c r="D135" s="462"/>
      <c r="E135" s="441"/>
      <c r="F135" s="441"/>
      <c r="G135" s="154"/>
      <c r="H135" s="441"/>
      <c r="I135" s="441"/>
      <c r="J135" s="146"/>
      <c r="K135" s="139"/>
      <c r="L135" s="139"/>
      <c r="M135" s="139"/>
      <c r="N135" s="139"/>
      <c r="O135" s="139"/>
      <c r="P135" s="139"/>
      <c r="Q135" s="119"/>
      <c r="R135" s="119"/>
      <c r="S135" s="120"/>
      <c r="T135" s="141"/>
      <c r="U135" s="141"/>
      <c r="V135" s="141"/>
      <c r="W135" s="141"/>
      <c r="X135" s="141"/>
      <c r="Y135" s="141"/>
      <c r="Z135" s="119"/>
      <c r="AA135" s="141"/>
      <c r="AB135" s="141"/>
      <c r="AC135" s="141"/>
      <c r="AD135" s="141"/>
      <c r="AE135" s="141"/>
      <c r="AF135" s="141"/>
      <c r="AG135" s="120"/>
      <c r="AH135" s="119"/>
      <c r="AI135" s="119"/>
      <c r="AJ135" s="142"/>
      <c r="AK135" s="118"/>
      <c r="AL135" s="142"/>
      <c r="AM135" s="118"/>
      <c r="AN135" s="118"/>
      <c r="AO135" s="111"/>
    </row>
    <row r="136" spans="1:41" ht="15.75">
      <c r="A136" s="115" t="s">
        <v>638</v>
      </c>
      <c r="B136" s="121">
        <v>4</v>
      </c>
      <c r="C136" s="121">
        <v>2016</v>
      </c>
      <c r="D136" s="462">
        <f>5537.7+5920.21</f>
        <v>11457.91</v>
      </c>
      <c r="E136" s="441">
        <v>0</v>
      </c>
      <c r="F136" s="441">
        <v>10</v>
      </c>
      <c r="G136" s="825">
        <f t="shared" ref="G136:G140" si="208">C136+F136</f>
        <v>2026</v>
      </c>
      <c r="H136" s="441"/>
      <c r="I136" s="441"/>
      <c r="J136" s="146"/>
      <c r="K136" s="139">
        <f t="shared" ref="K136:K140" si="209">D136-D136*E136</f>
        <v>11457.91</v>
      </c>
      <c r="L136" s="139">
        <f t="shared" ref="L136:L140" si="210">K136/F136/12</f>
        <v>95.482583333333324</v>
      </c>
      <c r="M136" s="139">
        <f t="shared" ref="M136:M140" si="211">IF(J136&gt;0,0,IF(OR(AJ136&gt;AK136,AL136&lt;AM136),0,IF(AND(AL136&gt;=AM136,AL136&lt;=AK136),L136*((AL136-AM136)*12),IF(AND(AM136&lt;=AJ136,AK136&gt;=AJ136),((AK136-AJ136)*12)*L136,IF(AL136&gt;AK136,12*L136,0)))))</f>
        <v>1145.7909999999999</v>
      </c>
      <c r="N136" s="139">
        <f>+L136*21</f>
        <v>2005.1342499999998</v>
      </c>
      <c r="O136" s="139">
        <f t="shared" ref="O136:O140" si="212">IF(J136&gt;0,0,AI136+Z136*AG136)*AG136</f>
        <v>3150.9252499999998</v>
      </c>
      <c r="P136" s="139">
        <f t="shared" ref="P136:P140" si="213">((K136-N136)+(K136-O136))/2</f>
        <v>8879.8802500000002</v>
      </c>
      <c r="Q136" s="119">
        <f t="shared" ref="Q136:Q140" si="214">IF(J136=0,0,IF(AND(AN136&gt;=AM136,AN136&lt;=AL136),((AN136-AM136)*12)*L136,0))</f>
        <v>0</v>
      </c>
      <c r="R136" s="119">
        <f t="shared" ref="R136:R140" si="215">IF(Q136&gt;0,Q136,M136)</f>
        <v>1145.7909999999999</v>
      </c>
      <c r="S136" s="120">
        <v>1</v>
      </c>
      <c r="T136" s="141">
        <f t="shared" ref="T136:T140" si="216">S136*(M136+Q136)</f>
        <v>1145.7909999999999</v>
      </c>
      <c r="U136" s="141"/>
      <c r="V136" s="141"/>
      <c r="W136" s="141"/>
      <c r="X136" s="141"/>
      <c r="Y136" s="141"/>
      <c r="Z136" s="119">
        <f t="shared" ref="Z136:Z140" si="217">S136*(M136+Q136)</f>
        <v>1145.7909999999999</v>
      </c>
      <c r="AA136" s="141">
        <f t="shared" ref="AA136:AA140" si="218">P136*S136</f>
        <v>8879.8802500000002</v>
      </c>
      <c r="AB136" s="141"/>
      <c r="AC136" s="141"/>
      <c r="AD136" s="141"/>
      <c r="AE136" s="141"/>
      <c r="AF136" s="141"/>
      <c r="AG136" s="120">
        <v>1</v>
      </c>
      <c r="AH136" s="119">
        <f t="shared" ref="AH136:AH140" si="219">N136*S136</f>
        <v>2005.1342499999998</v>
      </c>
      <c r="AI136" s="119">
        <f t="shared" ref="AI136:AI140" si="220">AH136*AG136</f>
        <v>2005.1342499999998</v>
      </c>
      <c r="AJ136" s="142">
        <f t="shared" ref="AJ136:AJ140" si="221">$C136+(($B136-1)/12)</f>
        <v>2016.25</v>
      </c>
      <c r="AK136" s="118">
        <f t="shared" ref="AK136:AK140" si="222">($F$6+1)-($C$6/12)</f>
        <v>2021.6666666666667</v>
      </c>
      <c r="AL136" s="142">
        <f t="shared" ref="AL136:AL140" si="223">$G136+(($B136-1)/12)</f>
        <v>2026.25</v>
      </c>
      <c r="AM136" s="118">
        <f t="shared" ref="AM136:AM140" si="224">$D$6+($E$6/12)</f>
        <v>2020.25</v>
      </c>
      <c r="AN136" s="118">
        <f t="shared" ref="AN136:AN140" si="225">$I136+(($H136-1)/12)</f>
        <v>-8.3333333333333329E-2</v>
      </c>
      <c r="AO136" s="111"/>
    </row>
    <row r="137" spans="1:41" ht="15.75">
      <c r="A137" s="115" t="s">
        <v>639</v>
      </c>
      <c r="B137" s="121">
        <v>6</v>
      </c>
      <c r="C137" s="121">
        <v>2016</v>
      </c>
      <c r="D137" s="462">
        <f>19095.36+5813.58+11508.08+4220.41+2077.71</f>
        <v>42715.140000000007</v>
      </c>
      <c r="E137" s="441">
        <v>0</v>
      </c>
      <c r="F137" s="441">
        <v>10</v>
      </c>
      <c r="G137" s="825">
        <f t="shared" si="208"/>
        <v>2026</v>
      </c>
      <c r="H137" s="441"/>
      <c r="I137" s="441"/>
      <c r="J137" s="146"/>
      <c r="K137" s="139">
        <f t="shared" si="209"/>
        <v>42715.140000000007</v>
      </c>
      <c r="L137" s="139">
        <f t="shared" si="210"/>
        <v>355.95950000000011</v>
      </c>
      <c r="M137" s="139">
        <f t="shared" si="211"/>
        <v>4271.514000000001</v>
      </c>
      <c r="N137" s="139">
        <f>+L137*19</f>
        <v>6763.2305000000024</v>
      </c>
      <c r="O137" s="139">
        <f t="shared" si="212"/>
        <v>11034.744500000004</v>
      </c>
      <c r="P137" s="139">
        <f t="shared" si="213"/>
        <v>33816.152500000004</v>
      </c>
      <c r="Q137" s="119">
        <f t="shared" si="214"/>
        <v>0</v>
      </c>
      <c r="R137" s="119">
        <f t="shared" si="215"/>
        <v>4271.514000000001</v>
      </c>
      <c r="S137" s="120">
        <v>1</v>
      </c>
      <c r="T137" s="141">
        <f t="shared" si="216"/>
        <v>4271.514000000001</v>
      </c>
      <c r="U137" s="141"/>
      <c r="V137" s="141"/>
      <c r="W137" s="141"/>
      <c r="X137" s="141"/>
      <c r="Y137" s="141"/>
      <c r="Z137" s="119">
        <f t="shared" si="217"/>
        <v>4271.514000000001</v>
      </c>
      <c r="AA137" s="141">
        <f t="shared" si="218"/>
        <v>33816.152500000004</v>
      </c>
      <c r="AB137" s="141"/>
      <c r="AC137" s="141"/>
      <c r="AD137" s="141"/>
      <c r="AE137" s="141"/>
      <c r="AF137" s="141"/>
      <c r="AG137" s="120">
        <v>1</v>
      </c>
      <c r="AH137" s="119">
        <f t="shared" si="219"/>
        <v>6763.2305000000024</v>
      </c>
      <c r="AI137" s="119">
        <f t="shared" si="220"/>
        <v>6763.2305000000024</v>
      </c>
      <c r="AJ137" s="142">
        <f t="shared" si="221"/>
        <v>2016.4166666666667</v>
      </c>
      <c r="AK137" s="118">
        <f t="shared" si="222"/>
        <v>2021.6666666666667</v>
      </c>
      <c r="AL137" s="142">
        <f t="shared" si="223"/>
        <v>2026.4166666666667</v>
      </c>
      <c r="AM137" s="118">
        <f t="shared" si="224"/>
        <v>2020.25</v>
      </c>
      <c r="AN137" s="118">
        <f t="shared" si="225"/>
        <v>-8.3333333333333329E-2</v>
      </c>
      <c r="AO137" s="111"/>
    </row>
    <row r="138" spans="1:41" ht="15.75">
      <c r="A138" s="115" t="s">
        <v>640</v>
      </c>
      <c r="B138" s="121">
        <v>9</v>
      </c>
      <c r="C138" s="121">
        <v>2016</v>
      </c>
      <c r="D138" s="462">
        <v>35992.32</v>
      </c>
      <c r="E138" s="441">
        <v>0</v>
      </c>
      <c r="F138" s="441">
        <v>10</v>
      </c>
      <c r="G138" s="825">
        <f t="shared" si="208"/>
        <v>2026</v>
      </c>
      <c r="H138" s="441"/>
      <c r="I138" s="441"/>
      <c r="J138" s="146"/>
      <c r="K138" s="139">
        <f t="shared" si="209"/>
        <v>35992.32</v>
      </c>
      <c r="L138" s="139">
        <f t="shared" si="210"/>
        <v>299.93599999999998</v>
      </c>
      <c r="M138" s="139">
        <f t="shared" si="211"/>
        <v>3599.232</v>
      </c>
      <c r="N138" s="139">
        <f>+L138*16</f>
        <v>4798.9759999999997</v>
      </c>
      <c r="O138" s="139">
        <f t="shared" si="212"/>
        <v>8398.2079999999987</v>
      </c>
      <c r="P138" s="139">
        <f t="shared" si="213"/>
        <v>29393.728000000003</v>
      </c>
      <c r="Q138" s="119">
        <f t="shared" si="214"/>
        <v>0</v>
      </c>
      <c r="R138" s="119">
        <f t="shared" si="215"/>
        <v>3599.232</v>
      </c>
      <c r="S138" s="120">
        <v>1</v>
      </c>
      <c r="T138" s="141">
        <f t="shared" si="216"/>
        <v>3599.232</v>
      </c>
      <c r="U138" s="141"/>
      <c r="V138" s="141"/>
      <c r="W138" s="141"/>
      <c r="X138" s="141"/>
      <c r="Y138" s="141"/>
      <c r="Z138" s="119">
        <f t="shared" si="217"/>
        <v>3599.232</v>
      </c>
      <c r="AA138" s="141">
        <f t="shared" si="218"/>
        <v>29393.728000000003</v>
      </c>
      <c r="AB138" s="141"/>
      <c r="AC138" s="141"/>
      <c r="AD138" s="141"/>
      <c r="AE138" s="141"/>
      <c r="AF138" s="141"/>
      <c r="AG138" s="120">
        <v>1</v>
      </c>
      <c r="AH138" s="119">
        <f t="shared" si="219"/>
        <v>4798.9759999999997</v>
      </c>
      <c r="AI138" s="119">
        <f t="shared" si="220"/>
        <v>4798.9759999999997</v>
      </c>
      <c r="AJ138" s="142">
        <f t="shared" si="221"/>
        <v>2016.6666666666667</v>
      </c>
      <c r="AK138" s="118">
        <f t="shared" si="222"/>
        <v>2021.6666666666667</v>
      </c>
      <c r="AL138" s="142">
        <f t="shared" si="223"/>
        <v>2026.6666666666667</v>
      </c>
      <c r="AM138" s="118">
        <f t="shared" si="224"/>
        <v>2020.25</v>
      </c>
      <c r="AN138" s="118">
        <f t="shared" si="225"/>
        <v>-8.3333333333333329E-2</v>
      </c>
      <c r="AO138" s="111"/>
    </row>
    <row r="139" spans="1:41" ht="15.75">
      <c r="A139" s="115" t="s">
        <v>640</v>
      </c>
      <c r="B139" s="121">
        <v>10</v>
      </c>
      <c r="C139" s="121">
        <v>2016</v>
      </c>
      <c r="D139" s="462">
        <v>49913.14</v>
      </c>
      <c r="E139" s="441">
        <v>0</v>
      </c>
      <c r="F139" s="441">
        <v>10</v>
      </c>
      <c r="G139" s="825">
        <f t="shared" si="208"/>
        <v>2026</v>
      </c>
      <c r="H139" s="441"/>
      <c r="I139" s="441"/>
      <c r="J139" s="146"/>
      <c r="K139" s="139">
        <f t="shared" si="209"/>
        <v>49913.14</v>
      </c>
      <c r="L139" s="139">
        <f t="shared" si="210"/>
        <v>415.94283333333334</v>
      </c>
      <c r="M139" s="139">
        <f t="shared" si="211"/>
        <v>4991.3140000000003</v>
      </c>
      <c r="N139" s="139">
        <f>+L139*15</f>
        <v>6239.1424999999999</v>
      </c>
      <c r="O139" s="139">
        <f t="shared" si="212"/>
        <v>11230.4565</v>
      </c>
      <c r="P139" s="139">
        <f t="shared" si="213"/>
        <v>41178.340499999998</v>
      </c>
      <c r="Q139" s="119">
        <f t="shared" si="214"/>
        <v>0</v>
      </c>
      <c r="R139" s="119">
        <f t="shared" si="215"/>
        <v>4991.3140000000003</v>
      </c>
      <c r="S139" s="120">
        <v>1</v>
      </c>
      <c r="T139" s="141">
        <f t="shared" si="216"/>
        <v>4991.3140000000003</v>
      </c>
      <c r="U139" s="141"/>
      <c r="V139" s="141"/>
      <c r="W139" s="141"/>
      <c r="X139" s="141"/>
      <c r="Y139" s="141"/>
      <c r="Z139" s="119">
        <f t="shared" si="217"/>
        <v>4991.3140000000003</v>
      </c>
      <c r="AA139" s="141">
        <f t="shared" si="218"/>
        <v>41178.340499999998</v>
      </c>
      <c r="AB139" s="141"/>
      <c r="AC139" s="141"/>
      <c r="AD139" s="141"/>
      <c r="AE139" s="141"/>
      <c r="AF139" s="141"/>
      <c r="AG139" s="120">
        <v>1</v>
      </c>
      <c r="AH139" s="119">
        <f t="shared" si="219"/>
        <v>6239.1424999999999</v>
      </c>
      <c r="AI139" s="119">
        <f t="shared" si="220"/>
        <v>6239.1424999999999</v>
      </c>
      <c r="AJ139" s="142">
        <f t="shared" si="221"/>
        <v>2016.75</v>
      </c>
      <c r="AK139" s="118">
        <f t="shared" si="222"/>
        <v>2021.6666666666667</v>
      </c>
      <c r="AL139" s="142">
        <f t="shared" si="223"/>
        <v>2026.75</v>
      </c>
      <c r="AM139" s="118">
        <f t="shared" si="224"/>
        <v>2020.25</v>
      </c>
      <c r="AN139" s="118">
        <f t="shared" si="225"/>
        <v>-8.3333333333333329E-2</v>
      </c>
      <c r="AO139" s="111"/>
    </row>
    <row r="140" spans="1:41" ht="15.75">
      <c r="A140" s="115" t="s">
        <v>640</v>
      </c>
      <c r="B140" s="121">
        <v>11</v>
      </c>
      <c r="C140" s="121">
        <v>2016</v>
      </c>
      <c r="D140" s="463">
        <v>1078</v>
      </c>
      <c r="E140" s="441">
        <v>0</v>
      </c>
      <c r="F140" s="441">
        <v>10</v>
      </c>
      <c r="G140" s="825">
        <f t="shared" si="208"/>
        <v>2026</v>
      </c>
      <c r="H140" s="441"/>
      <c r="I140" s="441"/>
      <c r="J140" s="146"/>
      <c r="K140" s="145">
        <f t="shared" si="209"/>
        <v>1078</v>
      </c>
      <c r="L140" s="145">
        <f t="shared" si="210"/>
        <v>8.9833333333333325</v>
      </c>
      <c r="M140" s="145">
        <f t="shared" si="211"/>
        <v>107.79999999999998</v>
      </c>
      <c r="N140" s="145">
        <f>+L140*14</f>
        <v>125.76666666666665</v>
      </c>
      <c r="O140" s="145">
        <f t="shared" si="212"/>
        <v>233.56666666666663</v>
      </c>
      <c r="P140" s="145">
        <f t="shared" si="213"/>
        <v>898.33333333333337</v>
      </c>
      <c r="Q140" s="119">
        <f t="shared" si="214"/>
        <v>0</v>
      </c>
      <c r="R140" s="119">
        <f t="shared" si="215"/>
        <v>107.79999999999998</v>
      </c>
      <c r="S140" s="120">
        <v>1</v>
      </c>
      <c r="T140" s="141">
        <f t="shared" si="216"/>
        <v>107.79999999999998</v>
      </c>
      <c r="U140" s="141"/>
      <c r="V140" s="141"/>
      <c r="W140" s="141"/>
      <c r="X140" s="141"/>
      <c r="Y140" s="141"/>
      <c r="Z140" s="119">
        <f t="shared" si="217"/>
        <v>107.79999999999998</v>
      </c>
      <c r="AA140" s="141">
        <f t="shared" si="218"/>
        <v>898.33333333333337</v>
      </c>
      <c r="AB140" s="141"/>
      <c r="AC140" s="141"/>
      <c r="AD140" s="141"/>
      <c r="AE140" s="141"/>
      <c r="AF140" s="141"/>
      <c r="AG140" s="120">
        <v>1</v>
      </c>
      <c r="AH140" s="119">
        <f t="shared" si="219"/>
        <v>125.76666666666665</v>
      </c>
      <c r="AI140" s="119">
        <f t="shared" si="220"/>
        <v>125.76666666666665</v>
      </c>
      <c r="AJ140" s="142">
        <f t="shared" si="221"/>
        <v>2016.8333333333333</v>
      </c>
      <c r="AK140" s="118">
        <f t="shared" si="222"/>
        <v>2021.6666666666667</v>
      </c>
      <c r="AL140" s="142">
        <f t="shared" si="223"/>
        <v>2026.8333333333333</v>
      </c>
      <c r="AM140" s="118">
        <f t="shared" si="224"/>
        <v>2020.25</v>
      </c>
      <c r="AN140" s="118">
        <f t="shared" si="225"/>
        <v>-8.3333333333333329E-2</v>
      </c>
      <c r="AO140" s="111"/>
    </row>
    <row r="141" spans="1:41" ht="15.75">
      <c r="A141" s="121" t="s">
        <v>641</v>
      </c>
      <c r="B141" s="124"/>
      <c r="C141" s="124"/>
      <c r="D141" s="464">
        <f>SUM(D135:D140)</f>
        <v>141156.51</v>
      </c>
      <c r="E141" s="154"/>
      <c r="F141" s="154"/>
      <c r="G141" s="154"/>
      <c r="H141" s="154"/>
      <c r="I141" s="154"/>
      <c r="J141" s="139"/>
      <c r="K141" s="139">
        <f t="shared" ref="K141:R141" si="226">SUM(K135:K140)</f>
        <v>141156.51</v>
      </c>
      <c r="L141" s="139">
        <f t="shared" si="226"/>
        <v>1176.3042500000001</v>
      </c>
      <c r="M141" s="139">
        <f t="shared" si="226"/>
        <v>14115.651</v>
      </c>
      <c r="N141" s="139">
        <f t="shared" si="226"/>
        <v>19932.249916666671</v>
      </c>
      <c r="O141" s="139">
        <f t="shared" si="226"/>
        <v>34047.900916666666</v>
      </c>
      <c r="P141" s="139">
        <f t="shared" si="226"/>
        <v>114166.43458333334</v>
      </c>
      <c r="Q141" s="119">
        <f t="shared" si="226"/>
        <v>0</v>
      </c>
      <c r="R141" s="119">
        <f t="shared" si="226"/>
        <v>14115.651</v>
      </c>
      <c r="S141" s="119"/>
      <c r="T141" s="141">
        <f>SUM(T135:T140)</f>
        <v>14115.651</v>
      </c>
      <c r="U141" s="141"/>
      <c r="V141" s="141"/>
      <c r="W141" s="141"/>
      <c r="X141" s="141"/>
      <c r="Y141" s="141"/>
      <c r="Z141" s="119">
        <f t="shared" ref="Z141:AF141" si="227">SUM(Z135:Z140)</f>
        <v>14115.651</v>
      </c>
      <c r="AA141" s="141">
        <f t="shared" si="227"/>
        <v>114166.43458333334</v>
      </c>
      <c r="AB141" s="141">
        <f t="shared" si="227"/>
        <v>0</v>
      </c>
      <c r="AC141" s="141">
        <f t="shared" si="227"/>
        <v>0</v>
      </c>
      <c r="AD141" s="141">
        <f t="shared" si="227"/>
        <v>0</v>
      </c>
      <c r="AE141" s="141">
        <f t="shared" si="227"/>
        <v>0</v>
      </c>
      <c r="AF141" s="141">
        <f t="shared" si="227"/>
        <v>0</v>
      </c>
      <c r="AG141" s="119"/>
      <c r="AH141" s="119">
        <f>SUM(AH135:AH140)</f>
        <v>19932.249916666671</v>
      </c>
      <c r="AI141" s="119">
        <f>SUM(AI135:AI140)</f>
        <v>19932.249916666671</v>
      </c>
      <c r="AJ141" s="142"/>
      <c r="AK141" s="118"/>
      <c r="AL141" s="142"/>
      <c r="AM141" s="118"/>
      <c r="AN141" s="118"/>
      <c r="AO141" s="111"/>
    </row>
    <row r="142" spans="1:41" ht="15.75">
      <c r="A142" s="121"/>
      <c r="B142" s="124"/>
      <c r="C142" s="124"/>
      <c r="D142" s="465"/>
      <c r="E142" s="443"/>
      <c r="F142" s="441"/>
      <c r="G142" s="441"/>
      <c r="H142" s="441"/>
      <c r="I142" s="441"/>
      <c r="J142" s="442"/>
      <c r="K142" s="442"/>
      <c r="L142" s="146"/>
      <c r="M142" s="146"/>
      <c r="N142" s="146"/>
      <c r="O142" s="146"/>
      <c r="P142" s="146"/>
      <c r="Q142" s="137"/>
      <c r="R142" s="137"/>
      <c r="S142" s="138"/>
      <c r="T142" s="149"/>
      <c r="U142" s="150"/>
      <c r="V142" s="150"/>
      <c r="W142" s="150"/>
      <c r="X142" s="150"/>
      <c r="Y142" s="150"/>
      <c r="Z142" s="137"/>
      <c r="AA142" s="149"/>
      <c r="AB142" s="149"/>
      <c r="AC142" s="149"/>
      <c r="AD142" s="149"/>
      <c r="AE142" s="149"/>
      <c r="AF142" s="149"/>
      <c r="AG142" s="138"/>
      <c r="AH142" s="138"/>
      <c r="AI142" s="138"/>
      <c r="AJ142" s="138"/>
      <c r="AK142" s="138"/>
      <c r="AL142" s="138"/>
      <c r="AM142" s="138"/>
      <c r="AN142" s="138"/>
      <c r="AO142" s="111"/>
    </row>
    <row r="143" spans="1:41" ht="15.75">
      <c r="A143" s="134" t="s">
        <v>642</v>
      </c>
      <c r="B143" s="121"/>
      <c r="C143" s="121"/>
      <c r="D143" s="465"/>
      <c r="E143" s="443"/>
      <c r="F143" s="441"/>
      <c r="G143" s="441"/>
      <c r="H143" s="441"/>
      <c r="I143" s="441"/>
      <c r="J143" s="442"/>
      <c r="K143" s="442"/>
      <c r="L143" s="146"/>
      <c r="M143" s="146"/>
      <c r="N143" s="146"/>
      <c r="O143" s="146"/>
      <c r="P143" s="146"/>
      <c r="Q143" s="137"/>
      <c r="R143" s="137"/>
      <c r="S143" s="138"/>
      <c r="T143" s="149"/>
      <c r="U143" s="150"/>
      <c r="V143" s="150"/>
      <c r="W143" s="150"/>
      <c r="X143" s="150"/>
      <c r="Y143" s="150"/>
      <c r="Z143" s="137"/>
      <c r="AA143" s="149"/>
      <c r="AB143" s="149"/>
      <c r="AC143" s="149"/>
      <c r="AD143" s="149"/>
      <c r="AE143" s="149"/>
      <c r="AF143" s="149"/>
      <c r="AG143" s="138"/>
      <c r="AH143" s="138"/>
      <c r="AI143" s="138"/>
      <c r="AJ143" s="138"/>
      <c r="AK143" s="138"/>
      <c r="AL143" s="138"/>
      <c r="AM143" s="138"/>
      <c r="AN143" s="138"/>
      <c r="AO143" s="111"/>
    </row>
    <row r="144" spans="1:41" ht="15.75">
      <c r="A144" s="134" t="s">
        <v>643</v>
      </c>
      <c r="B144" s="121">
        <v>7</v>
      </c>
      <c r="C144" s="121">
        <v>1994</v>
      </c>
      <c r="D144" s="462">
        <v>108382</v>
      </c>
      <c r="E144" s="441">
        <v>0</v>
      </c>
      <c r="F144" s="441">
        <v>10</v>
      </c>
      <c r="G144" s="825">
        <f>C144+F144</f>
        <v>2004</v>
      </c>
      <c r="H144" s="441"/>
      <c r="I144" s="441"/>
      <c r="J144" s="146"/>
      <c r="K144" s="139">
        <f>D144-D144*E144</f>
        <v>108382</v>
      </c>
      <c r="L144" s="139">
        <f t="shared" ref="L144:L145" si="228">K144/F144/12</f>
        <v>903.18333333333339</v>
      </c>
      <c r="M144" s="139">
        <f>IF(J144&gt;0,0,IF(OR(AJ144&gt;AK144,AL144&lt;AM144),0,IF(AND(AL144&gt;=AM144,AL144&lt;=AK144),L144*((AL144-AM144)*12),IF(AND(AM144&lt;=AJ144,AK144&gt;=AJ144),((AK144-AJ144)*12)*L144,IF(AL144&gt;AK144,12*L144,0)))))</f>
        <v>0</v>
      </c>
      <c r="N144" s="139">
        <f>IF(AJ144&gt;AK144,0,IF(AL144&lt;AM144,K144,IF(AND(AL144&gt;=AM144,AL144&lt;=AK144),(K144-R144),IF(AND(AM144&lt;=AJ144,AK144&gt;=AJ144),0,IF(AL144&gt;AK144,((AM144-AJ144)*12)*L144,0)))))</f>
        <v>108382</v>
      </c>
      <c r="O144" s="139">
        <f>IF(J144&gt;0,0,AI144+Z144*AG144)*AG144</f>
        <v>108382</v>
      </c>
      <c r="P144" s="139">
        <f>IF(J144&gt;0,(D144-AI144)/2,IF(AJ144&gt;=AM144,(((D144*S144)*AG144)-O144)/2,((((D144*S144)*AG144)-AI144)+(((D144*S144)*AG144)-O144))/2))</f>
        <v>0</v>
      </c>
      <c r="Q144" s="119">
        <f>IF(J144=0,0,IF(AND(AN144&gt;=AM144,AN144&lt;=AL144),((AN144-AM144)*12)*L144,0))</f>
        <v>0</v>
      </c>
      <c r="R144" s="119">
        <f t="shared" ref="R144:R145" si="229">IF(Q144&gt;0,Q144,M144)</f>
        <v>0</v>
      </c>
      <c r="S144" s="120">
        <v>1</v>
      </c>
      <c r="T144" s="141">
        <f t="shared" ref="T144:Y144" si="230">$S$144*($M$144+$Q$144)*T9</f>
        <v>0</v>
      </c>
      <c r="U144" s="141">
        <f t="shared" si="230"/>
        <v>0</v>
      </c>
      <c r="V144" s="141">
        <f t="shared" si="230"/>
        <v>0</v>
      </c>
      <c r="W144" s="141">
        <f t="shared" si="230"/>
        <v>0</v>
      </c>
      <c r="X144" s="141">
        <f t="shared" si="230"/>
        <v>0</v>
      </c>
      <c r="Y144" s="141">
        <f t="shared" si="230"/>
        <v>0</v>
      </c>
      <c r="Z144" s="119">
        <f t="shared" ref="Z144:Z145" si="231">S144*(M144+Q144)</f>
        <v>0</v>
      </c>
      <c r="AA144" s="141">
        <f t="shared" ref="AA144:AF144" si="232">$P$144*$S$144*AA9</f>
        <v>0</v>
      </c>
      <c r="AB144" s="141">
        <f t="shared" si="232"/>
        <v>0</v>
      </c>
      <c r="AC144" s="141">
        <f t="shared" si="232"/>
        <v>0</v>
      </c>
      <c r="AD144" s="141">
        <f t="shared" si="232"/>
        <v>0</v>
      </c>
      <c r="AE144" s="141">
        <f t="shared" si="232"/>
        <v>0</v>
      </c>
      <c r="AF144" s="141">
        <f t="shared" si="232"/>
        <v>0</v>
      </c>
      <c r="AG144" s="120">
        <v>1</v>
      </c>
      <c r="AH144" s="119">
        <f>N144*S144</f>
        <v>108382</v>
      </c>
      <c r="AI144" s="119">
        <f>AH144*AG144</f>
        <v>108382</v>
      </c>
      <c r="AJ144" s="142">
        <f t="shared" ref="AJ144:AJ145" si="233">$C144+(($B144-1)/12)</f>
        <v>1994.5</v>
      </c>
      <c r="AK144" s="118">
        <f t="shared" ref="AK144:AK145" si="234">($F$6+1)-($C$6/12)</f>
        <v>2021.6666666666667</v>
      </c>
      <c r="AL144" s="142">
        <f t="shared" ref="AL144:AL145" si="235">$G144+(($B144-1)/12)</f>
        <v>2004.5</v>
      </c>
      <c r="AM144" s="118">
        <f t="shared" ref="AM144:AM145" si="236">$D$6+($E$6/12)</f>
        <v>2020.25</v>
      </c>
      <c r="AN144" s="118">
        <f t="shared" ref="AN144:AN145" si="237">$I144+(($H144-1)/12)</f>
        <v>-8.3333333333333329E-2</v>
      </c>
      <c r="AO144" s="111"/>
    </row>
    <row r="145" spans="1:41" ht="15.75">
      <c r="A145" s="152" t="s">
        <v>644</v>
      </c>
      <c r="B145" s="121">
        <v>7</v>
      </c>
      <c r="C145" s="121">
        <v>2013</v>
      </c>
      <c r="D145" s="463">
        <v>43489</v>
      </c>
      <c r="E145" s="441">
        <v>0</v>
      </c>
      <c r="F145" s="441">
        <v>10</v>
      </c>
      <c r="G145" s="825">
        <f>C145+F145</f>
        <v>2023</v>
      </c>
      <c r="H145" s="441"/>
      <c r="I145" s="441"/>
      <c r="J145" s="146"/>
      <c r="K145" s="145">
        <f>D145-D145*E145</f>
        <v>43489</v>
      </c>
      <c r="L145" s="145">
        <f t="shared" si="228"/>
        <v>362.4083333333333</v>
      </c>
      <c r="M145" s="145">
        <f>IF(J145&gt;0,0,IF(OR(AJ145&gt;AK145,AL145&lt;AM145),0,IF(AND(AL145&gt;=AM145,AL145&lt;=AK145),L145*((AL145-AM145)*12),IF(AND(AM145&lt;=AJ145,AK145&gt;=AJ145),((AK145-AJ145)*12)*L145,IF(AL145&gt;AK145,12*L145,0)))))</f>
        <v>4348.8999999999996</v>
      </c>
      <c r="N145" s="145">
        <f>+L145*54</f>
        <v>19570.05</v>
      </c>
      <c r="O145" s="145">
        <f>IF(J145&gt;0,0,AI145+Z145*AG145)*AG145</f>
        <v>23918.949999999997</v>
      </c>
      <c r="P145" s="145">
        <f>IF(J145&gt;0,(D145-AI145)/2,IF(AJ145&gt;=AM145,(((D145*S145)*AG145)-O145)/2,((((D145*S145)*AG145)-AI145)+(((D145*S145)*AG145)-O145))/2))</f>
        <v>21744.5</v>
      </c>
      <c r="Q145" s="144">
        <f>IF(J145=0,0,IF(AND(AN145&gt;=AM145,AN145&lt;=AL145),((AN145-AM145)*12)*L145,0))</f>
        <v>0</v>
      </c>
      <c r="R145" s="144">
        <f t="shared" si="229"/>
        <v>4348.8999999999996</v>
      </c>
      <c r="S145" s="120">
        <v>1</v>
      </c>
      <c r="T145" s="141">
        <f t="shared" ref="T145:Y145" si="238">$S$145*($M$145+$Q$145)*T9</f>
        <v>3390.6290749272966</v>
      </c>
      <c r="U145" s="141">
        <f t="shared" si="238"/>
        <v>259.43379049769095</v>
      </c>
      <c r="V145" s="141">
        <f t="shared" si="238"/>
        <v>327.16314560201357</v>
      </c>
      <c r="W145" s="141">
        <f t="shared" si="238"/>
        <v>33.630521931061388</v>
      </c>
      <c r="X145" s="141">
        <f t="shared" si="238"/>
        <v>0</v>
      </c>
      <c r="Y145" s="141">
        <f t="shared" si="238"/>
        <v>0</v>
      </c>
      <c r="Z145" s="119">
        <f t="shared" si="231"/>
        <v>4348.8999999999996</v>
      </c>
      <c r="AA145" s="141">
        <f t="shared" ref="AA145:AF145" si="239">$P$145*$S$145*AA9</f>
        <v>16953.145374636486</v>
      </c>
      <c r="AB145" s="141">
        <f t="shared" si="239"/>
        <v>1297.168952488455</v>
      </c>
      <c r="AC145" s="141">
        <f t="shared" si="239"/>
        <v>1635.8157280100679</v>
      </c>
      <c r="AD145" s="141">
        <f t="shared" si="239"/>
        <v>168.15260965530695</v>
      </c>
      <c r="AE145" s="141">
        <f t="shared" si="239"/>
        <v>0</v>
      </c>
      <c r="AF145" s="141">
        <f t="shared" si="239"/>
        <v>0</v>
      </c>
      <c r="AG145" s="120">
        <v>1</v>
      </c>
      <c r="AH145" s="119">
        <f>N145*S145</f>
        <v>19570.05</v>
      </c>
      <c r="AI145" s="119">
        <f>AH145*AG145</f>
        <v>19570.05</v>
      </c>
      <c r="AJ145" s="142">
        <f t="shared" si="233"/>
        <v>2013.5</v>
      </c>
      <c r="AK145" s="118">
        <f t="shared" si="234"/>
        <v>2021.6666666666667</v>
      </c>
      <c r="AL145" s="142">
        <f t="shared" si="235"/>
        <v>2023.5</v>
      </c>
      <c r="AM145" s="118">
        <f t="shared" si="236"/>
        <v>2020.25</v>
      </c>
      <c r="AN145" s="118">
        <f t="shared" si="237"/>
        <v>-8.3333333333333329E-2</v>
      </c>
      <c r="AO145" s="111"/>
    </row>
    <row r="146" spans="1:41" ht="15.75">
      <c r="A146" s="121" t="s">
        <v>645</v>
      </c>
      <c r="B146" s="124"/>
      <c r="C146" s="124"/>
      <c r="D146" s="464">
        <f>SUM(D144:D145)</f>
        <v>151871</v>
      </c>
      <c r="E146" s="154"/>
      <c r="F146" s="154"/>
      <c r="G146" s="154"/>
      <c r="H146" s="154"/>
      <c r="I146" s="154"/>
      <c r="J146" s="139"/>
      <c r="K146" s="139">
        <f t="shared" ref="K146:R146" si="240">SUM(K144:K145)</f>
        <v>151871</v>
      </c>
      <c r="L146" s="139">
        <f t="shared" si="240"/>
        <v>1265.5916666666667</v>
      </c>
      <c r="M146" s="139">
        <f t="shared" si="240"/>
        <v>4348.8999999999996</v>
      </c>
      <c r="N146" s="139">
        <f t="shared" si="240"/>
        <v>127952.05</v>
      </c>
      <c r="O146" s="139">
        <f t="shared" si="240"/>
        <v>132300.95000000001</v>
      </c>
      <c r="P146" s="139">
        <f t="shared" si="240"/>
        <v>21744.5</v>
      </c>
      <c r="Q146" s="119">
        <f t="shared" si="240"/>
        <v>0</v>
      </c>
      <c r="R146" s="119">
        <f t="shared" si="240"/>
        <v>4348.8999999999996</v>
      </c>
      <c r="S146" s="119"/>
      <c r="T146" s="141">
        <f>SUM(T144:T145)</f>
        <v>3390.6290749272966</v>
      </c>
      <c r="U146" s="141">
        <f t="shared" ref="U146:Y146" si="241">SUM(U144:U145)</f>
        <v>259.43379049769095</v>
      </c>
      <c r="V146" s="141">
        <f t="shared" si="241"/>
        <v>327.16314560201357</v>
      </c>
      <c r="W146" s="141">
        <f t="shared" si="241"/>
        <v>33.630521931061388</v>
      </c>
      <c r="X146" s="141">
        <f t="shared" si="241"/>
        <v>0</v>
      </c>
      <c r="Y146" s="141">
        <f t="shared" si="241"/>
        <v>0</v>
      </c>
      <c r="Z146" s="119">
        <f>SUM(Z144:Z145)</f>
        <v>4348.8999999999996</v>
      </c>
      <c r="AA146" s="141">
        <f>SUM(AA144:AA145)</f>
        <v>16953.145374636486</v>
      </c>
      <c r="AB146" s="141">
        <f t="shared" ref="AB146:AF146" si="242">SUM(AB144:AB145)</f>
        <v>1297.168952488455</v>
      </c>
      <c r="AC146" s="141">
        <f t="shared" si="242"/>
        <v>1635.8157280100679</v>
      </c>
      <c r="AD146" s="141">
        <f t="shared" si="242"/>
        <v>168.15260965530695</v>
      </c>
      <c r="AE146" s="141">
        <f t="shared" si="242"/>
        <v>0</v>
      </c>
      <c r="AF146" s="141">
        <f t="shared" si="242"/>
        <v>0</v>
      </c>
      <c r="AG146" s="119"/>
      <c r="AH146" s="119">
        <f>SUM(AH144:AH145)</f>
        <v>127952.05</v>
      </c>
      <c r="AI146" s="119">
        <f>SUM(AI144:AI145)</f>
        <v>127952.05</v>
      </c>
      <c r="AJ146" s="142"/>
      <c r="AK146" s="118"/>
      <c r="AL146" s="142"/>
      <c r="AM146" s="118"/>
      <c r="AN146" s="118"/>
      <c r="AO146" s="111"/>
    </row>
    <row r="147" spans="1:41" ht="15.75">
      <c r="A147" s="121"/>
      <c r="B147" s="124"/>
      <c r="C147" s="124"/>
      <c r="D147" s="465"/>
      <c r="E147" s="443"/>
      <c r="F147" s="441"/>
      <c r="G147" s="441"/>
      <c r="H147" s="441"/>
      <c r="I147" s="441"/>
      <c r="J147" s="442"/>
      <c r="K147" s="442"/>
      <c r="L147" s="146"/>
      <c r="M147" s="146"/>
      <c r="N147" s="146"/>
      <c r="O147" s="146"/>
      <c r="P147" s="146"/>
      <c r="Q147" s="137"/>
      <c r="R147" s="137"/>
      <c r="S147" s="138"/>
      <c r="T147" s="149"/>
      <c r="U147" s="150"/>
      <c r="V147" s="150"/>
      <c r="W147" s="150"/>
      <c r="X147" s="150"/>
      <c r="Y147" s="150"/>
      <c r="Z147" s="137"/>
      <c r="AA147" s="149"/>
      <c r="AB147" s="149"/>
      <c r="AC147" s="149"/>
      <c r="AD147" s="149"/>
      <c r="AE147" s="149"/>
      <c r="AF147" s="149"/>
      <c r="AG147" s="138"/>
      <c r="AH147" s="138"/>
      <c r="AI147" s="138"/>
      <c r="AJ147" s="138"/>
      <c r="AK147" s="138"/>
      <c r="AL147" s="138"/>
      <c r="AM147" s="138"/>
      <c r="AN147" s="138"/>
      <c r="AO147" s="111"/>
    </row>
    <row r="148" spans="1:41" ht="15.75">
      <c r="A148" s="134" t="s">
        <v>646</v>
      </c>
      <c r="B148" s="121"/>
      <c r="C148" s="121"/>
      <c r="D148" s="465"/>
      <c r="E148" s="443"/>
      <c r="F148" s="441"/>
      <c r="G148" s="441"/>
      <c r="H148" s="441"/>
      <c r="I148" s="441"/>
      <c r="J148" s="442"/>
      <c r="K148" s="442"/>
      <c r="L148" s="146"/>
      <c r="M148" s="146"/>
      <c r="N148" s="146"/>
      <c r="O148" s="146"/>
      <c r="P148" s="146"/>
      <c r="Q148" s="137"/>
      <c r="R148" s="137"/>
      <c r="S148" s="138"/>
      <c r="T148" s="149"/>
      <c r="U148" s="150"/>
      <c r="V148" s="150"/>
      <c r="W148" s="150"/>
      <c r="X148" s="150"/>
      <c r="Y148" s="150"/>
      <c r="Z148" s="137"/>
      <c r="AA148" s="149"/>
      <c r="AB148" s="149"/>
      <c r="AC148" s="149"/>
      <c r="AD148" s="149"/>
      <c r="AE148" s="149"/>
      <c r="AF148" s="149"/>
      <c r="AG148" s="138"/>
      <c r="AH148" s="138"/>
      <c r="AI148" s="138"/>
      <c r="AJ148" s="138"/>
      <c r="AK148" s="138"/>
      <c r="AL148" s="138"/>
      <c r="AM148" s="138"/>
      <c r="AN148" s="138"/>
      <c r="AO148" s="111"/>
    </row>
    <row r="149" spans="1:41" ht="15.75">
      <c r="A149" s="134" t="s">
        <v>647</v>
      </c>
      <c r="B149" s="121">
        <v>3</v>
      </c>
      <c r="C149" s="121">
        <v>2011</v>
      </c>
      <c r="D149" s="463">
        <v>10172</v>
      </c>
      <c r="E149" s="441">
        <v>0</v>
      </c>
      <c r="F149" s="441">
        <v>5</v>
      </c>
      <c r="G149" s="825">
        <f>C149+F149</f>
        <v>2016</v>
      </c>
      <c r="H149" s="441"/>
      <c r="I149" s="441"/>
      <c r="J149" s="146"/>
      <c r="K149" s="145">
        <f>D149-D149*E149</f>
        <v>10172</v>
      </c>
      <c r="L149" s="145">
        <f>K149/F149/12</f>
        <v>169.53333333333333</v>
      </c>
      <c r="M149" s="145">
        <f>IF(J149&gt;0,0,IF(OR(AJ149&gt;AK149,AL149&lt;AM149),0,IF(AND(AL149&gt;=AM149,AL149&lt;=AK149),L149*((AL149-AM149)*12),IF(AND(AM149&lt;=AJ149,AK149&gt;=AJ149),((AK149-AJ149)*12)*L149,IF(AL149&gt;AK149,12*L149,0)))))</f>
        <v>0</v>
      </c>
      <c r="N149" s="145">
        <f>IF(AJ149&gt;AK149,0,IF(AL149&lt;AM149,K149,IF(AND(AL149&gt;=AM149,AL149&lt;=AK149),(K149-R149),IF(AND(AM149&lt;=AJ149,AK149&gt;=AJ149),0,IF(AL149&gt;AK149,((AM149-AJ149)*12)*L149,0)))))</f>
        <v>10172</v>
      </c>
      <c r="O149" s="145">
        <f>IF(J149&gt;0,0,AI149+Z149*AG149)*AG149</f>
        <v>10172</v>
      </c>
      <c r="P149" s="145">
        <f>IF(J149&gt;0,(D149-AI149)/2,IF(AJ149&gt;=AM149,(((D149*S149)*AG149)-O149)/2,((((D149*S149)*AG149)-AI149)+(((D149*S149)*AG149)-O149))/2))</f>
        <v>0</v>
      </c>
      <c r="Q149" s="144">
        <f>IF(J149=0,0,IF(AND(AN149&gt;=AM149,AN149&lt;=AL149),((AN149-AM149)*12)*L149,0))</f>
        <v>0</v>
      </c>
      <c r="R149" s="144">
        <f>IF(Q149&gt;0,Q149,M149)</f>
        <v>0</v>
      </c>
      <c r="S149" s="120">
        <v>1</v>
      </c>
      <c r="T149" s="141">
        <f>S149*(M149+Q149)</f>
        <v>0</v>
      </c>
      <c r="U149" s="141"/>
      <c r="V149" s="141"/>
      <c r="W149" s="141"/>
      <c r="X149" s="141"/>
      <c r="Y149" s="141"/>
      <c r="Z149" s="119">
        <f>S149*(M149+Q149)</f>
        <v>0</v>
      </c>
      <c r="AA149" s="141">
        <f>P149*S149</f>
        <v>0</v>
      </c>
      <c r="AB149" s="141"/>
      <c r="AC149" s="141"/>
      <c r="AD149" s="141"/>
      <c r="AE149" s="141"/>
      <c r="AF149" s="141"/>
      <c r="AG149" s="120">
        <v>1</v>
      </c>
      <c r="AH149" s="119">
        <f>N149*S149</f>
        <v>10172</v>
      </c>
      <c r="AI149" s="119">
        <f>AH149*AG149</f>
        <v>10172</v>
      </c>
      <c r="AJ149" s="142">
        <f>$C149+(($B149-1)/12)</f>
        <v>2011.1666666666667</v>
      </c>
      <c r="AK149" s="118">
        <f>($F$6+1)-($C$6/12)</f>
        <v>2021.6666666666667</v>
      </c>
      <c r="AL149" s="142">
        <f>$G149+(($B149-1)/12)</f>
        <v>2016.1666666666667</v>
      </c>
      <c r="AM149" s="118">
        <f>$D$6+($E$6/12)</f>
        <v>2020.25</v>
      </c>
      <c r="AN149" s="118">
        <f>$I149+(($H149-1)/12)</f>
        <v>-8.3333333333333329E-2</v>
      </c>
      <c r="AO149" s="111"/>
    </row>
    <row r="150" spans="1:41" ht="15.75">
      <c r="A150" s="121" t="s">
        <v>648</v>
      </c>
      <c r="B150" s="124"/>
      <c r="C150" s="124"/>
      <c r="D150" s="464">
        <f>SUM(D149:D149)</f>
        <v>10172</v>
      </c>
      <c r="E150" s="154"/>
      <c r="F150" s="154"/>
      <c r="G150" s="825"/>
      <c r="H150" s="154"/>
      <c r="I150" s="154"/>
      <c r="J150" s="139"/>
      <c r="K150" s="139">
        <f t="shared" ref="K150:R150" si="243">SUM(K149:K149)</f>
        <v>10172</v>
      </c>
      <c r="L150" s="139">
        <f t="shared" si="243"/>
        <v>169.53333333333333</v>
      </c>
      <c r="M150" s="139">
        <f t="shared" si="243"/>
        <v>0</v>
      </c>
      <c r="N150" s="139">
        <f t="shared" si="243"/>
        <v>10172</v>
      </c>
      <c r="O150" s="139">
        <f t="shared" si="243"/>
        <v>10172</v>
      </c>
      <c r="P150" s="139">
        <f t="shared" si="243"/>
        <v>0</v>
      </c>
      <c r="Q150" s="119">
        <f t="shared" si="243"/>
        <v>0</v>
      </c>
      <c r="R150" s="119">
        <f t="shared" si="243"/>
        <v>0</v>
      </c>
      <c r="S150" s="119"/>
      <c r="T150" s="141">
        <f>SUM(T149)</f>
        <v>0</v>
      </c>
      <c r="U150" s="141"/>
      <c r="V150" s="141"/>
      <c r="W150" s="141"/>
      <c r="X150" s="141"/>
      <c r="Y150" s="141"/>
      <c r="Z150" s="119">
        <f>SUM(Z149:Z149)</f>
        <v>0</v>
      </c>
      <c r="AA150" s="141">
        <f>SUM(AA149:AA149)</f>
        <v>0</v>
      </c>
      <c r="AB150" s="141">
        <f t="shared" ref="AB150:AF150" si="244">SUM(AB149:AB149)</f>
        <v>0</v>
      </c>
      <c r="AC150" s="141">
        <f t="shared" si="244"/>
        <v>0</v>
      </c>
      <c r="AD150" s="141">
        <f t="shared" si="244"/>
        <v>0</v>
      </c>
      <c r="AE150" s="141">
        <f t="shared" si="244"/>
        <v>0</v>
      </c>
      <c r="AF150" s="141">
        <f t="shared" si="244"/>
        <v>0</v>
      </c>
      <c r="AG150" s="119"/>
      <c r="AH150" s="119">
        <f>SUM(AH149:AH149)</f>
        <v>10172</v>
      </c>
      <c r="AI150" s="119">
        <f>SUM(AI149:AI149)</f>
        <v>10172</v>
      </c>
      <c r="AJ150" s="142"/>
      <c r="AK150" s="118"/>
      <c r="AL150" s="142"/>
      <c r="AM150" s="118"/>
      <c r="AN150" s="118"/>
      <c r="AO150" s="111"/>
    </row>
    <row r="151" spans="1:41" ht="15.75">
      <c r="A151" s="121"/>
      <c r="B151" s="124"/>
      <c r="C151" s="124"/>
      <c r="D151" s="442"/>
      <c r="E151" s="443"/>
      <c r="F151" s="441"/>
      <c r="G151" s="827"/>
      <c r="H151" s="441"/>
      <c r="I151" s="441"/>
      <c r="J151" s="442"/>
      <c r="K151" s="442"/>
      <c r="L151" s="146"/>
      <c r="M151" s="146"/>
      <c r="N151" s="146"/>
      <c r="O151" s="146"/>
      <c r="P151" s="146"/>
      <c r="Q151" s="137"/>
      <c r="R151" s="137"/>
      <c r="S151" s="138"/>
      <c r="T151" s="149"/>
      <c r="U151" s="150"/>
      <c r="V151" s="150"/>
      <c r="W151" s="150"/>
      <c r="X151" s="150"/>
      <c r="Y151" s="150"/>
      <c r="Z151" s="137"/>
      <c r="AA151" s="149"/>
      <c r="AB151" s="149"/>
      <c r="AC151" s="149"/>
      <c r="AD151" s="149"/>
      <c r="AE151" s="149"/>
      <c r="AF151" s="149"/>
      <c r="AG151" s="138"/>
      <c r="AH151" s="138"/>
      <c r="AI151" s="138"/>
      <c r="AJ151" s="138"/>
      <c r="AK151" s="138"/>
      <c r="AL151" s="138"/>
      <c r="AM151" s="138"/>
      <c r="AN151" s="138"/>
      <c r="AO151" s="111"/>
    </row>
    <row r="152" spans="1:41" ht="15.75">
      <c r="A152" s="134" t="s">
        <v>649</v>
      </c>
      <c r="B152" s="121"/>
      <c r="C152" s="121"/>
      <c r="D152" s="442"/>
      <c r="E152" s="443"/>
      <c r="F152" s="441"/>
      <c r="G152" s="827"/>
      <c r="H152" s="441"/>
      <c r="I152" s="441"/>
      <c r="J152" s="442"/>
      <c r="K152" s="442"/>
      <c r="L152" s="146"/>
      <c r="M152" s="146"/>
      <c r="N152" s="146"/>
      <c r="O152" s="146"/>
      <c r="P152" s="146"/>
      <c r="Q152" s="137"/>
      <c r="R152" s="137"/>
      <c r="S152" s="138"/>
      <c r="T152" s="149"/>
      <c r="U152" s="150"/>
      <c r="V152" s="150"/>
      <c r="W152" s="150"/>
      <c r="X152" s="150"/>
      <c r="Y152" s="150"/>
      <c r="Z152" s="137"/>
      <c r="AA152" s="149"/>
      <c r="AB152" s="149"/>
      <c r="AC152" s="149"/>
      <c r="AD152" s="149"/>
      <c r="AE152" s="149"/>
      <c r="AF152" s="149"/>
      <c r="AG152" s="138"/>
      <c r="AH152" s="138"/>
      <c r="AI152" s="138"/>
      <c r="AJ152" s="138"/>
      <c r="AK152" s="138"/>
      <c r="AL152" s="138"/>
      <c r="AM152" s="138"/>
      <c r="AN152" s="138"/>
      <c r="AO152" s="111"/>
    </row>
    <row r="153" spans="1:41" ht="15.75">
      <c r="A153" s="134" t="s">
        <v>650</v>
      </c>
      <c r="B153" s="121">
        <v>12</v>
      </c>
      <c r="C153" s="121">
        <v>2003</v>
      </c>
      <c r="D153" s="462">
        <v>592919</v>
      </c>
      <c r="E153" s="441">
        <v>0</v>
      </c>
      <c r="F153" s="441">
        <v>7</v>
      </c>
      <c r="G153" s="825">
        <f t="shared" ref="G153:G158" si="245">C153+F153</f>
        <v>2010</v>
      </c>
      <c r="H153" s="441"/>
      <c r="I153" s="441"/>
      <c r="J153" s="146"/>
      <c r="K153" s="139">
        <f t="shared" ref="K153:K158" si="246">D153-D153*E153</f>
        <v>592919</v>
      </c>
      <c r="L153" s="139">
        <f t="shared" ref="L153:L155" si="247">K153/F153/12</f>
        <v>7058.5595238095239</v>
      </c>
      <c r="M153" s="139">
        <f>IF(J153&gt;0,0,IF(OR(AJ153&gt;AK153,AL153&lt;AM153),0,IF(AND(AL153&gt;=AM153,AL153&lt;=AK153),L153*((AL153-AM153)*12),IF(AND(AM153&lt;=AJ153,AK153&gt;=AJ153),((AK153-AJ153)*12)*L153,IF(AL153&gt;AK153,12*L153,0)))))</f>
        <v>0</v>
      </c>
      <c r="N153" s="139">
        <f t="shared" ref="N153:N155" si="248">IF(AJ153&gt;AK153,0,IF(AL153&lt;AM153,K153,IF(AND(AL153&gt;=AM153,AL153&lt;=AK153),(K153-R153),IF(AND(AM153&lt;=AJ153,AK153&gt;=AJ153),0,IF(AL153&gt;AK153,((AM153-AJ153)*12)*L153,0)))))</f>
        <v>592919</v>
      </c>
      <c r="O153" s="139">
        <f t="shared" ref="O153:O158" si="249">IF(J153&gt;0,0,AI153+Z153*AG153)*AG153</f>
        <v>592919</v>
      </c>
      <c r="P153" s="139">
        <f>IF(J153&gt;0,(D153-AI153)/2,IF(AJ153&gt;=AM153,(((D153*S153)*AG153)-O153)/2,((((D153*S153)*AG153)-AI153)+(((D153*S153)*AG153)-O153))/2))</f>
        <v>0</v>
      </c>
      <c r="Q153" s="119">
        <f t="shared" ref="Q153:Q158" si="250">IF(J153=0,0,IF(AND(AN153&gt;=AM153,AN153&lt;=AL153),((AN153-AM153)*12)*L153,0))</f>
        <v>0</v>
      </c>
      <c r="R153" s="119">
        <f t="shared" ref="R153:R158" si="251">IF(Q153&gt;0,Q153,M153)</f>
        <v>0</v>
      </c>
      <c r="S153" s="120">
        <v>1</v>
      </c>
      <c r="T153" s="141">
        <f>S153*(M153+Q153)</f>
        <v>0</v>
      </c>
      <c r="U153" s="141"/>
      <c r="V153" s="141"/>
      <c r="W153" s="141"/>
      <c r="X153" s="141"/>
      <c r="Y153" s="141"/>
      <c r="Z153" s="119">
        <f t="shared" ref="Z153:Z158" si="252">S153*(M153+Q153)</f>
        <v>0</v>
      </c>
      <c r="AA153" s="141">
        <f t="shared" ref="AA153:AA158" si="253">P153*S153</f>
        <v>0</v>
      </c>
      <c r="AB153" s="141"/>
      <c r="AC153" s="141"/>
      <c r="AD153" s="141"/>
      <c r="AE153" s="141"/>
      <c r="AF153" s="141"/>
      <c r="AG153" s="120">
        <v>1</v>
      </c>
      <c r="AH153" s="119">
        <f t="shared" ref="AH153:AH158" si="254">N153*S153</f>
        <v>592919</v>
      </c>
      <c r="AI153" s="119">
        <f t="shared" ref="AI153:AI158" si="255">AH153*AG153</f>
        <v>592919</v>
      </c>
      <c r="AJ153" s="142">
        <f t="shared" ref="AJ153:AJ158" si="256">$C153+(($B153-1)/12)</f>
        <v>2003.9166666666667</v>
      </c>
      <c r="AK153" s="118">
        <f t="shared" ref="AK153:AK158" si="257">($F$6+1)-($C$6/12)</f>
        <v>2021.6666666666667</v>
      </c>
      <c r="AL153" s="142">
        <f t="shared" ref="AL153:AL158" si="258">$G153+(($B153-1)/12)</f>
        <v>2010.9166666666667</v>
      </c>
      <c r="AM153" s="118">
        <f t="shared" ref="AM153:AM158" si="259">$D$6+($E$6/12)</f>
        <v>2020.25</v>
      </c>
      <c r="AN153" s="118">
        <f t="shared" ref="AN153:AN158" si="260">$I153+(($H153-1)/12)</f>
        <v>-8.3333333333333329E-2</v>
      </c>
      <c r="AO153" s="111"/>
    </row>
    <row r="154" spans="1:41" ht="15.75">
      <c r="A154" s="121" t="s">
        <v>651</v>
      </c>
      <c r="B154" s="121">
        <v>11</v>
      </c>
      <c r="C154" s="121">
        <v>2006</v>
      </c>
      <c r="D154" s="462">
        <v>202043</v>
      </c>
      <c r="E154" s="441">
        <v>0</v>
      </c>
      <c r="F154" s="441">
        <v>7</v>
      </c>
      <c r="G154" s="825">
        <f t="shared" si="245"/>
        <v>2013</v>
      </c>
      <c r="H154" s="441"/>
      <c r="I154" s="441"/>
      <c r="J154" s="146"/>
      <c r="K154" s="139">
        <f t="shared" si="246"/>
        <v>202043</v>
      </c>
      <c r="L154" s="139">
        <f t="shared" si="247"/>
        <v>2405.2738095238096</v>
      </c>
      <c r="M154" s="139">
        <f>IF(J154&gt;0,0,IF(OR(AJ154&gt;AK154,AL154&lt;AM154),0,IF(AND(AL154&gt;=AM154,AL154&lt;=AK154),L154*((AL154-AM154)*12),IF(AND(AM154&lt;=AJ154,AK154&gt;=AJ154),((AK154-AJ154)*12)*L154,IF(AL154&gt;AK154,12*L154,0)))))</f>
        <v>0</v>
      </c>
      <c r="N154" s="139">
        <f t="shared" si="248"/>
        <v>202043</v>
      </c>
      <c r="O154" s="139">
        <f t="shared" si="249"/>
        <v>202043</v>
      </c>
      <c r="P154" s="139">
        <f>IF(J154&gt;0,(D154-AI154)/2,IF(AJ154&gt;=AM154,(((D154*S154)*AG154)-O154)/2,((((D154*S154)*AG154)-AI154)+(((D154*S154)*AG154)-O154))/2))</f>
        <v>0</v>
      </c>
      <c r="Q154" s="119">
        <f t="shared" si="250"/>
        <v>0</v>
      </c>
      <c r="R154" s="119">
        <f t="shared" si="251"/>
        <v>0</v>
      </c>
      <c r="S154" s="120">
        <v>1</v>
      </c>
      <c r="T154" s="141">
        <f t="shared" ref="T154:T158" si="261">S154*(M154+Q154)</f>
        <v>0</v>
      </c>
      <c r="U154" s="141"/>
      <c r="V154" s="141"/>
      <c r="W154" s="141"/>
      <c r="X154" s="141"/>
      <c r="Y154" s="141"/>
      <c r="Z154" s="119">
        <f t="shared" si="252"/>
        <v>0</v>
      </c>
      <c r="AA154" s="141">
        <f t="shared" si="253"/>
        <v>0</v>
      </c>
      <c r="AB154" s="141"/>
      <c r="AC154" s="141"/>
      <c r="AD154" s="141"/>
      <c r="AE154" s="141"/>
      <c r="AF154" s="141"/>
      <c r="AG154" s="120">
        <v>1</v>
      </c>
      <c r="AH154" s="119">
        <f t="shared" si="254"/>
        <v>202043</v>
      </c>
      <c r="AI154" s="119">
        <f t="shared" si="255"/>
        <v>202043</v>
      </c>
      <c r="AJ154" s="142">
        <f t="shared" si="256"/>
        <v>2006.8333333333333</v>
      </c>
      <c r="AK154" s="118">
        <f t="shared" si="257"/>
        <v>2021.6666666666667</v>
      </c>
      <c r="AL154" s="142">
        <f t="shared" si="258"/>
        <v>2013.8333333333333</v>
      </c>
      <c r="AM154" s="118">
        <f t="shared" si="259"/>
        <v>2020.25</v>
      </c>
      <c r="AN154" s="118">
        <f t="shared" si="260"/>
        <v>-8.3333333333333329E-2</v>
      </c>
      <c r="AO154" s="111"/>
    </row>
    <row r="155" spans="1:41" ht="15.75">
      <c r="A155" s="121" t="s">
        <v>652</v>
      </c>
      <c r="B155" s="121">
        <v>9</v>
      </c>
      <c r="C155" s="121">
        <v>2006</v>
      </c>
      <c r="D155" s="462">
        <v>229103</v>
      </c>
      <c r="E155" s="441">
        <v>0</v>
      </c>
      <c r="F155" s="441">
        <v>7</v>
      </c>
      <c r="G155" s="825">
        <f t="shared" si="245"/>
        <v>2013</v>
      </c>
      <c r="H155" s="441"/>
      <c r="I155" s="441"/>
      <c r="J155" s="146"/>
      <c r="K155" s="139">
        <f t="shared" si="246"/>
        <v>229103</v>
      </c>
      <c r="L155" s="139">
        <f t="shared" si="247"/>
        <v>2727.4166666666665</v>
      </c>
      <c r="M155" s="139">
        <f t="shared" ref="M155:M158" si="262">IF(J155&gt;0,0,IF(OR(AJ155&gt;AK155,AL155&lt;AM155),0,IF(AND(AL155&gt;=AM155,AL155&lt;=AK155),L155*((AL155-AM155)*12),IF(AND(AM155&lt;=AJ155,AK155&gt;=AJ155),((AK155-AJ155)*12)*L155,IF(AL155&gt;AK155,12*L155,0)))))</f>
        <v>0</v>
      </c>
      <c r="N155" s="139">
        <f t="shared" si="248"/>
        <v>229103</v>
      </c>
      <c r="O155" s="139">
        <f t="shared" si="249"/>
        <v>229103</v>
      </c>
      <c r="P155" s="139">
        <f>IF(J155&gt;0,(D155-AI155)/2,IF(AJ155&gt;=AM155,(((D155*S155)*AG155)-O155)/2,((((D155*S155)*AG155)-AI155)+(((D155*S155)*AG155)-O155))/2))</f>
        <v>0</v>
      </c>
      <c r="Q155" s="119">
        <f t="shared" si="250"/>
        <v>0</v>
      </c>
      <c r="R155" s="119">
        <f t="shared" si="251"/>
        <v>0</v>
      </c>
      <c r="S155" s="120">
        <v>1</v>
      </c>
      <c r="T155" s="141">
        <f t="shared" si="261"/>
        <v>0</v>
      </c>
      <c r="U155" s="141"/>
      <c r="V155" s="141"/>
      <c r="W155" s="141"/>
      <c r="X155" s="141"/>
      <c r="Y155" s="141"/>
      <c r="Z155" s="119">
        <f t="shared" si="252"/>
        <v>0</v>
      </c>
      <c r="AA155" s="141">
        <f t="shared" si="253"/>
        <v>0</v>
      </c>
      <c r="AB155" s="141"/>
      <c r="AC155" s="141"/>
      <c r="AD155" s="141"/>
      <c r="AE155" s="141"/>
      <c r="AF155" s="141"/>
      <c r="AG155" s="120">
        <v>1</v>
      </c>
      <c r="AH155" s="119">
        <f t="shared" si="254"/>
        <v>229103</v>
      </c>
      <c r="AI155" s="119">
        <f t="shared" si="255"/>
        <v>229103</v>
      </c>
      <c r="AJ155" s="142">
        <f t="shared" si="256"/>
        <v>2006.6666666666667</v>
      </c>
      <c r="AK155" s="118">
        <f t="shared" si="257"/>
        <v>2021.6666666666667</v>
      </c>
      <c r="AL155" s="142">
        <f t="shared" si="258"/>
        <v>2013.6666666666667</v>
      </c>
      <c r="AM155" s="118">
        <f t="shared" si="259"/>
        <v>2020.25</v>
      </c>
      <c r="AN155" s="118">
        <f t="shared" si="260"/>
        <v>-8.3333333333333329E-2</v>
      </c>
      <c r="AO155" s="111"/>
    </row>
    <row r="156" spans="1:41" ht="15.75">
      <c r="A156" s="121" t="s">
        <v>653</v>
      </c>
      <c r="B156" s="121">
        <v>12</v>
      </c>
      <c r="C156" s="121">
        <v>2013</v>
      </c>
      <c r="D156" s="462">
        <v>259459</v>
      </c>
      <c r="E156" s="441">
        <v>0</v>
      </c>
      <c r="F156" s="441">
        <v>7</v>
      </c>
      <c r="G156" s="825">
        <f t="shared" si="245"/>
        <v>2020</v>
      </c>
      <c r="H156" s="441"/>
      <c r="I156" s="441"/>
      <c r="J156" s="146"/>
      <c r="K156" s="139">
        <f t="shared" si="246"/>
        <v>259459</v>
      </c>
      <c r="L156" s="139">
        <f>K156/F156/12</f>
        <v>3088.7976190476188</v>
      </c>
      <c r="M156" s="139">
        <f t="shared" si="262"/>
        <v>24710.380952383759</v>
      </c>
      <c r="N156" s="139">
        <f>+L156*49</f>
        <v>151351.08333333331</v>
      </c>
      <c r="O156" s="139">
        <f t="shared" si="249"/>
        <v>176061.46428571708</v>
      </c>
      <c r="P156" s="139">
        <f t="shared" ref="P156:P158" si="263">IF(J156&gt;0,(D156-AI156)/2,IF(AJ156&gt;=AM156,(((D156*S156)*AG156)-O156)/2,((((D156*S156)*AG156)-AI156)+(((D156*S156)*AG156)-O156))/2))</f>
        <v>95752.726190474801</v>
      </c>
      <c r="Q156" s="119">
        <f t="shared" si="250"/>
        <v>0</v>
      </c>
      <c r="R156" s="119">
        <f t="shared" si="251"/>
        <v>24710.380952383759</v>
      </c>
      <c r="S156" s="120">
        <v>1</v>
      </c>
      <c r="T156" s="141">
        <f t="shared" si="261"/>
        <v>24710.380952383759</v>
      </c>
      <c r="U156" s="141"/>
      <c r="V156" s="141"/>
      <c r="W156" s="141"/>
      <c r="X156" s="141"/>
      <c r="Y156" s="141"/>
      <c r="Z156" s="119">
        <f t="shared" si="252"/>
        <v>24710.380952383759</v>
      </c>
      <c r="AA156" s="141">
        <f t="shared" si="253"/>
        <v>95752.726190474801</v>
      </c>
      <c r="AB156" s="141"/>
      <c r="AC156" s="141"/>
      <c r="AD156" s="141"/>
      <c r="AE156" s="141"/>
      <c r="AF156" s="141"/>
      <c r="AG156" s="120">
        <v>1</v>
      </c>
      <c r="AH156" s="119">
        <f t="shared" si="254"/>
        <v>151351.08333333331</v>
      </c>
      <c r="AI156" s="119">
        <f t="shared" si="255"/>
        <v>151351.08333333331</v>
      </c>
      <c r="AJ156" s="142">
        <f t="shared" si="256"/>
        <v>2013.9166666666667</v>
      </c>
      <c r="AK156" s="118">
        <f t="shared" si="257"/>
        <v>2021.6666666666667</v>
      </c>
      <c r="AL156" s="142">
        <f t="shared" si="258"/>
        <v>2020.9166666666667</v>
      </c>
      <c r="AM156" s="118">
        <f t="shared" si="259"/>
        <v>2020.25</v>
      </c>
      <c r="AN156" s="118">
        <f t="shared" si="260"/>
        <v>-8.3333333333333329E-2</v>
      </c>
      <c r="AO156" s="111"/>
    </row>
    <row r="157" spans="1:41" ht="15.75">
      <c r="A157" s="115" t="s">
        <v>654</v>
      </c>
      <c r="B157" s="121">
        <v>5</v>
      </c>
      <c r="C157" s="121">
        <v>2016</v>
      </c>
      <c r="D157" s="462">
        <v>131000</v>
      </c>
      <c r="E157" s="441">
        <v>0</v>
      </c>
      <c r="F157" s="441">
        <v>7</v>
      </c>
      <c r="G157" s="825">
        <f t="shared" si="245"/>
        <v>2023</v>
      </c>
      <c r="H157" s="441"/>
      <c r="I157" s="441"/>
      <c r="J157" s="146"/>
      <c r="K157" s="139">
        <f t="shared" si="246"/>
        <v>131000</v>
      </c>
      <c r="L157" s="139">
        <f>K157/F157/12</f>
        <v>1559.5238095238094</v>
      </c>
      <c r="M157" s="139">
        <f t="shared" si="262"/>
        <v>18714.285714285714</v>
      </c>
      <c r="N157" s="139">
        <f>+L157*20</f>
        <v>31190.476190476187</v>
      </c>
      <c r="O157" s="139">
        <f t="shared" si="249"/>
        <v>49904.761904761901</v>
      </c>
      <c r="P157" s="139">
        <f t="shared" si="263"/>
        <v>90452.380952380961</v>
      </c>
      <c r="Q157" s="119">
        <f t="shared" si="250"/>
        <v>0</v>
      </c>
      <c r="R157" s="119">
        <f t="shared" si="251"/>
        <v>18714.285714285714</v>
      </c>
      <c r="S157" s="120">
        <v>1</v>
      </c>
      <c r="T157" s="141">
        <f t="shared" si="261"/>
        <v>18714.285714285714</v>
      </c>
      <c r="U157" s="141"/>
      <c r="V157" s="141"/>
      <c r="W157" s="141"/>
      <c r="X157" s="141"/>
      <c r="Y157" s="141"/>
      <c r="Z157" s="119">
        <f t="shared" si="252"/>
        <v>18714.285714285714</v>
      </c>
      <c r="AA157" s="141">
        <f t="shared" si="253"/>
        <v>90452.380952380961</v>
      </c>
      <c r="AB157" s="141"/>
      <c r="AC157" s="141"/>
      <c r="AD157" s="141"/>
      <c r="AE157" s="141"/>
      <c r="AF157" s="141"/>
      <c r="AG157" s="120">
        <v>1</v>
      </c>
      <c r="AH157" s="119">
        <f t="shared" si="254"/>
        <v>31190.476190476187</v>
      </c>
      <c r="AI157" s="119">
        <f t="shared" si="255"/>
        <v>31190.476190476187</v>
      </c>
      <c r="AJ157" s="142">
        <f t="shared" si="256"/>
        <v>2016.3333333333333</v>
      </c>
      <c r="AK157" s="118">
        <f t="shared" si="257"/>
        <v>2021.6666666666667</v>
      </c>
      <c r="AL157" s="142">
        <f t="shared" si="258"/>
        <v>2023.3333333333333</v>
      </c>
      <c r="AM157" s="118">
        <f t="shared" si="259"/>
        <v>2020.25</v>
      </c>
      <c r="AN157" s="118">
        <f t="shared" si="260"/>
        <v>-8.3333333333333329E-2</v>
      </c>
      <c r="AO157" s="111"/>
    </row>
    <row r="158" spans="1:41" ht="15.75">
      <c r="A158" s="115" t="s">
        <v>655</v>
      </c>
      <c r="B158" s="121">
        <v>7</v>
      </c>
      <c r="C158" s="121">
        <v>2018</v>
      </c>
      <c r="D158" s="463">
        <v>13081</v>
      </c>
      <c r="E158" s="441">
        <v>0</v>
      </c>
      <c r="F158" s="441">
        <v>7</v>
      </c>
      <c r="G158" s="825">
        <f t="shared" si="245"/>
        <v>2025</v>
      </c>
      <c r="H158" s="441"/>
      <c r="I158" s="441"/>
      <c r="J158" s="146"/>
      <c r="K158" s="145">
        <f t="shared" si="246"/>
        <v>13081</v>
      </c>
      <c r="L158" s="145">
        <f>K158/F158/12</f>
        <v>155.72619047619048</v>
      </c>
      <c r="M158" s="145">
        <f t="shared" si="262"/>
        <v>1868.7142857142858</v>
      </c>
      <c r="N158" s="145">
        <v>0</v>
      </c>
      <c r="O158" s="145">
        <f t="shared" si="249"/>
        <v>1868.7142857142858</v>
      </c>
      <c r="P158" s="145">
        <f t="shared" si="263"/>
        <v>12146.642857142857</v>
      </c>
      <c r="Q158" s="144">
        <f t="shared" si="250"/>
        <v>0</v>
      </c>
      <c r="R158" s="144">
        <f t="shared" si="251"/>
        <v>1868.7142857142858</v>
      </c>
      <c r="S158" s="120">
        <v>1</v>
      </c>
      <c r="T158" s="141">
        <f t="shared" si="261"/>
        <v>1868.7142857142858</v>
      </c>
      <c r="U158" s="141"/>
      <c r="V158" s="141"/>
      <c r="W158" s="141"/>
      <c r="X158" s="141"/>
      <c r="Y158" s="141"/>
      <c r="Z158" s="119">
        <f t="shared" si="252"/>
        <v>1868.7142857142858</v>
      </c>
      <c r="AA158" s="141">
        <f t="shared" si="253"/>
        <v>12146.642857142857</v>
      </c>
      <c r="AB158" s="141"/>
      <c r="AC158" s="141"/>
      <c r="AD158" s="141"/>
      <c r="AE158" s="141"/>
      <c r="AF158" s="141"/>
      <c r="AG158" s="120">
        <v>1</v>
      </c>
      <c r="AH158" s="119">
        <f t="shared" si="254"/>
        <v>0</v>
      </c>
      <c r="AI158" s="119">
        <f t="shared" si="255"/>
        <v>0</v>
      </c>
      <c r="AJ158" s="142">
        <f t="shared" si="256"/>
        <v>2018.5</v>
      </c>
      <c r="AK158" s="118">
        <f t="shared" si="257"/>
        <v>2021.6666666666667</v>
      </c>
      <c r="AL158" s="142">
        <f t="shared" si="258"/>
        <v>2025.5</v>
      </c>
      <c r="AM158" s="118">
        <f t="shared" si="259"/>
        <v>2020.25</v>
      </c>
      <c r="AN158" s="118">
        <f t="shared" si="260"/>
        <v>-8.3333333333333329E-2</v>
      </c>
      <c r="AO158" s="111"/>
    </row>
    <row r="159" spans="1:41" ht="15.75">
      <c r="A159" s="121" t="s">
        <v>656</v>
      </c>
      <c r="B159" s="124"/>
      <c r="C159" s="124"/>
      <c r="D159" s="464">
        <f>SUM(D153:D158)</f>
        <v>1427605</v>
      </c>
      <c r="E159" s="444"/>
      <c r="F159" s="154"/>
      <c r="G159" s="825"/>
      <c r="H159" s="154"/>
      <c r="I159" s="154"/>
      <c r="J159" s="139"/>
      <c r="K159" s="139">
        <f t="shared" ref="K159:R159" si="264">SUM(K153:K158)</f>
        <v>1427605</v>
      </c>
      <c r="L159" s="139">
        <f t="shared" si="264"/>
        <v>16995.297619047618</v>
      </c>
      <c r="M159" s="139">
        <f t="shared" si="264"/>
        <v>45293.380952383755</v>
      </c>
      <c r="N159" s="139">
        <f t="shared" si="264"/>
        <v>1206606.5595238095</v>
      </c>
      <c r="O159" s="139">
        <f t="shared" si="264"/>
        <v>1251899.9404761933</v>
      </c>
      <c r="P159" s="139">
        <f t="shared" si="264"/>
        <v>198351.74999999863</v>
      </c>
      <c r="Q159" s="119">
        <f t="shared" si="264"/>
        <v>0</v>
      </c>
      <c r="R159" s="119">
        <f t="shared" si="264"/>
        <v>45293.380952383755</v>
      </c>
      <c r="S159" s="119"/>
      <c r="T159" s="141">
        <f>SUM(T153:T156)</f>
        <v>24710.380952383759</v>
      </c>
      <c r="U159" s="141"/>
      <c r="V159" s="141"/>
      <c r="W159" s="141"/>
      <c r="X159" s="141"/>
      <c r="Y159" s="141"/>
      <c r="Z159" s="119">
        <f t="shared" ref="Z159:AI159" si="265">SUM(Z153:Z156)</f>
        <v>24710.380952383759</v>
      </c>
      <c r="AA159" s="141">
        <f t="shared" si="265"/>
        <v>95752.726190474801</v>
      </c>
      <c r="AB159" s="141">
        <f t="shared" si="265"/>
        <v>0</v>
      </c>
      <c r="AC159" s="141">
        <f t="shared" si="265"/>
        <v>0</v>
      </c>
      <c r="AD159" s="141">
        <f t="shared" si="265"/>
        <v>0</v>
      </c>
      <c r="AE159" s="141">
        <f t="shared" si="265"/>
        <v>0</v>
      </c>
      <c r="AF159" s="141">
        <f t="shared" si="265"/>
        <v>0</v>
      </c>
      <c r="AG159" s="119"/>
      <c r="AH159" s="119">
        <f t="shared" si="265"/>
        <v>1175416.0833333333</v>
      </c>
      <c r="AI159" s="119">
        <f t="shared" si="265"/>
        <v>1175416.0833333333</v>
      </c>
      <c r="AJ159" s="142"/>
      <c r="AK159" s="118"/>
      <c r="AL159" s="142"/>
      <c r="AM159" s="118"/>
      <c r="AN159" s="118"/>
      <c r="AO159" s="111"/>
    </row>
    <row r="160" spans="1:41" ht="15.75">
      <c r="A160" s="121"/>
      <c r="B160" s="124"/>
      <c r="C160" s="124"/>
      <c r="D160" s="465"/>
      <c r="E160" s="443"/>
      <c r="F160" s="441"/>
      <c r="G160" s="827"/>
      <c r="H160" s="441"/>
      <c r="I160" s="441"/>
      <c r="J160" s="442"/>
      <c r="K160" s="442"/>
      <c r="L160" s="146"/>
      <c r="M160" s="146"/>
      <c r="N160" s="146"/>
      <c r="O160" s="146"/>
      <c r="P160" s="146"/>
      <c r="Q160" s="137"/>
      <c r="R160" s="137"/>
      <c r="S160" s="138"/>
      <c r="T160" s="149"/>
      <c r="U160" s="150"/>
      <c r="V160" s="150"/>
      <c r="W160" s="150"/>
      <c r="X160" s="150"/>
      <c r="Y160" s="150"/>
      <c r="Z160" s="137"/>
      <c r="AA160" s="149"/>
      <c r="AB160" s="149"/>
      <c r="AC160" s="149"/>
      <c r="AD160" s="149"/>
      <c r="AE160" s="149"/>
      <c r="AF160" s="149"/>
      <c r="AG160" s="138"/>
      <c r="AH160" s="138"/>
      <c r="AI160" s="138"/>
      <c r="AJ160" s="138"/>
      <c r="AK160" s="138"/>
      <c r="AL160" s="138"/>
      <c r="AM160" s="138"/>
      <c r="AN160" s="138"/>
      <c r="AO160" s="111"/>
    </row>
    <row r="161" spans="1:41" ht="15.75">
      <c r="A161" s="134" t="s">
        <v>657</v>
      </c>
      <c r="B161" s="121"/>
      <c r="C161" s="121"/>
      <c r="D161" s="465"/>
      <c r="E161" s="443"/>
      <c r="F161" s="441"/>
      <c r="G161" s="827"/>
      <c r="H161" s="441"/>
      <c r="I161" s="441"/>
      <c r="J161" s="442"/>
      <c r="K161" s="442"/>
      <c r="L161" s="146"/>
      <c r="M161" s="146"/>
      <c r="N161" s="146"/>
      <c r="O161" s="146"/>
      <c r="P161" s="146"/>
      <c r="Q161" s="137"/>
      <c r="R161" s="137"/>
      <c r="S161" s="138"/>
      <c r="T161" s="149"/>
      <c r="U161" s="150"/>
      <c r="V161" s="150"/>
      <c r="W161" s="150"/>
      <c r="X161" s="150"/>
      <c r="Y161" s="150"/>
      <c r="Z161" s="137"/>
      <c r="AA161" s="149"/>
      <c r="AB161" s="149"/>
      <c r="AC161" s="149"/>
      <c r="AD161" s="149"/>
      <c r="AE161" s="149"/>
      <c r="AF161" s="149"/>
      <c r="AG161" s="138"/>
      <c r="AH161" s="138"/>
      <c r="AI161" s="138"/>
      <c r="AJ161" s="138"/>
      <c r="AK161" s="138"/>
      <c r="AL161" s="138"/>
      <c r="AM161" s="138"/>
      <c r="AN161" s="138"/>
      <c r="AO161" s="111"/>
    </row>
    <row r="162" spans="1:41" ht="15.75">
      <c r="A162" s="134" t="s">
        <v>658</v>
      </c>
      <c r="B162" s="121">
        <v>12</v>
      </c>
      <c r="C162" s="121">
        <v>2000</v>
      </c>
      <c r="D162" s="462">
        <v>576454</v>
      </c>
      <c r="E162" s="441">
        <v>0</v>
      </c>
      <c r="F162" s="441">
        <v>5</v>
      </c>
      <c r="G162" s="825">
        <f t="shared" ref="G162:G170" si="266">C162+F162</f>
        <v>2005</v>
      </c>
      <c r="H162" s="441"/>
      <c r="I162" s="441"/>
      <c r="J162" s="146"/>
      <c r="K162" s="139">
        <f t="shared" ref="K162:K170" si="267">D162-D162*E162</f>
        <v>576454</v>
      </c>
      <c r="L162" s="139">
        <f t="shared" ref="L162:L170" si="268">K162/F162/12</f>
        <v>9607.5666666666675</v>
      </c>
      <c r="M162" s="139">
        <f>IF(J162&gt;0,0,IF(OR(AJ162&gt;AK162,AL162&lt;AM162),0,IF(AND(AL162&gt;=AM162,AL162&lt;=AK162),L162*((AL162-AM162)*12),IF(AND(AM162&lt;=AJ162,AK162&gt;=AJ162),((AK162-AJ162)*12)*L162,IF(AL162&gt;AK162,12*L162,0)))))</f>
        <v>0</v>
      </c>
      <c r="N162" s="139">
        <f t="shared" ref="N162:N170" si="269">IF(AJ162&gt;AK162,0,IF(AL162&lt;AM162,K162,IF(AND(AL162&gt;=AM162,AL162&lt;=AK162),(K162-R162),IF(AND(AM162&lt;=AJ162,AK162&gt;=AJ162),0,IF(AL162&gt;AK162,((AM162-AJ162)*12)*L162,0)))))</f>
        <v>576454</v>
      </c>
      <c r="O162" s="139">
        <f t="shared" ref="O162:O170" si="270">IF(J162&gt;0,0,AI162+Z162*AG162)*AG162</f>
        <v>576454</v>
      </c>
      <c r="P162" s="139">
        <f t="shared" ref="P162:P170" si="271">IF(J162&gt;0,(D162-AI162)/2,IF(AJ162&gt;=AM162,(((D162*S162)*AG162)-O162)/2,((((D162*S162)*AG162)-AI162)+(((D162*S162)*AG162)-O162))/2))</f>
        <v>0</v>
      </c>
      <c r="Q162" s="119">
        <f t="shared" ref="Q162:Q170" si="272">IF(J162=0,0,IF(AND(AN162&gt;=AM162,AN162&lt;=AL162),((AN162-AM162)*12)*L162,0))</f>
        <v>0</v>
      </c>
      <c r="R162" s="119">
        <f t="shared" ref="R162:R170" si="273">IF(Q162&gt;0,Q162,M162)</f>
        <v>0</v>
      </c>
      <c r="S162" s="120">
        <v>1</v>
      </c>
      <c r="T162" s="141">
        <f>S162*(M162+Q162)</f>
        <v>0</v>
      </c>
      <c r="U162" s="141"/>
      <c r="V162" s="141"/>
      <c r="W162" s="141"/>
      <c r="X162" s="141"/>
      <c r="Y162" s="141"/>
      <c r="Z162" s="119">
        <f t="shared" ref="Z162:Z170" si="274">S162*(M162+Q162)</f>
        <v>0</v>
      </c>
      <c r="AA162" s="141">
        <f t="shared" ref="AA162:AA170" si="275">P162*S162</f>
        <v>0</v>
      </c>
      <c r="AB162" s="141"/>
      <c r="AC162" s="141"/>
      <c r="AD162" s="141"/>
      <c r="AE162" s="141"/>
      <c r="AF162" s="141"/>
      <c r="AG162" s="120">
        <v>1</v>
      </c>
      <c r="AH162" s="119">
        <f t="shared" ref="AH162:AH170" si="276">N162*S162</f>
        <v>576454</v>
      </c>
      <c r="AI162" s="119">
        <f t="shared" ref="AI162:AI170" si="277">AH162*AG162</f>
        <v>576454</v>
      </c>
      <c r="AJ162" s="142">
        <f t="shared" ref="AJ162:AJ170" si="278">$C162+(($B162-1)/12)</f>
        <v>2000.9166666666667</v>
      </c>
      <c r="AK162" s="118">
        <f t="shared" ref="AK162:AK170" si="279">($F$6+1)-($C$6/12)</f>
        <v>2021.6666666666667</v>
      </c>
      <c r="AL162" s="142">
        <f t="shared" ref="AL162:AL170" si="280">$G162+(($B162-1)/12)</f>
        <v>2005.9166666666667</v>
      </c>
      <c r="AM162" s="118">
        <f t="shared" ref="AM162:AM170" si="281">$D$6+($E$6/12)</f>
        <v>2020.25</v>
      </c>
      <c r="AN162" s="118">
        <f t="shared" ref="AN162:AN170" si="282">$I162+(($H162-1)/12)</f>
        <v>-8.3333333333333329E-2</v>
      </c>
      <c r="AO162" s="111"/>
    </row>
    <row r="163" spans="1:41" ht="15.75">
      <c r="A163" s="121" t="s">
        <v>659</v>
      </c>
      <c r="B163" s="121">
        <v>5</v>
      </c>
      <c r="C163" s="121">
        <v>2006</v>
      </c>
      <c r="D163" s="462">
        <v>11275</v>
      </c>
      <c r="E163" s="441">
        <v>0</v>
      </c>
      <c r="F163" s="441">
        <v>7</v>
      </c>
      <c r="G163" s="825">
        <f t="shared" si="266"/>
        <v>2013</v>
      </c>
      <c r="H163" s="441"/>
      <c r="I163" s="441"/>
      <c r="J163" s="146"/>
      <c r="K163" s="139">
        <f t="shared" si="267"/>
        <v>11275</v>
      </c>
      <c r="L163" s="139">
        <f t="shared" si="268"/>
        <v>134.22619047619048</v>
      </c>
      <c r="M163" s="139">
        <f>IF(J163&gt;0,0,IF(OR(AJ163&gt;AK163,AL163&lt;AM163),0,IF(AND(AL163&gt;=AM163,AL163&lt;=AK163),L163*((AL163-AM163)*12),IF(AND(AM163&lt;=AJ163,AK163&gt;=AJ163),((AK163-AJ163)*12)*L163,IF(AL163&gt;AK163,12*L163,0)))))</f>
        <v>0</v>
      </c>
      <c r="N163" s="139">
        <f t="shared" si="269"/>
        <v>11275</v>
      </c>
      <c r="O163" s="139">
        <f t="shared" si="270"/>
        <v>11275</v>
      </c>
      <c r="P163" s="139">
        <f t="shared" si="271"/>
        <v>0</v>
      </c>
      <c r="Q163" s="119">
        <f t="shared" si="272"/>
        <v>0</v>
      </c>
      <c r="R163" s="119">
        <f t="shared" si="273"/>
        <v>0</v>
      </c>
      <c r="S163" s="120">
        <v>1</v>
      </c>
      <c r="T163" s="141">
        <f t="shared" ref="T163:T170" si="283">S163*(M163+Q163)</f>
        <v>0</v>
      </c>
      <c r="U163" s="141"/>
      <c r="V163" s="141"/>
      <c r="W163" s="141"/>
      <c r="X163" s="141"/>
      <c r="Y163" s="141"/>
      <c r="Z163" s="119">
        <f t="shared" si="274"/>
        <v>0</v>
      </c>
      <c r="AA163" s="141">
        <f t="shared" si="275"/>
        <v>0</v>
      </c>
      <c r="AB163" s="141"/>
      <c r="AC163" s="141"/>
      <c r="AD163" s="141"/>
      <c r="AE163" s="141"/>
      <c r="AF163" s="141"/>
      <c r="AG163" s="120">
        <v>1</v>
      </c>
      <c r="AH163" s="119">
        <f t="shared" si="276"/>
        <v>11275</v>
      </c>
      <c r="AI163" s="119">
        <f t="shared" si="277"/>
        <v>11275</v>
      </c>
      <c r="AJ163" s="142">
        <f t="shared" si="278"/>
        <v>2006.3333333333333</v>
      </c>
      <c r="AK163" s="118">
        <f t="shared" si="279"/>
        <v>2021.6666666666667</v>
      </c>
      <c r="AL163" s="142">
        <f t="shared" si="280"/>
        <v>2013.3333333333333</v>
      </c>
      <c r="AM163" s="118">
        <f t="shared" si="281"/>
        <v>2020.25</v>
      </c>
      <c r="AN163" s="118">
        <f t="shared" si="282"/>
        <v>-8.3333333333333329E-2</v>
      </c>
      <c r="AO163" s="111"/>
    </row>
    <row r="164" spans="1:41" ht="15.75">
      <c r="A164" s="121" t="s">
        <v>660</v>
      </c>
      <c r="B164" s="121">
        <v>8</v>
      </c>
      <c r="C164" s="121">
        <v>2006</v>
      </c>
      <c r="D164" s="462">
        <v>14000</v>
      </c>
      <c r="E164" s="441">
        <v>0</v>
      </c>
      <c r="F164" s="441">
        <v>7</v>
      </c>
      <c r="G164" s="825">
        <f t="shared" si="266"/>
        <v>2013</v>
      </c>
      <c r="H164" s="441"/>
      <c r="I164" s="441"/>
      <c r="J164" s="146"/>
      <c r="K164" s="139">
        <f t="shared" si="267"/>
        <v>14000</v>
      </c>
      <c r="L164" s="139">
        <f t="shared" si="268"/>
        <v>166.66666666666666</v>
      </c>
      <c r="M164" s="139">
        <f>IF(J164&gt;0,0,IF(OR(AJ164&gt;AK164,AL164&lt;AM164),0,IF(AND(AL164&gt;=AM164,AL164&lt;=AK164),L164*((AL164-AM164)*12),IF(AND(AM164&lt;=AJ164,AK164&gt;=AJ164),((AK164-AJ164)*12)*L164,IF(AL164&gt;AK164,12*L164,0)))))</f>
        <v>0</v>
      </c>
      <c r="N164" s="139">
        <f t="shared" si="269"/>
        <v>14000</v>
      </c>
      <c r="O164" s="139">
        <f t="shared" si="270"/>
        <v>14000</v>
      </c>
      <c r="P164" s="139">
        <f t="shared" si="271"/>
        <v>0</v>
      </c>
      <c r="Q164" s="119">
        <f t="shared" si="272"/>
        <v>0</v>
      </c>
      <c r="R164" s="119">
        <f t="shared" si="273"/>
        <v>0</v>
      </c>
      <c r="S164" s="120">
        <v>1</v>
      </c>
      <c r="T164" s="141">
        <f t="shared" si="283"/>
        <v>0</v>
      </c>
      <c r="U164" s="141"/>
      <c r="V164" s="141"/>
      <c r="W164" s="141"/>
      <c r="X164" s="141"/>
      <c r="Y164" s="141"/>
      <c r="Z164" s="119">
        <f t="shared" si="274"/>
        <v>0</v>
      </c>
      <c r="AA164" s="141">
        <f t="shared" si="275"/>
        <v>0</v>
      </c>
      <c r="AB164" s="141"/>
      <c r="AC164" s="141"/>
      <c r="AD164" s="141"/>
      <c r="AE164" s="141"/>
      <c r="AF164" s="141"/>
      <c r="AG164" s="120">
        <v>1</v>
      </c>
      <c r="AH164" s="119">
        <f t="shared" si="276"/>
        <v>14000</v>
      </c>
      <c r="AI164" s="119">
        <f t="shared" si="277"/>
        <v>14000</v>
      </c>
      <c r="AJ164" s="142">
        <f t="shared" si="278"/>
        <v>2006.5833333333333</v>
      </c>
      <c r="AK164" s="118">
        <f t="shared" si="279"/>
        <v>2021.6666666666667</v>
      </c>
      <c r="AL164" s="142">
        <f t="shared" si="280"/>
        <v>2013.5833333333333</v>
      </c>
      <c r="AM164" s="118">
        <f t="shared" si="281"/>
        <v>2020.25</v>
      </c>
      <c r="AN164" s="118">
        <f t="shared" si="282"/>
        <v>-8.3333333333333329E-2</v>
      </c>
      <c r="AO164" s="111"/>
    </row>
    <row r="165" spans="1:41" ht="15.75">
      <c r="A165" s="121" t="s">
        <v>661</v>
      </c>
      <c r="B165" s="121">
        <v>7</v>
      </c>
      <c r="C165" s="121">
        <v>2010</v>
      </c>
      <c r="D165" s="462">
        <v>31000</v>
      </c>
      <c r="E165" s="441">
        <v>0</v>
      </c>
      <c r="F165" s="441">
        <v>7</v>
      </c>
      <c r="G165" s="825">
        <f t="shared" si="266"/>
        <v>2017</v>
      </c>
      <c r="H165" s="441"/>
      <c r="I165" s="441"/>
      <c r="J165" s="146"/>
      <c r="K165" s="139">
        <f t="shared" si="267"/>
        <v>31000</v>
      </c>
      <c r="L165" s="139">
        <f t="shared" si="268"/>
        <v>369.04761904761904</v>
      </c>
      <c r="M165" s="139">
        <f>IF(J165&gt;0,0,IF(OR(AJ165&gt;AK165,AL165&lt;AM165),0,IF(AND(AL165&gt;=AM165,AL165&lt;=AK165),L165*((AL165-AM165)*12),IF(AND(AM165&lt;=AJ165,AK165&gt;=AJ165),((AK165-AJ165)*12)*L165,IF(AL165&gt;AK165,12*L165,0)))))</f>
        <v>0</v>
      </c>
      <c r="N165" s="139">
        <f t="shared" si="269"/>
        <v>31000</v>
      </c>
      <c r="O165" s="139">
        <f t="shared" si="270"/>
        <v>31000</v>
      </c>
      <c r="P165" s="139">
        <f t="shared" si="271"/>
        <v>0</v>
      </c>
      <c r="Q165" s="119">
        <f t="shared" si="272"/>
        <v>0</v>
      </c>
      <c r="R165" s="119">
        <f t="shared" si="273"/>
        <v>0</v>
      </c>
      <c r="S165" s="120">
        <v>1</v>
      </c>
      <c r="T165" s="141">
        <f t="shared" si="283"/>
        <v>0</v>
      </c>
      <c r="U165" s="141"/>
      <c r="V165" s="141"/>
      <c r="W165" s="141"/>
      <c r="X165" s="141"/>
      <c r="Y165" s="141"/>
      <c r="Z165" s="119">
        <f t="shared" si="274"/>
        <v>0</v>
      </c>
      <c r="AA165" s="141">
        <f t="shared" si="275"/>
        <v>0</v>
      </c>
      <c r="AB165" s="141"/>
      <c r="AC165" s="141"/>
      <c r="AD165" s="141"/>
      <c r="AE165" s="141"/>
      <c r="AF165" s="141"/>
      <c r="AG165" s="120">
        <v>1</v>
      </c>
      <c r="AH165" s="119">
        <f t="shared" si="276"/>
        <v>31000</v>
      </c>
      <c r="AI165" s="119">
        <f t="shared" si="277"/>
        <v>31000</v>
      </c>
      <c r="AJ165" s="142">
        <f t="shared" si="278"/>
        <v>2010.5</v>
      </c>
      <c r="AK165" s="118">
        <f t="shared" si="279"/>
        <v>2021.6666666666667</v>
      </c>
      <c r="AL165" s="142">
        <f t="shared" si="280"/>
        <v>2017.5</v>
      </c>
      <c r="AM165" s="118">
        <f t="shared" si="281"/>
        <v>2020.25</v>
      </c>
      <c r="AN165" s="118">
        <f t="shared" si="282"/>
        <v>-8.3333333333333329E-2</v>
      </c>
      <c r="AO165" s="111"/>
    </row>
    <row r="166" spans="1:41" ht="15.75">
      <c r="A166" s="121" t="s">
        <v>662</v>
      </c>
      <c r="B166" s="121">
        <v>6</v>
      </c>
      <c r="C166" s="121">
        <v>1989</v>
      </c>
      <c r="D166" s="462">
        <v>5929</v>
      </c>
      <c r="E166" s="441">
        <v>0</v>
      </c>
      <c r="F166" s="441">
        <v>8</v>
      </c>
      <c r="G166" s="825">
        <f t="shared" si="266"/>
        <v>1997</v>
      </c>
      <c r="H166" s="441"/>
      <c r="I166" s="441"/>
      <c r="J166" s="146"/>
      <c r="K166" s="139">
        <f t="shared" si="267"/>
        <v>5929</v>
      </c>
      <c r="L166" s="139">
        <f t="shared" si="268"/>
        <v>61.760416666666664</v>
      </c>
      <c r="M166" s="139">
        <f>IF(J166&gt;0,0,IF(OR(AJ166&gt;AK166,AL166&lt;AM166),0,IF(AND(AL166&gt;=AM166,AL166&lt;=AK166),L166*((AL166-AM166)*12),IF(AND(AM166&lt;=AJ166,AK166&gt;=AJ166),((AK166-AJ166)*12)*L166,IF(AL166&gt;AK166,12*L166,0)))))</f>
        <v>0</v>
      </c>
      <c r="N166" s="139">
        <f t="shared" si="269"/>
        <v>5929</v>
      </c>
      <c r="O166" s="139">
        <f t="shared" si="270"/>
        <v>5929</v>
      </c>
      <c r="P166" s="139">
        <f t="shared" si="271"/>
        <v>0</v>
      </c>
      <c r="Q166" s="119">
        <f t="shared" si="272"/>
        <v>0</v>
      </c>
      <c r="R166" s="119">
        <f t="shared" si="273"/>
        <v>0</v>
      </c>
      <c r="S166" s="120">
        <v>1</v>
      </c>
      <c r="T166" s="141">
        <f t="shared" si="283"/>
        <v>0</v>
      </c>
      <c r="U166" s="141"/>
      <c r="V166" s="141"/>
      <c r="W166" s="141"/>
      <c r="X166" s="141"/>
      <c r="Y166" s="141"/>
      <c r="Z166" s="119">
        <f t="shared" si="274"/>
        <v>0</v>
      </c>
      <c r="AA166" s="141">
        <f t="shared" si="275"/>
        <v>0</v>
      </c>
      <c r="AB166" s="141"/>
      <c r="AC166" s="141"/>
      <c r="AD166" s="141"/>
      <c r="AE166" s="141"/>
      <c r="AF166" s="141"/>
      <c r="AG166" s="120">
        <v>1</v>
      </c>
      <c r="AH166" s="119">
        <f t="shared" si="276"/>
        <v>5929</v>
      </c>
      <c r="AI166" s="119">
        <f t="shared" si="277"/>
        <v>5929</v>
      </c>
      <c r="AJ166" s="142">
        <f t="shared" si="278"/>
        <v>1989.4166666666667</v>
      </c>
      <c r="AK166" s="118">
        <f t="shared" si="279"/>
        <v>2021.6666666666667</v>
      </c>
      <c r="AL166" s="142">
        <f t="shared" si="280"/>
        <v>1997.4166666666667</v>
      </c>
      <c r="AM166" s="118">
        <f t="shared" si="281"/>
        <v>2020.25</v>
      </c>
      <c r="AN166" s="118">
        <f t="shared" si="282"/>
        <v>-8.3333333333333329E-2</v>
      </c>
      <c r="AO166" s="111"/>
    </row>
    <row r="167" spans="1:41" ht="15.75">
      <c r="A167" s="121" t="s">
        <v>663</v>
      </c>
      <c r="B167" s="121">
        <v>6</v>
      </c>
      <c r="C167" s="121">
        <v>2013</v>
      </c>
      <c r="D167" s="462">
        <v>17424</v>
      </c>
      <c r="E167" s="441">
        <v>0</v>
      </c>
      <c r="F167" s="441">
        <v>5</v>
      </c>
      <c r="G167" s="825">
        <f t="shared" si="266"/>
        <v>2018</v>
      </c>
      <c r="H167" s="441"/>
      <c r="I167" s="441"/>
      <c r="J167" s="146"/>
      <c r="K167" s="139">
        <f t="shared" si="267"/>
        <v>17424</v>
      </c>
      <c r="L167" s="139">
        <f t="shared" si="268"/>
        <v>290.40000000000003</v>
      </c>
      <c r="M167" s="139">
        <f t="shared" ref="M167:M170" si="284">IF(J167&gt;0,0,IF(OR(AJ167&gt;AK167,AL167&lt;AM167),0,IF(AND(AL167&gt;=AM167,AL167&lt;=AK167),L167*((AL167-AM167)*12),IF(AND(AM167&lt;=AJ167,AK167&gt;=AJ167),((AK167-AJ167)*12)*L167,IF(AL167&gt;AK167,12*L167,0)))))</f>
        <v>0</v>
      </c>
      <c r="N167" s="139">
        <f t="shared" si="269"/>
        <v>17424</v>
      </c>
      <c r="O167" s="139">
        <f t="shared" si="270"/>
        <v>17424</v>
      </c>
      <c r="P167" s="139">
        <f t="shared" ref="P167" si="285">+K167-O167</f>
        <v>0</v>
      </c>
      <c r="Q167" s="119">
        <f t="shared" si="272"/>
        <v>0</v>
      </c>
      <c r="R167" s="119">
        <f t="shared" si="273"/>
        <v>0</v>
      </c>
      <c r="S167" s="120">
        <v>1</v>
      </c>
      <c r="T167" s="141">
        <f t="shared" si="283"/>
        <v>0</v>
      </c>
      <c r="U167" s="141"/>
      <c r="V167" s="141"/>
      <c r="W167" s="141"/>
      <c r="X167" s="141"/>
      <c r="Y167" s="141"/>
      <c r="Z167" s="119">
        <f t="shared" si="274"/>
        <v>0</v>
      </c>
      <c r="AA167" s="141">
        <f t="shared" si="275"/>
        <v>0</v>
      </c>
      <c r="AB167" s="141"/>
      <c r="AC167" s="141"/>
      <c r="AD167" s="141"/>
      <c r="AE167" s="141"/>
      <c r="AF167" s="141"/>
      <c r="AG167" s="120">
        <v>1</v>
      </c>
      <c r="AH167" s="119">
        <f t="shared" si="276"/>
        <v>17424</v>
      </c>
      <c r="AI167" s="119">
        <f t="shared" si="277"/>
        <v>17424</v>
      </c>
      <c r="AJ167" s="142">
        <f t="shared" si="278"/>
        <v>2013.4166666666667</v>
      </c>
      <c r="AK167" s="118">
        <f t="shared" si="279"/>
        <v>2021.6666666666667</v>
      </c>
      <c r="AL167" s="142">
        <f t="shared" si="280"/>
        <v>2018.4166666666667</v>
      </c>
      <c r="AM167" s="118">
        <f t="shared" si="281"/>
        <v>2020.25</v>
      </c>
      <c r="AN167" s="118">
        <f t="shared" si="282"/>
        <v>-8.3333333333333329E-2</v>
      </c>
      <c r="AO167" s="111"/>
    </row>
    <row r="168" spans="1:41" ht="15.75">
      <c r="A168" s="115" t="s">
        <v>664</v>
      </c>
      <c r="B168" s="121">
        <v>8</v>
      </c>
      <c r="C168" s="121">
        <v>2015</v>
      </c>
      <c r="D168" s="462">
        <v>44211</v>
      </c>
      <c r="E168" s="441">
        <v>0</v>
      </c>
      <c r="F168" s="441">
        <v>5</v>
      </c>
      <c r="G168" s="825">
        <f t="shared" si="266"/>
        <v>2020</v>
      </c>
      <c r="H168" s="441"/>
      <c r="I168" s="441"/>
      <c r="J168" s="146"/>
      <c r="K168" s="139">
        <f t="shared" si="267"/>
        <v>44211</v>
      </c>
      <c r="L168" s="139">
        <f t="shared" si="268"/>
        <v>736.85</v>
      </c>
      <c r="M168" s="139">
        <f t="shared" si="284"/>
        <v>2947.3999999993298</v>
      </c>
      <c r="N168" s="139">
        <f t="shared" si="269"/>
        <v>41263.600000000668</v>
      </c>
      <c r="O168" s="139">
        <f t="shared" si="270"/>
        <v>44211</v>
      </c>
      <c r="P168" s="139">
        <f t="shared" si="271"/>
        <v>1473.699999999666</v>
      </c>
      <c r="Q168" s="119">
        <f t="shared" si="272"/>
        <v>0</v>
      </c>
      <c r="R168" s="119">
        <f t="shared" si="273"/>
        <v>2947.3999999993298</v>
      </c>
      <c r="S168" s="120">
        <v>1</v>
      </c>
      <c r="T168" s="141">
        <f t="shared" si="283"/>
        <v>2947.3999999993298</v>
      </c>
      <c r="U168" s="141"/>
      <c r="V168" s="141"/>
      <c r="W168" s="141"/>
      <c r="X168" s="141"/>
      <c r="Y168" s="141"/>
      <c r="Z168" s="119">
        <f t="shared" si="274"/>
        <v>2947.3999999993298</v>
      </c>
      <c r="AA168" s="141">
        <f t="shared" si="275"/>
        <v>1473.699999999666</v>
      </c>
      <c r="AB168" s="141"/>
      <c r="AC168" s="141"/>
      <c r="AD168" s="141"/>
      <c r="AE168" s="141"/>
      <c r="AF168" s="141"/>
      <c r="AG168" s="120">
        <v>1</v>
      </c>
      <c r="AH168" s="119">
        <f t="shared" si="276"/>
        <v>41263.600000000668</v>
      </c>
      <c r="AI168" s="119">
        <f t="shared" si="277"/>
        <v>41263.600000000668</v>
      </c>
      <c r="AJ168" s="142">
        <f t="shared" si="278"/>
        <v>2015.5833333333333</v>
      </c>
      <c r="AK168" s="118">
        <f t="shared" si="279"/>
        <v>2021.6666666666667</v>
      </c>
      <c r="AL168" s="142">
        <f t="shared" si="280"/>
        <v>2020.5833333333333</v>
      </c>
      <c r="AM168" s="118">
        <f t="shared" si="281"/>
        <v>2020.25</v>
      </c>
      <c r="AN168" s="118">
        <f t="shared" si="282"/>
        <v>-8.3333333333333329E-2</v>
      </c>
      <c r="AO168" s="111"/>
    </row>
    <row r="169" spans="1:41" ht="15.75">
      <c r="A169" s="115" t="s">
        <v>665</v>
      </c>
      <c r="B169" s="121">
        <v>3</v>
      </c>
      <c r="C169" s="121">
        <v>2016</v>
      </c>
      <c r="D169" s="462">
        <v>90285</v>
      </c>
      <c r="E169" s="441">
        <v>0</v>
      </c>
      <c r="F169" s="441">
        <v>5</v>
      </c>
      <c r="G169" s="825">
        <f t="shared" si="266"/>
        <v>2021</v>
      </c>
      <c r="H169" s="441"/>
      <c r="I169" s="441"/>
      <c r="J169" s="146"/>
      <c r="K169" s="139">
        <f t="shared" si="267"/>
        <v>90285</v>
      </c>
      <c r="L169" s="139">
        <f t="shared" si="268"/>
        <v>1504.75</v>
      </c>
      <c r="M169" s="139">
        <f t="shared" si="284"/>
        <v>16552.250000001368</v>
      </c>
      <c r="N169" s="139">
        <f t="shared" si="269"/>
        <v>73732.749999998632</v>
      </c>
      <c r="O169" s="139">
        <f t="shared" si="270"/>
        <v>90285</v>
      </c>
      <c r="P169" s="139">
        <f t="shared" si="271"/>
        <v>8276.1250000006839</v>
      </c>
      <c r="Q169" s="119">
        <f t="shared" si="272"/>
        <v>0</v>
      </c>
      <c r="R169" s="119">
        <f t="shared" si="273"/>
        <v>16552.250000001368</v>
      </c>
      <c r="S169" s="120">
        <v>1</v>
      </c>
      <c r="T169" s="141">
        <f t="shared" si="283"/>
        <v>16552.250000001368</v>
      </c>
      <c r="U169" s="141"/>
      <c r="V169" s="141"/>
      <c r="W169" s="141"/>
      <c r="X169" s="141"/>
      <c r="Y169" s="141"/>
      <c r="Z169" s="119">
        <f t="shared" si="274"/>
        <v>16552.250000001368</v>
      </c>
      <c r="AA169" s="141">
        <f t="shared" si="275"/>
        <v>8276.1250000006839</v>
      </c>
      <c r="AB169" s="141"/>
      <c r="AC169" s="141"/>
      <c r="AD169" s="141"/>
      <c r="AE169" s="141"/>
      <c r="AF169" s="141"/>
      <c r="AG169" s="120">
        <v>1</v>
      </c>
      <c r="AH169" s="119">
        <f t="shared" si="276"/>
        <v>73732.749999998632</v>
      </c>
      <c r="AI169" s="119">
        <f t="shared" si="277"/>
        <v>73732.749999998632</v>
      </c>
      <c r="AJ169" s="142">
        <f t="shared" si="278"/>
        <v>2016.1666666666667</v>
      </c>
      <c r="AK169" s="118">
        <f t="shared" si="279"/>
        <v>2021.6666666666667</v>
      </c>
      <c r="AL169" s="142">
        <f t="shared" si="280"/>
        <v>2021.1666666666667</v>
      </c>
      <c r="AM169" s="118">
        <f t="shared" si="281"/>
        <v>2020.25</v>
      </c>
      <c r="AN169" s="118">
        <f t="shared" si="282"/>
        <v>-8.3333333333333329E-2</v>
      </c>
      <c r="AO169" s="111"/>
    </row>
    <row r="170" spans="1:41" ht="15.75">
      <c r="A170" s="115" t="s">
        <v>666</v>
      </c>
      <c r="B170" s="121">
        <v>3</v>
      </c>
      <c r="C170" s="121">
        <v>2016</v>
      </c>
      <c r="D170" s="463">
        <v>17547.84</v>
      </c>
      <c r="E170" s="441">
        <v>0</v>
      </c>
      <c r="F170" s="441">
        <v>5</v>
      </c>
      <c r="G170" s="825">
        <f t="shared" si="266"/>
        <v>2021</v>
      </c>
      <c r="H170" s="441"/>
      <c r="I170" s="441"/>
      <c r="J170" s="146"/>
      <c r="K170" s="145">
        <f t="shared" si="267"/>
        <v>17547.84</v>
      </c>
      <c r="L170" s="145">
        <f t="shared" si="268"/>
        <v>292.464</v>
      </c>
      <c r="M170" s="145">
        <f t="shared" si="284"/>
        <v>3217.1040000002658</v>
      </c>
      <c r="N170" s="145">
        <f t="shared" si="269"/>
        <v>14330.735999999735</v>
      </c>
      <c r="O170" s="145">
        <f t="shared" si="270"/>
        <v>17547.84</v>
      </c>
      <c r="P170" s="145">
        <f t="shared" si="271"/>
        <v>1608.5520000001325</v>
      </c>
      <c r="Q170" s="144">
        <f t="shared" si="272"/>
        <v>0</v>
      </c>
      <c r="R170" s="144">
        <f t="shared" si="273"/>
        <v>3217.1040000002658</v>
      </c>
      <c r="S170" s="120">
        <v>1</v>
      </c>
      <c r="T170" s="141">
        <f t="shared" si="283"/>
        <v>3217.1040000002658</v>
      </c>
      <c r="U170" s="141"/>
      <c r="V170" s="141"/>
      <c r="W170" s="141"/>
      <c r="X170" s="141"/>
      <c r="Y170" s="141"/>
      <c r="Z170" s="119">
        <f t="shared" si="274"/>
        <v>3217.1040000002658</v>
      </c>
      <c r="AA170" s="141">
        <f t="shared" si="275"/>
        <v>1608.5520000001325</v>
      </c>
      <c r="AB170" s="141"/>
      <c r="AC170" s="141"/>
      <c r="AD170" s="141"/>
      <c r="AE170" s="141"/>
      <c r="AF170" s="141"/>
      <c r="AG170" s="120">
        <v>1</v>
      </c>
      <c r="AH170" s="119">
        <f t="shared" si="276"/>
        <v>14330.735999999735</v>
      </c>
      <c r="AI170" s="119">
        <f t="shared" si="277"/>
        <v>14330.735999999735</v>
      </c>
      <c r="AJ170" s="142">
        <f t="shared" si="278"/>
        <v>2016.1666666666667</v>
      </c>
      <c r="AK170" s="118">
        <f t="shared" si="279"/>
        <v>2021.6666666666667</v>
      </c>
      <c r="AL170" s="142">
        <f t="shared" si="280"/>
        <v>2021.1666666666667</v>
      </c>
      <c r="AM170" s="118">
        <f t="shared" si="281"/>
        <v>2020.25</v>
      </c>
      <c r="AN170" s="118">
        <f t="shared" si="282"/>
        <v>-8.3333333333333329E-2</v>
      </c>
      <c r="AO170" s="111"/>
    </row>
    <row r="171" spans="1:41" ht="15.75">
      <c r="A171" s="121" t="s">
        <v>667</v>
      </c>
      <c r="B171" s="124"/>
      <c r="C171" s="124"/>
      <c r="D171" s="464">
        <f>SUM(D162:D170)</f>
        <v>808125.84</v>
      </c>
      <c r="E171" s="444"/>
      <c r="F171" s="154"/>
      <c r="G171" s="825"/>
      <c r="H171" s="154"/>
      <c r="I171" s="154"/>
      <c r="J171" s="139"/>
      <c r="K171" s="139">
        <f t="shared" ref="K171:R171" si="286">SUM(K162:K170)</f>
        <v>808125.84</v>
      </c>
      <c r="L171" s="139">
        <f t="shared" si="286"/>
        <v>13163.731559523809</v>
      </c>
      <c r="M171" s="139">
        <f t="shared" si="286"/>
        <v>22716.754000000961</v>
      </c>
      <c r="N171" s="139">
        <f t="shared" si="286"/>
        <v>785409.08599999896</v>
      </c>
      <c r="O171" s="139">
        <f t="shared" si="286"/>
        <v>808125.84</v>
      </c>
      <c r="P171" s="139">
        <f t="shared" si="286"/>
        <v>11358.377000000482</v>
      </c>
      <c r="Q171" s="119">
        <f t="shared" si="286"/>
        <v>0</v>
      </c>
      <c r="R171" s="119">
        <f t="shared" si="286"/>
        <v>22716.754000000961</v>
      </c>
      <c r="S171" s="119"/>
      <c r="T171" s="141">
        <f>SUM(T162:T167)</f>
        <v>0</v>
      </c>
      <c r="U171" s="141"/>
      <c r="V171" s="141"/>
      <c r="W171" s="141"/>
      <c r="X171" s="141"/>
      <c r="Y171" s="141"/>
      <c r="Z171" s="119">
        <f t="shared" ref="Z171:AI171" si="287">SUM(Z162:Z167)</f>
        <v>0</v>
      </c>
      <c r="AA171" s="141">
        <f t="shared" si="287"/>
        <v>0</v>
      </c>
      <c r="AB171" s="141">
        <f t="shared" si="287"/>
        <v>0</v>
      </c>
      <c r="AC171" s="141">
        <f t="shared" si="287"/>
        <v>0</v>
      </c>
      <c r="AD171" s="141">
        <f t="shared" si="287"/>
        <v>0</v>
      </c>
      <c r="AE171" s="141">
        <f t="shared" si="287"/>
        <v>0</v>
      </c>
      <c r="AF171" s="141">
        <f t="shared" si="287"/>
        <v>0</v>
      </c>
      <c r="AG171" s="119"/>
      <c r="AH171" s="119">
        <f t="shared" si="287"/>
        <v>656082</v>
      </c>
      <c r="AI171" s="119">
        <f t="shared" si="287"/>
        <v>656082</v>
      </c>
      <c r="AJ171" s="142"/>
      <c r="AK171" s="118"/>
      <c r="AL171" s="142"/>
      <c r="AM171" s="118"/>
      <c r="AN171" s="118"/>
      <c r="AO171" s="111"/>
    </row>
    <row r="172" spans="1:41" ht="15.75">
      <c r="A172" s="121"/>
      <c r="B172" s="124"/>
      <c r="C172" s="124"/>
      <c r="D172" s="464"/>
      <c r="E172" s="444"/>
      <c r="F172" s="154"/>
      <c r="G172" s="825"/>
      <c r="H172" s="154"/>
      <c r="I172" s="154"/>
      <c r="J172" s="139"/>
      <c r="K172" s="139"/>
      <c r="L172" s="139"/>
      <c r="M172" s="139"/>
      <c r="N172" s="139"/>
      <c r="O172" s="139"/>
      <c r="P172" s="139"/>
      <c r="Q172" s="119"/>
      <c r="R172" s="119"/>
      <c r="S172" s="119"/>
      <c r="T172" s="141"/>
      <c r="U172" s="141"/>
      <c r="V172" s="141"/>
      <c r="W172" s="141"/>
      <c r="X172" s="141"/>
      <c r="Y172" s="141"/>
      <c r="Z172" s="119"/>
      <c r="AA172" s="141"/>
      <c r="AB172" s="141"/>
      <c r="AC172" s="141"/>
      <c r="AD172" s="141"/>
      <c r="AE172" s="141"/>
      <c r="AF172" s="141"/>
      <c r="AG172" s="119"/>
      <c r="AH172" s="119"/>
      <c r="AI172" s="119"/>
      <c r="AJ172" s="142"/>
      <c r="AK172" s="118"/>
      <c r="AL172" s="142"/>
      <c r="AM172" s="118"/>
      <c r="AN172" s="118"/>
      <c r="AO172" s="111"/>
    </row>
    <row r="173" spans="1:41" ht="15.75">
      <c r="A173" s="134" t="s">
        <v>668</v>
      </c>
      <c r="B173" s="124"/>
      <c r="C173" s="124"/>
      <c r="D173" s="464"/>
      <c r="E173" s="444"/>
      <c r="F173" s="154"/>
      <c r="G173" s="825"/>
      <c r="H173" s="154"/>
      <c r="I173" s="154"/>
      <c r="J173" s="139"/>
      <c r="K173" s="139"/>
      <c r="L173" s="139"/>
      <c r="M173" s="139"/>
      <c r="N173" s="139"/>
      <c r="O173" s="139"/>
      <c r="P173" s="139"/>
      <c r="Q173" s="119"/>
      <c r="R173" s="119"/>
      <c r="S173" s="119"/>
      <c r="T173" s="141"/>
      <c r="U173" s="141"/>
      <c r="V173" s="141"/>
      <c r="W173" s="141"/>
      <c r="X173" s="141"/>
      <c r="Y173" s="141"/>
      <c r="Z173" s="119"/>
      <c r="AA173" s="141"/>
      <c r="AB173" s="141"/>
      <c r="AC173" s="141"/>
      <c r="AD173" s="141"/>
      <c r="AE173" s="141"/>
      <c r="AF173" s="141"/>
      <c r="AG173" s="119"/>
      <c r="AH173" s="119"/>
      <c r="AI173" s="119"/>
      <c r="AJ173" s="142"/>
      <c r="AK173" s="118"/>
      <c r="AL173" s="142"/>
      <c r="AM173" s="118"/>
      <c r="AN173" s="118"/>
      <c r="AO173" s="111"/>
    </row>
    <row r="174" spans="1:41" ht="15.75">
      <c r="A174" s="121" t="s">
        <v>669</v>
      </c>
      <c r="B174" s="121">
        <v>12</v>
      </c>
      <c r="C174" s="121">
        <v>2019</v>
      </c>
      <c r="D174" s="463">
        <v>3744</v>
      </c>
      <c r="E174" s="441">
        <v>0</v>
      </c>
      <c r="F174" s="441">
        <v>3</v>
      </c>
      <c r="G174" s="825">
        <f t="shared" ref="G174" si="288">C174+F174</f>
        <v>2022</v>
      </c>
      <c r="H174" s="441"/>
      <c r="I174" s="441"/>
      <c r="J174" s="146"/>
      <c r="K174" s="145">
        <f t="shared" ref="K174" si="289">D174-D174*E174</f>
        <v>3744</v>
      </c>
      <c r="L174" s="145">
        <f t="shared" ref="L174" si="290">K174/F174/12</f>
        <v>104</v>
      </c>
      <c r="M174" s="145">
        <f t="shared" ref="M174" si="291">IF(J174&gt;0,0,IF(OR(AJ174&gt;AK174,AL174&lt;AM174),0,IF(AND(AL174&gt;=AM174,AL174&lt;=AK174),L174*((AL174-AM174)*12),IF(AND(AM174&lt;=AJ174,AK174&gt;=AJ174),((AK174-AJ174)*12)*L174,IF(AL174&gt;AK174,12*L174,0)))))</f>
        <v>1248</v>
      </c>
      <c r="N174" s="145">
        <f>+L174*22</f>
        <v>2288</v>
      </c>
      <c r="O174" s="145">
        <f t="shared" ref="O174" si="292">IF(J174&gt;0,0,AI174+Z174*AG174)*AG174</f>
        <v>3536</v>
      </c>
      <c r="P174" s="145">
        <f t="shared" ref="P174" si="293">((K174-N174)+(K174-O174))/2</f>
        <v>832</v>
      </c>
      <c r="Q174" s="144">
        <f t="shared" ref="Q174" si="294">IF(J174=0,0,IF(AND(AN174&gt;=AM174,AN174&lt;=AL174),((AN174-AM174)*12)*L174,0))</f>
        <v>0</v>
      </c>
      <c r="R174" s="144">
        <f t="shared" ref="R174" si="295">IF(Q174&gt;0,Q174,M174)</f>
        <v>1248</v>
      </c>
      <c r="S174" s="120">
        <v>1</v>
      </c>
      <c r="T174" s="141">
        <f t="shared" ref="T174" si="296">S174*(M174+Q174)</f>
        <v>1248</v>
      </c>
      <c r="U174" s="141"/>
      <c r="V174" s="141"/>
      <c r="W174" s="141"/>
      <c r="X174" s="141"/>
      <c r="Y174" s="141"/>
      <c r="Z174" s="119">
        <f t="shared" ref="Z174" si="297">S174*(M174+Q174)</f>
        <v>1248</v>
      </c>
      <c r="AA174" s="141">
        <f t="shared" ref="AA174" si="298">P174*S174</f>
        <v>832</v>
      </c>
      <c r="AB174" s="141"/>
      <c r="AC174" s="141"/>
      <c r="AD174" s="141"/>
      <c r="AE174" s="141"/>
      <c r="AF174" s="141"/>
      <c r="AG174" s="120">
        <v>1</v>
      </c>
      <c r="AH174" s="119">
        <f t="shared" ref="AH174" si="299">N174*S174</f>
        <v>2288</v>
      </c>
      <c r="AI174" s="119">
        <f t="shared" ref="AI174" si="300">AH174*AG174</f>
        <v>2288</v>
      </c>
      <c r="AJ174" s="142">
        <f t="shared" ref="AJ174" si="301">$C174+(($B174-1)/12)</f>
        <v>2019.9166666666667</v>
      </c>
      <c r="AK174" s="118">
        <f t="shared" ref="AK174" si="302">($F$6+1)-($C$6/12)</f>
        <v>2021.6666666666667</v>
      </c>
      <c r="AL174" s="142">
        <f t="shared" ref="AL174" si="303">$G174+(($B174-1)/12)</f>
        <v>2022.9166666666667</v>
      </c>
      <c r="AM174" s="118">
        <f t="shared" ref="AM174" si="304">$D$6+($E$6/12)</f>
        <v>2020.25</v>
      </c>
      <c r="AN174" s="118">
        <f t="shared" ref="AN174" si="305">$I174+(($H174-1)/12)</f>
        <v>-8.3333333333333329E-2</v>
      </c>
      <c r="AO174" s="111"/>
    </row>
    <row r="175" spans="1:41" ht="15.75">
      <c r="A175" s="121"/>
      <c r="B175" s="124"/>
      <c r="C175" s="124"/>
      <c r="D175" s="464">
        <f>+D174</f>
        <v>3744</v>
      </c>
      <c r="E175" s="444"/>
      <c r="F175" s="154"/>
      <c r="G175" s="154"/>
      <c r="H175" s="154"/>
      <c r="I175" s="154"/>
      <c r="J175" s="139"/>
      <c r="K175" s="544">
        <f t="shared" ref="K175:P175" si="306">+K174</f>
        <v>3744</v>
      </c>
      <c r="L175" s="544">
        <f t="shared" si="306"/>
        <v>104</v>
      </c>
      <c r="M175" s="544">
        <f t="shared" si="306"/>
        <v>1248</v>
      </c>
      <c r="N175" s="544">
        <f t="shared" si="306"/>
        <v>2288</v>
      </c>
      <c r="O175" s="544">
        <f t="shared" si="306"/>
        <v>3536</v>
      </c>
      <c r="P175" s="544">
        <f t="shared" si="306"/>
        <v>832</v>
      </c>
      <c r="Q175" s="119"/>
      <c r="R175" s="119"/>
      <c r="S175" s="119"/>
      <c r="T175" s="141"/>
      <c r="U175" s="141"/>
      <c r="V175" s="141"/>
      <c r="W175" s="141"/>
      <c r="X175" s="141"/>
      <c r="Y175" s="141"/>
      <c r="Z175" s="119"/>
      <c r="AA175" s="141"/>
      <c r="AB175" s="141"/>
      <c r="AC175" s="141"/>
      <c r="AD175" s="141"/>
      <c r="AE175" s="141"/>
      <c r="AF175" s="141"/>
      <c r="AG175" s="119"/>
      <c r="AH175" s="119"/>
      <c r="AI175" s="119"/>
      <c r="AJ175" s="142"/>
      <c r="AK175" s="118"/>
      <c r="AL175" s="142"/>
      <c r="AM175" s="118"/>
      <c r="AN175" s="118"/>
      <c r="AO175" s="111"/>
    </row>
    <row r="176" spans="1:41" ht="15.75">
      <c r="A176" s="121"/>
      <c r="B176" s="124"/>
      <c r="C176" s="124"/>
      <c r="D176" s="139"/>
      <c r="E176" s="444"/>
      <c r="F176" s="154"/>
      <c r="G176" s="154"/>
      <c r="H176" s="154"/>
      <c r="I176" s="154"/>
      <c r="J176" s="139"/>
      <c r="K176" s="139"/>
      <c r="L176" s="139"/>
      <c r="M176" s="139"/>
      <c r="N176" s="139"/>
      <c r="O176" s="139"/>
      <c r="P176" s="139"/>
      <c r="Q176" s="119"/>
      <c r="R176" s="119"/>
      <c r="S176" s="119"/>
      <c r="T176" s="141"/>
      <c r="U176" s="141"/>
      <c r="V176" s="141"/>
      <c r="W176" s="141"/>
      <c r="X176" s="141"/>
      <c r="Y176" s="141"/>
      <c r="Z176" s="119"/>
      <c r="AA176" s="141"/>
      <c r="AB176" s="141"/>
      <c r="AC176" s="141"/>
      <c r="AD176" s="141"/>
      <c r="AE176" s="141"/>
      <c r="AF176" s="141"/>
      <c r="AG176" s="119"/>
      <c r="AH176" s="119"/>
      <c r="AI176" s="119"/>
      <c r="AJ176" s="142"/>
      <c r="AK176" s="118"/>
      <c r="AL176" s="142"/>
      <c r="AM176" s="118"/>
      <c r="AN176" s="118"/>
      <c r="AO176" s="111"/>
    </row>
    <row r="177" spans="1:41" ht="15.75">
      <c r="A177" s="121"/>
      <c r="B177" s="118"/>
      <c r="C177" s="118"/>
      <c r="D177" s="139"/>
      <c r="E177" s="139"/>
      <c r="F177" s="139"/>
      <c r="G177" s="139"/>
      <c r="H177" s="139"/>
      <c r="I177" s="139"/>
      <c r="J177" s="139"/>
      <c r="K177" s="139">
        <f>+K36+K40+K44+K62+K69+K76+K82+K91+K117+K124+K132+K141+K146+K150+K159+K171+K175</f>
        <v>10666645.280000001</v>
      </c>
      <c r="L177" s="139">
        <f t="shared" ref="L177:P177" si="307">+L36+L40+L44+L62+L69+L76+L82+L91+L117+L124+L132+L141+L146+L150+L159+L171+L175</f>
        <v>119172.94213095238</v>
      </c>
      <c r="M177" s="139">
        <f t="shared" si="307"/>
        <v>449761.15307143016</v>
      </c>
      <c r="N177" s="139">
        <f t="shared" si="307"/>
        <v>7869271.6051785778</v>
      </c>
      <c r="O177" s="139">
        <f t="shared" si="307"/>
        <v>8319032.7582500074</v>
      </c>
      <c r="P177" s="139">
        <f t="shared" si="307"/>
        <v>2572493.0982857081</v>
      </c>
      <c r="Q177" s="119">
        <f t="shared" ref="Q177:AN177" si="308">+Q36+Q40+Q44+Q62+Q69+Q76+Q82+Q91+Q117+Q124+Q132+Q141+Q146+Q150+Q159+Q171+Q175</f>
        <v>0</v>
      </c>
      <c r="R177" s="119">
        <f t="shared" si="308"/>
        <v>448513.15307143016</v>
      </c>
      <c r="S177" s="119">
        <f t="shared" si="308"/>
        <v>0</v>
      </c>
      <c r="T177" s="119">
        <f t="shared" si="308"/>
        <v>139472.75150350109</v>
      </c>
      <c r="U177" s="119">
        <f t="shared" si="308"/>
        <v>8142.1480762101846</v>
      </c>
      <c r="V177" s="119">
        <f t="shared" si="308"/>
        <v>20302.766288458261</v>
      </c>
      <c r="W177" s="119">
        <f t="shared" si="308"/>
        <v>33.630521931061388</v>
      </c>
      <c r="X177" s="119">
        <f t="shared" si="308"/>
        <v>0</v>
      </c>
      <c r="Y177" s="119">
        <f t="shared" si="308"/>
        <v>300</v>
      </c>
      <c r="Z177" s="119">
        <f t="shared" si="308"/>
        <v>77616.90652380875</v>
      </c>
      <c r="AA177" s="119">
        <f t="shared" si="308"/>
        <v>235479.50138653925</v>
      </c>
      <c r="AB177" s="119">
        <f t="shared" si="308"/>
        <v>5238.5260953446978</v>
      </c>
      <c r="AC177" s="119">
        <f t="shared" si="308"/>
        <v>135414.05029943818</v>
      </c>
      <c r="AD177" s="119">
        <f t="shared" si="308"/>
        <v>168.15260965530695</v>
      </c>
      <c r="AE177" s="119">
        <f t="shared" si="308"/>
        <v>0</v>
      </c>
      <c r="AF177" s="119">
        <f t="shared" si="308"/>
        <v>1750</v>
      </c>
      <c r="AG177" s="119">
        <f t="shared" si="308"/>
        <v>0</v>
      </c>
      <c r="AH177" s="119">
        <f t="shared" si="308"/>
        <v>7219715.8790119095</v>
      </c>
      <c r="AI177" s="119">
        <f t="shared" si="308"/>
        <v>7219715.8790119095</v>
      </c>
      <c r="AJ177" s="119">
        <f t="shared" si="308"/>
        <v>0</v>
      </c>
      <c r="AK177" s="119">
        <f t="shared" si="308"/>
        <v>0</v>
      </c>
      <c r="AL177" s="119">
        <f t="shared" si="308"/>
        <v>0</v>
      </c>
      <c r="AM177" s="119">
        <f t="shared" si="308"/>
        <v>0</v>
      </c>
      <c r="AN177" s="119">
        <f t="shared" si="308"/>
        <v>0</v>
      </c>
      <c r="AO177" s="153"/>
    </row>
    <row r="178" spans="1:41" ht="16.5" thickBot="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7"/>
      <c r="W178" s="157"/>
      <c r="X178" s="157"/>
      <c r="Y178" s="157"/>
      <c r="Z178" s="157"/>
      <c r="AA178" s="157"/>
      <c r="AB178" s="157"/>
      <c r="AC178" s="157"/>
      <c r="AD178" s="157"/>
      <c r="AE178" s="157"/>
      <c r="AF178" s="157"/>
      <c r="AG178" s="157"/>
      <c r="AH178" s="157"/>
      <c r="AI178" s="157"/>
      <c r="AJ178" s="157"/>
      <c r="AK178" s="157"/>
      <c r="AL178" s="157"/>
      <c r="AM178" s="157"/>
      <c r="AN178" s="157"/>
      <c r="AO178" s="68"/>
    </row>
    <row r="179" spans="1:41" ht="15.75">
      <c r="A179" s="156"/>
      <c r="B179" s="156"/>
      <c r="C179" s="156"/>
      <c r="D179" s="156"/>
      <c r="E179" s="156"/>
      <c r="F179" s="156"/>
      <c r="G179" s="158" t="s">
        <v>670</v>
      </c>
      <c r="H179" s="159"/>
      <c r="I179" s="159"/>
      <c r="J179" s="159"/>
      <c r="K179" s="159" t="s">
        <v>671</v>
      </c>
      <c r="L179" s="159" t="s">
        <v>672</v>
      </c>
      <c r="M179" s="159" t="s">
        <v>673</v>
      </c>
      <c r="N179" s="159" t="s">
        <v>674</v>
      </c>
      <c r="O179" s="160" t="s">
        <v>675</v>
      </c>
      <c r="P179" s="156"/>
      <c r="Q179" s="156"/>
      <c r="R179" s="156"/>
      <c r="S179" s="156"/>
      <c r="T179" s="156"/>
      <c r="U179" s="156"/>
      <c r="V179" s="157"/>
      <c r="W179" s="157"/>
      <c r="X179" s="157"/>
      <c r="Y179" s="157"/>
      <c r="Z179" s="157"/>
      <c r="AA179" s="157"/>
      <c r="AB179" s="157"/>
      <c r="AC179" s="157"/>
      <c r="AD179" s="157"/>
      <c r="AE179" s="157"/>
      <c r="AF179" s="157"/>
      <c r="AG179" s="157"/>
      <c r="AH179" s="157"/>
      <c r="AI179" s="157"/>
      <c r="AJ179" s="157"/>
      <c r="AK179" s="157"/>
      <c r="AL179" s="157"/>
      <c r="AM179" s="157"/>
      <c r="AN179" s="157"/>
      <c r="AO179" s="68"/>
    </row>
    <row r="180" spans="1:41" ht="16.5" thickBot="1">
      <c r="A180" s="161" t="s">
        <v>676</v>
      </c>
      <c r="B180" s="156"/>
      <c r="C180" s="156"/>
      <c r="D180" s="156"/>
      <c r="E180" s="156"/>
      <c r="F180" s="156"/>
      <c r="G180" s="162" t="s">
        <v>677</v>
      </c>
      <c r="H180" s="163"/>
      <c r="I180" s="163"/>
      <c r="J180" s="163"/>
      <c r="K180" s="163" t="s">
        <v>678</v>
      </c>
      <c r="L180" s="163" t="s">
        <v>679</v>
      </c>
      <c r="M180" s="163" t="s">
        <v>680</v>
      </c>
      <c r="N180" s="163" t="s">
        <v>681</v>
      </c>
      <c r="O180" s="164"/>
      <c r="P180" s="156"/>
      <c r="Q180" s="156"/>
      <c r="R180" s="156"/>
      <c r="S180" s="156"/>
      <c r="T180" s="156"/>
      <c r="U180" s="156"/>
      <c r="V180" s="157"/>
      <c r="W180" s="157"/>
      <c r="X180" s="157"/>
      <c r="Y180" s="157"/>
      <c r="Z180" s="157"/>
      <c r="AA180" s="157"/>
      <c r="AB180" s="157"/>
      <c r="AC180" s="157"/>
      <c r="AD180" s="157"/>
      <c r="AE180" s="157"/>
      <c r="AF180" s="157"/>
      <c r="AG180" s="157"/>
      <c r="AH180" s="157"/>
      <c r="AI180" s="157"/>
      <c r="AJ180" s="157"/>
      <c r="AK180" s="157"/>
      <c r="AL180" s="157"/>
      <c r="AM180" s="157"/>
      <c r="AN180" s="157"/>
      <c r="AO180" s="68"/>
    </row>
    <row r="181" spans="1:41" ht="15.75">
      <c r="A181" s="156" t="s">
        <v>543</v>
      </c>
      <c r="B181" s="156"/>
      <c r="C181" s="156"/>
      <c r="D181" s="156"/>
      <c r="E181" s="156"/>
      <c r="F181" s="156"/>
      <c r="G181" s="156">
        <f>+M36</f>
        <v>216630.33242857142</v>
      </c>
      <c r="H181" s="156"/>
      <c r="I181" s="156"/>
      <c r="J181" s="156"/>
      <c r="K181" s="156"/>
      <c r="L181" s="156"/>
      <c r="M181" s="156"/>
      <c r="N181" s="156"/>
      <c r="O181" s="156"/>
      <c r="P181" s="156"/>
      <c r="Q181" s="156"/>
      <c r="R181" s="156"/>
      <c r="S181" s="156"/>
      <c r="T181" s="156"/>
      <c r="U181" s="156"/>
      <c r="V181" s="157"/>
      <c r="W181" s="157"/>
      <c r="X181" s="157"/>
      <c r="Y181" s="157"/>
      <c r="Z181" s="157"/>
      <c r="AA181" s="157"/>
      <c r="AB181" s="157"/>
      <c r="AC181" s="157"/>
      <c r="AD181" s="157"/>
      <c r="AE181" s="157"/>
      <c r="AF181" s="157"/>
      <c r="AG181" s="157"/>
      <c r="AH181" s="157"/>
      <c r="AI181" s="157"/>
      <c r="AJ181" s="157"/>
      <c r="AK181" s="157"/>
      <c r="AL181" s="157"/>
      <c r="AM181" s="157"/>
      <c r="AN181" s="157"/>
      <c r="AO181" s="68"/>
    </row>
    <row r="182" spans="1:41" ht="15.75">
      <c r="A182" s="156" t="s">
        <v>561</v>
      </c>
      <c r="B182" s="156"/>
      <c r="C182" s="156"/>
      <c r="D182" s="156"/>
      <c r="E182" s="156"/>
      <c r="F182" s="156"/>
      <c r="G182" s="156"/>
      <c r="H182" s="156"/>
      <c r="I182" s="156"/>
      <c r="J182" s="156"/>
      <c r="K182" s="156"/>
      <c r="L182" s="156"/>
      <c r="M182" s="156"/>
      <c r="N182" s="156"/>
      <c r="O182" s="156">
        <f>+M40</f>
        <v>0</v>
      </c>
      <c r="P182" s="156"/>
      <c r="Q182" s="156"/>
      <c r="R182" s="156"/>
      <c r="S182" s="156"/>
      <c r="T182" s="156"/>
      <c r="U182" s="156"/>
      <c r="V182" s="157"/>
      <c r="W182" s="157"/>
      <c r="X182" s="157"/>
      <c r="Y182" s="157"/>
      <c r="Z182" s="157"/>
      <c r="AA182" s="157"/>
      <c r="AB182" s="157"/>
      <c r="AC182" s="157"/>
      <c r="AD182" s="157"/>
      <c r="AE182" s="157"/>
      <c r="AF182" s="157"/>
      <c r="AG182" s="157"/>
      <c r="AH182" s="157"/>
      <c r="AI182" s="157"/>
      <c r="AJ182" s="157"/>
      <c r="AK182" s="157"/>
      <c r="AL182" s="157"/>
      <c r="AM182" s="157"/>
      <c r="AN182" s="157"/>
      <c r="AO182" s="68"/>
    </row>
    <row r="183" spans="1:41" ht="15.75">
      <c r="A183" s="155" t="s">
        <v>564</v>
      </c>
      <c r="B183" s="155"/>
      <c r="C183" s="155"/>
      <c r="D183" s="155"/>
      <c r="E183" s="155"/>
      <c r="F183" s="155"/>
      <c r="G183" s="155">
        <f>+M44</f>
        <v>0</v>
      </c>
      <c r="H183" s="155"/>
      <c r="I183" s="155"/>
      <c r="J183" s="155"/>
      <c r="K183" s="155"/>
      <c r="L183" s="155"/>
      <c r="M183" s="155"/>
      <c r="N183" s="155"/>
      <c r="O183" s="155"/>
      <c r="P183" s="155"/>
      <c r="Q183" s="155"/>
      <c r="R183" s="155"/>
      <c r="S183" s="155"/>
      <c r="T183" s="155"/>
      <c r="U183" s="155"/>
      <c r="V183" s="68"/>
      <c r="W183" s="68"/>
      <c r="X183" s="68"/>
      <c r="Y183" s="68"/>
      <c r="Z183" s="68"/>
      <c r="AA183" s="68"/>
      <c r="AB183" s="68"/>
      <c r="AC183" s="68"/>
      <c r="AD183" s="68"/>
      <c r="AE183" s="68"/>
      <c r="AF183" s="68"/>
      <c r="AG183" s="68"/>
      <c r="AH183" s="68"/>
      <c r="AI183" s="68"/>
      <c r="AJ183" s="68"/>
      <c r="AK183" s="68"/>
      <c r="AL183" s="68"/>
      <c r="AM183" s="68"/>
      <c r="AN183" s="68"/>
      <c r="AO183" s="68"/>
    </row>
    <row r="184" spans="1:41" ht="15.75">
      <c r="A184" s="155" t="s">
        <v>567</v>
      </c>
      <c r="B184" s="155"/>
      <c r="C184" s="155"/>
      <c r="D184" s="155"/>
      <c r="E184" s="155"/>
      <c r="F184" s="155"/>
      <c r="G184" s="155">
        <f>+M62</f>
        <v>3998.7999999999997</v>
      </c>
      <c r="H184" s="155"/>
      <c r="I184" s="155"/>
      <c r="J184" s="155"/>
      <c r="K184" s="155"/>
      <c r="L184" s="155"/>
      <c r="M184" s="155"/>
      <c r="N184" s="155"/>
      <c r="O184" s="155"/>
      <c r="P184" s="155"/>
      <c r="Q184" s="155"/>
      <c r="R184" s="155"/>
      <c r="S184" s="155"/>
      <c r="T184" s="155"/>
      <c r="U184" s="155"/>
      <c r="V184" s="68"/>
      <c r="W184" s="68"/>
      <c r="X184" s="68"/>
      <c r="Y184" s="68"/>
      <c r="Z184" s="68"/>
      <c r="AA184" s="68"/>
      <c r="AB184" s="68"/>
      <c r="AC184" s="68"/>
      <c r="AD184" s="68"/>
      <c r="AE184" s="68"/>
      <c r="AF184" s="68"/>
      <c r="AG184" s="68"/>
      <c r="AH184" s="68"/>
      <c r="AI184" s="68"/>
      <c r="AJ184" s="68"/>
      <c r="AK184" s="68"/>
      <c r="AL184" s="68"/>
      <c r="AM184" s="68"/>
      <c r="AN184" s="68"/>
      <c r="AO184" s="68"/>
    </row>
    <row r="185" spans="1:41" ht="15.75">
      <c r="A185" s="155" t="s">
        <v>583</v>
      </c>
      <c r="B185" s="155"/>
      <c r="C185" s="155"/>
      <c r="D185" s="155"/>
      <c r="E185" s="155"/>
      <c r="F185" s="155"/>
      <c r="G185" s="155"/>
      <c r="H185" s="155"/>
      <c r="I185" s="155"/>
      <c r="J185" s="155"/>
      <c r="K185" s="155"/>
      <c r="L185" s="155"/>
      <c r="M185" s="155"/>
      <c r="N185" s="155">
        <f>+M69</f>
        <v>11721.200000000994</v>
      </c>
      <c r="O185" s="155"/>
      <c r="P185" s="155"/>
      <c r="Q185" s="155"/>
      <c r="R185" s="155"/>
      <c r="S185" s="155"/>
      <c r="T185" s="155"/>
      <c r="U185" s="155"/>
      <c r="V185" s="68"/>
      <c r="W185" s="68"/>
      <c r="X185" s="68"/>
      <c r="Y185" s="68"/>
      <c r="Z185" s="68"/>
      <c r="AA185" s="68"/>
      <c r="AB185" s="68"/>
      <c r="AC185" s="68"/>
      <c r="AD185" s="68"/>
      <c r="AE185" s="68"/>
      <c r="AF185" s="68"/>
      <c r="AG185" s="68"/>
      <c r="AH185" s="68"/>
      <c r="AI185" s="68"/>
      <c r="AJ185" s="68"/>
      <c r="AK185" s="68"/>
      <c r="AL185" s="68"/>
      <c r="AM185" s="68"/>
      <c r="AN185" s="68"/>
      <c r="AO185" s="68"/>
    </row>
    <row r="186" spans="1:41" ht="15.75">
      <c r="A186" s="155" t="s">
        <v>589</v>
      </c>
      <c r="B186" s="155"/>
      <c r="C186" s="155"/>
      <c r="D186" s="155"/>
      <c r="E186" s="155"/>
      <c r="F186" s="155"/>
      <c r="G186" s="155"/>
      <c r="H186" s="155"/>
      <c r="I186" s="155"/>
      <c r="J186" s="155"/>
      <c r="K186" s="155"/>
      <c r="L186" s="155">
        <f>+M76</f>
        <v>4273.7267857142861</v>
      </c>
      <c r="M186" s="155"/>
      <c r="N186" s="155"/>
      <c r="O186" s="155"/>
      <c r="P186" s="155"/>
      <c r="Q186" s="155"/>
      <c r="R186" s="155"/>
      <c r="S186" s="155"/>
      <c r="T186" s="155"/>
      <c r="U186" s="155"/>
      <c r="V186" s="68"/>
      <c r="W186" s="68"/>
      <c r="X186" s="68"/>
      <c r="Y186" s="68"/>
      <c r="Z186" s="68"/>
      <c r="AA186" s="68"/>
      <c r="AB186" s="68"/>
      <c r="AC186" s="68"/>
      <c r="AD186" s="68"/>
      <c r="AE186" s="68"/>
      <c r="AF186" s="68"/>
      <c r="AG186" s="68"/>
      <c r="AH186" s="68"/>
      <c r="AI186" s="68"/>
      <c r="AJ186" s="68"/>
      <c r="AK186" s="68"/>
      <c r="AL186" s="68"/>
      <c r="AM186" s="68"/>
      <c r="AN186" s="68"/>
      <c r="AO186" s="68"/>
    </row>
    <row r="187" spans="1:41" ht="15.75">
      <c r="A187" s="155" t="s">
        <v>595</v>
      </c>
      <c r="B187" s="155"/>
      <c r="C187" s="155"/>
      <c r="D187" s="155"/>
      <c r="E187" s="155"/>
      <c r="F187" s="155"/>
      <c r="G187" s="155"/>
      <c r="H187" s="155"/>
      <c r="I187" s="155"/>
      <c r="J187" s="155"/>
      <c r="K187" s="155">
        <f>+M82</f>
        <v>15765.428571424987</v>
      </c>
      <c r="L187" s="155"/>
      <c r="M187" s="155"/>
      <c r="N187" s="155"/>
      <c r="O187" s="155"/>
      <c r="P187" s="155"/>
      <c r="Q187" s="155"/>
      <c r="R187" s="155"/>
      <c r="S187" s="155"/>
      <c r="T187" s="155"/>
      <c r="U187" s="155"/>
      <c r="V187" s="68"/>
      <c r="W187" s="68"/>
      <c r="X187" s="68"/>
      <c r="Y187" s="68"/>
      <c r="Z187" s="68"/>
      <c r="AA187" s="68"/>
      <c r="AB187" s="68"/>
      <c r="AC187" s="68"/>
      <c r="AD187" s="68"/>
      <c r="AE187" s="68"/>
      <c r="AF187" s="68"/>
      <c r="AG187" s="68"/>
      <c r="AH187" s="68"/>
      <c r="AI187" s="68"/>
      <c r="AJ187" s="68"/>
      <c r="AK187" s="68"/>
      <c r="AL187" s="68"/>
      <c r="AM187" s="68"/>
      <c r="AN187" s="68"/>
      <c r="AO187" s="68"/>
    </row>
    <row r="188" spans="1:41" ht="15.75">
      <c r="A188" s="155" t="s">
        <v>600</v>
      </c>
      <c r="B188" s="155"/>
      <c r="C188" s="155"/>
      <c r="D188" s="155"/>
      <c r="E188" s="155"/>
      <c r="F188" s="155"/>
      <c r="G188" s="155">
        <f>+M91</f>
        <v>7146.6313333337966</v>
      </c>
      <c r="H188" s="155"/>
      <c r="I188" s="155"/>
      <c r="J188" s="155"/>
      <c r="K188" s="155"/>
      <c r="L188" s="155"/>
      <c r="M188" s="155"/>
      <c r="N188" s="155"/>
      <c r="O188" s="155"/>
      <c r="P188" s="155"/>
      <c r="Q188" s="155"/>
      <c r="R188" s="155"/>
      <c r="S188" s="155"/>
      <c r="T188" s="155"/>
      <c r="U188" s="155"/>
      <c r="V188" s="68"/>
      <c r="W188" s="68"/>
      <c r="X188" s="68"/>
      <c r="Y188" s="68"/>
      <c r="Z188" s="68"/>
      <c r="AA188" s="68"/>
      <c r="AB188" s="68"/>
      <c r="AC188" s="68"/>
      <c r="AD188" s="68"/>
      <c r="AE188" s="68"/>
      <c r="AF188" s="68"/>
      <c r="AG188" s="68"/>
      <c r="AH188" s="68"/>
      <c r="AI188" s="68"/>
      <c r="AJ188" s="68"/>
      <c r="AK188" s="68"/>
      <c r="AL188" s="68"/>
      <c r="AM188" s="68"/>
      <c r="AN188" s="68"/>
      <c r="AO188" s="68"/>
    </row>
    <row r="189" spans="1:41" ht="15.75">
      <c r="A189" s="155" t="s">
        <v>608</v>
      </c>
      <c r="B189" s="155"/>
      <c r="C189" s="155"/>
      <c r="D189" s="155"/>
      <c r="E189" s="155"/>
      <c r="F189" s="155"/>
      <c r="G189" s="155">
        <f>+M117</f>
        <v>86168.101999999984</v>
      </c>
      <c r="H189" s="155"/>
      <c r="I189" s="155"/>
      <c r="J189" s="155"/>
      <c r="K189" s="155"/>
      <c r="L189" s="155"/>
      <c r="M189" s="155"/>
      <c r="N189" s="155"/>
      <c r="O189" s="155"/>
      <c r="P189" s="155"/>
      <c r="Q189" s="155"/>
      <c r="R189" s="155"/>
      <c r="S189" s="155"/>
      <c r="T189" s="155"/>
      <c r="U189" s="155"/>
      <c r="V189" s="68"/>
      <c r="W189" s="68"/>
      <c r="X189" s="68"/>
      <c r="Y189" s="68"/>
      <c r="Z189" s="67"/>
      <c r="AA189" s="67"/>
      <c r="AB189" s="67"/>
      <c r="AC189" s="67"/>
      <c r="AD189" s="67"/>
      <c r="AE189" s="67"/>
      <c r="AF189" s="67"/>
      <c r="AG189" s="67"/>
      <c r="AH189" s="67"/>
      <c r="AI189" s="67"/>
      <c r="AJ189" s="67"/>
      <c r="AK189" s="67"/>
      <c r="AL189" s="67"/>
      <c r="AM189" s="67"/>
      <c r="AN189" s="67"/>
      <c r="AO189" s="67"/>
    </row>
    <row r="190" spans="1:41" ht="15.75">
      <c r="A190" s="155" t="s">
        <v>627</v>
      </c>
      <c r="B190" s="155"/>
      <c r="C190" s="155"/>
      <c r="D190" s="155"/>
      <c r="E190" s="155"/>
      <c r="F190" s="155"/>
      <c r="G190" s="155"/>
      <c r="H190" s="155"/>
      <c r="I190" s="155"/>
      <c r="J190" s="155"/>
      <c r="K190" s="155"/>
      <c r="L190" s="155"/>
      <c r="M190" s="155"/>
      <c r="N190" s="155">
        <f>+M124</f>
        <v>300</v>
      </c>
      <c r="O190" s="155"/>
      <c r="P190" s="155"/>
      <c r="Q190" s="155"/>
      <c r="R190" s="155"/>
      <c r="S190" s="155"/>
      <c r="T190" s="155"/>
      <c r="U190" s="155"/>
      <c r="V190" s="68"/>
      <c r="W190" s="68"/>
      <c r="X190" s="68"/>
      <c r="Y190" s="68"/>
      <c r="Z190" s="67"/>
      <c r="AA190" s="67"/>
      <c r="AB190" s="67"/>
      <c r="AC190" s="67"/>
      <c r="AD190" s="67"/>
      <c r="AE190" s="67"/>
      <c r="AF190" s="67"/>
      <c r="AG190" s="67"/>
      <c r="AH190" s="67"/>
      <c r="AI190" s="67"/>
      <c r="AJ190" s="67"/>
      <c r="AK190" s="67"/>
      <c r="AL190" s="67"/>
      <c r="AM190" s="67"/>
      <c r="AN190" s="67"/>
      <c r="AO190" s="67"/>
    </row>
    <row r="191" spans="1:41" ht="15.75">
      <c r="A191" s="155" t="s">
        <v>589</v>
      </c>
      <c r="B191" s="155"/>
      <c r="C191" s="155"/>
      <c r="D191" s="155"/>
      <c r="E191" s="155"/>
      <c r="F191" s="155"/>
      <c r="G191" s="155"/>
      <c r="H191" s="155"/>
      <c r="I191" s="155"/>
      <c r="J191" s="155"/>
      <c r="K191" s="155"/>
      <c r="L191" s="155">
        <f>+M132</f>
        <v>16034.245999999999</v>
      </c>
      <c r="M191" s="155"/>
      <c r="N191" s="155"/>
      <c r="O191" s="155"/>
      <c r="P191" s="155"/>
      <c r="Q191" s="155"/>
      <c r="R191" s="155"/>
      <c r="S191" s="155"/>
      <c r="T191" s="155"/>
      <c r="U191" s="155"/>
      <c r="V191" s="68"/>
      <c r="W191" s="68"/>
      <c r="X191" s="68"/>
      <c r="Y191" s="68"/>
      <c r="Z191" s="67"/>
      <c r="AA191" s="67"/>
      <c r="AB191" s="67"/>
      <c r="AC191" s="67"/>
      <c r="AD191" s="67"/>
      <c r="AE191" s="67"/>
      <c r="AF191" s="67"/>
      <c r="AG191" s="67"/>
      <c r="AH191" s="67"/>
      <c r="AI191" s="67"/>
      <c r="AJ191" s="67"/>
      <c r="AK191" s="67"/>
      <c r="AL191" s="67"/>
      <c r="AM191" s="67"/>
      <c r="AN191" s="67"/>
      <c r="AO191" s="67"/>
    </row>
    <row r="192" spans="1:41" ht="15.75">
      <c r="A192" s="155" t="s">
        <v>636</v>
      </c>
      <c r="B192" s="155"/>
      <c r="C192" s="155"/>
      <c r="D192" s="155"/>
      <c r="E192" s="155"/>
      <c r="F192" s="155"/>
      <c r="G192" s="275">
        <f>+M141</f>
        <v>14115.651</v>
      </c>
      <c r="H192" s="275"/>
      <c r="I192" s="275"/>
      <c r="J192" s="275"/>
      <c r="K192" s="275"/>
      <c r="L192" s="275"/>
      <c r="M192" s="275"/>
      <c r="N192" s="275"/>
      <c r="O192" s="275"/>
      <c r="P192" s="155"/>
      <c r="Q192" s="155"/>
      <c r="R192" s="155"/>
      <c r="S192" s="155"/>
      <c r="T192" s="155"/>
      <c r="U192" s="155"/>
      <c r="V192" s="68"/>
      <c r="W192" s="68"/>
      <c r="X192" s="68"/>
      <c r="Y192" s="68"/>
      <c r="Z192" s="67"/>
      <c r="AA192" s="67"/>
      <c r="AB192" s="67"/>
      <c r="AC192" s="67"/>
      <c r="AD192" s="67"/>
      <c r="AE192" s="67"/>
      <c r="AF192" s="67"/>
      <c r="AG192" s="67"/>
      <c r="AH192" s="67"/>
      <c r="AI192" s="67"/>
      <c r="AJ192" s="67"/>
      <c r="AK192" s="67"/>
      <c r="AL192" s="67"/>
      <c r="AM192" s="67"/>
      <c r="AN192" s="67"/>
      <c r="AO192" s="67"/>
    </row>
    <row r="193" spans="1:25" ht="15.75">
      <c r="A193" s="155" t="s">
        <v>642</v>
      </c>
      <c r="B193" s="66"/>
      <c r="C193" s="66"/>
      <c r="D193" s="66"/>
      <c r="E193" s="66"/>
      <c r="F193" s="66"/>
      <c r="G193" s="155">
        <f>+M146</f>
        <v>4348.8999999999996</v>
      </c>
      <c r="H193" s="66"/>
      <c r="I193" s="66"/>
      <c r="J193" s="66"/>
      <c r="K193" s="155"/>
      <c r="L193" s="155"/>
      <c r="M193" s="155"/>
      <c r="N193" s="155"/>
      <c r="O193" s="155"/>
      <c r="P193" s="274"/>
      <c r="Q193" s="66"/>
      <c r="R193" s="66"/>
      <c r="S193" s="66"/>
      <c r="T193" s="66"/>
      <c r="U193" s="66"/>
      <c r="V193" s="66"/>
      <c r="W193" s="66"/>
      <c r="X193" s="66"/>
      <c r="Y193" s="66"/>
    </row>
    <row r="194" spans="1:25" ht="15.75">
      <c r="A194" s="155" t="s">
        <v>1468</v>
      </c>
      <c r="B194" s="155"/>
      <c r="C194" s="155"/>
      <c r="D194" s="155"/>
      <c r="E194" s="155"/>
      <c r="F194" s="155"/>
      <c r="G194" s="155">
        <f>+M159</f>
        <v>45293.380952383755</v>
      </c>
      <c r="H194" s="155"/>
      <c r="I194" s="155"/>
      <c r="J194" s="155"/>
      <c r="K194" s="155"/>
      <c r="L194" s="155"/>
      <c r="M194" s="155"/>
      <c r="N194" s="155"/>
      <c r="O194" s="272"/>
      <c r="P194" s="272"/>
      <c r="Q194" s="272"/>
      <c r="R194" s="272"/>
      <c r="S194" s="272"/>
      <c r="T194" s="272"/>
      <c r="U194" s="66"/>
      <c r="V194" s="66"/>
      <c r="W194" s="66"/>
      <c r="X194" s="66"/>
      <c r="Y194" s="66"/>
    </row>
    <row r="195" spans="1:25" ht="15.75">
      <c r="A195" s="155" t="s">
        <v>1469</v>
      </c>
      <c r="B195" s="155"/>
      <c r="C195" s="155"/>
      <c r="D195" s="155"/>
      <c r="E195" s="155"/>
      <c r="F195" s="155"/>
      <c r="G195" s="155">
        <f>+M171</f>
        <v>22716.754000000961</v>
      </c>
      <c r="H195" s="155"/>
      <c r="I195" s="155"/>
      <c r="J195" s="155"/>
      <c r="K195" s="155"/>
      <c r="L195" s="155"/>
      <c r="M195" s="155"/>
      <c r="N195" s="155"/>
      <c r="O195" s="272"/>
      <c r="P195" s="272"/>
      <c r="Q195" s="272"/>
      <c r="R195" s="272"/>
      <c r="S195" s="272"/>
      <c r="T195" s="272"/>
      <c r="U195" s="66"/>
      <c r="V195" s="66"/>
      <c r="W195" s="66"/>
      <c r="X195" s="66"/>
      <c r="Y195" s="66"/>
    </row>
    <row r="196" spans="1:25" ht="15.75">
      <c r="A196" s="272" t="s">
        <v>1470</v>
      </c>
      <c r="B196" s="272"/>
      <c r="C196" s="272"/>
      <c r="D196" s="272"/>
      <c r="E196" s="272"/>
      <c r="F196" s="272"/>
      <c r="G196" s="446">
        <f>+M174</f>
        <v>1248</v>
      </c>
      <c r="H196" s="446"/>
      <c r="I196" s="446"/>
      <c r="J196" s="446"/>
      <c r="K196" s="446"/>
      <c r="L196" s="446"/>
      <c r="M196" s="446"/>
      <c r="N196" s="446"/>
      <c r="O196" s="446"/>
      <c r="P196" s="440"/>
      <c r="Q196" s="440"/>
      <c r="R196" s="440"/>
      <c r="S196" s="440"/>
      <c r="T196" s="272"/>
      <c r="U196" s="66"/>
      <c r="V196" s="66"/>
      <c r="W196" s="66"/>
      <c r="X196" s="66"/>
      <c r="Y196" s="66"/>
    </row>
    <row r="197" spans="1:25" ht="15.75">
      <c r="A197" s="272"/>
      <c r="B197" s="272"/>
      <c r="C197" s="272"/>
      <c r="D197" s="272"/>
      <c r="E197" s="272"/>
      <c r="F197" s="272"/>
      <c r="G197" s="440">
        <f>SUM(G181:G196)</f>
        <v>401666.55171428993</v>
      </c>
      <c r="H197" s="440">
        <f t="shared" ref="H197:J197" si="309">SUM(H192:H196)</f>
        <v>0</v>
      </c>
      <c r="I197" s="440">
        <f t="shared" si="309"/>
        <v>0</v>
      </c>
      <c r="J197" s="440">
        <f t="shared" si="309"/>
        <v>0</v>
      </c>
      <c r="K197" s="440">
        <f>SUM(K181:K196)</f>
        <v>15765.428571424987</v>
      </c>
      <c r="L197" s="440">
        <f>SUM(L181:L196)</f>
        <v>20307.972785714286</v>
      </c>
      <c r="M197" s="440">
        <f>SUM(M181:M196)</f>
        <v>0</v>
      </c>
      <c r="N197" s="440">
        <f>SUM(N181:N196)</f>
        <v>12021.200000000994</v>
      </c>
      <c r="O197" s="440">
        <f>SUM(O181:O196)</f>
        <v>0</v>
      </c>
      <c r="P197" s="440"/>
      <c r="Q197" s="440"/>
      <c r="R197" s="440"/>
      <c r="S197" s="440"/>
      <c r="T197" s="272"/>
      <c r="U197" s="66"/>
      <c r="V197" s="66"/>
      <c r="W197" s="66"/>
      <c r="X197" s="66"/>
      <c r="Y197" s="66"/>
    </row>
    <row r="198" spans="1:25" ht="15.75">
      <c r="A198" s="272"/>
      <c r="B198" s="272"/>
      <c r="C198" s="272"/>
      <c r="D198" s="272"/>
      <c r="E198" s="272"/>
      <c r="F198" s="272"/>
      <c r="G198" s="440"/>
      <c r="H198" s="440"/>
      <c r="I198" s="440"/>
      <c r="J198" s="440"/>
      <c r="K198" s="440"/>
      <c r="L198" s="440"/>
      <c r="M198" s="440"/>
      <c r="N198" s="440"/>
      <c r="O198" s="440"/>
      <c r="P198" s="440"/>
      <c r="Q198" s="440"/>
      <c r="R198" s="440"/>
      <c r="S198" s="440"/>
      <c r="T198" s="272"/>
      <c r="U198" s="66"/>
      <c r="V198" s="66"/>
      <c r="W198" s="66"/>
      <c r="X198" s="66"/>
      <c r="Y198" s="66"/>
    </row>
    <row r="199" spans="1:25" ht="16.5" thickBot="1">
      <c r="A199" s="272"/>
      <c r="B199" s="272"/>
      <c r="C199" s="272"/>
      <c r="D199" s="272"/>
      <c r="E199" s="272"/>
      <c r="F199" s="272"/>
      <c r="G199" s="440"/>
      <c r="H199" s="440"/>
      <c r="I199" s="440"/>
      <c r="J199" s="440"/>
      <c r="K199" s="440"/>
      <c r="L199" s="440"/>
      <c r="M199" s="440"/>
      <c r="N199" s="440"/>
      <c r="O199" s="440"/>
      <c r="P199" s="440"/>
      <c r="Q199" s="440"/>
      <c r="R199" s="440"/>
      <c r="S199" s="440"/>
      <c r="T199" s="272"/>
      <c r="U199" s="66"/>
      <c r="V199" s="66"/>
      <c r="W199" s="66"/>
      <c r="X199" s="66"/>
      <c r="Y199" s="66"/>
    </row>
    <row r="200" spans="1:25" ht="15.75">
      <c r="A200" s="156"/>
      <c r="B200" s="156"/>
      <c r="C200" s="156"/>
      <c r="D200" s="156"/>
      <c r="E200" s="156"/>
      <c r="F200" s="156"/>
      <c r="G200" s="158" t="s">
        <v>670</v>
      </c>
      <c r="H200" s="159"/>
      <c r="I200" s="159"/>
      <c r="J200" s="159"/>
      <c r="K200" s="159" t="s">
        <v>671</v>
      </c>
      <c r="L200" s="159" t="s">
        <v>672</v>
      </c>
      <c r="M200" s="159" t="s">
        <v>673</v>
      </c>
      <c r="N200" s="159" t="s">
        <v>674</v>
      </c>
      <c r="O200" s="160" t="s">
        <v>675</v>
      </c>
      <c r="P200" s="440"/>
      <c r="Q200" s="440"/>
      <c r="R200" s="440"/>
      <c r="S200" s="440"/>
      <c r="T200" s="272"/>
      <c r="U200" s="66"/>
      <c r="V200" s="66"/>
      <c r="W200" s="66"/>
      <c r="X200" s="66"/>
      <c r="Y200" s="66"/>
    </row>
    <row r="201" spans="1:25" ht="16.5" thickBot="1">
      <c r="A201" s="161" t="s">
        <v>1471</v>
      </c>
      <c r="B201" s="156"/>
      <c r="C201" s="156"/>
      <c r="D201" s="156"/>
      <c r="E201" s="156"/>
      <c r="F201" s="156"/>
      <c r="G201" s="162" t="s">
        <v>677</v>
      </c>
      <c r="H201" s="163"/>
      <c r="I201" s="163"/>
      <c r="J201" s="163"/>
      <c r="K201" s="163" t="s">
        <v>678</v>
      </c>
      <c r="L201" s="163" t="s">
        <v>679</v>
      </c>
      <c r="M201" s="163" t="s">
        <v>680</v>
      </c>
      <c r="N201" s="163" t="s">
        <v>681</v>
      </c>
      <c r="O201" s="164"/>
      <c r="P201" s="440"/>
      <c r="Q201" s="440"/>
      <c r="R201" s="440"/>
      <c r="S201" s="440"/>
      <c r="T201" s="272"/>
      <c r="U201" s="66"/>
      <c r="V201" s="66"/>
      <c r="W201" s="66"/>
      <c r="X201" s="66"/>
      <c r="Y201" s="66"/>
    </row>
    <row r="202" spans="1:25" ht="15.75">
      <c r="A202" s="156" t="s">
        <v>543</v>
      </c>
      <c r="B202" s="156"/>
      <c r="C202" s="156"/>
      <c r="D202" s="156"/>
      <c r="E202" s="156"/>
      <c r="F202" s="156"/>
      <c r="G202" s="156">
        <f>+P36</f>
        <v>1369578.1154761889</v>
      </c>
      <c r="H202" s="156"/>
      <c r="I202" s="156"/>
      <c r="J202" s="156"/>
      <c r="K202" s="156"/>
      <c r="L202" s="156"/>
      <c r="M202" s="156"/>
      <c r="N202" s="156"/>
      <c r="O202" s="156"/>
      <c r="P202" s="440"/>
      <c r="Q202" s="440"/>
      <c r="R202" s="440"/>
      <c r="S202" s="440"/>
      <c r="T202" s="272"/>
      <c r="U202" s="66"/>
      <c r="V202" s="66"/>
      <c r="W202" s="66"/>
      <c r="X202" s="66"/>
      <c r="Y202" s="66"/>
    </row>
    <row r="203" spans="1:25" ht="15.75">
      <c r="A203" s="156" t="s">
        <v>682</v>
      </c>
      <c r="B203" s="156"/>
      <c r="C203" s="156"/>
      <c r="D203" s="156"/>
      <c r="E203" s="156"/>
      <c r="F203" s="156"/>
      <c r="G203" s="156"/>
      <c r="H203" s="156"/>
      <c r="I203" s="156"/>
      <c r="J203" s="156"/>
      <c r="K203" s="156"/>
      <c r="L203" s="156"/>
      <c r="M203" s="156"/>
      <c r="N203" s="156"/>
      <c r="O203" s="156"/>
      <c r="P203" s="440"/>
      <c r="Q203" s="440"/>
      <c r="R203" s="440"/>
      <c r="S203" s="440"/>
      <c r="T203" s="272"/>
      <c r="U203" s="66"/>
      <c r="V203" s="66"/>
      <c r="W203" s="66"/>
      <c r="X203" s="66"/>
      <c r="Y203" s="66"/>
    </row>
    <row r="204" spans="1:25" ht="15.75">
      <c r="A204" s="156" t="s">
        <v>561</v>
      </c>
      <c r="B204" s="156"/>
      <c r="C204" s="156"/>
      <c r="D204" s="156"/>
      <c r="E204" s="156"/>
      <c r="F204" s="156"/>
      <c r="G204" s="156"/>
      <c r="H204" s="156"/>
      <c r="I204" s="156"/>
      <c r="J204" s="156"/>
      <c r="K204" s="156"/>
      <c r="L204" s="156"/>
      <c r="M204" s="156"/>
      <c r="N204" s="156"/>
      <c r="O204" s="156">
        <f>+P40</f>
        <v>0</v>
      </c>
      <c r="P204" s="440"/>
      <c r="Q204" s="440"/>
      <c r="R204" s="440"/>
      <c r="S204" s="440"/>
      <c r="T204" s="272"/>
      <c r="U204" s="66"/>
      <c r="V204" s="66"/>
      <c r="W204" s="66"/>
      <c r="X204" s="66"/>
      <c r="Y204" s="66"/>
    </row>
    <row r="205" spans="1:25" ht="15.75">
      <c r="A205" s="155" t="s">
        <v>564</v>
      </c>
      <c r="B205" s="155"/>
      <c r="C205" s="155"/>
      <c r="D205" s="155"/>
      <c r="E205" s="155"/>
      <c r="F205" s="155"/>
      <c r="G205" s="155">
        <f>P40</f>
        <v>0</v>
      </c>
      <c r="H205" s="155"/>
      <c r="I205" s="155"/>
      <c r="J205" s="155"/>
      <c r="K205" s="155"/>
      <c r="L205" s="155"/>
      <c r="M205" s="155"/>
      <c r="N205" s="155"/>
      <c r="O205" s="155"/>
      <c r="P205" s="440"/>
      <c r="Q205" s="440"/>
      <c r="R205" s="440"/>
      <c r="S205" s="440"/>
      <c r="T205" s="272"/>
      <c r="U205" s="66"/>
      <c r="V205" s="66"/>
      <c r="W205" s="66"/>
      <c r="X205" s="66"/>
      <c r="Y205" s="66"/>
    </row>
    <row r="206" spans="1:25" ht="15.75">
      <c r="A206" s="155" t="s">
        <v>567</v>
      </c>
      <c r="B206" s="155"/>
      <c r="C206" s="155"/>
      <c r="D206" s="155"/>
      <c r="E206" s="155"/>
      <c r="F206" s="155"/>
      <c r="G206" s="155">
        <f>P62</f>
        <v>15497.95</v>
      </c>
      <c r="H206" s="155"/>
      <c r="I206" s="155"/>
      <c r="J206" s="155"/>
      <c r="K206" s="155"/>
      <c r="L206" s="155"/>
      <c r="M206" s="155"/>
      <c r="N206" s="155"/>
      <c r="O206" s="155"/>
      <c r="P206" s="440"/>
      <c r="Q206" s="440"/>
      <c r="R206" s="440"/>
      <c r="S206" s="440"/>
      <c r="T206" s="272"/>
      <c r="U206" s="66"/>
      <c r="V206" s="66"/>
      <c r="W206" s="66"/>
      <c r="X206" s="66"/>
      <c r="Y206" s="66"/>
    </row>
    <row r="207" spans="1:25" ht="15.75">
      <c r="A207" s="155" t="s">
        <v>583</v>
      </c>
      <c r="B207" s="155"/>
      <c r="C207" s="155"/>
      <c r="D207" s="155"/>
      <c r="E207" s="155"/>
      <c r="F207" s="155"/>
      <c r="G207" s="155"/>
      <c r="H207" s="155"/>
      <c r="I207" s="155"/>
      <c r="J207" s="155"/>
      <c r="K207" s="155"/>
      <c r="L207" s="155"/>
      <c r="M207" s="155"/>
      <c r="N207" s="155">
        <f>P69</f>
        <v>63748.933333332832</v>
      </c>
      <c r="O207" s="155"/>
      <c r="P207" s="440"/>
      <c r="Q207" s="440"/>
      <c r="R207" s="440"/>
      <c r="S207" s="440"/>
      <c r="T207" s="272"/>
      <c r="U207" s="66"/>
      <c r="V207" s="66"/>
      <c r="W207" s="66"/>
      <c r="X207" s="66"/>
      <c r="Y207" s="66"/>
    </row>
    <row r="208" spans="1:25" ht="15.75">
      <c r="A208" s="155" t="s">
        <v>589</v>
      </c>
      <c r="B208" s="155"/>
      <c r="C208" s="155"/>
      <c r="D208" s="155"/>
      <c r="E208" s="155"/>
      <c r="F208" s="155"/>
      <c r="G208" s="155"/>
      <c r="H208" s="155"/>
      <c r="I208" s="155"/>
      <c r="J208" s="155"/>
      <c r="K208" s="155"/>
      <c r="L208" s="155">
        <f>P76</f>
        <v>9829.5716071428578</v>
      </c>
      <c r="M208" s="155"/>
      <c r="N208" s="155"/>
      <c r="O208" s="155"/>
      <c r="P208" s="440"/>
      <c r="Q208" s="440"/>
      <c r="R208" s="440"/>
      <c r="S208" s="440"/>
      <c r="T208" s="272"/>
      <c r="U208" s="66"/>
      <c r="V208" s="66"/>
      <c r="W208" s="66"/>
      <c r="X208" s="66"/>
      <c r="Y208" s="66"/>
    </row>
    <row r="209" spans="1:25" ht="15.75">
      <c r="A209" s="155" t="s">
        <v>595</v>
      </c>
      <c r="B209" s="155"/>
      <c r="C209" s="155"/>
      <c r="D209" s="155"/>
      <c r="E209" s="155"/>
      <c r="F209" s="155"/>
      <c r="G209" s="155"/>
      <c r="H209" s="155"/>
      <c r="I209" s="155"/>
      <c r="J209" s="155"/>
      <c r="K209" s="155">
        <f>+P82</f>
        <v>7882.7142857124854</v>
      </c>
      <c r="L209" s="155"/>
      <c r="M209" s="155"/>
      <c r="N209" s="155"/>
      <c r="O209" s="155"/>
      <c r="P209" s="440"/>
      <c r="Q209" s="440"/>
      <c r="R209" s="440"/>
      <c r="S209" s="440"/>
      <c r="T209" s="272"/>
      <c r="U209" s="66"/>
      <c r="V209" s="66"/>
      <c r="W209" s="66"/>
      <c r="X209" s="66"/>
      <c r="Y209" s="66"/>
    </row>
    <row r="210" spans="1:25" ht="15.75">
      <c r="A210" s="155" t="s">
        <v>600</v>
      </c>
      <c r="B210" s="155"/>
      <c r="C210" s="155"/>
      <c r="D210" s="155"/>
      <c r="E210" s="155"/>
      <c r="F210" s="155"/>
      <c r="G210" s="155">
        <f>P91</f>
        <v>3573.3156666668983</v>
      </c>
      <c r="H210" s="155"/>
      <c r="I210" s="155"/>
      <c r="J210" s="155"/>
      <c r="K210" s="155"/>
      <c r="L210" s="155"/>
      <c r="M210" s="155"/>
      <c r="N210" s="155"/>
      <c r="O210" s="155"/>
      <c r="P210" s="440"/>
      <c r="Q210" s="440"/>
      <c r="R210" s="440"/>
      <c r="S210" s="440"/>
      <c r="T210" s="272"/>
      <c r="U210" s="66"/>
      <c r="V210" s="66"/>
      <c r="W210" s="66"/>
      <c r="X210" s="66"/>
      <c r="Y210" s="66"/>
    </row>
    <row r="211" spans="1:25" ht="15.75">
      <c r="A211" s="155" t="s">
        <v>608</v>
      </c>
      <c r="B211" s="155"/>
      <c r="C211" s="155"/>
      <c r="D211" s="155"/>
      <c r="E211" s="155"/>
      <c r="F211" s="155"/>
      <c r="G211" s="155">
        <f>P117</f>
        <v>622371.88033333188</v>
      </c>
      <c r="H211" s="155"/>
      <c r="I211" s="155"/>
      <c r="J211" s="155"/>
      <c r="K211" s="155"/>
      <c r="L211" s="155"/>
      <c r="M211" s="155"/>
      <c r="N211" s="155"/>
      <c r="O211" s="155"/>
      <c r="P211" s="440"/>
      <c r="Q211" s="440"/>
      <c r="R211" s="440"/>
      <c r="S211" s="440"/>
      <c r="T211" s="272"/>
      <c r="U211" s="66"/>
      <c r="V211" s="66"/>
      <c r="W211" s="66"/>
      <c r="X211" s="66"/>
      <c r="Y211" s="66"/>
    </row>
    <row r="212" spans="1:25" ht="15.75">
      <c r="A212" s="155" t="s">
        <v>627</v>
      </c>
      <c r="B212" s="155"/>
      <c r="C212" s="155"/>
      <c r="D212" s="155"/>
      <c r="E212" s="155"/>
      <c r="F212" s="155"/>
      <c r="G212" s="155"/>
      <c r="H212" s="155"/>
      <c r="I212" s="155"/>
      <c r="J212" s="155"/>
      <c r="K212" s="155"/>
      <c r="L212" s="155"/>
      <c r="M212" s="155"/>
      <c r="N212" s="155">
        <f>+P124</f>
        <v>1750</v>
      </c>
      <c r="O212" s="155"/>
      <c r="P212" s="440"/>
      <c r="Q212" s="440"/>
      <c r="R212" s="440"/>
      <c r="S212" s="440"/>
      <c r="T212" s="272"/>
      <c r="U212" s="66"/>
      <c r="V212" s="66"/>
      <c r="W212" s="66"/>
      <c r="X212" s="66"/>
      <c r="Y212" s="66"/>
    </row>
    <row r="213" spans="1:25" ht="15.75">
      <c r="A213" s="155" t="s">
        <v>589</v>
      </c>
      <c r="B213" s="155"/>
      <c r="C213" s="155"/>
      <c r="D213" s="155"/>
      <c r="E213" s="155"/>
      <c r="F213" s="155"/>
      <c r="G213" s="155"/>
      <c r="H213" s="155"/>
      <c r="I213" s="155"/>
      <c r="J213" s="155"/>
      <c r="K213" s="155"/>
      <c r="L213" s="155">
        <f>+P132</f>
        <v>131807.55600000001</v>
      </c>
      <c r="M213" s="155"/>
      <c r="N213" s="155"/>
      <c r="O213" s="155"/>
      <c r="P213" s="440"/>
      <c r="Q213" s="440"/>
      <c r="R213" s="440"/>
      <c r="S213" s="440"/>
      <c r="T213" s="272"/>
      <c r="U213" s="66"/>
      <c r="V213" s="66"/>
      <c r="W213" s="66"/>
      <c r="X213" s="66"/>
      <c r="Y213" s="66"/>
    </row>
    <row r="214" spans="1:25" ht="15.75">
      <c r="A214" s="155" t="s">
        <v>636</v>
      </c>
      <c r="B214" s="155"/>
      <c r="C214" s="155"/>
      <c r="D214" s="155"/>
      <c r="E214" s="155"/>
      <c r="F214" s="155"/>
      <c r="G214" s="275">
        <f>+P141</f>
        <v>114166.43458333334</v>
      </c>
      <c r="H214" s="275"/>
      <c r="I214" s="275"/>
      <c r="J214" s="275"/>
      <c r="K214" s="275"/>
      <c r="L214" s="275"/>
      <c r="M214" s="275"/>
      <c r="N214" s="275"/>
      <c r="O214" s="275"/>
      <c r="P214" s="440"/>
      <c r="Q214" s="440"/>
      <c r="R214" s="440"/>
      <c r="S214" s="440"/>
      <c r="T214" s="272"/>
      <c r="U214" s="66"/>
      <c r="V214" s="66"/>
      <c r="W214" s="66"/>
      <c r="X214" s="66"/>
      <c r="Y214" s="66"/>
    </row>
    <row r="215" spans="1:25" ht="15.75">
      <c r="A215" s="155" t="s">
        <v>642</v>
      </c>
      <c r="B215" s="66"/>
      <c r="C215" s="66"/>
      <c r="D215" s="66"/>
      <c r="E215" s="66"/>
      <c r="F215" s="66"/>
      <c r="G215" s="155">
        <f>P146</f>
        <v>21744.5</v>
      </c>
      <c r="H215" s="66"/>
      <c r="I215" s="66"/>
      <c r="J215" s="66"/>
      <c r="K215" s="155"/>
      <c r="L215" s="155"/>
      <c r="M215" s="155"/>
      <c r="N215" s="155"/>
      <c r="O215" s="155"/>
      <c r="P215" s="440"/>
      <c r="Q215" s="440"/>
      <c r="R215" s="440"/>
      <c r="S215" s="440"/>
      <c r="T215" s="272"/>
      <c r="U215" s="66"/>
      <c r="V215" s="66"/>
      <c r="W215" s="66"/>
      <c r="X215" s="66"/>
      <c r="Y215" s="66"/>
    </row>
    <row r="216" spans="1:25" ht="15.75">
      <c r="A216" s="155" t="s">
        <v>1468</v>
      </c>
      <c r="B216" s="155"/>
      <c r="C216" s="155"/>
      <c r="D216" s="155"/>
      <c r="E216" s="155"/>
      <c r="F216" s="155"/>
      <c r="G216" s="155">
        <f>P159</f>
        <v>198351.74999999863</v>
      </c>
      <c r="H216" s="155"/>
      <c r="I216" s="155"/>
      <c r="J216" s="155"/>
      <c r="K216" s="155"/>
      <c r="L216" s="155"/>
      <c r="M216" s="155"/>
      <c r="N216" s="155"/>
      <c r="O216" s="272"/>
      <c r="P216" s="440"/>
      <c r="Q216" s="440"/>
      <c r="R216" s="440"/>
      <c r="S216" s="440"/>
      <c r="T216" s="272"/>
      <c r="U216" s="66"/>
      <c r="V216" s="66"/>
      <c r="W216" s="66"/>
      <c r="X216" s="66"/>
      <c r="Y216" s="66"/>
    </row>
    <row r="217" spans="1:25" ht="15.75">
      <c r="A217" s="155" t="s">
        <v>1469</v>
      </c>
      <c r="B217" s="155"/>
      <c r="C217" s="155"/>
      <c r="D217" s="155"/>
      <c r="E217" s="155"/>
      <c r="F217" s="155"/>
      <c r="G217" s="155">
        <f>+P171</f>
        <v>11358.377000000482</v>
      </c>
      <c r="H217" s="155"/>
      <c r="I217" s="155"/>
      <c r="J217" s="155"/>
      <c r="K217" s="155"/>
      <c r="L217" s="155"/>
      <c r="M217" s="155"/>
      <c r="N217" s="155"/>
      <c r="O217" s="272"/>
      <c r="P217" s="440"/>
      <c r="Q217" s="440"/>
      <c r="R217" s="440"/>
      <c r="S217" s="440"/>
      <c r="T217" s="272"/>
      <c r="U217" s="66"/>
      <c r="V217" s="66"/>
      <c r="W217" s="66"/>
      <c r="X217" s="66"/>
      <c r="Y217" s="66"/>
    </row>
    <row r="218" spans="1:25" ht="15.75">
      <c r="A218" s="272" t="s">
        <v>1470</v>
      </c>
      <c r="B218" s="272"/>
      <c r="C218" s="272"/>
      <c r="D218" s="272"/>
      <c r="E218" s="272"/>
      <c r="F218" s="272"/>
      <c r="G218" s="446">
        <f>+P175</f>
        <v>832</v>
      </c>
      <c r="H218" s="446"/>
      <c r="I218" s="446"/>
      <c r="J218" s="446"/>
      <c r="K218" s="446"/>
      <c r="L218" s="446"/>
      <c r="M218" s="446"/>
      <c r="N218" s="446"/>
      <c r="O218" s="446"/>
      <c r="P218" s="274"/>
      <c r="Q218" s="274"/>
      <c r="R218" s="274"/>
      <c r="S218" s="274"/>
      <c r="T218" s="66"/>
      <c r="U218" s="66"/>
      <c r="V218" s="66"/>
      <c r="W218" s="66"/>
      <c r="X218" s="66"/>
      <c r="Y218" s="66"/>
    </row>
    <row r="219" spans="1:25" ht="15.75">
      <c r="A219" s="272"/>
      <c r="B219" s="272"/>
      <c r="C219" s="272"/>
      <c r="D219" s="272"/>
      <c r="E219" s="272"/>
      <c r="F219" s="272"/>
      <c r="G219" s="440">
        <f>SUM(G202:G218)</f>
        <v>2357474.3230595202</v>
      </c>
      <c r="H219" s="440">
        <f t="shared" ref="H219" si="310">SUM(H214:H218)</f>
        <v>0</v>
      </c>
      <c r="I219" s="440">
        <f t="shared" ref="I219" si="311">SUM(I214:I218)</f>
        <v>0</v>
      </c>
      <c r="J219" s="440">
        <f t="shared" ref="J219" si="312">SUM(J214:J218)</f>
        <v>0</v>
      </c>
      <c r="K219" s="440">
        <f t="shared" ref="K219" si="313">SUM(K202:K218)</f>
        <v>7882.7142857124854</v>
      </c>
      <c r="L219" s="440">
        <f t="shared" ref="L219" si="314">SUM(L202:L218)</f>
        <v>141637.12760714287</v>
      </c>
      <c r="M219" s="440">
        <f t="shared" ref="M219" si="315">SUM(M202:M218)</f>
        <v>0</v>
      </c>
      <c r="N219" s="440">
        <f t="shared" ref="N219" si="316">SUM(N202:N218)</f>
        <v>65498.933333332832</v>
      </c>
      <c r="O219" s="440">
        <f t="shared" ref="O219" si="317">SUM(O202:O218)</f>
        <v>0</v>
      </c>
      <c r="P219" s="274"/>
      <c r="Q219" s="274"/>
      <c r="R219" s="274"/>
      <c r="S219" s="274"/>
      <c r="T219" s="66"/>
      <c r="U219" s="66"/>
      <c r="V219" s="66"/>
      <c r="W219" s="66"/>
      <c r="X219" s="66"/>
      <c r="Y219" s="66"/>
    </row>
    <row r="220" spans="1:25" ht="15.75">
      <c r="A220" s="272"/>
      <c r="B220" s="272"/>
      <c r="C220" s="272"/>
      <c r="D220" s="272"/>
      <c r="E220" s="272"/>
      <c r="F220" s="272"/>
      <c r="G220" s="440"/>
      <c r="H220" s="440"/>
      <c r="I220" s="440"/>
      <c r="J220" s="440"/>
      <c r="K220" s="440"/>
      <c r="L220" s="440"/>
      <c r="M220" s="440"/>
      <c r="N220" s="440"/>
      <c r="O220" s="440"/>
      <c r="P220" s="66"/>
      <c r="Q220" s="66"/>
      <c r="R220" s="66"/>
      <c r="S220" s="66"/>
      <c r="T220" s="66"/>
      <c r="U220" s="66"/>
      <c r="V220" s="66"/>
      <c r="W220" s="66"/>
      <c r="X220" s="66"/>
      <c r="Y220" s="66"/>
    </row>
    <row r="221" spans="1: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row>
    <row r="222" spans="1: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row>
    <row r="223" spans="1: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row>
    <row r="224" spans="1: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row>
    <row r="225" spans="1: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row>
    <row r="226" spans="1: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row>
    <row r="227" spans="1: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row>
    <row r="228" spans="1: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row>
    <row r="229" spans="1: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row>
    <row r="230" spans="1: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row>
    <row r="231" spans="1: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row>
    <row r="232" spans="1: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row>
    <row r="233" spans="1: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row>
    <row r="234" spans="1: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row>
    <row r="235" spans="1: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row>
    <row r="236" spans="1: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row>
    <row r="237" spans="1: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row>
    <row r="238" spans="1: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row>
    <row r="239" spans="1: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row>
    <row r="240" spans="1: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row>
    <row r="241" spans="1: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row>
    <row r="242" spans="1: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row>
    <row r="243" spans="1: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row>
    <row r="244" spans="1: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row>
    <row r="245" spans="1: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row>
    <row r="246" spans="1: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row>
    <row r="247" spans="1: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row>
  </sheetData>
  <mergeCells count="9">
    <mergeCell ref="AH8:AI8"/>
    <mergeCell ref="C4:D4"/>
    <mergeCell ref="E4:F4"/>
    <mergeCell ref="T7:Y7"/>
    <mergeCell ref="AA7:AF7"/>
    <mergeCell ref="B8:C8"/>
    <mergeCell ref="H8:J8"/>
    <mergeCell ref="L8:M8"/>
    <mergeCell ref="N8:O8"/>
  </mergeCells>
  <printOptions headings="1" gridLines="1"/>
  <pageMargins left="0.5" right="0.25" top="0.75" bottom="0.75" header="0.3" footer="0.3"/>
  <pageSetup scale="81" fitToHeight="0" orientation="landscape" r:id="rId1"/>
  <headerFooter>
    <oddFooter>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67CC-BDCA-4538-B0C0-C50CD7E762A4}">
  <sheetPr codeName="Sheet15"/>
  <dimension ref="A1:Z233"/>
  <sheetViews>
    <sheetView topLeftCell="E4" zoomScale="82" zoomScaleNormal="82" workbookViewId="0">
      <pane ySplit="2" topLeftCell="A153" activePane="bottomLeft" state="frozen"/>
      <selection activeCell="A4" sqref="A4"/>
      <selection pane="bottomLeft" activeCell="F161" sqref="F161"/>
    </sheetView>
  </sheetViews>
  <sheetFormatPr defaultRowHeight="15"/>
  <cols>
    <col min="1" max="1" width="16.6640625" customWidth="1"/>
    <col min="2" max="2" width="21.5546875" customWidth="1"/>
    <col min="3" max="3" width="10.88671875" bestFit="1" customWidth="1"/>
    <col min="4" max="4" width="12.5546875" customWidth="1"/>
    <col min="5" max="5" width="11.88671875" customWidth="1"/>
    <col min="6" max="7" width="10.21875" customWidth="1"/>
    <col min="8" max="8" width="10.88671875" customWidth="1"/>
    <col min="9" max="9" width="11.21875" bestFit="1" customWidth="1"/>
    <col min="10" max="10" width="13.109375" customWidth="1"/>
    <col min="11" max="12" width="9.88671875" customWidth="1"/>
    <col min="13" max="13" width="10.21875" bestFit="1" customWidth="1"/>
    <col min="14" max="14" width="10.5546875" customWidth="1"/>
    <col min="15" max="16" width="8.77734375" bestFit="1" customWidth="1"/>
    <col min="17" max="17" width="10.6640625" customWidth="1"/>
    <col min="18" max="18" width="8.77734375" bestFit="1" customWidth="1"/>
    <col min="19" max="19" width="12.5546875" customWidth="1"/>
  </cols>
  <sheetData>
    <row r="1" spans="1:26" ht="15.75">
      <c r="A1" s="246"/>
      <c r="B1" s="247" t="s">
        <v>128</v>
      </c>
      <c r="C1" s="248"/>
      <c r="D1" s="248"/>
      <c r="E1" s="248"/>
      <c r="F1" s="248"/>
      <c r="G1" s="248"/>
      <c r="H1" s="248"/>
      <c r="I1" s="207"/>
      <c r="J1" s="207"/>
      <c r="K1" s="207"/>
      <c r="L1" s="207"/>
      <c r="M1" s="207"/>
      <c r="N1" s="207"/>
      <c r="O1" s="207"/>
      <c r="P1" s="207"/>
      <c r="Q1" s="207"/>
      <c r="R1" s="207"/>
      <c r="S1" s="207"/>
      <c r="T1" s="207"/>
      <c r="U1" s="68"/>
      <c r="V1" s="66"/>
      <c r="W1" s="66"/>
      <c r="X1" s="66"/>
      <c r="Y1" s="66"/>
      <c r="Z1" s="66"/>
    </row>
    <row r="2" spans="1:26" ht="15.75">
      <c r="A2" s="246"/>
      <c r="B2" s="249" t="s">
        <v>984</v>
      </c>
      <c r="C2" s="248"/>
      <c r="D2" s="248"/>
      <c r="E2" s="248"/>
      <c r="F2" s="248"/>
      <c r="G2" s="248"/>
      <c r="H2" s="248"/>
      <c r="I2" s="207"/>
      <c r="J2" s="207"/>
      <c r="K2" s="207"/>
      <c r="L2" s="207"/>
      <c r="M2" s="207"/>
      <c r="N2" s="207"/>
      <c r="O2" s="207"/>
      <c r="P2" s="207"/>
      <c r="Q2" s="207"/>
      <c r="R2" s="207"/>
      <c r="S2" s="207"/>
      <c r="T2" s="207"/>
      <c r="U2" s="68"/>
      <c r="V2" s="66"/>
      <c r="W2" s="66"/>
      <c r="X2" s="66"/>
      <c r="Y2" s="66"/>
      <c r="Z2" s="66"/>
    </row>
    <row r="3" spans="1:26" ht="15.75">
      <c r="A3" s="246"/>
      <c r="B3" s="249" t="s">
        <v>985</v>
      </c>
      <c r="C3" s="248"/>
      <c r="D3" s="248"/>
      <c r="E3" s="248"/>
      <c r="F3" s="248"/>
      <c r="G3" s="248"/>
      <c r="H3" s="248"/>
      <c r="I3" s="207"/>
      <c r="J3" s="207"/>
      <c r="K3" s="207"/>
      <c r="L3" s="207"/>
      <c r="M3" s="207"/>
      <c r="N3" s="207"/>
      <c r="O3" s="207"/>
      <c r="P3" s="207"/>
      <c r="Q3" s="207"/>
      <c r="R3" s="207"/>
      <c r="S3" s="207"/>
      <c r="T3" s="207"/>
      <c r="U3" s="68"/>
      <c r="V3" s="66"/>
      <c r="W3" s="66"/>
      <c r="X3" s="66"/>
      <c r="Y3" s="66"/>
      <c r="Z3" s="66"/>
    </row>
    <row r="4" spans="1:26" ht="15.75">
      <c r="A4" s="249"/>
      <c r="B4" s="249"/>
      <c r="C4" s="249"/>
      <c r="D4" s="249"/>
      <c r="E4" s="249"/>
      <c r="F4" s="249" t="s">
        <v>911</v>
      </c>
      <c r="G4" s="250" t="s">
        <v>674</v>
      </c>
      <c r="H4" s="249" t="s">
        <v>911</v>
      </c>
      <c r="I4" s="249" t="s">
        <v>674</v>
      </c>
      <c r="J4" s="249" t="s">
        <v>986</v>
      </c>
      <c r="K4" s="249" t="s">
        <v>987</v>
      </c>
      <c r="L4" s="249" t="s">
        <v>988</v>
      </c>
      <c r="M4" s="249" t="s">
        <v>989</v>
      </c>
      <c r="N4" s="249" t="s">
        <v>990</v>
      </c>
      <c r="O4" s="249" t="s">
        <v>991</v>
      </c>
      <c r="P4" s="249" t="s">
        <v>992</v>
      </c>
      <c r="Q4" s="251" t="s">
        <v>993</v>
      </c>
      <c r="R4" s="251" t="s">
        <v>994</v>
      </c>
      <c r="S4" s="251" t="s">
        <v>484</v>
      </c>
      <c r="T4" s="251"/>
      <c r="U4" s="68"/>
      <c r="V4" s="66"/>
      <c r="W4" s="66"/>
      <c r="X4" s="66"/>
      <c r="Y4" s="66"/>
      <c r="Z4" s="66"/>
    </row>
    <row r="5" spans="1:26" ht="15.75">
      <c r="A5" s="249" t="s">
        <v>995</v>
      </c>
      <c r="B5" s="249" t="s">
        <v>996</v>
      </c>
      <c r="C5" s="249" t="s">
        <v>997</v>
      </c>
      <c r="D5" s="249" t="s">
        <v>998</v>
      </c>
      <c r="E5" s="249" t="s">
        <v>103</v>
      </c>
      <c r="F5" s="249" t="s">
        <v>681</v>
      </c>
      <c r="G5" s="249" t="s">
        <v>681</v>
      </c>
      <c r="H5" s="249" t="s">
        <v>677</v>
      </c>
      <c r="I5" s="249" t="s">
        <v>677</v>
      </c>
      <c r="J5" s="249" t="s">
        <v>999</v>
      </c>
      <c r="K5" s="249" t="s">
        <v>1000</v>
      </c>
      <c r="L5" s="249" t="s">
        <v>1000</v>
      </c>
      <c r="M5" s="249" t="s">
        <v>1001</v>
      </c>
      <c r="N5" s="249" t="s">
        <v>1000</v>
      </c>
      <c r="O5" s="249" t="s">
        <v>1002</v>
      </c>
      <c r="P5" s="249" t="s">
        <v>1002</v>
      </c>
      <c r="Q5" s="252" t="s">
        <v>1003</v>
      </c>
      <c r="R5" s="251"/>
      <c r="S5" s="251"/>
      <c r="T5" s="251"/>
      <c r="U5" s="68"/>
      <c r="V5" s="66"/>
      <c r="W5" s="66"/>
      <c r="X5" s="66"/>
      <c r="Y5" s="66"/>
      <c r="Z5" s="66"/>
    </row>
    <row r="6" spans="1:26" ht="15.75">
      <c r="A6" s="246" t="s">
        <v>1004</v>
      </c>
      <c r="B6" s="253" t="s">
        <v>1005</v>
      </c>
      <c r="C6" s="207">
        <v>42.68</v>
      </c>
      <c r="D6" s="254">
        <v>105</v>
      </c>
      <c r="E6" s="254">
        <v>551.57000000000005</v>
      </c>
      <c r="F6" s="254"/>
      <c r="G6" s="207"/>
      <c r="H6" s="207"/>
      <c r="I6" s="254"/>
      <c r="J6" s="254"/>
      <c r="K6" s="254"/>
      <c r="L6" s="254"/>
      <c r="M6" s="254"/>
      <c r="N6" s="254"/>
      <c r="O6" s="254"/>
      <c r="P6" s="254"/>
      <c r="Q6" s="254"/>
      <c r="R6" s="207"/>
      <c r="S6" s="254">
        <f t="shared" ref="S6:S17" si="0">E6</f>
        <v>551.57000000000005</v>
      </c>
      <c r="T6" s="254">
        <f>E6-SUM(F6:S6)</f>
        <v>0</v>
      </c>
      <c r="U6" s="68"/>
      <c r="V6" s="66"/>
      <c r="W6" s="66"/>
      <c r="X6" s="66"/>
      <c r="Y6" s="66"/>
      <c r="Z6" s="66"/>
    </row>
    <row r="7" spans="1:26" ht="15.75">
      <c r="A7" s="246"/>
      <c r="B7" s="253" t="s">
        <v>1006</v>
      </c>
      <c r="C7" s="207">
        <v>11.44</v>
      </c>
      <c r="D7" s="254">
        <v>105</v>
      </c>
      <c r="E7" s="254">
        <v>1237.24</v>
      </c>
      <c r="F7" s="254"/>
      <c r="G7" s="207"/>
      <c r="H7" s="207"/>
      <c r="I7" s="254"/>
      <c r="J7" s="254"/>
      <c r="K7" s="254"/>
      <c r="L7" s="254"/>
      <c r="M7" s="254"/>
      <c r="N7" s="254"/>
      <c r="O7" s="254"/>
      <c r="P7" s="254"/>
      <c r="Q7" s="254"/>
      <c r="R7" s="207"/>
      <c r="S7" s="254">
        <f t="shared" si="0"/>
        <v>1237.24</v>
      </c>
      <c r="T7" s="254">
        <f t="shared" ref="T7:T70" si="1">E7-SUM(F7:S7)</f>
        <v>0</v>
      </c>
      <c r="U7" s="68"/>
      <c r="V7" s="66"/>
      <c r="W7" s="66"/>
      <c r="X7" s="66"/>
      <c r="Y7" s="66"/>
      <c r="Z7" s="66"/>
    </row>
    <row r="8" spans="1:26" ht="15.75">
      <c r="A8" s="246"/>
      <c r="B8" s="253" t="s">
        <v>1007</v>
      </c>
      <c r="C8" s="207">
        <v>69.84</v>
      </c>
      <c r="D8" s="254">
        <v>105</v>
      </c>
      <c r="E8" s="254">
        <v>7553.2</v>
      </c>
      <c r="F8" s="254"/>
      <c r="G8" s="207"/>
      <c r="H8" s="207"/>
      <c r="I8" s="254"/>
      <c r="J8" s="254"/>
      <c r="K8" s="254"/>
      <c r="L8" s="254"/>
      <c r="M8" s="254"/>
      <c r="N8" s="254"/>
      <c r="O8" s="254"/>
      <c r="P8" s="254"/>
      <c r="Q8" s="254"/>
      <c r="R8" s="207"/>
      <c r="S8" s="254">
        <f t="shared" si="0"/>
        <v>7553.2</v>
      </c>
      <c r="T8" s="254">
        <f t="shared" si="1"/>
        <v>0</v>
      </c>
      <c r="U8" s="68"/>
      <c r="V8" s="66"/>
      <c r="W8" s="66"/>
      <c r="X8" s="66"/>
      <c r="Y8" s="66"/>
      <c r="Z8" s="66"/>
    </row>
    <row r="9" spans="1:26" ht="15.75">
      <c r="A9" s="246"/>
      <c r="B9" s="253" t="s">
        <v>1008</v>
      </c>
      <c r="C9" s="207">
        <v>29.93</v>
      </c>
      <c r="D9" s="254">
        <v>105</v>
      </c>
      <c r="E9" s="254">
        <v>3236.93</v>
      </c>
      <c r="F9" s="254"/>
      <c r="G9" s="207"/>
      <c r="H9" s="207"/>
      <c r="I9" s="254"/>
      <c r="J9" s="254"/>
      <c r="K9" s="254"/>
      <c r="L9" s="254"/>
      <c r="M9" s="254"/>
      <c r="N9" s="254"/>
      <c r="O9" s="254"/>
      <c r="P9" s="254"/>
      <c r="Q9" s="254"/>
      <c r="R9" s="207"/>
      <c r="S9" s="254">
        <f t="shared" si="0"/>
        <v>3236.93</v>
      </c>
      <c r="T9" s="254">
        <f t="shared" si="1"/>
        <v>0</v>
      </c>
      <c r="U9" s="68"/>
      <c r="V9" s="66"/>
      <c r="W9" s="66"/>
      <c r="X9" s="66"/>
      <c r="Y9" s="66"/>
      <c r="Z9" s="66"/>
    </row>
    <row r="10" spans="1:26" ht="15.75">
      <c r="A10" s="246"/>
      <c r="B10" s="253" t="s">
        <v>1009</v>
      </c>
      <c r="C10" s="207">
        <v>48.78</v>
      </c>
      <c r="D10" s="254">
        <v>105</v>
      </c>
      <c r="E10" s="254">
        <v>5275.56</v>
      </c>
      <c r="F10" s="254"/>
      <c r="G10" s="207"/>
      <c r="H10" s="207"/>
      <c r="I10" s="254"/>
      <c r="J10" s="254"/>
      <c r="K10" s="254"/>
      <c r="L10" s="254"/>
      <c r="M10" s="254"/>
      <c r="N10" s="254"/>
      <c r="O10" s="254"/>
      <c r="P10" s="254"/>
      <c r="Q10" s="254"/>
      <c r="R10" s="207"/>
      <c r="S10" s="254">
        <f t="shared" si="0"/>
        <v>5275.56</v>
      </c>
      <c r="T10" s="254">
        <f t="shared" si="1"/>
        <v>0</v>
      </c>
      <c r="U10" s="68"/>
      <c r="V10" s="66"/>
      <c r="W10" s="66"/>
      <c r="X10" s="66"/>
      <c r="Y10" s="66"/>
      <c r="Z10" s="66"/>
    </row>
    <row r="11" spans="1:26" ht="15.75">
      <c r="A11" s="246"/>
      <c r="B11" s="253" t="s">
        <v>1010</v>
      </c>
      <c r="C11" s="207">
        <v>43.34</v>
      </c>
      <c r="D11" s="254">
        <v>105</v>
      </c>
      <c r="E11" s="254">
        <v>4687.22</v>
      </c>
      <c r="F11" s="254"/>
      <c r="G11" s="207"/>
      <c r="H11" s="207"/>
      <c r="I11" s="254"/>
      <c r="J11" s="254"/>
      <c r="K11" s="254"/>
      <c r="L11" s="254"/>
      <c r="M11" s="254"/>
      <c r="N11" s="254"/>
      <c r="O11" s="254"/>
      <c r="P11" s="254"/>
      <c r="Q11" s="254"/>
      <c r="R11" s="207"/>
      <c r="S11" s="254">
        <f t="shared" si="0"/>
        <v>4687.22</v>
      </c>
      <c r="T11" s="254">
        <f t="shared" si="1"/>
        <v>0</v>
      </c>
      <c r="U11" s="68"/>
      <c r="V11" s="66"/>
      <c r="W11" s="66"/>
      <c r="X11" s="66"/>
      <c r="Y11" s="66"/>
      <c r="Z11" s="66"/>
    </row>
    <row r="12" spans="1:26" ht="15.75">
      <c r="A12" s="246"/>
      <c r="B12" s="253" t="s">
        <v>1011</v>
      </c>
      <c r="C12" s="207">
        <v>40.35</v>
      </c>
      <c r="D12" s="254">
        <v>105</v>
      </c>
      <c r="E12" s="254">
        <v>4364.16</v>
      </c>
      <c r="F12" s="254"/>
      <c r="G12" s="207"/>
      <c r="H12" s="207"/>
      <c r="I12" s="254"/>
      <c r="J12" s="254"/>
      <c r="K12" s="254"/>
      <c r="L12" s="254"/>
      <c r="M12" s="254"/>
      <c r="N12" s="254"/>
      <c r="O12" s="254"/>
      <c r="P12" s="254"/>
      <c r="Q12" s="254"/>
      <c r="R12" s="207"/>
      <c r="S12" s="254">
        <f t="shared" si="0"/>
        <v>4364.16</v>
      </c>
      <c r="T12" s="254">
        <f t="shared" si="1"/>
        <v>0</v>
      </c>
      <c r="U12" s="68"/>
      <c r="V12" s="66"/>
      <c r="W12" s="66"/>
      <c r="X12" s="66"/>
      <c r="Y12" s="66"/>
      <c r="Z12" s="66"/>
    </row>
    <row r="13" spans="1:26" ht="15.75">
      <c r="A13" s="246"/>
      <c r="B13" s="253" t="s">
        <v>1012</v>
      </c>
      <c r="C13" s="207">
        <v>50.89</v>
      </c>
      <c r="D13" s="254">
        <v>105</v>
      </c>
      <c r="E13" s="254">
        <v>5503.75</v>
      </c>
      <c r="F13" s="254"/>
      <c r="G13" s="207"/>
      <c r="H13" s="207"/>
      <c r="I13" s="254"/>
      <c r="J13" s="254"/>
      <c r="K13" s="254"/>
      <c r="L13" s="254"/>
      <c r="M13" s="254"/>
      <c r="N13" s="254"/>
      <c r="O13" s="254"/>
      <c r="P13" s="254"/>
      <c r="Q13" s="254"/>
      <c r="R13" s="207"/>
      <c r="S13" s="254">
        <f t="shared" si="0"/>
        <v>5503.75</v>
      </c>
      <c r="T13" s="254">
        <f t="shared" si="1"/>
        <v>0</v>
      </c>
      <c r="U13" s="68"/>
      <c r="V13" s="66"/>
      <c r="W13" s="66"/>
      <c r="X13" s="66"/>
      <c r="Y13" s="66"/>
      <c r="Z13" s="66"/>
    </row>
    <row r="14" spans="1:26" ht="15.75">
      <c r="A14" s="246"/>
      <c r="B14" s="253" t="s">
        <v>1013</v>
      </c>
      <c r="C14" s="207">
        <v>20.53</v>
      </c>
      <c r="D14" s="254">
        <v>105</v>
      </c>
      <c r="E14" s="254">
        <v>2220.3200000000002</v>
      </c>
      <c r="F14" s="254"/>
      <c r="G14" s="207"/>
      <c r="H14" s="207"/>
      <c r="I14" s="254"/>
      <c r="J14" s="254"/>
      <c r="K14" s="254"/>
      <c r="L14" s="254"/>
      <c r="M14" s="254"/>
      <c r="N14" s="254"/>
      <c r="O14" s="254"/>
      <c r="P14" s="254"/>
      <c r="Q14" s="254"/>
      <c r="R14" s="207"/>
      <c r="S14" s="254">
        <f t="shared" si="0"/>
        <v>2220.3200000000002</v>
      </c>
      <c r="T14" s="254">
        <f t="shared" si="1"/>
        <v>0</v>
      </c>
      <c r="U14" s="68"/>
      <c r="V14" s="66"/>
      <c r="W14" s="66"/>
      <c r="X14" s="66"/>
      <c r="Y14" s="66"/>
      <c r="Z14" s="66"/>
    </row>
    <row r="15" spans="1:26" ht="15.75">
      <c r="A15" s="246"/>
      <c r="B15" s="253" t="s">
        <v>1014</v>
      </c>
      <c r="C15" s="207">
        <v>26.5</v>
      </c>
      <c r="D15" s="254">
        <v>105</v>
      </c>
      <c r="E15" s="254">
        <v>2865.98</v>
      </c>
      <c r="F15" s="254"/>
      <c r="G15" s="207"/>
      <c r="H15" s="207"/>
      <c r="I15" s="254"/>
      <c r="J15" s="254"/>
      <c r="K15" s="254"/>
      <c r="L15" s="254"/>
      <c r="M15" s="254"/>
      <c r="N15" s="254"/>
      <c r="O15" s="254"/>
      <c r="P15" s="254"/>
      <c r="Q15" s="254"/>
      <c r="R15" s="207"/>
      <c r="S15" s="254">
        <f t="shared" si="0"/>
        <v>2865.98</v>
      </c>
      <c r="T15" s="254">
        <f t="shared" si="1"/>
        <v>0</v>
      </c>
      <c r="U15" s="68"/>
      <c r="V15" s="66"/>
      <c r="W15" s="66"/>
      <c r="X15" s="66"/>
      <c r="Y15" s="66"/>
      <c r="Z15" s="66"/>
    </row>
    <row r="16" spans="1:26" ht="15.75">
      <c r="A16" s="246"/>
      <c r="B16" s="253" t="s">
        <v>1015</v>
      </c>
      <c r="C16" s="207">
        <v>9.23</v>
      </c>
      <c r="D16" s="254">
        <v>105</v>
      </c>
      <c r="E16" s="265">
        <v>998.22</v>
      </c>
      <c r="F16" s="265"/>
      <c r="G16" s="268"/>
      <c r="H16" s="268"/>
      <c r="I16" s="265"/>
      <c r="J16" s="265"/>
      <c r="K16" s="265"/>
      <c r="L16" s="265"/>
      <c r="M16" s="265"/>
      <c r="N16" s="265"/>
      <c r="O16" s="265"/>
      <c r="P16" s="265"/>
      <c r="Q16" s="265"/>
      <c r="R16" s="268"/>
      <c r="S16" s="265">
        <f t="shared" si="0"/>
        <v>998.22</v>
      </c>
      <c r="T16" s="254">
        <f t="shared" si="1"/>
        <v>0</v>
      </c>
      <c r="U16" s="68"/>
      <c r="V16" s="66"/>
      <c r="W16" s="66"/>
      <c r="X16" s="66"/>
      <c r="Y16" s="66"/>
      <c r="Z16" s="66"/>
    </row>
    <row r="17" spans="1:26" ht="15.75">
      <c r="A17" s="269" t="s">
        <v>1034</v>
      </c>
      <c r="B17" s="255"/>
      <c r="C17" s="242"/>
      <c r="D17" s="241"/>
      <c r="E17" s="240">
        <f>SUM(E6:E16)</f>
        <v>38494.150000000009</v>
      </c>
      <c r="F17" s="241"/>
      <c r="G17" s="241"/>
      <c r="H17" s="241"/>
      <c r="I17" s="241"/>
      <c r="J17" s="241"/>
      <c r="K17" s="241"/>
      <c r="L17" s="241"/>
      <c r="M17" s="241"/>
      <c r="N17" s="241"/>
      <c r="O17" s="241"/>
      <c r="P17" s="241"/>
      <c r="Q17" s="241"/>
      <c r="R17" s="242"/>
      <c r="S17" s="241">
        <f t="shared" si="0"/>
        <v>38494.150000000009</v>
      </c>
      <c r="T17" s="254">
        <f t="shared" si="1"/>
        <v>0</v>
      </c>
      <c r="U17" s="68"/>
      <c r="V17" s="66"/>
      <c r="W17" s="66"/>
      <c r="X17" s="66"/>
      <c r="Y17" s="66"/>
      <c r="Z17" s="66"/>
    </row>
    <row r="18" spans="1:26" ht="15.75">
      <c r="A18" s="256" t="s">
        <v>1016</v>
      </c>
      <c r="B18" s="238">
        <v>43934</v>
      </c>
      <c r="C18" s="239">
        <v>3.6456</v>
      </c>
      <c r="D18" s="240">
        <v>25</v>
      </c>
      <c r="E18" s="254">
        <f t="shared" ref="E18:E27" si="2">SUM(C18*D18)</f>
        <v>91.14</v>
      </c>
      <c r="F18" s="241"/>
      <c r="G18" s="241"/>
      <c r="H18" s="241"/>
      <c r="I18" s="241"/>
      <c r="J18" s="241"/>
      <c r="K18" s="241"/>
      <c r="L18" s="241"/>
      <c r="M18" s="241"/>
      <c r="N18" s="241"/>
      <c r="O18" s="241"/>
      <c r="P18" s="241"/>
      <c r="Q18" s="240">
        <v>91.14</v>
      </c>
      <c r="R18" s="242"/>
      <c r="S18" s="241"/>
      <c r="T18" s="254">
        <f t="shared" si="1"/>
        <v>0</v>
      </c>
      <c r="U18" s="68"/>
      <c r="V18" s="66"/>
      <c r="W18" s="66"/>
      <c r="X18" s="66"/>
      <c r="Y18" s="66"/>
      <c r="Z18" s="66"/>
    </row>
    <row r="19" spans="1:26" ht="15.75">
      <c r="A19" s="68"/>
      <c r="B19" s="243">
        <v>43938</v>
      </c>
      <c r="C19" s="244">
        <v>6.89</v>
      </c>
      <c r="D19" s="245">
        <v>45</v>
      </c>
      <c r="E19" s="254">
        <f t="shared" si="2"/>
        <v>310.05</v>
      </c>
      <c r="F19" s="245"/>
      <c r="G19" s="245"/>
      <c r="H19" s="245"/>
      <c r="I19" s="245"/>
      <c r="J19" s="245"/>
      <c r="K19" s="245"/>
      <c r="L19" s="245"/>
      <c r="M19" s="245"/>
      <c r="N19" s="245"/>
      <c r="O19" s="245"/>
      <c r="P19" s="245"/>
      <c r="Q19" s="245">
        <v>310.05</v>
      </c>
      <c r="R19" s="244"/>
      <c r="S19" s="245"/>
      <c r="T19" s="254">
        <f t="shared" si="1"/>
        <v>0</v>
      </c>
      <c r="U19" s="68"/>
      <c r="V19" s="66"/>
      <c r="W19" s="66"/>
      <c r="X19" s="66"/>
      <c r="Y19" s="66"/>
      <c r="Z19" s="66"/>
    </row>
    <row r="20" spans="1:26" ht="15.75">
      <c r="A20" s="246"/>
      <c r="B20" s="257">
        <v>43942</v>
      </c>
      <c r="C20" s="207">
        <v>0.71</v>
      </c>
      <c r="D20" s="254">
        <v>98</v>
      </c>
      <c r="E20" s="254">
        <f t="shared" si="2"/>
        <v>69.58</v>
      </c>
      <c r="F20" s="254"/>
      <c r="G20" s="254"/>
      <c r="H20" s="254"/>
      <c r="I20" s="254"/>
      <c r="J20" s="254"/>
      <c r="K20" s="254"/>
      <c r="L20" s="254"/>
      <c r="M20" s="254"/>
      <c r="N20" s="254"/>
      <c r="O20" s="254"/>
      <c r="P20" s="254">
        <v>69.58</v>
      </c>
      <c r="Q20" s="254"/>
      <c r="R20" s="207"/>
      <c r="S20" s="207"/>
      <c r="T20" s="254">
        <f t="shared" si="1"/>
        <v>0</v>
      </c>
      <c r="U20" s="68"/>
      <c r="V20" s="66"/>
      <c r="W20" s="66"/>
      <c r="X20" s="66"/>
      <c r="Y20" s="66"/>
      <c r="Z20" s="66"/>
    </row>
    <row r="21" spans="1:26" ht="15.75">
      <c r="A21" s="246"/>
      <c r="B21" s="257">
        <v>43943</v>
      </c>
      <c r="C21" s="207">
        <v>10.32</v>
      </c>
      <c r="D21" s="254">
        <v>25</v>
      </c>
      <c r="E21" s="254">
        <f t="shared" si="2"/>
        <v>258</v>
      </c>
      <c r="F21" s="254"/>
      <c r="G21" s="254"/>
      <c r="H21" s="254"/>
      <c r="I21" s="254"/>
      <c r="J21" s="254"/>
      <c r="K21" s="254"/>
      <c r="L21" s="254"/>
      <c r="M21" s="254"/>
      <c r="N21" s="254"/>
      <c r="O21" s="254"/>
      <c r="P21" s="254">
        <v>258</v>
      </c>
      <c r="Q21" s="254"/>
      <c r="R21" s="207"/>
      <c r="S21" s="207"/>
      <c r="T21" s="254">
        <f t="shared" si="1"/>
        <v>0</v>
      </c>
      <c r="U21" s="68"/>
      <c r="V21" s="66"/>
      <c r="W21" s="66"/>
      <c r="X21" s="66"/>
      <c r="Y21" s="66"/>
      <c r="Z21" s="66"/>
    </row>
    <row r="22" spans="1:26" ht="15.75">
      <c r="A22" s="246"/>
      <c r="B22" s="257">
        <v>43944</v>
      </c>
      <c r="C22" s="207">
        <v>10</v>
      </c>
      <c r="D22" s="254">
        <v>25</v>
      </c>
      <c r="E22" s="254">
        <f t="shared" si="2"/>
        <v>250</v>
      </c>
      <c r="F22" s="254"/>
      <c r="G22" s="254"/>
      <c r="H22" s="254"/>
      <c r="I22" s="254"/>
      <c r="J22" s="254"/>
      <c r="K22" s="254"/>
      <c r="L22" s="254"/>
      <c r="M22" s="254"/>
      <c r="N22" s="254"/>
      <c r="O22" s="254"/>
      <c r="P22" s="254"/>
      <c r="Q22" s="254">
        <v>250</v>
      </c>
      <c r="R22" s="207"/>
      <c r="S22" s="207"/>
      <c r="T22" s="254">
        <f t="shared" si="1"/>
        <v>0</v>
      </c>
      <c r="U22" s="68"/>
      <c r="V22" s="66"/>
      <c r="W22" s="66"/>
      <c r="X22" s="66"/>
      <c r="Y22" s="66"/>
      <c r="Z22" s="66"/>
    </row>
    <row r="23" spans="1:26" ht="15.75">
      <c r="A23" s="246"/>
      <c r="B23" s="257">
        <v>43986</v>
      </c>
      <c r="C23" s="207">
        <v>14.94</v>
      </c>
      <c r="D23" s="254">
        <v>25</v>
      </c>
      <c r="E23" s="254">
        <f t="shared" si="2"/>
        <v>373.5</v>
      </c>
      <c r="F23" s="254"/>
      <c r="G23" s="254"/>
      <c r="H23" s="254"/>
      <c r="I23" s="254"/>
      <c r="J23" s="254"/>
      <c r="K23" s="254"/>
      <c r="L23" s="254"/>
      <c r="M23" s="254"/>
      <c r="N23" s="254"/>
      <c r="O23" s="254"/>
      <c r="P23" s="254">
        <v>373.5</v>
      </c>
      <c r="Q23" s="254"/>
      <c r="R23" s="207"/>
      <c r="S23" s="207"/>
      <c r="T23" s="254">
        <f t="shared" si="1"/>
        <v>0</v>
      </c>
      <c r="U23" s="68"/>
      <c r="V23" s="66"/>
      <c r="W23" s="66"/>
      <c r="X23" s="66"/>
      <c r="Y23" s="66"/>
      <c r="Z23" s="66"/>
    </row>
    <row r="24" spans="1:26" ht="15.75">
      <c r="A24" s="246"/>
      <c r="B24" s="257">
        <v>44034</v>
      </c>
      <c r="C24" s="207">
        <v>9.57</v>
      </c>
      <c r="D24" s="254">
        <v>25</v>
      </c>
      <c r="E24" s="254">
        <f t="shared" si="2"/>
        <v>239.25</v>
      </c>
      <c r="F24" s="254"/>
      <c r="G24" s="254"/>
      <c r="H24" s="254"/>
      <c r="I24" s="254"/>
      <c r="J24" s="254"/>
      <c r="K24" s="254"/>
      <c r="L24" s="254"/>
      <c r="M24" s="254"/>
      <c r="N24" s="254"/>
      <c r="O24" s="254"/>
      <c r="P24" s="254">
        <v>239.25</v>
      </c>
      <c r="Q24" s="254"/>
      <c r="R24" s="207"/>
      <c r="S24" s="207"/>
      <c r="T24" s="254">
        <f t="shared" si="1"/>
        <v>0</v>
      </c>
      <c r="U24" s="68"/>
      <c r="V24" s="66"/>
      <c r="W24" s="66"/>
      <c r="X24" s="66"/>
      <c r="Y24" s="66"/>
      <c r="Z24" s="66"/>
    </row>
    <row r="25" spans="1:26" ht="15.75">
      <c r="A25" s="246"/>
      <c r="B25" s="257">
        <v>44078</v>
      </c>
      <c r="C25" s="207">
        <v>8</v>
      </c>
      <c r="D25" s="254">
        <v>5</v>
      </c>
      <c r="E25" s="254">
        <f t="shared" si="2"/>
        <v>40</v>
      </c>
      <c r="F25" s="254"/>
      <c r="G25" s="254"/>
      <c r="H25" s="254"/>
      <c r="I25" s="254"/>
      <c r="J25" s="254"/>
      <c r="K25" s="254"/>
      <c r="L25" s="254"/>
      <c r="M25" s="254"/>
      <c r="N25" s="254"/>
      <c r="O25" s="254"/>
      <c r="P25" s="254">
        <v>40</v>
      </c>
      <c r="Q25" s="254"/>
      <c r="R25" s="207"/>
      <c r="S25" s="207"/>
      <c r="T25" s="254">
        <f t="shared" si="1"/>
        <v>0</v>
      </c>
      <c r="U25" s="68"/>
      <c r="V25" s="66"/>
      <c r="W25" s="66"/>
      <c r="X25" s="66"/>
      <c r="Y25" s="66"/>
      <c r="Z25" s="66"/>
    </row>
    <row r="26" spans="1:26" ht="15.75">
      <c r="A26" s="246"/>
      <c r="B26" s="257">
        <v>44083</v>
      </c>
      <c r="C26" s="207">
        <v>7.51</v>
      </c>
      <c r="D26" s="254">
        <v>25</v>
      </c>
      <c r="E26" s="254">
        <f t="shared" si="2"/>
        <v>187.75</v>
      </c>
      <c r="F26" s="254"/>
      <c r="G26" s="254"/>
      <c r="H26" s="254"/>
      <c r="I26" s="254"/>
      <c r="J26" s="254"/>
      <c r="K26" s="254"/>
      <c r="L26" s="254"/>
      <c r="M26" s="254"/>
      <c r="N26" s="254"/>
      <c r="O26" s="254"/>
      <c r="P26" s="254">
        <v>187.75</v>
      </c>
      <c r="Q26" s="254"/>
      <c r="R26" s="207"/>
      <c r="S26" s="207"/>
      <c r="T26" s="254">
        <f t="shared" si="1"/>
        <v>0</v>
      </c>
      <c r="U26" s="68"/>
      <c r="V26" s="66"/>
      <c r="W26" s="66"/>
      <c r="X26" s="66"/>
      <c r="Y26" s="66"/>
      <c r="Z26" s="66"/>
    </row>
    <row r="27" spans="1:26" ht="15.75">
      <c r="A27" s="246"/>
      <c r="B27" s="257">
        <v>44095</v>
      </c>
      <c r="C27" s="207">
        <v>7.87</v>
      </c>
      <c r="D27" s="254">
        <v>25</v>
      </c>
      <c r="E27" s="265">
        <f t="shared" si="2"/>
        <v>196.75</v>
      </c>
      <c r="F27" s="265"/>
      <c r="G27" s="265"/>
      <c r="H27" s="265"/>
      <c r="I27" s="265"/>
      <c r="J27" s="265"/>
      <c r="K27" s="265"/>
      <c r="L27" s="265"/>
      <c r="M27" s="265"/>
      <c r="N27" s="265"/>
      <c r="O27" s="265"/>
      <c r="P27" s="265">
        <v>196.75</v>
      </c>
      <c r="Q27" s="254"/>
      <c r="R27" s="207"/>
      <c r="S27" s="207"/>
      <c r="T27" s="254">
        <f t="shared" si="1"/>
        <v>0</v>
      </c>
      <c r="U27" s="68"/>
      <c r="V27" s="66"/>
      <c r="W27" s="66"/>
      <c r="X27" s="66"/>
      <c r="Y27" s="66"/>
      <c r="Z27" s="66"/>
    </row>
    <row r="28" spans="1:26" ht="15.75">
      <c r="A28" s="255" t="s">
        <v>1035</v>
      </c>
      <c r="B28" s="255"/>
      <c r="C28" s="242"/>
      <c r="D28" s="241"/>
      <c r="E28" s="240">
        <f>SUM(E18:E27)</f>
        <v>2016.02</v>
      </c>
      <c r="F28" s="240"/>
      <c r="G28" s="240"/>
      <c r="H28" s="240"/>
      <c r="I28" s="240"/>
      <c r="J28" s="240"/>
      <c r="K28" s="240">
        <f>SUM(K20:K27)</f>
        <v>0</v>
      </c>
      <c r="L28" s="240"/>
      <c r="M28" s="240"/>
      <c r="N28" s="240"/>
      <c r="O28" s="240">
        <f>SUM(O20:O27)</f>
        <v>0</v>
      </c>
      <c r="P28" s="240">
        <f>SUM(P20:P27)</f>
        <v>1364.83</v>
      </c>
      <c r="Q28" s="240">
        <f>SUM(Q18:Q27)</f>
        <v>651.19000000000005</v>
      </c>
      <c r="R28" s="258"/>
      <c r="S28" s="258"/>
      <c r="T28" s="254">
        <f t="shared" si="1"/>
        <v>0</v>
      </c>
      <c r="U28" s="68"/>
      <c r="V28" s="66"/>
      <c r="W28" s="66"/>
      <c r="X28" s="66"/>
      <c r="Y28" s="66"/>
      <c r="Z28" s="66"/>
    </row>
    <row r="29" spans="1:26" ht="15.75">
      <c r="A29" s="246" t="s">
        <v>1017</v>
      </c>
      <c r="B29" s="257">
        <v>43936</v>
      </c>
      <c r="C29" s="207">
        <v>31.56</v>
      </c>
      <c r="D29" s="254" t="s">
        <v>1018</v>
      </c>
      <c r="E29" s="254">
        <v>2262</v>
      </c>
      <c r="F29" s="254"/>
      <c r="G29" s="207"/>
      <c r="H29" s="207"/>
      <c r="I29" s="207"/>
      <c r="J29" s="254">
        <f>E29</f>
        <v>2262</v>
      </c>
      <c r="K29" s="254"/>
      <c r="L29" s="254"/>
      <c r="M29" s="207"/>
      <c r="N29" s="254"/>
      <c r="O29" s="254"/>
      <c r="P29" s="254"/>
      <c r="Q29" s="254"/>
      <c r="R29" s="207"/>
      <c r="S29" s="207"/>
      <c r="T29" s="254">
        <f t="shared" si="1"/>
        <v>0</v>
      </c>
      <c r="U29" s="68"/>
      <c r="V29" s="66"/>
      <c r="W29" s="66"/>
      <c r="X29" s="66"/>
      <c r="Y29" s="66"/>
      <c r="Z29" s="66"/>
    </row>
    <row r="30" spans="1:26" ht="15.75">
      <c r="A30" s="246"/>
      <c r="B30" s="257">
        <f>B29+15</f>
        <v>43951</v>
      </c>
      <c r="C30" s="207">
        <v>18.829999999999998</v>
      </c>
      <c r="D30" s="254" t="s">
        <v>1018</v>
      </c>
      <c r="E30" s="254">
        <v>1508</v>
      </c>
      <c r="F30" s="254"/>
      <c r="G30" s="207"/>
      <c r="H30" s="207"/>
      <c r="I30" s="207"/>
      <c r="J30" s="254">
        <f t="shared" ref="J30:J52" si="3">E30</f>
        <v>1508</v>
      </c>
      <c r="K30" s="254"/>
      <c r="L30" s="254"/>
      <c r="M30" s="207"/>
      <c r="N30" s="254"/>
      <c r="O30" s="254"/>
      <c r="P30" s="254"/>
      <c r="Q30" s="254"/>
      <c r="R30" s="254"/>
      <c r="S30" s="207"/>
      <c r="T30" s="254">
        <f t="shared" si="1"/>
        <v>0</v>
      </c>
      <c r="U30" s="68"/>
      <c r="V30" s="66"/>
      <c r="W30" s="66"/>
      <c r="X30" s="66"/>
      <c r="Y30" s="66"/>
      <c r="Z30" s="66"/>
    </row>
    <row r="31" spans="1:26" ht="15.75">
      <c r="A31" s="246"/>
      <c r="B31" s="257">
        <v>43966</v>
      </c>
      <c r="C31" s="207">
        <v>25.13</v>
      </c>
      <c r="D31" s="254" t="s">
        <v>1018</v>
      </c>
      <c r="E31" s="254">
        <v>2262</v>
      </c>
      <c r="F31" s="254"/>
      <c r="G31" s="207"/>
      <c r="H31" s="207"/>
      <c r="I31" s="207"/>
      <c r="J31" s="254">
        <f t="shared" si="3"/>
        <v>2262</v>
      </c>
      <c r="K31" s="254"/>
      <c r="L31" s="254"/>
      <c r="M31" s="207"/>
      <c r="N31" s="254"/>
      <c r="O31" s="254"/>
      <c r="P31" s="254"/>
      <c r="Q31" s="254"/>
      <c r="R31" s="207"/>
      <c r="S31" s="207"/>
      <c r="T31" s="254">
        <f t="shared" si="1"/>
        <v>0</v>
      </c>
      <c r="U31" s="68"/>
      <c r="V31" s="66"/>
      <c r="W31" s="66"/>
      <c r="X31" s="66"/>
      <c r="Y31" s="66"/>
      <c r="Z31" s="66"/>
    </row>
    <row r="32" spans="1:26" ht="15.75">
      <c r="A32" s="246"/>
      <c r="B32" s="257">
        <f>B31+16</f>
        <v>43982</v>
      </c>
      <c r="C32" s="207">
        <v>28.67</v>
      </c>
      <c r="D32" s="254" t="s">
        <v>1018</v>
      </c>
      <c r="E32" s="254">
        <v>2262</v>
      </c>
      <c r="F32" s="254"/>
      <c r="G32" s="207"/>
      <c r="H32" s="207"/>
      <c r="I32" s="207"/>
      <c r="J32" s="254">
        <f t="shared" si="3"/>
        <v>2262</v>
      </c>
      <c r="K32" s="254"/>
      <c r="L32" s="254"/>
      <c r="M32" s="207"/>
      <c r="N32" s="254"/>
      <c r="O32" s="254"/>
      <c r="P32" s="254"/>
      <c r="Q32" s="254"/>
      <c r="R32" s="207"/>
      <c r="S32" s="207"/>
      <c r="T32" s="254">
        <f t="shared" si="1"/>
        <v>0</v>
      </c>
      <c r="U32" s="68"/>
      <c r="V32" s="66"/>
      <c r="W32" s="66"/>
      <c r="X32" s="66"/>
      <c r="Y32" s="66"/>
      <c r="Z32" s="66"/>
    </row>
    <row r="33" spans="1:26" ht="15.75">
      <c r="A33" s="246"/>
      <c r="B33" s="257">
        <v>43997</v>
      </c>
      <c r="C33" s="207">
        <v>22.09</v>
      </c>
      <c r="D33" s="254" t="s">
        <v>1018</v>
      </c>
      <c r="E33" s="254">
        <v>1540.32</v>
      </c>
      <c r="F33" s="254"/>
      <c r="G33" s="207"/>
      <c r="H33" s="207"/>
      <c r="I33" s="207"/>
      <c r="J33" s="254">
        <f t="shared" si="3"/>
        <v>1540.32</v>
      </c>
      <c r="K33" s="254"/>
      <c r="L33" s="254"/>
      <c r="M33" s="207"/>
      <c r="N33" s="254"/>
      <c r="O33" s="254"/>
      <c r="P33" s="254"/>
      <c r="Q33" s="254"/>
      <c r="R33" s="207"/>
      <c r="S33" s="207"/>
      <c r="T33" s="254">
        <f t="shared" si="1"/>
        <v>0</v>
      </c>
      <c r="U33" s="68"/>
      <c r="V33" s="66"/>
      <c r="W33" s="66"/>
      <c r="X33" s="66"/>
      <c r="Y33" s="66"/>
      <c r="Z33" s="66"/>
    </row>
    <row r="34" spans="1:26" ht="15.75">
      <c r="A34" s="246"/>
      <c r="B34" s="257">
        <v>44012</v>
      </c>
      <c r="C34" s="207">
        <v>32.450000000000003</v>
      </c>
      <c r="D34" s="254" t="s">
        <v>1018</v>
      </c>
      <c r="E34" s="254">
        <v>3016</v>
      </c>
      <c r="F34" s="254"/>
      <c r="G34" s="207"/>
      <c r="H34" s="207"/>
      <c r="I34" s="207"/>
      <c r="J34" s="254">
        <f t="shared" si="3"/>
        <v>3016</v>
      </c>
      <c r="K34" s="254"/>
      <c r="L34" s="254"/>
      <c r="M34" s="207"/>
      <c r="N34" s="254"/>
      <c r="O34" s="254"/>
      <c r="P34" s="254"/>
      <c r="Q34" s="254"/>
      <c r="R34" s="207"/>
      <c r="S34" s="207"/>
      <c r="T34" s="254">
        <f t="shared" si="1"/>
        <v>0</v>
      </c>
      <c r="U34" s="68"/>
      <c r="V34" s="66"/>
      <c r="W34" s="66"/>
      <c r="X34" s="66"/>
      <c r="Y34" s="66"/>
      <c r="Z34" s="66"/>
    </row>
    <row r="35" spans="1:26" ht="15.75">
      <c r="A35" s="246"/>
      <c r="B35" s="257">
        <v>44027</v>
      </c>
      <c r="C35" s="207">
        <v>29.32</v>
      </c>
      <c r="D35" s="254" t="s">
        <v>1018</v>
      </c>
      <c r="E35" s="254">
        <v>2262</v>
      </c>
      <c r="F35" s="254"/>
      <c r="G35" s="207"/>
      <c r="H35" s="207"/>
      <c r="I35" s="207"/>
      <c r="J35" s="254">
        <f t="shared" si="3"/>
        <v>2262</v>
      </c>
      <c r="K35" s="254"/>
      <c r="L35" s="254"/>
      <c r="M35" s="207"/>
      <c r="N35" s="254"/>
      <c r="O35" s="254"/>
      <c r="P35" s="254"/>
      <c r="Q35" s="254"/>
      <c r="R35" s="207"/>
      <c r="S35" s="207"/>
      <c r="T35" s="254">
        <f t="shared" si="1"/>
        <v>0</v>
      </c>
      <c r="U35" s="68"/>
      <c r="V35" s="66"/>
      <c r="W35" s="66"/>
      <c r="X35" s="66"/>
      <c r="Y35" s="66"/>
      <c r="Z35" s="66"/>
    </row>
    <row r="36" spans="1:26" ht="15.75">
      <c r="A36" s="246"/>
      <c r="B36" s="257">
        <v>44043</v>
      </c>
      <c r="C36" s="207">
        <v>14.07</v>
      </c>
      <c r="D36" s="254" t="s">
        <v>1018</v>
      </c>
      <c r="E36" s="254">
        <v>1508</v>
      </c>
      <c r="F36" s="254"/>
      <c r="G36" s="207"/>
      <c r="H36" s="207"/>
      <c r="I36" s="207"/>
      <c r="J36" s="254">
        <f t="shared" si="3"/>
        <v>1508</v>
      </c>
      <c r="K36" s="254"/>
      <c r="L36" s="254"/>
      <c r="M36" s="207"/>
      <c r="N36" s="254"/>
      <c r="O36" s="254"/>
      <c r="P36" s="254"/>
      <c r="Q36" s="254"/>
      <c r="R36" s="207"/>
      <c r="S36" s="207"/>
      <c r="T36" s="254">
        <f t="shared" si="1"/>
        <v>0</v>
      </c>
      <c r="U36" s="68"/>
      <c r="V36" s="66"/>
      <c r="W36" s="66"/>
      <c r="X36" s="66"/>
      <c r="Y36" s="66"/>
      <c r="Z36" s="66"/>
    </row>
    <row r="37" spans="1:26" ht="15.75">
      <c r="A37" s="246"/>
      <c r="B37" s="257">
        <v>44058</v>
      </c>
      <c r="C37" s="207">
        <v>13.95</v>
      </c>
      <c r="D37" s="254" t="s">
        <v>1018</v>
      </c>
      <c r="E37" s="254">
        <v>821.66</v>
      </c>
      <c r="F37" s="254"/>
      <c r="G37" s="207"/>
      <c r="H37" s="207"/>
      <c r="I37" s="207"/>
      <c r="J37" s="254">
        <f t="shared" si="3"/>
        <v>821.66</v>
      </c>
      <c r="K37" s="254"/>
      <c r="L37" s="254"/>
      <c r="M37" s="207"/>
      <c r="N37" s="254"/>
      <c r="O37" s="254"/>
      <c r="P37" s="254"/>
      <c r="Q37" s="254"/>
      <c r="R37" s="207"/>
      <c r="S37" s="207"/>
      <c r="T37" s="254">
        <f t="shared" si="1"/>
        <v>0</v>
      </c>
      <c r="U37" s="68"/>
      <c r="V37" s="66"/>
      <c r="W37" s="66"/>
      <c r="X37" s="66"/>
      <c r="Y37" s="66"/>
      <c r="Z37" s="66"/>
    </row>
    <row r="38" spans="1:26" ht="15.75">
      <c r="A38" s="246"/>
      <c r="B38" s="257">
        <v>44074</v>
      </c>
      <c r="C38" s="207">
        <v>36.19</v>
      </c>
      <c r="D38" s="254" t="s">
        <v>1018</v>
      </c>
      <c r="E38" s="254">
        <v>3770</v>
      </c>
      <c r="F38" s="254"/>
      <c r="G38" s="207"/>
      <c r="H38" s="207"/>
      <c r="I38" s="207"/>
      <c r="J38" s="254">
        <f t="shared" si="3"/>
        <v>3770</v>
      </c>
      <c r="K38" s="254"/>
      <c r="L38" s="254"/>
      <c r="M38" s="207"/>
      <c r="N38" s="254"/>
      <c r="O38" s="254"/>
      <c r="P38" s="254"/>
      <c r="Q38" s="254"/>
      <c r="R38" s="254"/>
      <c r="S38" s="207"/>
      <c r="T38" s="254">
        <f t="shared" si="1"/>
        <v>0</v>
      </c>
      <c r="U38" s="68"/>
      <c r="V38" s="66"/>
      <c r="W38" s="66"/>
      <c r="X38" s="66"/>
      <c r="Y38" s="66"/>
      <c r="Z38" s="66"/>
    </row>
    <row r="39" spans="1:26" ht="15.75">
      <c r="A39" s="246"/>
      <c r="B39" s="257">
        <v>44089</v>
      </c>
      <c r="C39" s="207">
        <v>25.4</v>
      </c>
      <c r="D39" s="254" t="s">
        <v>1018</v>
      </c>
      <c r="E39" s="254">
        <v>2262</v>
      </c>
      <c r="F39" s="254"/>
      <c r="G39" s="207"/>
      <c r="H39" s="207"/>
      <c r="I39" s="207"/>
      <c r="J39" s="254">
        <f t="shared" si="3"/>
        <v>2262</v>
      </c>
      <c r="K39" s="254"/>
      <c r="L39" s="254"/>
      <c r="M39" s="207"/>
      <c r="N39" s="254"/>
      <c r="O39" s="254"/>
      <c r="P39" s="254"/>
      <c r="Q39" s="254"/>
      <c r="R39" s="207"/>
      <c r="S39" s="207"/>
      <c r="T39" s="254">
        <f t="shared" si="1"/>
        <v>0</v>
      </c>
      <c r="U39" s="68"/>
      <c r="V39" s="66"/>
      <c r="W39" s="66"/>
      <c r="X39" s="66"/>
      <c r="Y39" s="66"/>
      <c r="Z39" s="66"/>
    </row>
    <row r="40" spans="1:26" ht="15.75">
      <c r="A40" s="246"/>
      <c r="B40" s="257">
        <v>44104</v>
      </c>
      <c r="C40" s="207">
        <v>20.68</v>
      </c>
      <c r="D40" s="254" t="s">
        <v>1018</v>
      </c>
      <c r="E40" s="254">
        <v>2262</v>
      </c>
      <c r="F40" s="254"/>
      <c r="G40" s="207"/>
      <c r="H40" s="207"/>
      <c r="I40" s="207"/>
      <c r="J40" s="254">
        <f t="shared" si="3"/>
        <v>2262</v>
      </c>
      <c r="K40" s="254"/>
      <c r="L40" s="254"/>
      <c r="M40" s="207"/>
      <c r="N40" s="254"/>
      <c r="O40" s="254"/>
      <c r="P40" s="254"/>
      <c r="Q40" s="254"/>
      <c r="R40" s="207"/>
      <c r="S40" s="207"/>
      <c r="T40" s="254">
        <f t="shared" si="1"/>
        <v>0</v>
      </c>
      <c r="U40" s="68"/>
      <c r="V40" s="66"/>
      <c r="W40" s="66"/>
      <c r="X40" s="66"/>
      <c r="Y40" s="66"/>
      <c r="Z40" s="66"/>
    </row>
    <row r="41" spans="1:26" ht="15.75">
      <c r="A41" s="246"/>
      <c r="B41" s="257">
        <v>44119</v>
      </c>
      <c r="C41" s="207">
        <v>24.75</v>
      </c>
      <c r="D41" s="254" t="s">
        <v>1018</v>
      </c>
      <c r="E41" s="254">
        <v>2262</v>
      </c>
      <c r="F41" s="254"/>
      <c r="G41" s="207"/>
      <c r="H41" s="207"/>
      <c r="I41" s="207"/>
      <c r="J41" s="254">
        <f t="shared" si="3"/>
        <v>2262</v>
      </c>
      <c r="K41" s="254"/>
      <c r="L41" s="254"/>
      <c r="M41" s="207"/>
      <c r="N41" s="254"/>
      <c r="O41" s="254"/>
      <c r="P41" s="254"/>
      <c r="Q41" s="254"/>
      <c r="R41" s="207"/>
      <c r="S41" s="207"/>
      <c r="T41" s="254">
        <f t="shared" si="1"/>
        <v>0</v>
      </c>
      <c r="U41" s="68"/>
      <c r="V41" s="66"/>
      <c r="W41" s="66"/>
      <c r="X41" s="66"/>
      <c r="Y41" s="66"/>
      <c r="Z41" s="66"/>
    </row>
    <row r="42" spans="1:26" ht="15.75">
      <c r="A42" s="246"/>
      <c r="B42" s="257">
        <v>44135</v>
      </c>
      <c r="C42" s="207">
        <v>23.89</v>
      </c>
      <c r="D42" s="254" t="s">
        <v>1018</v>
      </c>
      <c r="E42" s="254">
        <v>2262</v>
      </c>
      <c r="F42" s="254"/>
      <c r="G42" s="207"/>
      <c r="H42" s="207"/>
      <c r="I42" s="207"/>
      <c r="J42" s="254">
        <f t="shared" si="3"/>
        <v>2262</v>
      </c>
      <c r="K42" s="254"/>
      <c r="L42" s="254"/>
      <c r="M42" s="207"/>
      <c r="N42" s="254"/>
      <c r="O42" s="254"/>
      <c r="P42" s="254"/>
      <c r="Q42" s="254"/>
      <c r="R42" s="207"/>
      <c r="S42" s="207"/>
      <c r="T42" s="254">
        <f t="shared" si="1"/>
        <v>0</v>
      </c>
      <c r="U42" s="68"/>
      <c r="V42" s="66"/>
      <c r="W42" s="66"/>
      <c r="X42" s="66"/>
      <c r="Y42" s="66"/>
      <c r="Z42" s="66"/>
    </row>
    <row r="43" spans="1:26" ht="15.75">
      <c r="A43" s="246"/>
      <c r="B43" s="257">
        <v>44150</v>
      </c>
      <c r="C43" s="207">
        <v>36.119999999999997</v>
      </c>
      <c r="D43" s="254" t="s">
        <v>1018</v>
      </c>
      <c r="E43" s="254">
        <v>2430.96</v>
      </c>
      <c r="F43" s="254"/>
      <c r="G43" s="207"/>
      <c r="H43" s="207"/>
      <c r="I43" s="207"/>
      <c r="J43" s="254">
        <f t="shared" si="3"/>
        <v>2430.96</v>
      </c>
      <c r="K43" s="254"/>
      <c r="L43" s="254"/>
      <c r="M43" s="207"/>
      <c r="N43" s="254"/>
      <c r="O43" s="254"/>
      <c r="P43" s="254"/>
      <c r="Q43" s="254"/>
      <c r="R43" s="207"/>
      <c r="S43" s="207"/>
      <c r="T43" s="254">
        <f t="shared" si="1"/>
        <v>0</v>
      </c>
      <c r="U43" s="68"/>
      <c r="V43" s="66"/>
      <c r="W43" s="66"/>
      <c r="X43" s="66"/>
      <c r="Y43" s="66"/>
      <c r="Z43" s="66"/>
    </row>
    <row r="44" spans="1:26" ht="15.75">
      <c r="A44" s="246"/>
      <c r="B44" s="257">
        <v>44165</v>
      </c>
      <c r="C44" s="207">
        <v>39.909999999999997</v>
      </c>
      <c r="D44" s="254" t="s">
        <v>1018</v>
      </c>
      <c r="E44" s="254">
        <v>3028.88</v>
      </c>
      <c r="F44" s="254"/>
      <c r="G44" s="207"/>
      <c r="H44" s="207"/>
      <c r="I44" s="207"/>
      <c r="J44" s="254">
        <f t="shared" si="3"/>
        <v>3028.88</v>
      </c>
      <c r="K44" s="254"/>
      <c r="L44" s="254"/>
      <c r="M44" s="207"/>
      <c r="N44" s="254"/>
      <c r="O44" s="254"/>
      <c r="P44" s="254"/>
      <c r="Q44" s="254"/>
      <c r="R44" s="207"/>
      <c r="S44" s="207"/>
      <c r="T44" s="254">
        <f t="shared" si="1"/>
        <v>0</v>
      </c>
      <c r="U44" s="68"/>
      <c r="V44" s="66"/>
      <c r="W44" s="66"/>
      <c r="X44" s="66"/>
      <c r="Y44" s="66"/>
      <c r="Z44" s="66"/>
    </row>
    <row r="45" spans="1:26" ht="15.75">
      <c r="A45" s="246"/>
      <c r="B45" s="257">
        <v>44180</v>
      </c>
      <c r="C45" s="207">
        <v>35.869999999999997</v>
      </c>
      <c r="D45" s="254" t="s">
        <v>1018</v>
      </c>
      <c r="E45" s="254">
        <v>3016</v>
      </c>
      <c r="F45" s="254"/>
      <c r="G45" s="207"/>
      <c r="H45" s="207"/>
      <c r="I45" s="207"/>
      <c r="J45" s="254">
        <f t="shared" si="3"/>
        <v>3016</v>
      </c>
      <c r="K45" s="254"/>
      <c r="L45" s="254"/>
      <c r="M45" s="207"/>
      <c r="N45" s="254"/>
      <c r="O45" s="254"/>
      <c r="P45" s="254"/>
      <c r="Q45" s="254"/>
      <c r="R45" s="207"/>
      <c r="S45" s="207"/>
      <c r="T45" s="254">
        <f t="shared" si="1"/>
        <v>0</v>
      </c>
      <c r="U45" s="68"/>
      <c r="V45" s="66"/>
      <c r="W45" s="66"/>
      <c r="X45" s="66"/>
      <c r="Y45" s="66"/>
      <c r="Z45" s="66"/>
    </row>
    <row r="46" spans="1:26" ht="15.75">
      <c r="A46" s="246"/>
      <c r="B46" s="257">
        <v>44196</v>
      </c>
      <c r="C46" s="207">
        <v>44.67</v>
      </c>
      <c r="D46" s="254" t="s">
        <v>1018</v>
      </c>
      <c r="E46" s="254">
        <v>2392.09</v>
      </c>
      <c r="F46" s="254"/>
      <c r="G46" s="207"/>
      <c r="H46" s="207"/>
      <c r="I46" s="207"/>
      <c r="J46" s="254">
        <f t="shared" si="3"/>
        <v>2392.09</v>
      </c>
      <c r="K46" s="254"/>
      <c r="L46" s="254"/>
      <c r="M46" s="207"/>
      <c r="N46" s="254"/>
      <c r="O46" s="254"/>
      <c r="P46" s="254"/>
      <c r="Q46" s="254"/>
      <c r="R46" s="207"/>
      <c r="S46" s="207"/>
      <c r="T46" s="254">
        <f t="shared" si="1"/>
        <v>0</v>
      </c>
      <c r="U46" s="68"/>
      <c r="V46" s="66"/>
      <c r="W46" s="66"/>
      <c r="X46" s="66"/>
      <c r="Y46" s="66"/>
      <c r="Z46" s="66"/>
    </row>
    <row r="47" spans="1:26" ht="15.75">
      <c r="A47" s="246"/>
      <c r="B47" s="257">
        <v>44211</v>
      </c>
      <c r="C47" s="207">
        <v>45.43</v>
      </c>
      <c r="D47" s="254" t="s">
        <v>1018</v>
      </c>
      <c r="E47" s="254">
        <v>1508</v>
      </c>
      <c r="F47" s="254"/>
      <c r="G47" s="207"/>
      <c r="H47" s="207"/>
      <c r="I47" s="207"/>
      <c r="J47" s="254">
        <f t="shared" si="3"/>
        <v>1508</v>
      </c>
      <c r="K47" s="254"/>
      <c r="L47" s="254"/>
      <c r="M47" s="207"/>
      <c r="N47" s="254"/>
      <c r="O47" s="254"/>
      <c r="P47" s="254"/>
      <c r="Q47" s="254"/>
      <c r="R47" s="207"/>
      <c r="S47" s="207"/>
      <c r="T47" s="254">
        <f t="shared" si="1"/>
        <v>0</v>
      </c>
      <c r="U47" s="68"/>
      <c r="V47" s="66"/>
      <c r="W47" s="66"/>
      <c r="X47" s="66"/>
      <c r="Y47" s="66"/>
      <c r="Z47" s="66"/>
    </row>
    <row r="48" spans="1:26" ht="15.75">
      <c r="A48" s="246"/>
      <c r="B48" s="257">
        <v>44227</v>
      </c>
      <c r="C48" s="207">
        <v>68.56</v>
      </c>
      <c r="D48" s="254" t="s">
        <v>1018</v>
      </c>
      <c r="E48" s="254">
        <v>3016</v>
      </c>
      <c r="F48" s="254"/>
      <c r="G48" s="207"/>
      <c r="H48" s="207"/>
      <c r="I48" s="207"/>
      <c r="J48" s="254">
        <f t="shared" si="3"/>
        <v>3016</v>
      </c>
      <c r="K48" s="254"/>
      <c r="L48" s="254"/>
      <c r="M48" s="207"/>
      <c r="N48" s="254"/>
      <c r="O48" s="254"/>
      <c r="P48" s="254"/>
      <c r="Q48" s="254"/>
      <c r="R48" s="207"/>
      <c r="S48" s="207"/>
      <c r="T48" s="254">
        <f t="shared" si="1"/>
        <v>0</v>
      </c>
      <c r="U48" s="68"/>
      <c r="V48" s="66"/>
      <c r="W48" s="66"/>
      <c r="X48" s="66"/>
      <c r="Y48" s="66"/>
      <c r="Z48" s="66"/>
    </row>
    <row r="49" spans="1:26" ht="15.75">
      <c r="A49" s="246"/>
      <c r="B49" s="257">
        <v>44242</v>
      </c>
      <c r="C49" s="207">
        <v>44.62</v>
      </c>
      <c r="D49" s="254" t="s">
        <v>1018</v>
      </c>
      <c r="E49" s="254">
        <v>2262</v>
      </c>
      <c r="F49" s="254"/>
      <c r="G49" s="207"/>
      <c r="H49" s="207"/>
      <c r="I49" s="207"/>
      <c r="J49" s="254">
        <f t="shared" si="3"/>
        <v>2262</v>
      </c>
      <c r="K49" s="254"/>
      <c r="L49" s="254"/>
      <c r="M49" s="207"/>
      <c r="N49" s="254"/>
      <c r="O49" s="254"/>
      <c r="P49" s="254"/>
      <c r="Q49" s="254"/>
      <c r="R49" s="207"/>
      <c r="S49" s="207"/>
      <c r="T49" s="254">
        <f t="shared" si="1"/>
        <v>0</v>
      </c>
      <c r="U49" s="68"/>
      <c r="V49" s="66"/>
      <c r="W49" s="66"/>
      <c r="X49" s="66"/>
      <c r="Y49" s="66"/>
      <c r="Z49" s="66"/>
    </row>
    <row r="50" spans="1:26" ht="15.75">
      <c r="A50" s="246"/>
      <c r="B50" s="257">
        <v>44255</v>
      </c>
      <c r="C50" s="207">
        <v>18.66</v>
      </c>
      <c r="D50" s="254" t="s">
        <v>1018</v>
      </c>
      <c r="E50" s="254">
        <v>2368.5300000000002</v>
      </c>
      <c r="F50" s="254"/>
      <c r="G50" s="207"/>
      <c r="H50" s="207"/>
      <c r="I50" s="207"/>
      <c r="J50" s="254">
        <f t="shared" si="3"/>
        <v>2368.5300000000002</v>
      </c>
      <c r="K50" s="254"/>
      <c r="L50" s="254"/>
      <c r="M50" s="207"/>
      <c r="N50" s="254"/>
      <c r="O50" s="254"/>
      <c r="P50" s="254"/>
      <c r="Q50" s="254"/>
      <c r="R50" s="207"/>
      <c r="S50" s="207"/>
      <c r="T50" s="254">
        <f t="shared" si="1"/>
        <v>0</v>
      </c>
      <c r="U50" s="68"/>
      <c r="V50" s="66"/>
      <c r="W50" s="66"/>
      <c r="X50" s="66"/>
      <c r="Y50" s="66"/>
      <c r="Z50" s="66"/>
    </row>
    <row r="51" spans="1:26" ht="15.75">
      <c r="A51" s="246"/>
      <c r="B51" s="257">
        <v>44270</v>
      </c>
      <c r="C51" s="207">
        <v>42.82</v>
      </c>
      <c r="D51" s="254" t="s">
        <v>1018</v>
      </c>
      <c r="E51" s="254">
        <v>2301.9699999999998</v>
      </c>
      <c r="F51" s="254"/>
      <c r="G51" s="207"/>
      <c r="H51" s="207"/>
      <c r="I51" s="207"/>
      <c r="J51" s="254">
        <f t="shared" si="3"/>
        <v>2301.9699999999998</v>
      </c>
      <c r="K51" s="254"/>
      <c r="L51" s="254"/>
      <c r="M51" s="207"/>
      <c r="N51" s="254"/>
      <c r="O51" s="254"/>
      <c r="P51" s="254"/>
      <c r="Q51" s="254"/>
      <c r="R51" s="207"/>
      <c r="S51" s="207"/>
      <c r="T51" s="254">
        <f t="shared" si="1"/>
        <v>0</v>
      </c>
      <c r="U51" s="68"/>
      <c r="V51" s="66"/>
      <c r="W51" s="66"/>
      <c r="X51" s="66"/>
      <c r="Y51" s="66"/>
      <c r="Z51" s="66"/>
    </row>
    <row r="52" spans="1:26" ht="15.75">
      <c r="A52" s="246"/>
      <c r="B52" s="257">
        <v>44285</v>
      </c>
      <c r="C52" s="207">
        <v>43.02</v>
      </c>
      <c r="D52" s="254" t="s">
        <v>1018</v>
      </c>
      <c r="E52" s="254">
        <v>3016</v>
      </c>
      <c r="F52" s="254"/>
      <c r="G52" s="207"/>
      <c r="H52" s="207"/>
      <c r="I52" s="207"/>
      <c r="J52" s="254">
        <f t="shared" si="3"/>
        <v>3016</v>
      </c>
      <c r="K52" s="254"/>
      <c r="L52" s="254"/>
      <c r="M52" s="207"/>
      <c r="N52" s="254"/>
      <c r="O52" s="254"/>
      <c r="P52" s="254"/>
      <c r="Q52" s="254"/>
      <c r="R52" s="207"/>
      <c r="S52" s="207"/>
      <c r="T52" s="254">
        <f t="shared" si="1"/>
        <v>0</v>
      </c>
      <c r="U52" s="68"/>
      <c r="V52" s="66"/>
      <c r="W52" s="66"/>
      <c r="X52" s="66"/>
      <c r="Y52" s="66"/>
      <c r="Z52" s="66"/>
    </row>
    <row r="53" spans="1:26" ht="15.75">
      <c r="A53" s="255" t="s">
        <v>1036</v>
      </c>
      <c r="B53" s="255"/>
      <c r="C53" s="242"/>
      <c r="D53" s="242"/>
      <c r="E53" s="240">
        <f>SUM(E29:E52)</f>
        <v>55600.41</v>
      </c>
      <c r="F53" s="258"/>
      <c r="G53" s="258"/>
      <c r="H53" s="258"/>
      <c r="I53" s="240"/>
      <c r="J53" s="240">
        <f>SUM(J29:J52)</f>
        <v>55600.41</v>
      </c>
      <c r="K53" s="240"/>
      <c r="L53" s="240"/>
      <c r="M53" s="240"/>
      <c r="N53" s="240"/>
      <c r="O53" s="240"/>
      <c r="P53" s="240"/>
      <c r="Q53" s="240"/>
      <c r="R53" s="240">
        <f>SUM(R29:R52)</f>
        <v>0</v>
      </c>
      <c r="S53" s="258"/>
      <c r="T53" s="254">
        <f t="shared" si="1"/>
        <v>0</v>
      </c>
      <c r="U53" s="68"/>
      <c r="V53" s="66"/>
      <c r="W53" s="66"/>
      <c r="X53" s="66"/>
      <c r="Y53" s="66"/>
      <c r="Z53" s="66"/>
    </row>
    <row r="54" spans="1:26" ht="15.75">
      <c r="A54" s="249" t="s">
        <v>1019</v>
      </c>
      <c r="B54" s="259" t="s">
        <v>1005</v>
      </c>
      <c r="C54" s="207"/>
      <c r="D54" s="207"/>
      <c r="E54" s="254">
        <v>37.020000000000003</v>
      </c>
      <c r="F54" s="254"/>
      <c r="G54" s="207"/>
      <c r="H54" s="207"/>
      <c r="I54" s="207"/>
      <c r="J54" s="254"/>
      <c r="K54" s="254"/>
      <c r="L54" s="254"/>
      <c r="M54" s="254"/>
      <c r="N54" s="254">
        <f>E54</f>
        <v>37.020000000000003</v>
      </c>
      <c r="O54" s="254"/>
      <c r="P54" s="254"/>
      <c r="Q54" s="207"/>
      <c r="R54" s="207"/>
      <c r="S54" s="207"/>
      <c r="T54" s="254">
        <f t="shared" si="1"/>
        <v>0</v>
      </c>
      <c r="U54" s="68"/>
      <c r="V54" s="66"/>
      <c r="W54" s="66"/>
      <c r="X54" s="66"/>
      <c r="Y54" s="66"/>
      <c r="Z54" s="66"/>
    </row>
    <row r="55" spans="1:26" ht="15.75">
      <c r="A55" s="246"/>
      <c r="B55" s="259" t="s">
        <v>1020</v>
      </c>
      <c r="C55" s="207"/>
      <c r="D55" s="207"/>
      <c r="E55" s="254">
        <v>37.020000000000003</v>
      </c>
      <c r="F55" s="254"/>
      <c r="G55" s="207"/>
      <c r="H55" s="207"/>
      <c r="I55" s="207"/>
      <c r="J55" s="254"/>
      <c r="K55" s="254"/>
      <c r="L55" s="254"/>
      <c r="M55" s="254"/>
      <c r="N55" s="254">
        <f>E55</f>
        <v>37.020000000000003</v>
      </c>
      <c r="O55" s="254"/>
      <c r="P55" s="254"/>
      <c r="Q55" s="207"/>
      <c r="R55" s="207"/>
      <c r="S55" s="207"/>
      <c r="T55" s="254">
        <f t="shared" si="1"/>
        <v>0</v>
      </c>
      <c r="U55" s="68"/>
      <c r="V55" s="66"/>
      <c r="W55" s="66"/>
      <c r="X55" s="66"/>
      <c r="Y55" s="66"/>
      <c r="Z55" s="66"/>
    </row>
    <row r="56" spans="1:26" ht="15.75">
      <c r="A56" s="246"/>
      <c r="B56" s="259" t="s">
        <v>1006</v>
      </c>
      <c r="C56" s="207"/>
      <c r="D56" s="207"/>
      <c r="E56" s="254">
        <v>37.020000000000003</v>
      </c>
      <c r="F56" s="254"/>
      <c r="G56" s="207"/>
      <c r="H56" s="207"/>
      <c r="I56" s="207"/>
      <c r="J56" s="254"/>
      <c r="K56" s="254"/>
      <c r="L56" s="254"/>
      <c r="M56" s="254"/>
      <c r="N56" s="254">
        <f>E56</f>
        <v>37.020000000000003</v>
      </c>
      <c r="O56" s="254"/>
      <c r="P56" s="254"/>
      <c r="Q56" s="207"/>
      <c r="R56" s="207"/>
      <c r="S56" s="207"/>
      <c r="T56" s="254">
        <f t="shared" si="1"/>
        <v>0</v>
      </c>
      <c r="U56" s="68"/>
      <c r="V56" s="66"/>
      <c r="W56" s="66"/>
      <c r="X56" s="66"/>
      <c r="Y56" s="66"/>
      <c r="Z56" s="66"/>
    </row>
    <row r="57" spans="1:26" ht="15.75">
      <c r="A57" s="246"/>
      <c r="B57" s="259" t="s">
        <v>1007</v>
      </c>
      <c r="C57" s="207"/>
      <c r="D57" s="207"/>
      <c r="E57" s="254"/>
      <c r="F57" s="254"/>
      <c r="G57" s="207"/>
      <c r="H57" s="207"/>
      <c r="I57" s="207"/>
      <c r="J57" s="254"/>
      <c r="K57" s="254"/>
      <c r="L57" s="254"/>
      <c r="M57" s="254"/>
      <c r="N57" s="254"/>
      <c r="O57" s="254"/>
      <c r="P57" s="254"/>
      <c r="Q57" s="207"/>
      <c r="R57" s="207"/>
      <c r="S57" s="207"/>
      <c r="T57" s="254">
        <f t="shared" si="1"/>
        <v>0</v>
      </c>
      <c r="U57" s="68"/>
      <c r="V57" s="66"/>
      <c r="W57" s="66"/>
      <c r="X57" s="66"/>
      <c r="Y57" s="66"/>
      <c r="Z57" s="66"/>
    </row>
    <row r="58" spans="1:26" ht="15.75">
      <c r="A58" s="246"/>
      <c r="B58" s="259" t="s">
        <v>1008</v>
      </c>
      <c r="C58" s="207"/>
      <c r="D58" s="207"/>
      <c r="E58" s="254"/>
      <c r="F58" s="254"/>
      <c r="G58" s="207"/>
      <c r="H58" s="207"/>
      <c r="I58" s="207"/>
      <c r="J58" s="254"/>
      <c r="K58" s="254"/>
      <c r="L58" s="254"/>
      <c r="M58" s="254"/>
      <c r="N58" s="254"/>
      <c r="O58" s="254"/>
      <c r="P58" s="254"/>
      <c r="Q58" s="207"/>
      <c r="R58" s="207"/>
      <c r="S58" s="207"/>
      <c r="T58" s="254">
        <f t="shared" si="1"/>
        <v>0</v>
      </c>
      <c r="U58" s="68"/>
      <c r="V58" s="66"/>
      <c r="W58" s="66"/>
      <c r="X58" s="66"/>
      <c r="Y58" s="66"/>
      <c r="Z58" s="66"/>
    </row>
    <row r="59" spans="1:26" ht="15.75">
      <c r="A59" s="246"/>
      <c r="B59" s="259" t="s">
        <v>1009</v>
      </c>
      <c r="C59" s="207"/>
      <c r="D59" s="207"/>
      <c r="E59" s="254"/>
      <c r="F59" s="254"/>
      <c r="G59" s="207"/>
      <c r="H59" s="207"/>
      <c r="I59" s="207"/>
      <c r="J59" s="254"/>
      <c r="K59" s="254"/>
      <c r="L59" s="254"/>
      <c r="M59" s="254"/>
      <c r="N59" s="254"/>
      <c r="O59" s="254"/>
      <c r="P59" s="254"/>
      <c r="Q59" s="207"/>
      <c r="R59" s="207"/>
      <c r="S59" s="207"/>
      <c r="T59" s="254">
        <f t="shared" si="1"/>
        <v>0</v>
      </c>
      <c r="U59" s="68"/>
      <c r="V59" s="66"/>
      <c r="W59" s="66"/>
      <c r="X59" s="66"/>
      <c r="Y59" s="66"/>
      <c r="Z59" s="66"/>
    </row>
    <row r="60" spans="1:26" ht="15.75">
      <c r="A60" s="246"/>
      <c r="B60" s="259" t="s">
        <v>1010</v>
      </c>
      <c r="C60" s="207"/>
      <c r="D60" s="207"/>
      <c r="E60" s="254"/>
      <c r="F60" s="254"/>
      <c r="G60" s="207"/>
      <c r="H60" s="207"/>
      <c r="I60" s="207"/>
      <c r="J60" s="254"/>
      <c r="K60" s="254"/>
      <c r="L60" s="254"/>
      <c r="M60" s="254"/>
      <c r="N60" s="254"/>
      <c r="O60" s="254"/>
      <c r="P60" s="254"/>
      <c r="Q60" s="207"/>
      <c r="R60" s="207"/>
      <c r="S60" s="207"/>
      <c r="T60" s="254">
        <f t="shared" si="1"/>
        <v>0</v>
      </c>
      <c r="U60" s="68"/>
      <c r="V60" s="66"/>
      <c r="W60" s="66"/>
      <c r="X60" s="66"/>
      <c r="Y60" s="66"/>
      <c r="Z60" s="66"/>
    </row>
    <row r="61" spans="1:26" ht="15.75">
      <c r="A61" s="246"/>
      <c r="B61" s="259" t="s">
        <v>1011</v>
      </c>
      <c r="C61" s="207"/>
      <c r="D61" s="207"/>
      <c r="E61" s="254"/>
      <c r="F61" s="254"/>
      <c r="G61" s="207"/>
      <c r="H61" s="207"/>
      <c r="I61" s="207"/>
      <c r="J61" s="254"/>
      <c r="K61" s="254"/>
      <c r="L61" s="254"/>
      <c r="M61" s="254"/>
      <c r="N61" s="254"/>
      <c r="O61" s="254"/>
      <c r="P61" s="254"/>
      <c r="Q61" s="207"/>
      <c r="R61" s="207"/>
      <c r="S61" s="207"/>
      <c r="T61" s="254">
        <f t="shared" si="1"/>
        <v>0</v>
      </c>
      <c r="U61" s="68"/>
      <c r="V61" s="66"/>
      <c r="W61" s="66"/>
      <c r="X61" s="66"/>
      <c r="Y61" s="66"/>
      <c r="Z61" s="66"/>
    </row>
    <row r="62" spans="1:26" ht="15.75">
      <c r="A62" s="246"/>
      <c r="B62" s="259" t="s">
        <v>1012</v>
      </c>
      <c r="C62" s="207"/>
      <c r="D62" s="207"/>
      <c r="E62" s="254">
        <v>63.02</v>
      </c>
      <c r="F62" s="207"/>
      <c r="G62" s="207"/>
      <c r="H62" s="207"/>
      <c r="I62" s="207"/>
      <c r="J62" s="207"/>
      <c r="K62" s="207"/>
      <c r="L62" s="207"/>
      <c r="M62" s="207"/>
      <c r="N62" s="254">
        <f>E62</f>
        <v>63.02</v>
      </c>
      <c r="O62" s="207"/>
      <c r="P62" s="207"/>
      <c r="Q62" s="207"/>
      <c r="R62" s="207"/>
      <c r="S62" s="207"/>
      <c r="T62" s="254">
        <f t="shared" si="1"/>
        <v>0</v>
      </c>
      <c r="U62" s="68"/>
      <c r="V62" s="66"/>
      <c r="W62" s="66"/>
      <c r="X62" s="66"/>
      <c r="Y62" s="66"/>
      <c r="Z62" s="66"/>
    </row>
    <row r="63" spans="1:26" ht="15.75">
      <c r="A63" s="246"/>
      <c r="B63" s="259" t="s">
        <v>1013</v>
      </c>
      <c r="C63" s="207"/>
      <c r="D63" s="207"/>
      <c r="E63" s="254"/>
      <c r="F63" s="207"/>
      <c r="G63" s="207"/>
      <c r="H63" s="207"/>
      <c r="I63" s="207"/>
      <c r="J63" s="207"/>
      <c r="K63" s="207"/>
      <c r="L63" s="207"/>
      <c r="M63" s="207"/>
      <c r="N63" s="254"/>
      <c r="O63" s="207"/>
      <c r="P63" s="207"/>
      <c r="Q63" s="207"/>
      <c r="R63" s="207"/>
      <c r="S63" s="207"/>
      <c r="T63" s="254">
        <f t="shared" si="1"/>
        <v>0</v>
      </c>
      <c r="U63" s="68"/>
      <c r="V63" s="66"/>
      <c r="W63" s="66"/>
      <c r="X63" s="66"/>
      <c r="Y63" s="66"/>
      <c r="Z63" s="66"/>
    </row>
    <row r="64" spans="1:26" ht="15.75">
      <c r="A64" s="246"/>
      <c r="B64" s="259" t="s">
        <v>1014</v>
      </c>
      <c r="C64" s="207"/>
      <c r="D64" s="207"/>
      <c r="E64" s="254"/>
      <c r="F64" s="207"/>
      <c r="G64" s="207"/>
      <c r="H64" s="207"/>
      <c r="I64" s="207"/>
      <c r="J64" s="207"/>
      <c r="K64" s="207"/>
      <c r="L64" s="207"/>
      <c r="M64" s="207"/>
      <c r="N64" s="254"/>
      <c r="O64" s="207"/>
      <c r="P64" s="207"/>
      <c r="Q64" s="207"/>
      <c r="R64" s="207"/>
      <c r="S64" s="207"/>
      <c r="T64" s="254">
        <f t="shared" si="1"/>
        <v>0</v>
      </c>
      <c r="U64" s="68"/>
      <c r="V64" s="66"/>
      <c r="W64" s="66"/>
      <c r="X64" s="66"/>
      <c r="Y64" s="66"/>
      <c r="Z64" s="66"/>
    </row>
    <row r="65" spans="1:26" ht="15.75">
      <c r="A65" s="246"/>
      <c r="B65" s="259" t="s">
        <v>1015</v>
      </c>
      <c r="C65" s="207"/>
      <c r="D65" s="207"/>
      <c r="E65" s="254"/>
      <c r="F65" s="207"/>
      <c r="G65" s="207"/>
      <c r="H65" s="207"/>
      <c r="I65" s="207"/>
      <c r="J65" s="207"/>
      <c r="K65" s="207"/>
      <c r="L65" s="207"/>
      <c r="M65" s="207"/>
      <c r="N65" s="254"/>
      <c r="O65" s="207"/>
      <c r="P65" s="207"/>
      <c r="Q65" s="207"/>
      <c r="R65" s="207"/>
      <c r="S65" s="207"/>
      <c r="T65" s="254">
        <f t="shared" si="1"/>
        <v>0</v>
      </c>
      <c r="U65" s="68"/>
      <c r="V65" s="66"/>
      <c r="W65" s="66"/>
      <c r="X65" s="66"/>
      <c r="Y65" s="66"/>
      <c r="Z65" s="66"/>
    </row>
    <row r="66" spans="1:26" ht="15.75">
      <c r="A66" s="255" t="s">
        <v>1037</v>
      </c>
      <c r="B66" s="260"/>
      <c r="C66" s="242"/>
      <c r="D66" s="242"/>
      <c r="E66" s="240">
        <f>SUM(E54:E65)</f>
        <v>174.08</v>
      </c>
      <c r="F66" s="240"/>
      <c r="G66" s="258"/>
      <c r="H66" s="258"/>
      <c r="I66" s="258"/>
      <c r="J66" s="240"/>
      <c r="K66" s="240"/>
      <c r="L66" s="240"/>
      <c r="M66" s="240"/>
      <c r="N66" s="240">
        <f>SUM(N54:N65)</f>
        <v>174.08</v>
      </c>
      <c r="O66" s="240"/>
      <c r="P66" s="241"/>
      <c r="Q66" s="242"/>
      <c r="R66" s="242"/>
      <c r="S66" s="242"/>
      <c r="T66" s="254">
        <f t="shared" si="1"/>
        <v>0</v>
      </c>
      <c r="U66" s="68"/>
      <c r="V66" s="66"/>
      <c r="W66" s="66"/>
      <c r="X66" s="66"/>
      <c r="Y66" s="66"/>
      <c r="Z66" s="66"/>
    </row>
    <row r="67" spans="1:26" ht="15.75">
      <c r="A67" s="249" t="s">
        <v>1021</v>
      </c>
      <c r="B67" s="259" t="s">
        <v>1005</v>
      </c>
      <c r="C67" s="207">
        <v>270.14999999999998</v>
      </c>
      <c r="D67" s="254">
        <f>SUM(E67/C67)</f>
        <v>54.200296131778643</v>
      </c>
      <c r="E67" s="254">
        <v>14642.21</v>
      </c>
      <c r="F67" s="254"/>
      <c r="G67" s="254">
        <f t="shared" ref="G67:G78" si="4">+E67</f>
        <v>14642.21</v>
      </c>
      <c r="H67" s="254"/>
      <c r="I67" s="207"/>
      <c r="J67" s="254"/>
      <c r="K67" s="254"/>
      <c r="L67" s="254"/>
      <c r="M67" s="254"/>
      <c r="N67" s="254"/>
      <c r="O67" s="254"/>
      <c r="P67" s="254"/>
      <c r="Q67" s="207"/>
      <c r="R67" s="207"/>
      <c r="S67" s="207"/>
      <c r="T67" s="254">
        <f t="shared" si="1"/>
        <v>0</v>
      </c>
      <c r="U67" s="68"/>
      <c r="V67" s="66"/>
      <c r="W67" s="66"/>
      <c r="X67" s="66"/>
      <c r="Y67" s="66"/>
      <c r="Z67" s="66"/>
    </row>
    <row r="68" spans="1:26" ht="15.75">
      <c r="A68" s="246"/>
      <c r="B68" s="259" t="s">
        <v>1020</v>
      </c>
      <c r="C68" s="207">
        <v>279.95</v>
      </c>
      <c r="D68" s="254">
        <f>SUM(E68/C68)</f>
        <v>54.20021432398643</v>
      </c>
      <c r="E68" s="254">
        <v>15173.35</v>
      </c>
      <c r="F68" s="254"/>
      <c r="G68" s="254">
        <f t="shared" si="4"/>
        <v>15173.35</v>
      </c>
      <c r="H68" s="254"/>
      <c r="I68" s="207"/>
      <c r="J68" s="254"/>
      <c r="K68" s="254"/>
      <c r="L68" s="254"/>
      <c r="M68" s="254"/>
      <c r="N68" s="254"/>
      <c r="O68" s="254"/>
      <c r="P68" s="254"/>
      <c r="Q68" s="207"/>
      <c r="R68" s="207"/>
      <c r="S68" s="207"/>
      <c r="T68" s="254">
        <f t="shared" si="1"/>
        <v>0</v>
      </c>
      <c r="U68" s="68"/>
      <c r="V68" s="66"/>
      <c r="W68" s="66"/>
      <c r="X68" s="66"/>
      <c r="Y68" s="66"/>
      <c r="Z68" s="66"/>
    </row>
    <row r="69" spans="1:26" ht="15.75">
      <c r="A69" s="246"/>
      <c r="B69" s="259" t="s">
        <v>1006</v>
      </c>
      <c r="C69" s="207">
        <v>289.64</v>
      </c>
      <c r="D69" s="254">
        <f t="shared" ref="D69:D74" si="5">E69/C69</f>
        <v>54.200214058831655</v>
      </c>
      <c r="E69" s="254">
        <v>15698.55</v>
      </c>
      <c r="F69" s="254"/>
      <c r="G69" s="254">
        <f t="shared" si="4"/>
        <v>15698.55</v>
      </c>
      <c r="H69" s="254"/>
      <c r="I69" s="207"/>
      <c r="J69" s="254"/>
      <c r="K69" s="254"/>
      <c r="L69" s="254"/>
      <c r="M69" s="254"/>
      <c r="N69" s="254"/>
      <c r="O69" s="254"/>
      <c r="P69" s="254"/>
      <c r="Q69" s="207"/>
      <c r="R69" s="207"/>
      <c r="S69" s="207"/>
      <c r="T69" s="254">
        <f t="shared" si="1"/>
        <v>0</v>
      </c>
      <c r="U69" s="68"/>
      <c r="V69" s="66"/>
      <c r="W69" s="66"/>
      <c r="X69" s="66"/>
      <c r="Y69" s="66"/>
      <c r="Z69" s="66"/>
    </row>
    <row r="70" spans="1:26" ht="15.75">
      <c r="A70" s="246"/>
      <c r="B70" s="259" t="s">
        <v>1007</v>
      </c>
      <c r="C70" s="207">
        <v>235.45</v>
      </c>
      <c r="D70" s="254">
        <f t="shared" si="5"/>
        <v>54.200212359311962</v>
      </c>
      <c r="E70" s="254">
        <v>12761.44</v>
      </c>
      <c r="F70" s="254"/>
      <c r="G70" s="254">
        <f t="shared" si="4"/>
        <v>12761.44</v>
      </c>
      <c r="H70" s="254"/>
      <c r="I70" s="207"/>
      <c r="J70" s="254"/>
      <c r="K70" s="254"/>
      <c r="L70" s="254"/>
      <c r="M70" s="254"/>
      <c r="N70" s="254"/>
      <c r="O70" s="254"/>
      <c r="P70" s="254"/>
      <c r="Q70" s="207"/>
      <c r="R70" s="207"/>
      <c r="S70" s="207"/>
      <c r="T70" s="254">
        <f t="shared" si="1"/>
        <v>0</v>
      </c>
      <c r="U70" s="68"/>
      <c r="V70" s="66"/>
      <c r="W70" s="66"/>
      <c r="X70" s="66"/>
      <c r="Y70" s="66"/>
      <c r="Z70" s="66"/>
    </row>
    <row r="71" spans="1:26" ht="15.75">
      <c r="A71" s="246"/>
      <c r="B71" s="259" t="s">
        <v>1008</v>
      </c>
      <c r="C71" s="207">
        <v>23.86</v>
      </c>
      <c r="D71" s="254">
        <f t="shared" si="5"/>
        <v>54.200335289186924</v>
      </c>
      <c r="E71" s="254">
        <v>1293.22</v>
      </c>
      <c r="F71" s="254"/>
      <c r="G71" s="254">
        <f t="shared" si="4"/>
        <v>1293.22</v>
      </c>
      <c r="H71" s="254"/>
      <c r="I71" s="207"/>
      <c r="J71" s="254"/>
      <c r="K71" s="254"/>
      <c r="L71" s="254"/>
      <c r="M71" s="254"/>
      <c r="N71" s="254"/>
      <c r="O71" s="254"/>
      <c r="P71" s="254"/>
      <c r="Q71" s="207"/>
      <c r="R71" s="207"/>
      <c r="S71" s="207"/>
      <c r="T71" s="254">
        <f t="shared" ref="T71:T134" si="6">E71-SUM(F71:S71)</f>
        <v>0</v>
      </c>
      <c r="U71" s="68"/>
      <c r="V71" s="66"/>
      <c r="W71" s="66"/>
      <c r="X71" s="66"/>
      <c r="Y71" s="66"/>
      <c r="Z71" s="66"/>
    </row>
    <row r="72" spans="1:26" ht="15.75">
      <c r="A72" s="246"/>
      <c r="B72" s="259" t="s">
        <v>1009</v>
      </c>
      <c r="C72" s="207">
        <v>27.01</v>
      </c>
      <c r="D72" s="254">
        <f t="shared" si="5"/>
        <v>54.200296186597555</v>
      </c>
      <c r="E72" s="254">
        <v>1463.95</v>
      </c>
      <c r="F72" s="254"/>
      <c r="G72" s="254">
        <f t="shared" si="4"/>
        <v>1463.95</v>
      </c>
      <c r="H72" s="254"/>
      <c r="I72" s="207"/>
      <c r="J72" s="254"/>
      <c r="K72" s="254"/>
      <c r="L72" s="254"/>
      <c r="M72" s="254"/>
      <c r="N72" s="254"/>
      <c r="O72" s="254"/>
      <c r="P72" s="254"/>
      <c r="Q72" s="207"/>
      <c r="R72" s="207"/>
      <c r="S72" s="207"/>
      <c r="T72" s="254">
        <f t="shared" si="6"/>
        <v>0</v>
      </c>
      <c r="U72" s="68"/>
      <c r="V72" s="66"/>
      <c r="W72" s="66"/>
      <c r="X72" s="66"/>
      <c r="Y72" s="66"/>
      <c r="Z72" s="66"/>
    </row>
    <row r="73" spans="1:26" ht="15.75">
      <c r="A73" s="246"/>
      <c r="B73" s="259" t="s">
        <v>1010</v>
      </c>
      <c r="C73" s="207">
        <v>261.91000000000003</v>
      </c>
      <c r="D73" s="254">
        <f t="shared" si="5"/>
        <v>54.200183269061888</v>
      </c>
      <c r="E73" s="254">
        <v>14195.57</v>
      </c>
      <c r="F73" s="254"/>
      <c r="G73" s="254">
        <f t="shared" si="4"/>
        <v>14195.57</v>
      </c>
      <c r="H73" s="254"/>
      <c r="I73" s="207"/>
      <c r="J73" s="254"/>
      <c r="K73" s="254"/>
      <c r="L73" s="254"/>
      <c r="M73" s="254"/>
      <c r="N73" s="254"/>
      <c r="O73" s="254"/>
      <c r="P73" s="254"/>
      <c r="Q73" s="207"/>
      <c r="R73" s="207"/>
      <c r="S73" s="207"/>
      <c r="T73" s="254">
        <f t="shared" si="6"/>
        <v>0</v>
      </c>
      <c r="U73" s="68"/>
      <c r="V73" s="66"/>
      <c r="W73" s="66"/>
      <c r="X73" s="66"/>
      <c r="Y73" s="66"/>
      <c r="Z73" s="66"/>
    </row>
    <row r="74" spans="1:26" ht="15.75">
      <c r="A74" s="246"/>
      <c r="B74" s="259" t="s">
        <v>1011</v>
      </c>
      <c r="C74" s="207">
        <v>255.24</v>
      </c>
      <c r="D74" s="254">
        <f t="shared" si="5"/>
        <v>54.200086193386618</v>
      </c>
      <c r="E74" s="254">
        <v>13834.03</v>
      </c>
      <c r="F74" s="254"/>
      <c r="G74" s="254">
        <f t="shared" si="4"/>
        <v>13834.03</v>
      </c>
      <c r="H74" s="254"/>
      <c r="I74" s="207"/>
      <c r="J74" s="254"/>
      <c r="K74" s="254"/>
      <c r="L74" s="254"/>
      <c r="M74" s="254"/>
      <c r="N74" s="254"/>
      <c r="O74" s="254"/>
      <c r="P74" s="254"/>
      <c r="Q74" s="207"/>
      <c r="R74" s="207"/>
      <c r="S74" s="207"/>
      <c r="T74" s="254">
        <f t="shared" si="6"/>
        <v>0</v>
      </c>
      <c r="U74" s="68"/>
      <c r="V74" s="66"/>
      <c r="W74" s="66"/>
      <c r="X74" s="66"/>
      <c r="Y74" s="66"/>
      <c r="Z74" s="66"/>
    </row>
    <row r="75" spans="1:26" ht="15.75">
      <c r="A75" s="246"/>
      <c r="B75" s="259" t="s">
        <v>1012</v>
      </c>
      <c r="C75" s="207">
        <v>308.97000000000003</v>
      </c>
      <c r="D75" s="254">
        <f>E75/C75</f>
        <v>54.200213612972135</v>
      </c>
      <c r="E75" s="254">
        <v>16746.240000000002</v>
      </c>
      <c r="F75" s="254"/>
      <c r="G75" s="254">
        <f t="shared" si="4"/>
        <v>16746.240000000002</v>
      </c>
      <c r="H75" s="254"/>
      <c r="I75" s="207"/>
      <c r="J75" s="254"/>
      <c r="K75" s="254"/>
      <c r="L75" s="254"/>
      <c r="M75" s="254"/>
      <c r="N75" s="254"/>
      <c r="O75" s="254"/>
      <c r="P75" s="254"/>
      <c r="Q75" s="207"/>
      <c r="R75" s="207"/>
      <c r="S75" s="207"/>
      <c r="T75" s="254">
        <f t="shared" si="6"/>
        <v>0</v>
      </c>
      <c r="U75" s="68"/>
      <c r="V75" s="66"/>
      <c r="W75" s="66"/>
      <c r="X75" s="66"/>
      <c r="Y75" s="66"/>
      <c r="Z75" s="66"/>
    </row>
    <row r="76" spans="1:26" ht="15.75">
      <c r="A76" s="246"/>
      <c r="B76" s="259" t="s">
        <v>1013</v>
      </c>
      <c r="C76" s="207">
        <v>176.36</v>
      </c>
      <c r="D76" s="254">
        <f>E76/C76</f>
        <v>54.20021546836017</v>
      </c>
      <c r="E76" s="254">
        <v>9558.75</v>
      </c>
      <c r="F76" s="254"/>
      <c r="G76" s="254">
        <f t="shared" si="4"/>
        <v>9558.75</v>
      </c>
      <c r="H76" s="254"/>
      <c r="I76" s="207"/>
      <c r="J76" s="254"/>
      <c r="K76" s="254"/>
      <c r="L76" s="254"/>
      <c r="M76" s="254"/>
      <c r="N76" s="254"/>
      <c r="O76" s="254"/>
      <c r="P76" s="254"/>
      <c r="Q76" s="207"/>
      <c r="R76" s="207"/>
      <c r="S76" s="207"/>
      <c r="T76" s="254">
        <f t="shared" si="6"/>
        <v>0</v>
      </c>
      <c r="U76" s="68"/>
      <c r="V76" s="66"/>
      <c r="W76" s="66"/>
      <c r="X76" s="66"/>
      <c r="Y76" s="66"/>
      <c r="Z76" s="66"/>
    </row>
    <row r="77" spans="1:26" ht="15.75">
      <c r="A77" s="246"/>
      <c r="B77" s="259" t="s">
        <v>1014</v>
      </c>
      <c r="C77" s="207">
        <v>274.77999999999997</v>
      </c>
      <c r="D77" s="254">
        <f>E77/C77</f>
        <v>54.200232913603614</v>
      </c>
      <c r="E77" s="254">
        <v>14893.14</v>
      </c>
      <c r="F77" s="254"/>
      <c r="G77" s="254">
        <f t="shared" si="4"/>
        <v>14893.14</v>
      </c>
      <c r="H77" s="254"/>
      <c r="I77" s="207"/>
      <c r="J77" s="254"/>
      <c r="K77" s="254"/>
      <c r="L77" s="254"/>
      <c r="M77" s="254"/>
      <c r="N77" s="254"/>
      <c r="O77" s="254"/>
      <c r="P77" s="254"/>
      <c r="Q77" s="207"/>
      <c r="R77" s="207"/>
      <c r="S77" s="207"/>
      <c r="T77" s="254">
        <f t="shared" si="6"/>
        <v>0</v>
      </c>
      <c r="U77" s="68"/>
      <c r="V77" s="66"/>
      <c r="W77" s="66"/>
      <c r="X77" s="66"/>
      <c r="Y77" s="66"/>
      <c r="Z77" s="66"/>
    </row>
    <row r="78" spans="1:26" ht="15.75">
      <c r="A78" s="246"/>
      <c r="B78" s="259" t="s">
        <v>1015</v>
      </c>
      <c r="C78" s="207">
        <v>271.79000000000002</v>
      </c>
      <c r="D78" s="254">
        <f>E78/C78</f>
        <v>30.000404724235622</v>
      </c>
      <c r="E78" s="254">
        <v>8153.81</v>
      </c>
      <c r="F78" s="254"/>
      <c r="G78" s="254">
        <f t="shared" si="4"/>
        <v>8153.81</v>
      </c>
      <c r="H78" s="254"/>
      <c r="I78" s="207"/>
      <c r="J78" s="254"/>
      <c r="K78" s="254"/>
      <c r="L78" s="254"/>
      <c r="M78" s="254"/>
      <c r="N78" s="254"/>
      <c r="O78" s="254"/>
      <c r="P78" s="254"/>
      <c r="Q78" s="207"/>
      <c r="R78" s="207"/>
      <c r="S78" s="207"/>
      <c r="T78" s="254">
        <f t="shared" si="6"/>
        <v>0</v>
      </c>
      <c r="U78" s="68"/>
      <c r="V78" s="66"/>
      <c r="W78" s="66"/>
      <c r="X78" s="66"/>
      <c r="Y78" s="66"/>
      <c r="Z78" s="66"/>
    </row>
    <row r="79" spans="1:26" ht="15.75">
      <c r="A79" s="255" t="s">
        <v>1038</v>
      </c>
      <c r="B79" s="255"/>
      <c r="C79" s="242"/>
      <c r="D79" s="242"/>
      <c r="E79" s="240">
        <f>SUM(E67:E78)</f>
        <v>138414.26</v>
      </c>
      <c r="F79" s="258"/>
      <c r="G79" s="240">
        <f>SUM(G67:G78)</f>
        <v>138414.26</v>
      </c>
      <c r="H79" s="241"/>
      <c r="I79" s="242"/>
      <c r="J79" s="241"/>
      <c r="K79" s="241"/>
      <c r="L79" s="241"/>
      <c r="M79" s="241"/>
      <c r="N79" s="241"/>
      <c r="O79" s="241"/>
      <c r="P79" s="241"/>
      <c r="Q79" s="241"/>
      <c r="R79" s="242"/>
      <c r="S79" s="242"/>
      <c r="T79" s="254">
        <f t="shared" si="6"/>
        <v>0</v>
      </c>
      <c r="U79" s="68"/>
      <c r="V79" s="66"/>
      <c r="W79" s="66"/>
      <c r="X79" s="66"/>
      <c r="Y79" s="66"/>
      <c r="Z79" s="66"/>
    </row>
    <row r="80" spans="1:26" ht="15.75">
      <c r="A80" s="261" t="s">
        <v>1022</v>
      </c>
      <c r="B80" s="259" t="s">
        <v>1005</v>
      </c>
      <c r="C80" s="207">
        <v>4593.4399999999996</v>
      </c>
      <c r="D80" s="254">
        <f t="shared" ref="D80:D89" si="7">SUM(E80/C80)</f>
        <v>105.03522414573828</v>
      </c>
      <c r="E80" s="254">
        <v>482473</v>
      </c>
      <c r="F80" s="254"/>
      <c r="G80" s="207"/>
      <c r="H80" s="254">
        <v>127444.96</v>
      </c>
      <c r="I80" s="254">
        <v>189365.24</v>
      </c>
      <c r="J80" s="254">
        <v>165662.79999999999</v>
      </c>
      <c r="K80" s="254"/>
      <c r="L80" s="254"/>
      <c r="M80" s="254"/>
      <c r="N80" s="254"/>
      <c r="O80" s="254"/>
      <c r="P80" s="254"/>
      <c r="Q80" s="254"/>
      <c r="R80" s="207"/>
      <c r="S80" s="207"/>
      <c r="T80" s="254">
        <f t="shared" si="6"/>
        <v>0</v>
      </c>
      <c r="U80" s="68"/>
      <c r="V80" s="66"/>
      <c r="W80" s="66"/>
      <c r="X80" s="66"/>
      <c r="Y80" s="66"/>
      <c r="Z80" s="66"/>
    </row>
    <row r="81" spans="1:26" ht="15.75">
      <c r="A81" s="262"/>
      <c r="B81" s="259" t="s">
        <v>1020</v>
      </c>
      <c r="C81" s="207">
        <v>5117.7</v>
      </c>
      <c r="D81" s="254">
        <f t="shared" si="7"/>
        <v>105.03018934286887</v>
      </c>
      <c r="E81" s="254">
        <v>537513</v>
      </c>
      <c r="F81" s="254"/>
      <c r="G81" s="207"/>
      <c r="H81" s="254">
        <v>127067.86</v>
      </c>
      <c r="I81" s="254">
        <v>195029.09</v>
      </c>
      <c r="J81" s="254">
        <v>215416.05</v>
      </c>
      <c r="K81" s="254"/>
      <c r="L81" s="254"/>
      <c r="M81" s="254"/>
      <c r="N81" s="254"/>
      <c r="O81" s="254"/>
      <c r="P81" s="254"/>
      <c r="Q81" s="254"/>
      <c r="R81" s="207"/>
      <c r="S81" s="207"/>
      <c r="T81" s="254">
        <f t="shared" si="6"/>
        <v>0</v>
      </c>
      <c r="U81" s="68"/>
      <c r="V81" s="66"/>
      <c r="W81" s="66"/>
      <c r="X81" s="66"/>
      <c r="Y81" s="66"/>
      <c r="Z81" s="66"/>
    </row>
    <row r="82" spans="1:26" ht="15.75">
      <c r="A82" s="262"/>
      <c r="B82" s="259" t="s">
        <v>1006</v>
      </c>
      <c r="C82" s="207">
        <v>5717.44</v>
      </c>
      <c r="D82" s="254">
        <f t="shared" si="7"/>
        <v>105.0408924273801</v>
      </c>
      <c r="E82" s="254">
        <f>SUM(H82:J82)</f>
        <v>600565</v>
      </c>
      <c r="F82" s="254"/>
      <c r="G82" s="207"/>
      <c r="H82" s="254">
        <v>134896.16</v>
      </c>
      <c r="I82" s="254">
        <v>210806.89</v>
      </c>
      <c r="J82" s="254">
        <v>254861.95</v>
      </c>
      <c r="K82" s="254"/>
      <c r="L82" s="254"/>
      <c r="M82" s="254"/>
      <c r="N82" s="254"/>
      <c r="O82" s="254"/>
      <c r="P82" s="254"/>
      <c r="Q82" s="254"/>
      <c r="R82" s="207"/>
      <c r="S82" s="207"/>
      <c r="T82" s="254">
        <f t="shared" si="6"/>
        <v>0</v>
      </c>
      <c r="U82" s="68"/>
      <c r="V82" s="66"/>
      <c r="W82" s="66"/>
      <c r="X82" s="66"/>
      <c r="Y82" s="66"/>
      <c r="Z82" s="66"/>
    </row>
    <row r="83" spans="1:26" ht="15.75">
      <c r="A83" s="262"/>
      <c r="B83" s="259" t="s">
        <v>1007</v>
      </c>
      <c r="C83" s="207">
        <v>6031.41</v>
      </c>
      <c r="D83" s="254">
        <f t="shared" si="7"/>
        <v>105.04542055671891</v>
      </c>
      <c r="E83" s="254">
        <v>633572</v>
      </c>
      <c r="F83" s="254"/>
      <c r="G83" s="207"/>
      <c r="H83" s="254">
        <v>215583.29</v>
      </c>
      <c r="I83" s="254">
        <v>135801.31</v>
      </c>
      <c r="J83" s="254">
        <v>282187.40000000002</v>
      </c>
      <c r="K83" s="254"/>
      <c r="L83" s="254"/>
      <c r="M83" s="254"/>
      <c r="N83" s="254"/>
      <c r="O83" s="254"/>
      <c r="P83" s="254"/>
      <c r="Q83" s="254"/>
      <c r="R83" s="207"/>
      <c r="S83" s="207"/>
      <c r="T83" s="254">
        <f t="shared" si="6"/>
        <v>0</v>
      </c>
      <c r="U83" s="68"/>
      <c r="V83" s="66"/>
      <c r="W83" s="66"/>
      <c r="X83" s="66"/>
      <c r="Y83" s="66"/>
      <c r="Z83" s="66"/>
    </row>
    <row r="84" spans="1:26" ht="15.75">
      <c r="A84" s="262"/>
      <c r="B84" s="259" t="s">
        <v>1008</v>
      </c>
      <c r="C84" s="207">
        <v>5770.55</v>
      </c>
      <c r="D84" s="254">
        <f t="shared" si="7"/>
        <v>104.58153902141044</v>
      </c>
      <c r="E84" s="254">
        <v>603493</v>
      </c>
      <c r="F84" s="254"/>
      <c r="G84" s="207"/>
      <c r="H84" s="254">
        <v>204859.4</v>
      </c>
      <c r="I84" s="254">
        <v>127858.3</v>
      </c>
      <c r="J84" s="254">
        <v>270775.3</v>
      </c>
      <c r="K84" s="254"/>
      <c r="L84" s="254"/>
      <c r="M84" s="254"/>
      <c r="N84" s="254"/>
      <c r="O84" s="254"/>
      <c r="P84" s="254"/>
      <c r="Q84" s="254"/>
      <c r="R84" s="207"/>
      <c r="S84" s="207"/>
      <c r="T84" s="254">
        <f t="shared" si="6"/>
        <v>0</v>
      </c>
      <c r="U84" s="68"/>
      <c r="V84" s="66"/>
      <c r="W84" s="66"/>
      <c r="X84" s="66"/>
      <c r="Y84" s="66"/>
      <c r="Z84" s="66"/>
    </row>
    <row r="85" spans="1:26" ht="15.75">
      <c r="A85" s="262"/>
      <c r="B85" s="259" t="s">
        <v>1009</v>
      </c>
      <c r="C85" s="207">
        <v>5853.87</v>
      </c>
      <c r="D85" s="254">
        <f t="shared" si="7"/>
        <v>105.01138563036078</v>
      </c>
      <c r="E85" s="254">
        <v>614723</v>
      </c>
      <c r="F85" s="254"/>
      <c r="G85" s="207"/>
      <c r="H85" s="254">
        <v>125830.25</v>
      </c>
      <c r="I85" s="254">
        <v>205139.20000000001</v>
      </c>
      <c r="J85" s="254">
        <v>283753.55</v>
      </c>
      <c r="K85" s="254"/>
      <c r="L85" s="254"/>
      <c r="M85" s="254"/>
      <c r="N85" s="254"/>
      <c r="O85" s="254"/>
      <c r="P85" s="254"/>
      <c r="Q85" s="254"/>
      <c r="R85" s="207"/>
      <c r="S85" s="207"/>
      <c r="T85" s="254">
        <f t="shared" si="6"/>
        <v>0</v>
      </c>
      <c r="U85" s="68"/>
      <c r="V85" s="66"/>
      <c r="W85" s="66"/>
      <c r="X85" s="66"/>
      <c r="Y85" s="66"/>
      <c r="Z85" s="66"/>
    </row>
    <row r="86" spans="1:26" ht="15.75">
      <c r="A86" s="262"/>
      <c r="B86" s="259" t="s">
        <v>1010</v>
      </c>
      <c r="C86" s="207">
        <v>6131.47</v>
      </c>
      <c r="D86" s="254">
        <f t="shared" si="7"/>
        <v>104.96977070751386</v>
      </c>
      <c r="E86" s="254">
        <v>643619</v>
      </c>
      <c r="F86" s="254"/>
      <c r="G86" s="207"/>
      <c r="H86" s="254">
        <v>137010.92000000001</v>
      </c>
      <c r="I86" s="254">
        <v>183492.5</v>
      </c>
      <c r="J86" s="254">
        <v>323115.58</v>
      </c>
      <c r="K86" s="254"/>
      <c r="L86" s="254"/>
      <c r="M86" s="254"/>
      <c r="N86" s="254"/>
      <c r="O86" s="254"/>
      <c r="P86" s="254"/>
      <c r="Q86" s="254"/>
      <c r="R86" s="207"/>
      <c r="S86" s="207"/>
      <c r="T86" s="254">
        <f t="shared" si="6"/>
        <v>0</v>
      </c>
      <c r="U86" s="68"/>
      <c r="V86" s="66"/>
      <c r="W86" s="66"/>
      <c r="X86" s="66"/>
      <c r="Y86" s="66"/>
      <c r="Z86" s="66"/>
    </row>
    <row r="87" spans="1:26" ht="15.75">
      <c r="A87" s="262"/>
      <c r="B87" s="259" t="s">
        <v>1011</v>
      </c>
      <c r="C87" s="207">
        <v>5799.05</v>
      </c>
      <c r="D87" s="254">
        <f t="shared" si="7"/>
        <v>105.00478526655228</v>
      </c>
      <c r="E87" s="254">
        <v>608928</v>
      </c>
      <c r="F87" s="254"/>
      <c r="G87" s="207"/>
      <c r="H87" s="254">
        <v>179366.26</v>
      </c>
      <c r="I87" s="254">
        <v>125179.78</v>
      </c>
      <c r="J87" s="254">
        <v>304381.96000000002</v>
      </c>
      <c r="K87" s="254"/>
      <c r="L87" s="254"/>
      <c r="M87" s="254"/>
      <c r="N87" s="254"/>
      <c r="O87" s="254"/>
      <c r="P87" s="254"/>
      <c r="Q87" s="254"/>
      <c r="R87" s="207"/>
      <c r="S87" s="207"/>
      <c r="T87" s="254">
        <f t="shared" si="6"/>
        <v>0</v>
      </c>
      <c r="U87" s="68"/>
      <c r="V87" s="66"/>
      <c r="W87" s="66"/>
      <c r="X87" s="66"/>
      <c r="Y87" s="66"/>
      <c r="Z87" s="66"/>
    </row>
    <row r="88" spans="1:26" ht="15.75">
      <c r="A88" s="262"/>
      <c r="B88" s="259" t="s">
        <v>1012</v>
      </c>
      <c r="C88" s="207">
        <v>5995.22</v>
      </c>
      <c r="D88" s="254">
        <f t="shared" si="7"/>
        <v>105.00698890115792</v>
      </c>
      <c r="E88" s="254">
        <f>SUM(H88:J88)</f>
        <v>629540</v>
      </c>
      <c r="F88" s="207"/>
      <c r="G88" s="207"/>
      <c r="H88" s="254">
        <v>187417.01</v>
      </c>
      <c r="I88" s="254">
        <v>139663.15</v>
      </c>
      <c r="J88" s="254">
        <v>302459.84000000003</v>
      </c>
      <c r="K88" s="207"/>
      <c r="L88" s="207"/>
      <c r="M88" s="207"/>
      <c r="N88" s="207"/>
      <c r="O88" s="207"/>
      <c r="P88" s="207"/>
      <c r="Q88" s="207"/>
      <c r="R88" s="207"/>
      <c r="S88" s="207"/>
      <c r="T88" s="254">
        <f t="shared" si="6"/>
        <v>0</v>
      </c>
      <c r="U88" s="68"/>
      <c r="V88" s="66"/>
      <c r="W88" s="66"/>
      <c r="X88" s="66"/>
      <c r="Y88" s="66"/>
      <c r="Z88" s="66"/>
    </row>
    <row r="89" spans="1:26" ht="15.75">
      <c r="A89" s="262"/>
      <c r="B89" s="259" t="s">
        <v>1013</v>
      </c>
      <c r="C89" s="207">
        <v>5826.34</v>
      </c>
      <c r="D89" s="254">
        <f t="shared" si="7"/>
        <v>105.00623032641418</v>
      </c>
      <c r="E89" s="254">
        <v>611802</v>
      </c>
      <c r="F89" s="207"/>
      <c r="G89" s="207"/>
      <c r="H89" s="254">
        <v>121904.29</v>
      </c>
      <c r="I89" s="254">
        <v>135239.66</v>
      </c>
      <c r="J89" s="254">
        <v>354658.05</v>
      </c>
      <c r="K89" s="207"/>
      <c r="L89" s="207"/>
      <c r="M89" s="207"/>
      <c r="N89" s="207"/>
      <c r="O89" s="207"/>
      <c r="P89" s="207"/>
      <c r="Q89" s="207"/>
      <c r="R89" s="207"/>
      <c r="S89" s="207"/>
      <c r="T89" s="254">
        <f t="shared" si="6"/>
        <v>0</v>
      </c>
      <c r="U89" s="68"/>
      <c r="V89" s="66"/>
      <c r="W89" s="66"/>
      <c r="X89" s="66"/>
      <c r="Y89" s="66"/>
      <c r="Z89" s="66"/>
    </row>
    <row r="90" spans="1:26" ht="15.75">
      <c r="A90" s="262"/>
      <c r="B90" s="259" t="s">
        <v>1014</v>
      </c>
      <c r="C90" s="207">
        <v>5335.11</v>
      </c>
      <c r="D90" s="254">
        <f>E90/C90</f>
        <v>105.00645722393729</v>
      </c>
      <c r="E90" s="254">
        <v>560221</v>
      </c>
      <c r="F90" s="207"/>
      <c r="G90" s="207"/>
      <c r="H90" s="254">
        <v>113374.18</v>
      </c>
      <c r="I90" s="254">
        <v>189361.82</v>
      </c>
      <c r="J90" s="254">
        <v>257485</v>
      </c>
      <c r="K90" s="207"/>
      <c r="L90" s="207"/>
      <c r="M90" s="207"/>
      <c r="N90" s="207"/>
      <c r="O90" s="207"/>
      <c r="P90" s="207"/>
      <c r="Q90" s="207"/>
      <c r="R90" s="207"/>
      <c r="S90" s="207"/>
      <c r="T90" s="254">
        <f t="shared" si="6"/>
        <v>0</v>
      </c>
      <c r="U90" s="68"/>
      <c r="V90" s="66"/>
      <c r="W90" s="66"/>
      <c r="X90" s="66"/>
      <c r="Y90" s="66"/>
      <c r="Z90" s="66"/>
    </row>
    <row r="91" spans="1:26" ht="15.75">
      <c r="A91" s="262"/>
      <c r="B91" s="259" t="s">
        <v>1015</v>
      </c>
      <c r="C91" s="207">
        <v>6125.67</v>
      </c>
      <c r="D91" s="254">
        <f>E91/C91</f>
        <v>105.0141453914429</v>
      </c>
      <c r="E91" s="254">
        <v>643282</v>
      </c>
      <c r="F91" s="207"/>
      <c r="G91" s="254"/>
      <c r="H91" s="254">
        <v>122136.16</v>
      </c>
      <c r="I91" s="254">
        <f>214986.29+38634</f>
        <v>253620.29</v>
      </c>
      <c r="J91" s="254">
        <v>267525.55</v>
      </c>
      <c r="K91" s="207"/>
      <c r="L91" s="207"/>
      <c r="M91" s="207"/>
      <c r="N91" s="207"/>
      <c r="O91" s="207"/>
      <c r="P91" s="207"/>
      <c r="Q91" s="207"/>
      <c r="R91" s="207"/>
      <c r="S91" s="207"/>
      <c r="T91" s="254">
        <f t="shared" si="6"/>
        <v>0</v>
      </c>
      <c r="U91" s="68"/>
      <c r="V91" s="66"/>
      <c r="W91" s="66"/>
      <c r="X91" s="66"/>
      <c r="Y91" s="66"/>
      <c r="Z91" s="66"/>
    </row>
    <row r="92" spans="1:26" ht="15.75">
      <c r="A92" s="255"/>
      <c r="B92" s="260"/>
      <c r="C92" s="242"/>
      <c r="D92" s="241"/>
      <c r="E92" s="240">
        <f>SUM(E80:E91)</f>
        <v>7169731</v>
      </c>
      <c r="F92" s="240"/>
      <c r="G92" s="258"/>
      <c r="H92" s="240">
        <f>SUM(H80:H91)</f>
        <v>1796890.74</v>
      </c>
      <c r="I92" s="240">
        <f>SUM(I80:I91)</f>
        <v>2090557.23</v>
      </c>
      <c r="J92" s="240">
        <f>SUM(J80:J91)</f>
        <v>3282283.03</v>
      </c>
      <c r="K92" s="241"/>
      <c r="L92" s="241"/>
      <c r="M92" s="241"/>
      <c r="N92" s="241"/>
      <c r="O92" s="241"/>
      <c r="P92" s="241"/>
      <c r="Q92" s="241"/>
      <c r="R92" s="242"/>
      <c r="S92" s="242"/>
      <c r="T92" s="254">
        <f t="shared" si="6"/>
        <v>0</v>
      </c>
      <c r="U92" s="68"/>
      <c r="V92" s="66"/>
      <c r="W92" s="66"/>
      <c r="X92" s="66"/>
      <c r="Y92" s="66"/>
      <c r="Z92" s="66"/>
    </row>
    <row r="93" spans="1:26" ht="15.75">
      <c r="A93" s="249" t="s">
        <v>1023</v>
      </c>
      <c r="B93" s="259"/>
      <c r="C93" s="207"/>
      <c r="D93" s="254"/>
      <c r="E93" s="254"/>
      <c r="F93" s="254"/>
      <c r="G93" s="254"/>
      <c r="H93" s="254"/>
      <c r="I93" s="254"/>
      <c r="J93" s="254"/>
      <c r="K93" s="254"/>
      <c r="L93" s="254"/>
      <c r="M93" s="254"/>
      <c r="N93" s="254"/>
      <c r="O93" s="254"/>
      <c r="P93" s="254"/>
      <c r="Q93" s="254"/>
      <c r="R93" s="254"/>
      <c r="S93" s="254"/>
      <c r="T93" s="254">
        <f t="shared" si="6"/>
        <v>0</v>
      </c>
      <c r="U93" s="68"/>
      <c r="V93" s="66"/>
      <c r="W93" s="66"/>
      <c r="X93" s="66"/>
      <c r="Y93" s="66"/>
      <c r="Z93" s="66"/>
    </row>
    <row r="94" spans="1:26" ht="15.75">
      <c r="A94" s="246" t="s">
        <v>911</v>
      </c>
      <c r="B94" s="259" t="s">
        <v>1005</v>
      </c>
      <c r="C94" s="207">
        <v>1192.1600000000001</v>
      </c>
      <c r="D94" s="254">
        <v>61.78</v>
      </c>
      <c r="E94" s="254">
        <v>73651.69</v>
      </c>
      <c r="F94" s="254">
        <f>+E94</f>
        <v>73651.69</v>
      </c>
      <c r="G94" s="254"/>
      <c r="H94" s="254"/>
      <c r="I94" s="254"/>
      <c r="J94" s="254"/>
      <c r="K94" s="254"/>
      <c r="L94" s="254"/>
      <c r="M94" s="254"/>
      <c r="N94" s="254"/>
      <c r="O94" s="254"/>
      <c r="P94" s="254"/>
      <c r="Q94" s="254"/>
      <c r="R94" s="254"/>
      <c r="S94" s="254"/>
      <c r="T94" s="254">
        <f t="shared" si="6"/>
        <v>0</v>
      </c>
      <c r="U94" s="68"/>
      <c r="V94" s="66"/>
      <c r="W94" s="66"/>
      <c r="X94" s="66"/>
      <c r="Y94" s="66"/>
      <c r="Z94" s="66"/>
    </row>
    <row r="95" spans="1:26" ht="15.75">
      <c r="A95" s="246" t="s">
        <v>674</v>
      </c>
      <c r="B95" s="259"/>
      <c r="C95" s="207">
        <v>84.87</v>
      </c>
      <c r="D95" s="254"/>
      <c r="E95" s="254">
        <v>5599.96</v>
      </c>
      <c r="F95" s="254"/>
      <c r="G95" s="254">
        <f>+E95</f>
        <v>5599.96</v>
      </c>
      <c r="H95" s="254"/>
      <c r="I95" s="254"/>
      <c r="J95" s="254"/>
      <c r="K95" s="254"/>
      <c r="L95" s="254"/>
      <c r="M95" s="254"/>
      <c r="N95" s="254"/>
      <c r="O95" s="254"/>
      <c r="P95" s="254"/>
      <c r="Q95" s="254"/>
      <c r="R95" s="254"/>
      <c r="S95" s="254"/>
      <c r="T95" s="254">
        <f t="shared" si="6"/>
        <v>0</v>
      </c>
      <c r="U95" s="68"/>
      <c r="V95" s="66"/>
      <c r="W95" s="66"/>
      <c r="X95" s="66"/>
      <c r="Y95" s="66"/>
      <c r="Z95" s="66"/>
    </row>
    <row r="96" spans="1:26" ht="15.75">
      <c r="A96" s="246" t="s">
        <v>1024</v>
      </c>
      <c r="B96" s="259"/>
      <c r="C96" s="207">
        <v>22</v>
      </c>
      <c r="D96" s="254"/>
      <c r="E96" s="254">
        <v>5375.7</v>
      </c>
      <c r="F96" s="254">
        <f>E96</f>
        <v>5375.7</v>
      </c>
      <c r="G96" s="254"/>
      <c r="H96" s="254"/>
      <c r="I96" s="254"/>
      <c r="J96" s="254"/>
      <c r="K96" s="254"/>
      <c r="L96" s="254"/>
      <c r="M96" s="254"/>
      <c r="N96" s="254"/>
      <c r="O96" s="254"/>
      <c r="P96" s="254"/>
      <c r="Q96" s="254"/>
      <c r="R96" s="254"/>
      <c r="S96" s="254"/>
      <c r="T96" s="254">
        <f t="shared" si="6"/>
        <v>0</v>
      </c>
      <c r="U96" s="68"/>
      <c r="V96" s="66"/>
      <c r="W96" s="66"/>
      <c r="X96" s="66"/>
      <c r="Y96" s="66"/>
      <c r="Z96" s="66"/>
    </row>
    <row r="97" spans="1:26" ht="15.75">
      <c r="A97" s="246" t="s">
        <v>911</v>
      </c>
      <c r="B97" s="259" t="s">
        <v>1020</v>
      </c>
      <c r="C97" s="207">
        <v>1401.82</v>
      </c>
      <c r="D97" s="254">
        <v>61.78</v>
      </c>
      <c r="E97" s="254">
        <v>86604.62</v>
      </c>
      <c r="F97" s="254">
        <f>+E97</f>
        <v>86604.62</v>
      </c>
      <c r="G97" s="254"/>
      <c r="H97" s="254"/>
      <c r="I97" s="254"/>
      <c r="J97" s="254"/>
      <c r="K97" s="254"/>
      <c r="L97" s="254"/>
      <c r="M97" s="254"/>
      <c r="N97" s="254"/>
      <c r="O97" s="254"/>
      <c r="P97" s="254"/>
      <c r="Q97" s="254"/>
      <c r="R97" s="254"/>
      <c r="S97" s="254"/>
      <c r="T97" s="254">
        <f t="shared" si="6"/>
        <v>0</v>
      </c>
      <c r="U97" s="68"/>
      <c r="V97" s="66"/>
      <c r="W97" s="66"/>
      <c r="X97" s="66"/>
      <c r="Y97" s="66"/>
      <c r="Z97" s="66"/>
    </row>
    <row r="98" spans="1:26" ht="15.75">
      <c r="A98" s="246" t="s">
        <v>674</v>
      </c>
      <c r="B98" s="259"/>
      <c r="C98" s="207">
        <v>80.53</v>
      </c>
      <c r="D98" s="254"/>
      <c r="E98" s="254">
        <v>5798.71</v>
      </c>
      <c r="F98" s="254"/>
      <c r="G98" s="254">
        <f>+E98</f>
        <v>5798.71</v>
      </c>
      <c r="H98" s="254"/>
      <c r="I98" s="254"/>
      <c r="J98" s="254"/>
      <c r="K98" s="254"/>
      <c r="L98" s="254"/>
      <c r="M98" s="254"/>
      <c r="N98" s="254"/>
      <c r="O98" s="254"/>
      <c r="P98" s="254"/>
      <c r="Q98" s="254"/>
      <c r="R98" s="254"/>
      <c r="S98" s="254"/>
      <c r="T98" s="254">
        <f t="shared" si="6"/>
        <v>0</v>
      </c>
      <c r="U98" s="68"/>
      <c r="V98" s="66"/>
      <c r="W98" s="66"/>
      <c r="X98" s="66"/>
      <c r="Y98" s="66"/>
      <c r="Z98" s="66"/>
    </row>
    <row r="99" spans="1:26" ht="15.75">
      <c r="A99" s="246" t="s">
        <v>1024</v>
      </c>
      <c r="B99" s="259"/>
      <c r="C99" s="207">
        <v>22</v>
      </c>
      <c r="D99" s="254"/>
      <c r="E99" s="254">
        <v>4950</v>
      </c>
      <c r="F99" s="254">
        <v>4950</v>
      </c>
      <c r="G99" s="254"/>
      <c r="H99" s="254"/>
      <c r="I99" s="254"/>
      <c r="J99" s="254"/>
      <c r="K99" s="254"/>
      <c r="L99" s="254"/>
      <c r="M99" s="254"/>
      <c r="N99" s="254"/>
      <c r="O99" s="254"/>
      <c r="P99" s="254"/>
      <c r="Q99" s="254"/>
      <c r="R99" s="254"/>
      <c r="S99" s="254"/>
      <c r="T99" s="254">
        <f t="shared" si="6"/>
        <v>0</v>
      </c>
      <c r="U99" s="68"/>
      <c r="V99" s="66"/>
      <c r="W99" s="66"/>
      <c r="X99" s="66"/>
      <c r="Y99" s="66"/>
      <c r="Z99" s="66"/>
    </row>
    <row r="100" spans="1:26" ht="15.75">
      <c r="A100" s="246" t="s">
        <v>911</v>
      </c>
      <c r="B100" s="259" t="s">
        <v>1006</v>
      </c>
      <c r="C100" s="207">
        <v>1298.58</v>
      </c>
      <c r="D100" s="254">
        <f>SUM(E100/C100)</f>
        <v>61.780044356142866</v>
      </c>
      <c r="E100" s="254">
        <v>80226.33</v>
      </c>
      <c r="F100" s="254">
        <f>+E100</f>
        <v>80226.33</v>
      </c>
      <c r="G100" s="254"/>
      <c r="H100" s="254"/>
      <c r="I100" s="254"/>
      <c r="J100" s="254"/>
      <c r="K100" s="254"/>
      <c r="L100" s="254"/>
      <c r="M100" s="254"/>
      <c r="N100" s="254"/>
      <c r="O100" s="254"/>
      <c r="P100" s="254"/>
      <c r="Q100" s="254"/>
      <c r="R100" s="254"/>
      <c r="S100" s="254"/>
      <c r="T100" s="254">
        <f t="shared" si="6"/>
        <v>0</v>
      </c>
      <c r="U100" s="68"/>
      <c r="V100" s="66"/>
      <c r="W100" s="66"/>
      <c r="X100" s="66"/>
      <c r="Y100" s="66"/>
      <c r="Z100" s="66"/>
    </row>
    <row r="101" spans="1:26" ht="15.75">
      <c r="A101" s="246" t="s">
        <v>674</v>
      </c>
      <c r="B101" s="259"/>
      <c r="C101" s="207">
        <v>79.12</v>
      </c>
      <c r="D101" s="254"/>
      <c r="E101" s="254">
        <v>5132.2700000000004</v>
      </c>
      <c r="F101" s="254"/>
      <c r="G101" s="254">
        <f>+E101</f>
        <v>5132.2700000000004</v>
      </c>
      <c r="H101" s="254"/>
      <c r="I101" s="254"/>
      <c r="J101" s="254"/>
      <c r="K101" s="254"/>
      <c r="L101" s="254"/>
      <c r="M101" s="254"/>
      <c r="N101" s="254"/>
      <c r="O101" s="254"/>
      <c r="P101" s="254"/>
      <c r="Q101" s="254"/>
      <c r="R101" s="254"/>
      <c r="S101" s="254"/>
      <c r="T101" s="254">
        <f t="shared" si="6"/>
        <v>0</v>
      </c>
      <c r="U101" s="68"/>
      <c r="V101" s="66"/>
      <c r="W101" s="66"/>
      <c r="X101" s="66"/>
      <c r="Y101" s="66"/>
      <c r="Z101" s="66"/>
    </row>
    <row r="102" spans="1:26" ht="15.75">
      <c r="A102" s="246" t="s">
        <v>1024</v>
      </c>
      <c r="B102" s="259"/>
      <c r="C102" s="207">
        <v>22</v>
      </c>
      <c r="D102" s="254"/>
      <c r="E102" s="254">
        <v>5375.7</v>
      </c>
      <c r="F102" s="254">
        <f>+E102</f>
        <v>5375.7</v>
      </c>
      <c r="G102" s="254"/>
      <c r="H102" s="254"/>
      <c r="I102" s="254"/>
      <c r="J102" s="254"/>
      <c r="K102" s="254"/>
      <c r="L102" s="254"/>
      <c r="M102" s="254"/>
      <c r="N102" s="254"/>
      <c r="O102" s="254"/>
      <c r="P102" s="254"/>
      <c r="Q102" s="254"/>
      <c r="R102" s="254"/>
      <c r="S102" s="254"/>
      <c r="T102" s="254">
        <f t="shared" si="6"/>
        <v>0</v>
      </c>
      <c r="U102" s="68"/>
      <c r="V102" s="66"/>
      <c r="W102" s="66"/>
      <c r="X102" s="66"/>
      <c r="Y102" s="66"/>
      <c r="Z102" s="66"/>
    </row>
    <row r="103" spans="1:26" ht="15.75">
      <c r="A103" s="246" t="s">
        <v>911</v>
      </c>
      <c r="B103" s="259" t="s">
        <v>1007</v>
      </c>
      <c r="C103" s="207">
        <v>1093.69</v>
      </c>
      <c r="D103" s="254">
        <f>SUM(E103/C103)</f>
        <v>61.780001645804568</v>
      </c>
      <c r="E103" s="254">
        <v>67568.17</v>
      </c>
      <c r="F103" s="254">
        <f>+E103</f>
        <v>67568.17</v>
      </c>
      <c r="G103" s="254"/>
      <c r="H103" s="254"/>
      <c r="I103" s="254"/>
      <c r="J103" s="254"/>
      <c r="K103" s="254"/>
      <c r="L103" s="254"/>
      <c r="M103" s="254"/>
      <c r="N103" s="254"/>
      <c r="O103" s="254"/>
      <c r="P103" s="254"/>
      <c r="Q103" s="254"/>
      <c r="R103" s="254"/>
      <c r="S103" s="254"/>
      <c r="T103" s="254">
        <f t="shared" si="6"/>
        <v>0</v>
      </c>
      <c r="U103" s="68"/>
      <c r="V103" s="66"/>
      <c r="W103" s="66"/>
      <c r="X103" s="66"/>
      <c r="Y103" s="66"/>
      <c r="Z103" s="66"/>
    </row>
    <row r="104" spans="1:26" ht="15.75">
      <c r="A104" s="246" t="s">
        <v>674</v>
      </c>
      <c r="B104" s="259"/>
      <c r="C104" s="207">
        <v>247.86</v>
      </c>
      <c r="D104" s="254"/>
      <c r="E104" s="254">
        <v>7793.15</v>
      </c>
      <c r="F104" s="254"/>
      <c r="G104" s="254">
        <f>+E104</f>
        <v>7793.15</v>
      </c>
      <c r="H104" s="254"/>
      <c r="I104" s="254"/>
      <c r="J104" s="254"/>
      <c r="K104" s="254"/>
      <c r="L104" s="254"/>
      <c r="M104" s="254"/>
      <c r="N104" s="254"/>
      <c r="O104" s="254"/>
      <c r="P104" s="254"/>
      <c r="Q104" s="254"/>
      <c r="R104" s="254"/>
      <c r="S104" s="254"/>
      <c r="T104" s="254">
        <f t="shared" si="6"/>
        <v>0</v>
      </c>
      <c r="U104" s="68"/>
      <c r="V104" s="66"/>
      <c r="W104" s="66"/>
      <c r="X104" s="66"/>
      <c r="Y104" s="66"/>
      <c r="Z104" s="66"/>
    </row>
    <row r="105" spans="1:26" ht="15.75">
      <c r="A105" s="246" t="s">
        <v>1024</v>
      </c>
      <c r="B105" s="259"/>
      <c r="C105" s="207">
        <v>19</v>
      </c>
      <c r="D105" s="254"/>
      <c r="E105" s="254">
        <v>4642.6499999999996</v>
      </c>
      <c r="F105" s="254">
        <f>+E105</f>
        <v>4642.6499999999996</v>
      </c>
      <c r="G105" s="254"/>
      <c r="H105" s="254"/>
      <c r="I105" s="254"/>
      <c r="J105" s="254"/>
      <c r="K105" s="254"/>
      <c r="L105" s="254"/>
      <c r="M105" s="254"/>
      <c r="N105" s="254"/>
      <c r="O105" s="254"/>
      <c r="P105" s="254"/>
      <c r="Q105" s="254"/>
      <c r="R105" s="254"/>
      <c r="S105" s="254"/>
      <c r="T105" s="254">
        <f t="shared" si="6"/>
        <v>0</v>
      </c>
      <c r="U105" s="68"/>
      <c r="V105" s="66"/>
      <c r="W105" s="66"/>
      <c r="X105" s="66"/>
      <c r="Y105" s="66"/>
      <c r="Z105" s="66"/>
    </row>
    <row r="106" spans="1:26" ht="15.75">
      <c r="A106" s="246" t="s">
        <v>911</v>
      </c>
      <c r="B106" s="259" t="s">
        <v>1008</v>
      </c>
      <c r="C106" s="207">
        <v>724.48</v>
      </c>
      <c r="D106" s="254">
        <f>D103</f>
        <v>61.780001645804568</v>
      </c>
      <c r="E106" s="254">
        <v>44758.32</v>
      </c>
      <c r="F106" s="254">
        <f>+E106</f>
        <v>44758.32</v>
      </c>
      <c r="G106" s="254"/>
      <c r="H106" s="254"/>
      <c r="I106" s="254"/>
      <c r="J106" s="254"/>
      <c r="K106" s="254"/>
      <c r="L106" s="254"/>
      <c r="M106" s="254"/>
      <c r="N106" s="254"/>
      <c r="O106" s="254"/>
      <c r="P106" s="254"/>
      <c r="Q106" s="254"/>
      <c r="R106" s="254"/>
      <c r="S106" s="254"/>
      <c r="T106" s="254">
        <f t="shared" si="6"/>
        <v>0</v>
      </c>
      <c r="U106" s="68"/>
      <c r="V106" s="66"/>
      <c r="W106" s="66"/>
      <c r="X106" s="66"/>
      <c r="Y106" s="66"/>
      <c r="Z106" s="66"/>
    </row>
    <row r="107" spans="1:26" ht="15.75">
      <c r="A107" s="246" t="s">
        <v>674</v>
      </c>
      <c r="B107" s="246"/>
      <c r="C107" s="207">
        <v>161.31</v>
      </c>
      <c r="D107" s="254"/>
      <c r="E107" s="254">
        <v>9910.25</v>
      </c>
      <c r="F107" s="254"/>
      <c r="G107" s="254">
        <f>+E107</f>
        <v>9910.25</v>
      </c>
      <c r="H107" s="254"/>
      <c r="I107" s="254"/>
      <c r="J107" s="254"/>
      <c r="K107" s="254"/>
      <c r="L107" s="254"/>
      <c r="M107" s="254"/>
      <c r="N107" s="254"/>
      <c r="O107" s="254"/>
      <c r="P107" s="254"/>
      <c r="Q107" s="254"/>
      <c r="R107" s="254"/>
      <c r="S107" s="254"/>
      <c r="T107" s="254">
        <f t="shared" si="6"/>
        <v>0</v>
      </c>
      <c r="U107" s="68"/>
      <c r="V107" s="66"/>
      <c r="W107" s="66"/>
      <c r="X107" s="66"/>
      <c r="Y107" s="66"/>
      <c r="Z107" s="66"/>
    </row>
    <row r="108" spans="1:26" ht="15.75">
      <c r="A108" s="246" t="s">
        <v>1024</v>
      </c>
      <c r="B108" s="246"/>
      <c r="C108" s="207">
        <v>22</v>
      </c>
      <c r="D108" s="254"/>
      <c r="E108" s="254">
        <v>5375.7</v>
      </c>
      <c r="F108" s="254">
        <f>+E108</f>
        <v>5375.7</v>
      </c>
      <c r="G108" s="254"/>
      <c r="H108" s="254"/>
      <c r="I108" s="254"/>
      <c r="J108" s="254"/>
      <c r="K108" s="254"/>
      <c r="L108" s="254"/>
      <c r="M108" s="254"/>
      <c r="N108" s="254"/>
      <c r="O108" s="254"/>
      <c r="P108" s="254"/>
      <c r="Q108" s="254"/>
      <c r="R108" s="254"/>
      <c r="S108" s="254"/>
      <c r="T108" s="254">
        <f t="shared" si="6"/>
        <v>0</v>
      </c>
      <c r="U108" s="68"/>
      <c r="V108" s="66"/>
      <c r="W108" s="66"/>
      <c r="X108" s="66"/>
      <c r="Y108" s="66"/>
      <c r="Z108" s="66"/>
    </row>
    <row r="109" spans="1:26" ht="15.75">
      <c r="A109" s="246" t="s">
        <v>674</v>
      </c>
      <c r="B109" s="246" t="s">
        <v>1009</v>
      </c>
      <c r="C109" s="207">
        <v>162.75</v>
      </c>
      <c r="D109" s="254"/>
      <c r="E109" s="254">
        <v>11621.96</v>
      </c>
      <c r="F109" s="254"/>
      <c r="G109" s="254">
        <f>+E109</f>
        <v>11621.96</v>
      </c>
      <c r="H109" s="254"/>
      <c r="I109" s="254"/>
      <c r="J109" s="254"/>
      <c r="K109" s="254"/>
      <c r="L109" s="254"/>
      <c r="M109" s="254"/>
      <c r="N109" s="254"/>
      <c r="O109" s="254"/>
      <c r="P109" s="254"/>
      <c r="Q109" s="254"/>
      <c r="R109" s="254"/>
      <c r="S109" s="254"/>
      <c r="T109" s="254">
        <f t="shared" si="6"/>
        <v>0</v>
      </c>
      <c r="U109" s="68"/>
      <c r="V109" s="66"/>
      <c r="W109" s="66"/>
      <c r="X109" s="66"/>
      <c r="Y109" s="66"/>
      <c r="Z109" s="66"/>
    </row>
    <row r="110" spans="1:26" ht="15.75">
      <c r="A110" s="246" t="s">
        <v>1024</v>
      </c>
      <c r="B110" s="246"/>
      <c r="C110" s="207">
        <v>21</v>
      </c>
      <c r="D110" s="254"/>
      <c r="E110" s="254">
        <v>5131.3500000000004</v>
      </c>
      <c r="F110" s="254">
        <f>+E110</f>
        <v>5131.3500000000004</v>
      </c>
      <c r="G110" s="254"/>
      <c r="H110" s="254"/>
      <c r="I110" s="254"/>
      <c r="J110" s="254"/>
      <c r="K110" s="254"/>
      <c r="L110" s="254"/>
      <c r="M110" s="254"/>
      <c r="N110" s="254"/>
      <c r="O110" s="254"/>
      <c r="P110" s="254"/>
      <c r="Q110" s="254"/>
      <c r="R110" s="254"/>
      <c r="S110" s="254"/>
      <c r="T110" s="254">
        <f t="shared" si="6"/>
        <v>0</v>
      </c>
      <c r="U110" s="68"/>
      <c r="V110" s="66"/>
      <c r="W110" s="66"/>
      <c r="X110" s="66"/>
      <c r="Y110" s="66"/>
      <c r="Z110" s="66"/>
    </row>
    <row r="111" spans="1:26" ht="15.75">
      <c r="A111" s="246" t="s">
        <v>911</v>
      </c>
      <c r="B111" s="246"/>
      <c r="C111" s="207">
        <v>673.74</v>
      </c>
      <c r="D111" s="254">
        <f>E111/C111</f>
        <v>65</v>
      </c>
      <c r="E111" s="254">
        <v>43793.1</v>
      </c>
      <c r="F111" s="254">
        <f>+E111</f>
        <v>43793.1</v>
      </c>
      <c r="G111" s="254"/>
      <c r="H111" s="254"/>
      <c r="I111" s="254"/>
      <c r="J111" s="254"/>
      <c r="K111" s="254"/>
      <c r="L111" s="254"/>
      <c r="M111" s="254"/>
      <c r="N111" s="254"/>
      <c r="O111" s="254"/>
      <c r="P111" s="254"/>
      <c r="Q111" s="254"/>
      <c r="R111" s="254"/>
      <c r="S111" s="254"/>
      <c r="T111" s="254">
        <f t="shared" si="6"/>
        <v>0</v>
      </c>
      <c r="U111" s="68"/>
      <c r="V111" s="66"/>
      <c r="W111" s="66"/>
      <c r="X111" s="66"/>
      <c r="Y111" s="66"/>
      <c r="Z111" s="66"/>
    </row>
    <row r="112" spans="1:26" ht="15.75">
      <c r="A112" s="246" t="s">
        <v>911</v>
      </c>
      <c r="B112" s="246" t="s">
        <v>1010</v>
      </c>
      <c r="C112" s="207">
        <v>797.44</v>
      </c>
      <c r="D112" s="254">
        <f>E112/C112</f>
        <v>65</v>
      </c>
      <c r="E112" s="254">
        <v>51833.599999999999</v>
      </c>
      <c r="F112" s="254">
        <f>+E112</f>
        <v>51833.599999999999</v>
      </c>
      <c r="G112" s="254"/>
      <c r="H112" s="254"/>
      <c r="I112" s="254"/>
      <c r="J112" s="254"/>
      <c r="K112" s="254"/>
      <c r="L112" s="254"/>
      <c r="M112" s="254"/>
      <c r="N112" s="254"/>
      <c r="O112" s="254"/>
      <c r="P112" s="254"/>
      <c r="Q112" s="254"/>
      <c r="R112" s="254"/>
      <c r="S112" s="254"/>
      <c r="T112" s="254">
        <f t="shared" si="6"/>
        <v>0</v>
      </c>
      <c r="U112" s="68"/>
      <c r="V112" s="66"/>
      <c r="W112" s="66"/>
      <c r="X112" s="66"/>
      <c r="Y112" s="66"/>
      <c r="Z112" s="66"/>
    </row>
    <row r="113" spans="1:26" ht="15.75">
      <c r="A113" s="246" t="s">
        <v>1024</v>
      </c>
      <c r="B113" s="246"/>
      <c r="C113" s="207">
        <v>22</v>
      </c>
      <c r="D113" s="254"/>
      <c r="E113" s="254">
        <v>5375.7</v>
      </c>
      <c r="F113" s="254">
        <f>+E113</f>
        <v>5375.7</v>
      </c>
      <c r="G113" s="254"/>
      <c r="H113" s="254"/>
      <c r="I113" s="254"/>
      <c r="J113" s="254"/>
      <c r="K113" s="254"/>
      <c r="L113" s="254"/>
      <c r="M113" s="254"/>
      <c r="N113" s="254"/>
      <c r="O113" s="254"/>
      <c r="P113" s="254"/>
      <c r="Q113" s="254"/>
      <c r="R113" s="254"/>
      <c r="S113" s="254"/>
      <c r="T113" s="254">
        <f t="shared" si="6"/>
        <v>0</v>
      </c>
      <c r="U113" s="68"/>
      <c r="V113" s="66"/>
      <c r="W113" s="66"/>
      <c r="X113" s="66"/>
      <c r="Y113" s="66"/>
      <c r="Z113" s="66"/>
    </row>
    <row r="114" spans="1:26" ht="15.75">
      <c r="A114" s="246" t="s">
        <v>674</v>
      </c>
      <c r="B114" s="246"/>
      <c r="C114" s="207">
        <v>172.57</v>
      </c>
      <c r="D114" s="254"/>
      <c r="E114" s="254">
        <v>12421.44</v>
      </c>
      <c r="F114" s="254"/>
      <c r="G114" s="254">
        <f>+E114</f>
        <v>12421.44</v>
      </c>
      <c r="H114" s="254"/>
      <c r="I114" s="254"/>
      <c r="J114" s="254"/>
      <c r="K114" s="254"/>
      <c r="L114" s="254"/>
      <c r="M114" s="254"/>
      <c r="N114" s="254"/>
      <c r="O114" s="254"/>
      <c r="P114" s="254"/>
      <c r="Q114" s="254"/>
      <c r="R114" s="254"/>
      <c r="S114" s="254"/>
      <c r="T114" s="254">
        <f t="shared" si="6"/>
        <v>0</v>
      </c>
      <c r="U114" s="68"/>
      <c r="V114" s="66"/>
      <c r="W114" s="66"/>
      <c r="X114" s="66"/>
      <c r="Y114" s="66"/>
      <c r="Z114" s="66"/>
    </row>
    <row r="115" spans="1:26" ht="15.75">
      <c r="A115" s="246" t="s">
        <v>911</v>
      </c>
      <c r="B115" s="246" t="s">
        <v>1011</v>
      </c>
      <c r="C115" s="207">
        <v>717.43</v>
      </c>
      <c r="D115" s="254">
        <f>E115/C115</f>
        <v>65</v>
      </c>
      <c r="E115" s="254">
        <v>46632.95</v>
      </c>
      <c r="F115" s="254">
        <f>+E115</f>
        <v>46632.95</v>
      </c>
      <c r="G115" s="254"/>
      <c r="H115" s="254"/>
      <c r="I115" s="254"/>
      <c r="J115" s="254"/>
      <c r="K115" s="254"/>
      <c r="L115" s="254"/>
      <c r="M115" s="254"/>
      <c r="N115" s="254"/>
      <c r="O115" s="254"/>
      <c r="P115" s="254"/>
      <c r="Q115" s="254"/>
      <c r="R115" s="254"/>
      <c r="S115" s="254"/>
      <c r="T115" s="254">
        <f t="shared" si="6"/>
        <v>0</v>
      </c>
      <c r="U115" s="68"/>
      <c r="V115" s="66"/>
      <c r="W115" s="66"/>
      <c r="X115" s="66"/>
      <c r="Y115" s="66"/>
      <c r="Z115" s="66"/>
    </row>
    <row r="116" spans="1:26" ht="15.75">
      <c r="A116" s="246" t="s">
        <v>674</v>
      </c>
      <c r="B116" s="246"/>
      <c r="C116" s="207">
        <v>218.8</v>
      </c>
      <c r="D116" s="254"/>
      <c r="E116" s="254">
        <v>15304.22</v>
      </c>
      <c r="F116" s="254"/>
      <c r="G116" s="254">
        <f>+E116</f>
        <v>15304.22</v>
      </c>
      <c r="H116" s="254"/>
      <c r="I116" s="254"/>
      <c r="J116" s="254"/>
      <c r="K116" s="254"/>
      <c r="L116" s="254"/>
      <c r="M116" s="254"/>
      <c r="N116" s="254"/>
      <c r="O116" s="254"/>
      <c r="P116" s="254"/>
      <c r="Q116" s="254"/>
      <c r="R116" s="254"/>
      <c r="S116" s="254"/>
      <c r="T116" s="254">
        <f t="shared" si="6"/>
        <v>0</v>
      </c>
      <c r="U116" s="68"/>
      <c r="V116" s="66"/>
      <c r="W116" s="66"/>
      <c r="X116" s="66"/>
      <c r="Y116" s="66"/>
      <c r="Z116" s="66"/>
    </row>
    <row r="117" spans="1:26" ht="15.75">
      <c r="A117" s="246" t="s">
        <v>1024</v>
      </c>
      <c r="B117" s="246"/>
      <c r="C117" s="207">
        <v>19</v>
      </c>
      <c r="D117" s="254"/>
      <c r="E117" s="254">
        <v>4642.6499999999996</v>
      </c>
      <c r="F117" s="254">
        <f>+E117</f>
        <v>4642.6499999999996</v>
      </c>
      <c r="G117" s="254"/>
      <c r="H117" s="254"/>
      <c r="I117" s="254"/>
      <c r="J117" s="254"/>
      <c r="K117" s="254"/>
      <c r="L117" s="254"/>
      <c r="M117" s="254"/>
      <c r="N117" s="254"/>
      <c r="O117" s="254"/>
      <c r="P117" s="254"/>
      <c r="Q117" s="254"/>
      <c r="R117" s="254"/>
      <c r="S117" s="254"/>
      <c r="T117" s="254">
        <f t="shared" si="6"/>
        <v>0</v>
      </c>
      <c r="U117" s="68"/>
      <c r="V117" s="66"/>
      <c r="W117" s="66"/>
      <c r="X117" s="66"/>
      <c r="Y117" s="66"/>
      <c r="Z117" s="66"/>
    </row>
    <row r="118" spans="1:26" ht="15.75">
      <c r="A118" s="246" t="s">
        <v>911</v>
      </c>
      <c r="B118" s="246" t="s">
        <v>1012</v>
      </c>
      <c r="C118" s="207">
        <v>452.41</v>
      </c>
      <c r="D118" s="254">
        <f>E118/C118</f>
        <v>65</v>
      </c>
      <c r="E118" s="254">
        <v>29406.65</v>
      </c>
      <c r="F118" s="254">
        <f>+E118</f>
        <v>29406.65</v>
      </c>
      <c r="G118" s="254"/>
      <c r="H118" s="254"/>
      <c r="I118" s="254"/>
      <c r="J118" s="254"/>
      <c r="K118" s="254"/>
      <c r="L118" s="254"/>
      <c r="M118" s="254"/>
      <c r="N118" s="254"/>
      <c r="O118" s="254"/>
      <c r="P118" s="254"/>
      <c r="Q118" s="254"/>
      <c r="R118" s="254"/>
      <c r="S118" s="254"/>
      <c r="T118" s="254">
        <f t="shared" si="6"/>
        <v>0</v>
      </c>
      <c r="U118" s="68"/>
      <c r="V118" s="66"/>
      <c r="W118" s="66"/>
      <c r="X118" s="66"/>
      <c r="Y118" s="66"/>
      <c r="Z118" s="66"/>
    </row>
    <row r="119" spans="1:26" ht="15.75">
      <c r="A119" s="246" t="s">
        <v>674</v>
      </c>
      <c r="B119" s="246"/>
      <c r="C119" s="207">
        <v>176.1</v>
      </c>
      <c r="D119" s="254"/>
      <c r="E119" s="254">
        <v>12638.6</v>
      </c>
      <c r="F119" s="254"/>
      <c r="G119" s="254">
        <f>+E119</f>
        <v>12638.6</v>
      </c>
      <c r="H119" s="254"/>
      <c r="I119" s="254"/>
      <c r="J119" s="254"/>
      <c r="K119" s="254"/>
      <c r="L119" s="254"/>
      <c r="M119" s="254"/>
      <c r="N119" s="254"/>
      <c r="O119" s="254"/>
      <c r="P119" s="254"/>
      <c r="Q119" s="254"/>
      <c r="R119" s="254"/>
      <c r="S119" s="254"/>
      <c r="T119" s="254">
        <f t="shared" si="6"/>
        <v>0</v>
      </c>
      <c r="U119" s="68"/>
      <c r="V119" s="66"/>
      <c r="W119" s="66"/>
      <c r="X119" s="66"/>
      <c r="Y119" s="66"/>
      <c r="Z119" s="66"/>
    </row>
    <row r="120" spans="1:26" ht="15.75">
      <c r="A120" s="246" t="s">
        <v>1024</v>
      </c>
      <c r="B120" s="246"/>
      <c r="C120" s="207">
        <v>23</v>
      </c>
      <c r="D120" s="254"/>
      <c r="E120" s="254">
        <v>5620.05</v>
      </c>
      <c r="F120" s="254">
        <f>+E120</f>
        <v>5620.05</v>
      </c>
      <c r="G120" s="254"/>
      <c r="H120" s="254"/>
      <c r="I120" s="254"/>
      <c r="J120" s="254"/>
      <c r="K120" s="254"/>
      <c r="L120" s="254"/>
      <c r="M120" s="254"/>
      <c r="N120" s="254"/>
      <c r="O120" s="254"/>
      <c r="P120" s="254"/>
      <c r="Q120" s="254"/>
      <c r="R120" s="254"/>
      <c r="S120" s="254"/>
      <c r="T120" s="254">
        <f t="shared" si="6"/>
        <v>0</v>
      </c>
      <c r="U120" s="68"/>
      <c r="V120" s="66"/>
      <c r="W120" s="66"/>
      <c r="X120" s="66"/>
      <c r="Y120" s="66"/>
      <c r="Z120" s="66"/>
    </row>
    <row r="121" spans="1:26" ht="15.75">
      <c r="A121" s="246" t="s">
        <v>911</v>
      </c>
      <c r="B121" s="246" t="s">
        <v>1013</v>
      </c>
      <c r="C121" s="207">
        <v>336.57</v>
      </c>
      <c r="D121" s="254">
        <f>E121/C121</f>
        <v>65</v>
      </c>
      <c r="E121" s="254">
        <v>21877.05</v>
      </c>
      <c r="F121" s="254">
        <f>+E121</f>
        <v>21877.05</v>
      </c>
      <c r="G121" s="254"/>
      <c r="H121" s="254"/>
      <c r="I121" s="254"/>
      <c r="J121" s="254"/>
      <c r="K121" s="254"/>
      <c r="L121" s="254"/>
      <c r="M121" s="254"/>
      <c r="N121" s="254"/>
      <c r="O121" s="254"/>
      <c r="P121" s="254"/>
      <c r="Q121" s="254"/>
      <c r="R121" s="254"/>
      <c r="S121" s="254"/>
      <c r="T121" s="254">
        <f t="shared" si="6"/>
        <v>0</v>
      </c>
      <c r="U121" s="68"/>
      <c r="V121" s="66"/>
      <c r="W121" s="66"/>
      <c r="X121" s="66"/>
      <c r="Y121" s="66"/>
      <c r="Z121" s="66"/>
    </row>
    <row r="122" spans="1:26" ht="15.75">
      <c r="A122" s="246" t="s">
        <v>674</v>
      </c>
      <c r="B122" s="246"/>
      <c r="C122" s="207">
        <v>177</v>
      </c>
      <c r="D122" s="254"/>
      <c r="E122" s="254">
        <v>12376.77</v>
      </c>
      <c r="F122" s="254"/>
      <c r="G122" s="254">
        <f>+E122</f>
        <v>12376.77</v>
      </c>
      <c r="H122" s="254"/>
      <c r="I122" s="254"/>
      <c r="J122" s="254"/>
      <c r="K122" s="254"/>
      <c r="L122" s="254"/>
      <c r="M122" s="254"/>
      <c r="N122" s="254"/>
      <c r="O122" s="254"/>
      <c r="P122" s="254"/>
      <c r="Q122" s="254"/>
      <c r="R122" s="254"/>
      <c r="S122" s="254"/>
      <c r="T122" s="254">
        <f t="shared" si="6"/>
        <v>0</v>
      </c>
      <c r="U122" s="68"/>
      <c r="V122" s="66"/>
      <c r="W122" s="66"/>
      <c r="X122" s="66"/>
      <c r="Y122" s="66"/>
      <c r="Z122" s="66"/>
    </row>
    <row r="123" spans="1:26" ht="15.75">
      <c r="A123" s="246" t="s">
        <v>1024</v>
      </c>
      <c r="B123" s="246"/>
      <c r="C123" s="207">
        <v>22</v>
      </c>
      <c r="D123" s="254"/>
      <c r="E123" s="254">
        <v>5380.76</v>
      </c>
      <c r="F123" s="254">
        <f>+E123</f>
        <v>5380.76</v>
      </c>
      <c r="G123" s="254"/>
      <c r="H123" s="254"/>
      <c r="I123" s="254"/>
      <c r="J123" s="254"/>
      <c r="K123" s="254"/>
      <c r="L123" s="254"/>
      <c r="M123" s="254"/>
      <c r="N123" s="254"/>
      <c r="O123" s="254"/>
      <c r="P123" s="254"/>
      <c r="Q123" s="254"/>
      <c r="R123" s="254"/>
      <c r="S123" s="254"/>
      <c r="T123" s="254">
        <f t="shared" si="6"/>
        <v>0</v>
      </c>
      <c r="U123" s="68"/>
      <c r="V123" s="66"/>
      <c r="W123" s="66"/>
      <c r="X123" s="66"/>
      <c r="Y123" s="66"/>
      <c r="Z123" s="66"/>
    </row>
    <row r="124" spans="1:26" ht="15.75">
      <c r="A124" s="246" t="s">
        <v>911</v>
      </c>
      <c r="B124" s="246" t="s">
        <v>1014</v>
      </c>
      <c r="C124" s="207">
        <v>218.99</v>
      </c>
      <c r="D124" s="254">
        <f>E124/C124</f>
        <v>65</v>
      </c>
      <c r="E124" s="254">
        <v>14234.35</v>
      </c>
      <c r="F124" s="254">
        <f>+E124</f>
        <v>14234.35</v>
      </c>
      <c r="G124" s="254"/>
      <c r="H124" s="254"/>
      <c r="I124" s="254"/>
      <c r="J124" s="254"/>
      <c r="K124" s="254"/>
      <c r="L124" s="254"/>
      <c r="M124" s="254"/>
      <c r="N124" s="254"/>
      <c r="O124" s="254"/>
      <c r="P124" s="254"/>
      <c r="Q124" s="254"/>
      <c r="R124" s="254"/>
      <c r="S124" s="254"/>
      <c r="T124" s="254">
        <f t="shared" si="6"/>
        <v>0</v>
      </c>
      <c r="U124" s="68"/>
      <c r="V124" s="66"/>
      <c r="W124" s="66"/>
      <c r="X124" s="66"/>
      <c r="Y124" s="66"/>
      <c r="Z124" s="66"/>
    </row>
    <row r="125" spans="1:26" ht="15.75">
      <c r="A125" s="246" t="s">
        <v>674</v>
      </c>
      <c r="B125" s="246"/>
      <c r="C125" s="207">
        <v>150.29</v>
      </c>
      <c r="D125" s="254"/>
      <c r="E125" s="254">
        <v>11890.65</v>
      </c>
      <c r="F125" s="254"/>
      <c r="G125" s="254">
        <f>+E125</f>
        <v>11890.65</v>
      </c>
      <c r="H125" s="254"/>
      <c r="I125" s="254"/>
      <c r="J125" s="254"/>
      <c r="K125" s="254"/>
      <c r="L125" s="254"/>
      <c r="M125" s="254"/>
      <c r="N125" s="254"/>
      <c r="O125" s="254"/>
      <c r="P125" s="254"/>
      <c r="Q125" s="254"/>
      <c r="R125" s="254"/>
      <c r="S125" s="254"/>
      <c r="T125" s="254">
        <f t="shared" si="6"/>
        <v>0</v>
      </c>
      <c r="U125" s="68"/>
      <c r="V125" s="66"/>
      <c r="W125" s="66"/>
      <c r="X125" s="66"/>
      <c r="Y125" s="66"/>
      <c r="Z125" s="66"/>
    </row>
    <row r="126" spans="1:26" ht="15.75">
      <c r="A126" s="246" t="s">
        <v>1024</v>
      </c>
      <c r="B126" s="246"/>
      <c r="C126" s="207">
        <v>19</v>
      </c>
      <c r="D126" s="254"/>
      <c r="E126" s="254">
        <v>4647.0200000000004</v>
      </c>
      <c r="F126" s="254">
        <f>+E126</f>
        <v>4647.0200000000004</v>
      </c>
      <c r="G126" s="254"/>
      <c r="H126" s="254"/>
      <c r="I126" s="254"/>
      <c r="J126" s="254"/>
      <c r="K126" s="254"/>
      <c r="L126" s="254"/>
      <c r="M126" s="254"/>
      <c r="N126" s="254"/>
      <c r="O126" s="254"/>
      <c r="P126" s="254"/>
      <c r="Q126" s="254"/>
      <c r="R126" s="254"/>
      <c r="S126" s="254"/>
      <c r="T126" s="254">
        <f t="shared" si="6"/>
        <v>0</v>
      </c>
      <c r="U126" s="68"/>
      <c r="V126" s="66"/>
      <c r="W126" s="66"/>
      <c r="X126" s="66"/>
      <c r="Y126" s="66"/>
      <c r="Z126" s="66"/>
    </row>
    <row r="127" spans="1:26" ht="15.75">
      <c r="A127" s="246" t="s">
        <v>911</v>
      </c>
      <c r="B127" s="246" t="s">
        <v>1015</v>
      </c>
      <c r="C127" s="207">
        <v>595.12</v>
      </c>
      <c r="D127" s="254">
        <f>E127/C127</f>
        <v>65</v>
      </c>
      <c r="E127" s="254">
        <v>38682.800000000003</v>
      </c>
      <c r="F127" s="254">
        <v>38682.800000000003</v>
      </c>
      <c r="G127" s="254"/>
      <c r="H127" s="254"/>
      <c r="I127" s="254"/>
      <c r="J127" s="254"/>
      <c r="K127" s="254"/>
      <c r="L127" s="254"/>
      <c r="M127" s="254"/>
      <c r="N127" s="254"/>
      <c r="O127" s="254"/>
      <c r="P127" s="254"/>
      <c r="Q127" s="254"/>
      <c r="R127" s="254"/>
      <c r="S127" s="254"/>
      <c r="T127" s="254">
        <f t="shared" si="6"/>
        <v>0</v>
      </c>
      <c r="U127" s="68"/>
      <c r="V127" s="66"/>
      <c r="W127" s="66"/>
      <c r="X127" s="66"/>
      <c r="Y127" s="66"/>
      <c r="Z127" s="66"/>
    </row>
    <row r="128" spans="1:26" ht="15.75">
      <c r="A128" s="246" t="s">
        <v>674</v>
      </c>
      <c r="B128" s="246"/>
      <c r="C128" s="207">
        <v>190.39</v>
      </c>
      <c r="D128" s="254"/>
      <c r="E128" s="254">
        <v>12195.4</v>
      </c>
      <c r="F128" s="254"/>
      <c r="G128" s="254">
        <v>12195.4</v>
      </c>
      <c r="H128" s="254"/>
      <c r="I128" s="254"/>
      <c r="J128" s="254"/>
      <c r="K128" s="254"/>
      <c r="L128" s="254"/>
      <c r="M128" s="254"/>
      <c r="N128" s="254"/>
      <c r="O128" s="254"/>
      <c r="P128" s="254"/>
      <c r="Q128" s="254"/>
      <c r="R128" s="254"/>
      <c r="S128" s="254"/>
      <c r="T128" s="254">
        <f t="shared" si="6"/>
        <v>0</v>
      </c>
      <c r="U128" s="68"/>
      <c r="V128" s="66"/>
      <c r="W128" s="66"/>
      <c r="X128" s="66"/>
      <c r="Y128" s="66"/>
      <c r="Z128" s="66"/>
    </row>
    <row r="129" spans="1:26" ht="15.75">
      <c r="A129" s="246" t="s">
        <v>1024</v>
      </c>
      <c r="B129" s="68"/>
      <c r="C129" s="207">
        <v>22</v>
      </c>
      <c r="D129" s="68"/>
      <c r="E129" s="254">
        <v>5380.76</v>
      </c>
      <c r="F129" s="263">
        <v>5380.76</v>
      </c>
      <c r="G129" s="68"/>
      <c r="H129" s="68"/>
      <c r="I129" s="68"/>
      <c r="J129" s="68"/>
      <c r="K129" s="68"/>
      <c r="L129" s="68"/>
      <c r="M129" s="68"/>
      <c r="N129" s="68"/>
      <c r="O129" s="68"/>
      <c r="P129" s="68"/>
      <c r="Q129" s="68"/>
      <c r="R129" s="68"/>
      <c r="S129" s="68"/>
      <c r="T129" s="254">
        <f t="shared" si="6"/>
        <v>0</v>
      </c>
      <c r="U129" s="68"/>
      <c r="V129" s="66"/>
      <c r="W129" s="66"/>
      <c r="X129" s="66"/>
      <c r="Y129" s="66"/>
      <c r="Z129" s="66"/>
    </row>
    <row r="130" spans="1:26" ht="15.75">
      <c r="A130" s="255"/>
      <c r="B130" s="255"/>
      <c r="C130" s="264">
        <f>SUM(C93:C128)-C126-C123-C120-C117-C113-C110-C108-C105-C102</f>
        <v>11448.02</v>
      </c>
      <c r="D130" s="240"/>
      <c r="E130" s="240">
        <f>SUM(E93:E129)</f>
        <v>783851.05000000016</v>
      </c>
      <c r="F130" s="240">
        <f>SUM(F93:F129)</f>
        <v>661167.67000000016</v>
      </c>
      <c r="G130" s="240">
        <f>SUM(G93:G129)</f>
        <v>122683.38</v>
      </c>
      <c r="H130" s="241"/>
      <c r="I130" s="241"/>
      <c r="J130" s="241"/>
      <c r="K130" s="241"/>
      <c r="L130" s="241"/>
      <c r="M130" s="241"/>
      <c r="N130" s="241"/>
      <c r="O130" s="241"/>
      <c r="P130" s="241"/>
      <c r="Q130" s="241"/>
      <c r="R130" s="241"/>
      <c r="S130" s="241"/>
      <c r="T130" s="254">
        <f t="shared" si="6"/>
        <v>0</v>
      </c>
      <c r="U130" s="68"/>
      <c r="V130" s="66"/>
      <c r="W130" s="66"/>
      <c r="X130" s="66"/>
      <c r="Y130" s="66"/>
      <c r="Z130" s="66"/>
    </row>
    <row r="131" spans="1:26" ht="15.75">
      <c r="A131" s="249" t="s">
        <v>1025</v>
      </c>
      <c r="B131" s="259" t="s">
        <v>1005</v>
      </c>
      <c r="C131" s="207"/>
      <c r="D131" s="254"/>
      <c r="E131" s="254">
        <v>199.04</v>
      </c>
      <c r="F131" s="254"/>
      <c r="G131" s="254"/>
      <c r="H131" s="254"/>
      <c r="I131" s="254"/>
      <c r="J131" s="254">
        <f>E131</f>
        <v>199.04</v>
      </c>
      <c r="K131" s="254"/>
      <c r="L131" s="254"/>
      <c r="M131" s="254"/>
      <c r="N131" s="254"/>
      <c r="O131" s="254"/>
      <c r="P131" s="254"/>
      <c r="Q131" s="254"/>
      <c r="R131" s="254"/>
      <c r="S131" s="254"/>
      <c r="T131" s="254">
        <f t="shared" si="6"/>
        <v>0</v>
      </c>
      <c r="U131" s="68"/>
      <c r="V131" s="66"/>
      <c r="W131" s="66"/>
      <c r="X131" s="66"/>
      <c r="Y131" s="66"/>
      <c r="Z131" s="66"/>
    </row>
    <row r="132" spans="1:26" ht="15.75">
      <c r="A132" s="246"/>
      <c r="B132" s="259" t="s">
        <v>1020</v>
      </c>
      <c r="C132" s="207"/>
      <c r="D132" s="254"/>
      <c r="E132" s="254">
        <v>194.68</v>
      </c>
      <c r="F132" s="254"/>
      <c r="G132" s="254"/>
      <c r="H132" s="254"/>
      <c r="I132" s="254"/>
      <c r="J132" s="254">
        <f t="shared" ref="J132:J142" si="8">E132</f>
        <v>194.68</v>
      </c>
      <c r="K132" s="254"/>
      <c r="L132" s="254"/>
      <c r="M132" s="254"/>
      <c r="N132" s="254"/>
      <c r="O132" s="254"/>
      <c r="P132" s="254"/>
      <c r="Q132" s="254"/>
      <c r="R132" s="254"/>
      <c r="S132" s="254"/>
      <c r="T132" s="254">
        <f t="shared" si="6"/>
        <v>0</v>
      </c>
      <c r="U132" s="68"/>
      <c r="V132" s="66"/>
      <c r="W132" s="66"/>
      <c r="X132" s="66"/>
      <c r="Y132" s="66"/>
      <c r="Z132" s="66"/>
    </row>
    <row r="133" spans="1:26" ht="15.75">
      <c r="A133" s="246"/>
      <c r="B133" s="259" t="s">
        <v>1006</v>
      </c>
      <c r="C133" s="207"/>
      <c r="D133" s="254"/>
      <c r="E133" s="254">
        <v>194.68</v>
      </c>
      <c r="F133" s="254"/>
      <c r="G133" s="254"/>
      <c r="H133" s="254"/>
      <c r="I133" s="254"/>
      <c r="J133" s="254">
        <f t="shared" si="8"/>
        <v>194.68</v>
      </c>
      <c r="K133" s="254"/>
      <c r="L133" s="254"/>
      <c r="M133" s="254"/>
      <c r="N133" s="254"/>
      <c r="O133" s="254"/>
      <c r="P133" s="254"/>
      <c r="Q133" s="254"/>
      <c r="R133" s="254"/>
      <c r="S133" s="254"/>
      <c r="T133" s="254">
        <f t="shared" si="6"/>
        <v>0</v>
      </c>
      <c r="U133" s="68"/>
      <c r="V133" s="66"/>
      <c r="W133" s="66"/>
      <c r="X133" s="66"/>
      <c r="Y133" s="66"/>
      <c r="Z133" s="66"/>
    </row>
    <row r="134" spans="1:26" ht="15.75">
      <c r="A134" s="246"/>
      <c r="B134" s="259" t="s">
        <v>1007</v>
      </c>
      <c r="C134" s="207"/>
      <c r="D134" s="254"/>
      <c r="E134" s="254">
        <v>194.68</v>
      </c>
      <c r="F134" s="254"/>
      <c r="G134" s="254"/>
      <c r="H134" s="254"/>
      <c r="I134" s="254"/>
      <c r="J134" s="254">
        <f t="shared" si="8"/>
        <v>194.68</v>
      </c>
      <c r="K134" s="254"/>
      <c r="L134" s="254"/>
      <c r="M134" s="254"/>
      <c r="N134" s="254"/>
      <c r="O134" s="254"/>
      <c r="P134" s="254"/>
      <c r="Q134" s="254"/>
      <c r="R134" s="254"/>
      <c r="S134" s="254"/>
      <c r="T134" s="254">
        <f t="shared" si="6"/>
        <v>0</v>
      </c>
      <c r="U134" s="68"/>
      <c r="V134" s="66"/>
      <c r="W134" s="66"/>
      <c r="X134" s="66"/>
      <c r="Y134" s="66"/>
      <c r="Z134" s="66"/>
    </row>
    <row r="135" spans="1:26" ht="15.75">
      <c r="A135" s="246"/>
      <c r="B135" s="259" t="s">
        <v>1008</v>
      </c>
      <c r="C135" s="207"/>
      <c r="D135" s="254"/>
      <c r="E135" s="254">
        <v>194.68</v>
      </c>
      <c r="F135" s="254"/>
      <c r="G135" s="254"/>
      <c r="H135" s="254"/>
      <c r="I135" s="254"/>
      <c r="J135" s="254">
        <f t="shared" si="8"/>
        <v>194.68</v>
      </c>
      <c r="K135" s="254"/>
      <c r="L135" s="254"/>
      <c r="M135" s="254"/>
      <c r="N135" s="254"/>
      <c r="O135" s="254"/>
      <c r="P135" s="254"/>
      <c r="Q135" s="254"/>
      <c r="R135" s="254"/>
      <c r="S135" s="254"/>
      <c r="T135" s="254">
        <f t="shared" ref="T135:T158" si="9">E135-SUM(F135:S135)</f>
        <v>0</v>
      </c>
      <c r="U135" s="68"/>
      <c r="V135" s="66"/>
      <c r="W135" s="66"/>
      <c r="X135" s="66"/>
      <c r="Y135" s="66"/>
      <c r="Z135" s="66"/>
    </row>
    <row r="136" spans="1:26" ht="15.75">
      <c r="A136" s="246"/>
      <c r="B136" s="259" t="s">
        <v>1009</v>
      </c>
      <c r="C136" s="207"/>
      <c r="D136" s="254"/>
      <c r="E136" s="254">
        <v>194.68</v>
      </c>
      <c r="F136" s="254"/>
      <c r="G136" s="254"/>
      <c r="H136" s="254"/>
      <c r="I136" s="254"/>
      <c r="J136" s="254">
        <f t="shared" si="8"/>
        <v>194.68</v>
      </c>
      <c r="K136" s="254"/>
      <c r="L136" s="254"/>
      <c r="M136" s="254"/>
      <c r="N136" s="254"/>
      <c r="O136" s="254"/>
      <c r="P136" s="254"/>
      <c r="Q136" s="254"/>
      <c r="R136" s="254"/>
      <c r="S136" s="254"/>
      <c r="T136" s="254">
        <f t="shared" si="9"/>
        <v>0</v>
      </c>
      <c r="U136" s="68"/>
      <c r="V136" s="66"/>
      <c r="W136" s="66"/>
      <c r="X136" s="66"/>
      <c r="Y136" s="66"/>
      <c r="Z136" s="66"/>
    </row>
    <row r="137" spans="1:26" ht="15.75">
      <c r="A137" s="246"/>
      <c r="B137" s="259" t="s">
        <v>1010</v>
      </c>
      <c r="C137" s="207"/>
      <c r="D137" s="254"/>
      <c r="E137" s="254">
        <v>194.68</v>
      </c>
      <c r="F137" s="254"/>
      <c r="G137" s="254"/>
      <c r="H137" s="254"/>
      <c r="I137" s="254"/>
      <c r="J137" s="254">
        <f t="shared" si="8"/>
        <v>194.68</v>
      </c>
      <c r="K137" s="254"/>
      <c r="L137" s="254"/>
      <c r="M137" s="254"/>
      <c r="N137" s="254"/>
      <c r="O137" s="254"/>
      <c r="P137" s="254"/>
      <c r="Q137" s="254"/>
      <c r="R137" s="254"/>
      <c r="S137" s="254"/>
      <c r="T137" s="254">
        <f t="shared" si="9"/>
        <v>0</v>
      </c>
      <c r="U137" s="68"/>
      <c r="V137" s="66"/>
      <c r="W137" s="66"/>
      <c r="X137" s="66"/>
      <c r="Y137" s="66"/>
      <c r="Z137" s="66"/>
    </row>
    <row r="138" spans="1:26" ht="15.75">
      <c r="A138" s="246"/>
      <c r="B138" s="259" t="s">
        <v>1011</v>
      </c>
      <c r="C138" s="207"/>
      <c r="D138" s="254"/>
      <c r="E138" s="254">
        <v>194.68</v>
      </c>
      <c r="F138" s="254"/>
      <c r="G138" s="254"/>
      <c r="H138" s="254"/>
      <c r="I138" s="254"/>
      <c r="J138" s="254">
        <f t="shared" si="8"/>
        <v>194.68</v>
      </c>
      <c r="K138" s="254"/>
      <c r="L138" s="254"/>
      <c r="M138" s="254"/>
      <c r="N138" s="254"/>
      <c r="O138" s="254"/>
      <c r="P138" s="254"/>
      <c r="Q138" s="254"/>
      <c r="R138" s="254"/>
      <c r="S138" s="254"/>
      <c r="T138" s="254">
        <f t="shared" si="9"/>
        <v>0</v>
      </c>
      <c r="U138" s="68"/>
      <c r="V138" s="66"/>
      <c r="W138" s="66"/>
      <c r="X138" s="66"/>
      <c r="Y138" s="66"/>
      <c r="Z138" s="66"/>
    </row>
    <row r="139" spans="1:26" ht="15.75">
      <c r="A139" s="246"/>
      <c r="B139" s="259" t="s">
        <v>1012</v>
      </c>
      <c r="C139" s="207"/>
      <c r="D139" s="254"/>
      <c r="E139" s="254">
        <v>194.68</v>
      </c>
      <c r="F139" s="254"/>
      <c r="G139" s="254"/>
      <c r="H139" s="254"/>
      <c r="I139" s="254"/>
      <c r="J139" s="254">
        <f t="shared" si="8"/>
        <v>194.68</v>
      </c>
      <c r="K139" s="254"/>
      <c r="L139" s="254"/>
      <c r="M139" s="254"/>
      <c r="N139" s="254"/>
      <c r="O139" s="254"/>
      <c r="P139" s="254"/>
      <c r="Q139" s="254"/>
      <c r="R139" s="254"/>
      <c r="S139" s="254"/>
      <c r="T139" s="254">
        <f t="shared" si="9"/>
        <v>0</v>
      </c>
      <c r="U139" s="68"/>
      <c r="V139" s="66"/>
      <c r="W139" s="66"/>
      <c r="X139" s="66"/>
      <c r="Y139" s="66"/>
      <c r="Z139" s="66"/>
    </row>
    <row r="140" spans="1:26" ht="15.75">
      <c r="A140" s="246"/>
      <c r="B140" s="259" t="s">
        <v>1013</v>
      </c>
      <c r="C140" s="207"/>
      <c r="D140" s="254"/>
      <c r="E140" s="254">
        <v>200.5</v>
      </c>
      <c r="F140" s="254"/>
      <c r="G140" s="254"/>
      <c r="H140" s="254"/>
      <c r="I140" s="254"/>
      <c r="J140" s="254">
        <f t="shared" si="8"/>
        <v>200.5</v>
      </c>
      <c r="K140" s="254"/>
      <c r="L140" s="254"/>
      <c r="M140" s="254"/>
      <c r="N140" s="254"/>
      <c r="O140" s="254"/>
      <c r="P140" s="254"/>
      <c r="Q140" s="254"/>
      <c r="R140" s="254"/>
      <c r="S140" s="254"/>
      <c r="T140" s="254">
        <f t="shared" si="9"/>
        <v>0</v>
      </c>
      <c r="U140" s="68"/>
      <c r="V140" s="66"/>
      <c r="W140" s="66"/>
      <c r="X140" s="66"/>
      <c r="Y140" s="66"/>
      <c r="Z140" s="66"/>
    </row>
    <row r="141" spans="1:26" ht="15.75">
      <c r="A141" s="246"/>
      <c r="B141" s="259" t="s">
        <v>1014</v>
      </c>
      <c r="C141" s="207"/>
      <c r="D141" s="254"/>
      <c r="E141" s="254">
        <v>200.5</v>
      </c>
      <c r="F141" s="254"/>
      <c r="G141" s="254"/>
      <c r="H141" s="254"/>
      <c r="I141" s="254"/>
      <c r="J141" s="254">
        <f t="shared" si="8"/>
        <v>200.5</v>
      </c>
      <c r="K141" s="254"/>
      <c r="L141" s="254"/>
      <c r="M141" s="254"/>
      <c r="N141" s="254"/>
      <c r="O141" s="254"/>
      <c r="P141" s="254"/>
      <c r="Q141" s="254"/>
      <c r="R141" s="254"/>
      <c r="S141" s="254"/>
      <c r="T141" s="254">
        <f t="shared" si="9"/>
        <v>0</v>
      </c>
      <c r="U141" s="68"/>
      <c r="V141" s="66"/>
      <c r="W141" s="66"/>
      <c r="X141" s="66"/>
      <c r="Y141" s="66"/>
      <c r="Z141" s="66"/>
    </row>
    <row r="142" spans="1:26" ht="15.75">
      <c r="A142" s="246"/>
      <c r="B142" s="259" t="s">
        <v>1015</v>
      </c>
      <c r="C142" s="207"/>
      <c r="D142" s="207"/>
      <c r="E142" s="254">
        <v>200.5</v>
      </c>
      <c r="F142" s="207"/>
      <c r="G142" s="207"/>
      <c r="H142" s="207"/>
      <c r="I142" s="207"/>
      <c r="J142" s="254">
        <f t="shared" si="8"/>
        <v>200.5</v>
      </c>
      <c r="K142" s="207"/>
      <c r="L142" s="207"/>
      <c r="M142" s="207"/>
      <c r="N142" s="207"/>
      <c r="O142" s="207"/>
      <c r="P142" s="207"/>
      <c r="Q142" s="207"/>
      <c r="R142" s="207"/>
      <c r="S142" s="207"/>
      <c r="T142" s="254">
        <f t="shared" si="9"/>
        <v>0</v>
      </c>
      <c r="U142" s="68"/>
      <c r="V142" s="66"/>
      <c r="W142" s="66"/>
      <c r="X142" s="66"/>
      <c r="Y142" s="66"/>
      <c r="Z142" s="66"/>
    </row>
    <row r="143" spans="1:26" ht="15.75">
      <c r="A143" s="246"/>
      <c r="B143" s="259"/>
      <c r="C143" s="207"/>
      <c r="D143" s="254"/>
      <c r="E143" s="254">
        <f>SUM(E131:E142)</f>
        <v>2357.9800000000005</v>
      </c>
      <c r="F143" s="254"/>
      <c r="G143" s="254"/>
      <c r="H143" s="254"/>
      <c r="I143" s="254"/>
      <c r="J143" s="254">
        <f>SUM(J131:J142)</f>
        <v>2357.9800000000005</v>
      </c>
      <c r="K143" s="254"/>
      <c r="L143" s="254">
        <f>SUM(L131:L142)</f>
        <v>0</v>
      </c>
      <c r="M143" s="254"/>
      <c r="N143" s="254"/>
      <c r="O143" s="254"/>
      <c r="P143" s="254"/>
      <c r="Q143" s="254"/>
      <c r="R143" s="254"/>
      <c r="S143" s="254"/>
      <c r="T143" s="254">
        <f t="shared" si="9"/>
        <v>0</v>
      </c>
      <c r="U143" s="68"/>
      <c r="V143" s="66"/>
      <c r="W143" s="66"/>
      <c r="X143" s="66"/>
      <c r="Y143" s="66"/>
      <c r="Z143" s="66"/>
    </row>
    <row r="144" spans="1:26" ht="15.75">
      <c r="A144" s="249" t="s">
        <v>1026</v>
      </c>
      <c r="B144" s="259">
        <v>43927</v>
      </c>
      <c r="C144" s="207"/>
      <c r="D144" s="254"/>
      <c r="E144" s="254">
        <v>110</v>
      </c>
      <c r="F144" s="254"/>
      <c r="G144" s="254"/>
      <c r="H144" s="254"/>
      <c r="I144" s="254"/>
      <c r="J144" s="254"/>
      <c r="K144" s="254">
        <f>E144</f>
        <v>110</v>
      </c>
      <c r="L144" s="254"/>
      <c r="M144" s="254"/>
      <c r="N144" s="254"/>
      <c r="O144" s="254"/>
      <c r="P144" s="254"/>
      <c r="Q144" s="254"/>
      <c r="R144" s="254"/>
      <c r="S144" s="254"/>
      <c r="T144" s="254">
        <f t="shared" si="9"/>
        <v>0</v>
      </c>
      <c r="U144" s="68"/>
      <c r="V144" s="66"/>
      <c r="W144" s="66"/>
      <c r="X144" s="66"/>
      <c r="Y144" s="66"/>
      <c r="Z144" s="66"/>
    </row>
    <row r="145" spans="1:26" ht="15.75">
      <c r="A145" s="249"/>
      <c r="B145" s="259">
        <v>43963</v>
      </c>
      <c r="C145" s="207"/>
      <c r="D145" s="254"/>
      <c r="E145" s="254">
        <v>420</v>
      </c>
      <c r="F145" s="254"/>
      <c r="G145" s="254"/>
      <c r="H145" s="254"/>
      <c r="I145" s="254"/>
      <c r="J145" s="254"/>
      <c r="K145" s="254">
        <f t="shared" ref="K145:K155" si="10">E145</f>
        <v>420</v>
      </c>
      <c r="L145" s="254"/>
      <c r="M145" s="254"/>
      <c r="N145" s="254"/>
      <c r="O145" s="254"/>
      <c r="P145" s="254"/>
      <c r="Q145" s="254"/>
      <c r="R145" s="254"/>
      <c r="S145" s="254"/>
      <c r="T145" s="254">
        <f t="shared" si="9"/>
        <v>0</v>
      </c>
      <c r="U145" s="68"/>
      <c r="V145" s="66"/>
      <c r="W145" s="66"/>
      <c r="X145" s="66"/>
      <c r="Y145" s="66"/>
      <c r="Z145" s="66"/>
    </row>
    <row r="146" spans="1:26" ht="15.75">
      <c r="A146" s="249"/>
      <c r="B146" s="259">
        <v>43969</v>
      </c>
      <c r="C146" s="207"/>
      <c r="D146" s="254"/>
      <c r="E146" s="254">
        <v>375</v>
      </c>
      <c r="F146" s="254"/>
      <c r="G146" s="254"/>
      <c r="H146" s="254"/>
      <c r="I146" s="254"/>
      <c r="J146" s="254"/>
      <c r="K146" s="254">
        <f t="shared" si="10"/>
        <v>375</v>
      </c>
      <c r="L146" s="254"/>
      <c r="M146" s="254"/>
      <c r="N146" s="254"/>
      <c r="O146" s="254"/>
      <c r="P146" s="254"/>
      <c r="Q146" s="254"/>
      <c r="R146" s="254"/>
      <c r="S146" s="254"/>
      <c r="T146" s="254">
        <f t="shared" si="9"/>
        <v>0</v>
      </c>
      <c r="U146" s="68"/>
      <c r="V146" s="66"/>
      <c r="W146" s="66"/>
      <c r="X146" s="66"/>
      <c r="Y146" s="66"/>
      <c r="Z146" s="66"/>
    </row>
    <row r="147" spans="1:26" ht="15.75">
      <c r="A147" s="249"/>
      <c r="B147" s="259">
        <v>44021</v>
      </c>
      <c r="C147" s="207"/>
      <c r="D147" s="254"/>
      <c r="E147" s="254">
        <v>560</v>
      </c>
      <c r="F147" s="254"/>
      <c r="G147" s="254"/>
      <c r="H147" s="254"/>
      <c r="I147" s="254"/>
      <c r="J147" s="254"/>
      <c r="K147" s="254">
        <f t="shared" si="10"/>
        <v>560</v>
      </c>
      <c r="L147" s="254"/>
      <c r="M147" s="254"/>
      <c r="N147" s="254"/>
      <c r="O147" s="254"/>
      <c r="P147" s="254"/>
      <c r="Q147" s="254"/>
      <c r="R147" s="254"/>
      <c r="S147" s="254"/>
      <c r="T147" s="254">
        <f t="shared" si="9"/>
        <v>0</v>
      </c>
      <c r="U147" s="68"/>
      <c r="V147" s="66"/>
      <c r="W147" s="66"/>
      <c r="X147" s="66"/>
      <c r="Y147" s="66"/>
      <c r="Z147" s="66"/>
    </row>
    <row r="148" spans="1:26" ht="15.75">
      <c r="A148" s="249"/>
      <c r="B148" s="259">
        <v>44098</v>
      </c>
      <c r="C148" s="207"/>
      <c r="D148" s="254"/>
      <c r="E148" s="254">
        <v>875</v>
      </c>
      <c r="F148" s="254"/>
      <c r="G148" s="254"/>
      <c r="H148" s="254"/>
      <c r="I148" s="254"/>
      <c r="J148" s="254"/>
      <c r="K148" s="254">
        <f t="shared" si="10"/>
        <v>875</v>
      </c>
      <c r="L148" s="254"/>
      <c r="M148" s="254"/>
      <c r="N148" s="254"/>
      <c r="O148" s="254"/>
      <c r="P148" s="254"/>
      <c r="Q148" s="254"/>
      <c r="R148" s="254"/>
      <c r="S148" s="254"/>
      <c r="T148" s="254">
        <f t="shared" si="9"/>
        <v>0</v>
      </c>
      <c r="U148" s="68"/>
      <c r="V148" s="66"/>
      <c r="W148" s="66"/>
      <c r="X148" s="66"/>
      <c r="Y148" s="66"/>
      <c r="Z148" s="66"/>
    </row>
    <row r="149" spans="1:26" ht="15.75">
      <c r="A149" s="249"/>
      <c r="B149" s="259">
        <v>44154</v>
      </c>
      <c r="C149" s="207"/>
      <c r="D149" s="254"/>
      <c r="E149" s="254">
        <v>350</v>
      </c>
      <c r="F149" s="254"/>
      <c r="G149" s="254"/>
      <c r="H149" s="254"/>
      <c r="I149" s="254"/>
      <c r="J149" s="254"/>
      <c r="K149" s="254">
        <f t="shared" si="10"/>
        <v>350</v>
      </c>
      <c r="L149" s="254"/>
      <c r="M149" s="254"/>
      <c r="N149" s="254"/>
      <c r="O149" s="254"/>
      <c r="P149" s="254"/>
      <c r="Q149" s="254"/>
      <c r="R149" s="254"/>
      <c r="S149" s="254"/>
      <c r="T149" s="254">
        <f t="shared" si="9"/>
        <v>0</v>
      </c>
      <c r="U149" s="68"/>
      <c r="V149" s="66"/>
      <c r="W149" s="66"/>
      <c r="X149" s="66"/>
      <c r="Y149" s="66"/>
      <c r="Z149" s="66"/>
    </row>
    <row r="150" spans="1:26" ht="15.75">
      <c r="A150" s="249"/>
      <c r="B150" s="259">
        <v>44158</v>
      </c>
      <c r="C150" s="207"/>
      <c r="D150" s="254"/>
      <c r="E150" s="254">
        <v>220</v>
      </c>
      <c r="F150" s="254"/>
      <c r="G150" s="254"/>
      <c r="H150" s="254"/>
      <c r="I150" s="254"/>
      <c r="J150" s="254"/>
      <c r="K150" s="254">
        <f t="shared" si="10"/>
        <v>220</v>
      </c>
      <c r="L150" s="254"/>
      <c r="M150" s="254"/>
      <c r="N150" s="254"/>
      <c r="O150" s="254"/>
      <c r="P150" s="254"/>
      <c r="Q150" s="254"/>
      <c r="R150" s="254"/>
      <c r="S150" s="254"/>
      <c r="T150" s="254">
        <f t="shared" si="9"/>
        <v>0</v>
      </c>
      <c r="U150" s="68"/>
      <c r="V150" s="66"/>
      <c r="W150" s="66"/>
      <c r="X150" s="66"/>
      <c r="Y150" s="66"/>
      <c r="Z150" s="66"/>
    </row>
    <row r="151" spans="1:26" ht="15.75">
      <c r="A151" s="249"/>
      <c r="B151" s="259">
        <v>44158</v>
      </c>
      <c r="C151" s="207"/>
      <c r="D151" s="254"/>
      <c r="E151" s="254">
        <v>330</v>
      </c>
      <c r="F151" s="254"/>
      <c r="G151" s="254"/>
      <c r="H151" s="254"/>
      <c r="I151" s="254"/>
      <c r="J151" s="254"/>
      <c r="K151" s="254">
        <f t="shared" si="10"/>
        <v>330</v>
      </c>
      <c r="L151" s="254"/>
      <c r="M151" s="254"/>
      <c r="N151" s="254"/>
      <c r="O151" s="254"/>
      <c r="P151" s="254"/>
      <c r="Q151" s="254"/>
      <c r="R151" s="254"/>
      <c r="S151" s="254"/>
      <c r="T151" s="254">
        <f t="shared" si="9"/>
        <v>0</v>
      </c>
      <c r="U151" s="68"/>
      <c r="V151" s="66"/>
      <c r="W151" s="66"/>
      <c r="X151" s="66"/>
      <c r="Y151" s="66"/>
      <c r="Z151" s="66"/>
    </row>
    <row r="152" spans="1:26" ht="15.75">
      <c r="A152" s="249"/>
      <c r="B152" s="259">
        <v>44248</v>
      </c>
      <c r="C152" s="207"/>
      <c r="D152" s="254"/>
      <c r="E152" s="254">
        <v>220</v>
      </c>
      <c r="F152" s="254"/>
      <c r="G152" s="254"/>
      <c r="H152" s="254"/>
      <c r="I152" s="254"/>
      <c r="J152" s="254"/>
      <c r="K152" s="254">
        <f t="shared" si="10"/>
        <v>220</v>
      </c>
      <c r="L152" s="254"/>
      <c r="M152" s="254"/>
      <c r="N152" s="254"/>
      <c r="O152" s="254"/>
      <c r="P152" s="254"/>
      <c r="Q152" s="254"/>
      <c r="R152" s="254"/>
      <c r="S152" s="254"/>
      <c r="T152" s="254">
        <f t="shared" si="9"/>
        <v>0</v>
      </c>
      <c r="U152" s="68"/>
      <c r="V152" s="66"/>
      <c r="W152" s="66"/>
      <c r="X152" s="66"/>
      <c r="Y152" s="66"/>
      <c r="Z152" s="66"/>
    </row>
    <row r="153" spans="1:26" ht="15.75">
      <c r="A153" s="249"/>
      <c r="B153" s="259">
        <v>44248</v>
      </c>
      <c r="C153" s="207"/>
      <c r="D153" s="254"/>
      <c r="E153" s="254">
        <v>198</v>
      </c>
      <c r="F153" s="254"/>
      <c r="G153" s="254"/>
      <c r="H153" s="254"/>
      <c r="I153" s="254"/>
      <c r="J153" s="254"/>
      <c r="K153" s="254">
        <f t="shared" si="10"/>
        <v>198</v>
      </c>
      <c r="L153" s="254"/>
      <c r="M153" s="254"/>
      <c r="N153" s="254"/>
      <c r="O153" s="254"/>
      <c r="P153" s="254"/>
      <c r="Q153" s="254"/>
      <c r="R153" s="254"/>
      <c r="S153" s="254"/>
      <c r="T153" s="254">
        <f t="shared" si="9"/>
        <v>0</v>
      </c>
      <c r="U153" s="68"/>
      <c r="V153" s="66"/>
      <c r="W153" s="66"/>
      <c r="X153" s="66"/>
      <c r="Y153" s="66"/>
      <c r="Z153" s="66"/>
    </row>
    <row r="154" spans="1:26" ht="15.75">
      <c r="A154" s="249"/>
      <c r="B154" s="259">
        <v>44248</v>
      </c>
      <c r="C154" s="207"/>
      <c r="D154" s="254"/>
      <c r="E154" s="254">
        <v>220</v>
      </c>
      <c r="F154" s="254"/>
      <c r="G154" s="254"/>
      <c r="H154" s="254"/>
      <c r="I154" s="254"/>
      <c r="J154" s="254"/>
      <c r="K154" s="254">
        <f t="shared" si="10"/>
        <v>220</v>
      </c>
      <c r="L154" s="254"/>
      <c r="M154" s="254"/>
      <c r="N154" s="254"/>
      <c r="O154" s="254"/>
      <c r="P154" s="254"/>
      <c r="Q154" s="254"/>
      <c r="R154" s="254"/>
      <c r="S154" s="254"/>
      <c r="T154" s="254">
        <f t="shared" si="9"/>
        <v>0</v>
      </c>
      <c r="U154" s="68"/>
      <c r="V154" s="66"/>
      <c r="W154" s="66"/>
      <c r="X154" s="66"/>
      <c r="Y154" s="66"/>
      <c r="Z154" s="66"/>
    </row>
    <row r="155" spans="1:26" ht="15.75">
      <c r="A155" s="249"/>
      <c r="B155" s="259">
        <v>44276</v>
      </c>
      <c r="C155" s="207"/>
      <c r="D155" s="254"/>
      <c r="E155" s="254">
        <v>220</v>
      </c>
      <c r="F155" s="254"/>
      <c r="G155" s="254"/>
      <c r="H155" s="254"/>
      <c r="I155" s="254"/>
      <c r="J155" s="254"/>
      <c r="K155" s="254">
        <f t="shared" si="10"/>
        <v>220</v>
      </c>
      <c r="L155" s="254"/>
      <c r="M155" s="254"/>
      <c r="N155" s="254"/>
      <c r="O155" s="254"/>
      <c r="P155" s="254"/>
      <c r="Q155" s="254"/>
      <c r="R155" s="254"/>
      <c r="S155" s="254"/>
      <c r="T155" s="254">
        <f t="shared" si="9"/>
        <v>0</v>
      </c>
      <c r="U155" s="68"/>
      <c r="V155" s="66"/>
      <c r="W155" s="66"/>
      <c r="X155" s="66"/>
      <c r="Y155" s="66"/>
      <c r="Z155" s="66"/>
    </row>
    <row r="156" spans="1:26" ht="15.75">
      <c r="A156" s="246"/>
      <c r="B156" s="259"/>
      <c r="C156" s="207"/>
      <c r="D156" s="254"/>
      <c r="E156" s="254">
        <f>SUM(E144:E155)</f>
        <v>4098</v>
      </c>
      <c r="F156" s="254"/>
      <c r="G156" s="254"/>
      <c r="H156" s="254"/>
      <c r="I156" s="254"/>
      <c r="J156" s="254"/>
      <c r="K156" s="254">
        <f>SUM(K144:K155)</f>
        <v>4098</v>
      </c>
      <c r="L156" s="254"/>
      <c r="M156" s="254"/>
      <c r="N156" s="254"/>
      <c r="O156" s="254"/>
      <c r="P156" s="254"/>
      <c r="Q156" s="254"/>
      <c r="R156" s="254"/>
      <c r="S156" s="254"/>
      <c r="T156" s="254">
        <f t="shared" si="9"/>
        <v>0</v>
      </c>
      <c r="U156" s="68"/>
      <c r="V156" s="66"/>
      <c r="W156" s="66"/>
      <c r="X156" s="66"/>
      <c r="Y156" s="66"/>
      <c r="Z156" s="66"/>
    </row>
    <row r="157" spans="1:26" ht="15.75">
      <c r="A157" s="249" t="s">
        <v>1027</v>
      </c>
      <c r="B157" s="259">
        <v>44128</v>
      </c>
      <c r="C157" s="207"/>
      <c r="D157" s="254"/>
      <c r="E157" s="254">
        <v>543.51</v>
      </c>
      <c r="F157" s="254"/>
      <c r="G157" s="254"/>
      <c r="H157" s="254"/>
      <c r="I157" s="254"/>
      <c r="J157" s="254"/>
      <c r="K157" s="254">
        <v>543.51</v>
      </c>
      <c r="L157" s="254"/>
      <c r="M157" s="254"/>
      <c r="N157" s="254"/>
      <c r="O157" s="254"/>
      <c r="P157" s="254"/>
      <c r="Q157" s="254"/>
      <c r="R157" s="254"/>
      <c r="S157" s="254"/>
      <c r="T157" s="254">
        <f t="shared" si="9"/>
        <v>0</v>
      </c>
      <c r="U157" s="68"/>
      <c r="V157" s="66"/>
      <c r="W157" s="66"/>
      <c r="X157" s="66"/>
      <c r="Y157" s="66"/>
      <c r="Z157" s="66"/>
    </row>
    <row r="158" spans="1:26" ht="15.75">
      <c r="A158" s="246"/>
      <c r="B158" s="259"/>
      <c r="C158" s="207"/>
      <c r="D158" s="254"/>
      <c r="E158" s="265">
        <f>E157</f>
        <v>543.51</v>
      </c>
      <c r="F158" s="265"/>
      <c r="G158" s="265"/>
      <c r="H158" s="265"/>
      <c r="I158" s="265"/>
      <c r="J158" s="265"/>
      <c r="K158" s="265">
        <f>K157</f>
        <v>543.51</v>
      </c>
      <c r="L158" s="265"/>
      <c r="M158" s="265"/>
      <c r="N158" s="265"/>
      <c r="O158" s="265"/>
      <c r="P158" s="265"/>
      <c r="Q158" s="265"/>
      <c r="R158" s="265"/>
      <c r="S158" s="265"/>
      <c r="T158" s="254">
        <f t="shared" si="9"/>
        <v>0</v>
      </c>
      <c r="U158" s="68"/>
      <c r="V158" s="66"/>
      <c r="W158" s="66"/>
      <c r="X158" s="66"/>
      <c r="Y158" s="66"/>
      <c r="Z158" s="66"/>
    </row>
    <row r="159" spans="1:26" ht="15.75">
      <c r="A159" s="246"/>
      <c r="B159" s="259"/>
      <c r="C159" s="207"/>
      <c r="D159" s="254"/>
      <c r="E159" s="254">
        <f>SUM(E158,E156,E143,E130,E92,E79,E66,E53,E28,E17)</f>
        <v>8195280.46</v>
      </c>
      <c r="F159" s="254">
        <f>+F130</f>
        <v>661167.67000000016</v>
      </c>
      <c r="G159" s="254">
        <f>+G130+G79</f>
        <v>261097.64</v>
      </c>
      <c r="H159" s="254">
        <f>+H92</f>
        <v>1796890.74</v>
      </c>
      <c r="I159" s="254">
        <f>SUM(I92)</f>
        <v>2090557.23</v>
      </c>
      <c r="J159" s="254">
        <f>+J53+J92+J143</f>
        <v>3340241.42</v>
      </c>
      <c r="K159" s="254">
        <f>+K28+K156+K158</f>
        <v>4641.51</v>
      </c>
      <c r="L159" s="254">
        <f t="shared" ref="L159:S159" si="11">SUM(L158,L156,L143,L130,L92,L79,L66,L53,L28,L17)</f>
        <v>0</v>
      </c>
      <c r="M159" s="254">
        <f t="shared" si="11"/>
        <v>0</v>
      </c>
      <c r="N159" s="254">
        <f t="shared" si="11"/>
        <v>174.08</v>
      </c>
      <c r="O159" s="254">
        <f t="shared" si="11"/>
        <v>0</v>
      </c>
      <c r="P159" s="254">
        <f t="shared" si="11"/>
        <v>1364.83</v>
      </c>
      <c r="Q159" s="254">
        <f t="shared" si="11"/>
        <v>651.19000000000005</v>
      </c>
      <c r="R159" s="254">
        <f t="shared" si="11"/>
        <v>0</v>
      </c>
      <c r="S159" s="254">
        <f t="shared" si="11"/>
        <v>38494.150000000009</v>
      </c>
      <c r="T159" s="254"/>
      <c r="U159" s="68"/>
      <c r="V159" s="66"/>
      <c r="W159" s="66"/>
      <c r="X159" s="66"/>
      <c r="Y159" s="66"/>
      <c r="Z159" s="66"/>
    </row>
    <row r="160" spans="1:26" ht="15.75">
      <c r="A160" s="246" t="s">
        <v>997</v>
      </c>
      <c r="B160" s="246"/>
      <c r="C160" s="207"/>
      <c r="D160" s="254"/>
      <c r="E160" s="254"/>
      <c r="F160" s="254"/>
      <c r="G160" s="254"/>
      <c r="H160" s="254"/>
      <c r="I160" s="254"/>
      <c r="J160" s="254"/>
      <c r="K160" s="254"/>
      <c r="L160" s="254"/>
      <c r="M160" s="254"/>
      <c r="N160" s="254"/>
      <c r="O160" s="254"/>
      <c r="P160" s="254"/>
      <c r="Q160" s="254"/>
      <c r="R160" s="254"/>
      <c r="S160" s="254"/>
      <c r="T160" s="254"/>
      <c r="U160" s="68"/>
      <c r="V160" s="66"/>
      <c r="W160" s="66"/>
      <c r="X160" s="66"/>
      <c r="Y160" s="66"/>
      <c r="Z160" s="66"/>
    </row>
    <row r="161" spans="1:26" ht="15.75">
      <c r="A161" s="207" t="s">
        <v>1028</v>
      </c>
      <c r="B161" s="246"/>
      <c r="C161" s="207">
        <f>C94+C97+C100+C103+C106+C111+C112+C115+C118+C121+C124+C127</f>
        <v>9502.43</v>
      </c>
      <c r="D161" s="254"/>
      <c r="E161" s="254"/>
      <c r="F161" s="355"/>
      <c r="G161" s="254"/>
      <c r="H161" s="254"/>
      <c r="I161" s="254"/>
      <c r="J161" s="254"/>
      <c r="K161" s="254"/>
      <c r="L161" s="254"/>
      <c r="M161" s="254"/>
      <c r="N161" s="254"/>
      <c r="O161" s="254"/>
      <c r="P161" s="254"/>
      <c r="Q161" s="254"/>
      <c r="R161" s="254"/>
      <c r="S161" s="254"/>
      <c r="T161" s="254"/>
      <c r="U161" s="68"/>
      <c r="V161" s="66"/>
      <c r="W161" s="66"/>
      <c r="X161" s="66"/>
      <c r="Y161" s="66"/>
      <c r="Z161" s="66"/>
    </row>
    <row r="162" spans="1:26" ht="15.75">
      <c r="A162" s="207" t="s">
        <v>1029</v>
      </c>
      <c r="B162" s="246"/>
      <c r="C162" s="207">
        <f>C95+C98+C101+C104+C107+C109+C114+C116+C119+C122+C125+C128</f>
        <v>1901.5899999999997</v>
      </c>
      <c r="D162" s="254"/>
      <c r="E162" s="254"/>
      <c r="F162" s="254"/>
      <c r="G162" s="254"/>
      <c r="H162" s="254"/>
      <c r="I162" s="254"/>
      <c r="J162" s="254"/>
      <c r="K162" s="254"/>
      <c r="L162" s="254"/>
      <c r="M162" s="254"/>
      <c r="N162" s="254"/>
      <c r="O162" s="254"/>
      <c r="P162" s="254"/>
      <c r="Q162" s="254"/>
      <c r="R162" s="254"/>
      <c r="S162" s="254"/>
      <c r="T162" s="254"/>
      <c r="U162" s="68"/>
      <c r="V162" s="66"/>
      <c r="W162" s="66"/>
      <c r="X162" s="66"/>
      <c r="Y162" s="66"/>
      <c r="Z162" s="66"/>
    </row>
    <row r="163" spans="1:26" ht="15.75">
      <c r="A163" s="266" t="s">
        <v>1030</v>
      </c>
      <c r="B163" s="246"/>
      <c r="C163" s="267">
        <f>C96+C99+C102+C105+C108+C110+C113+C117+C120+C123+C126+C129</f>
        <v>255</v>
      </c>
      <c r="D163" s="254"/>
      <c r="E163" s="254"/>
      <c r="F163" s="254"/>
      <c r="G163" s="254"/>
      <c r="H163" s="254"/>
      <c r="I163" s="254"/>
      <c r="J163" s="254"/>
      <c r="K163" s="254"/>
      <c r="L163" s="254"/>
      <c r="M163" s="254"/>
      <c r="N163" s="254"/>
      <c r="O163" s="254"/>
      <c r="P163" s="254"/>
      <c r="Q163" s="254"/>
      <c r="R163" s="254"/>
      <c r="S163" s="254"/>
      <c r="T163" s="254"/>
      <c r="U163" s="68"/>
      <c r="V163" s="66"/>
      <c r="W163" s="66"/>
      <c r="X163" s="66"/>
      <c r="Y163" s="66"/>
      <c r="Z163" s="66"/>
    </row>
    <row r="164" spans="1:26" ht="15.75">
      <c r="A164" s="246"/>
      <c r="B164" s="246"/>
      <c r="C164" s="207"/>
      <c r="D164" s="254"/>
      <c r="E164" s="254"/>
      <c r="F164" s="254"/>
      <c r="G164" s="254"/>
      <c r="H164" s="254"/>
      <c r="I164" s="254"/>
      <c r="J164" s="254"/>
      <c r="K164" s="254"/>
      <c r="L164" s="254"/>
      <c r="M164" s="254"/>
      <c r="N164" s="254"/>
      <c r="O164" s="254"/>
      <c r="P164" s="254"/>
      <c r="Q164" s="254"/>
      <c r="R164" s="254"/>
      <c r="S164" s="254"/>
      <c r="T164" s="254"/>
      <c r="U164" s="68"/>
      <c r="V164" s="66"/>
      <c r="W164" s="66"/>
      <c r="X164" s="66"/>
      <c r="Y164" s="66"/>
      <c r="Z164" s="66"/>
    </row>
    <row r="165" spans="1:26" ht="15.75">
      <c r="A165" s="266" t="s">
        <v>1031</v>
      </c>
      <c r="B165" s="246"/>
      <c r="C165" s="207"/>
      <c r="D165" s="254"/>
      <c r="E165" s="254"/>
      <c r="F165" s="254"/>
      <c r="G165" s="254"/>
      <c r="H165" s="254"/>
      <c r="I165" s="254"/>
      <c r="J165" s="254"/>
      <c r="K165" s="254"/>
      <c r="L165" s="254"/>
      <c r="M165" s="254"/>
      <c r="N165" s="254"/>
      <c r="O165" s="254"/>
      <c r="P165" s="254"/>
      <c r="Q165" s="254"/>
      <c r="R165" s="254"/>
      <c r="S165" s="254"/>
      <c r="T165" s="254"/>
      <c r="U165" s="68"/>
      <c r="V165" s="66"/>
      <c r="W165" s="66"/>
      <c r="X165" s="66"/>
      <c r="Y165" s="66"/>
      <c r="Z165" s="66"/>
    </row>
    <row r="166" spans="1:26" ht="15.75">
      <c r="A166" s="207" t="s">
        <v>1028</v>
      </c>
      <c r="B166" s="246"/>
      <c r="C166" s="254">
        <f>F94+F97+F100+F103+F106+F111+F112+F115+F118+F121+F124+F127</f>
        <v>599269.63</v>
      </c>
      <c r="D166" s="254"/>
      <c r="E166" s="254"/>
      <c r="F166" s="254"/>
      <c r="G166" s="254"/>
      <c r="H166" s="254"/>
      <c r="I166" s="254"/>
      <c r="J166" s="254"/>
      <c r="K166" s="254"/>
      <c r="L166" s="254"/>
      <c r="M166" s="254"/>
      <c r="N166" s="254"/>
      <c r="O166" s="254"/>
      <c r="P166" s="254"/>
      <c r="Q166" s="254"/>
      <c r="R166" s="254"/>
      <c r="S166" s="254"/>
      <c r="T166" s="254"/>
      <c r="U166" s="68"/>
      <c r="V166" s="66"/>
      <c r="W166" s="66"/>
      <c r="X166" s="66"/>
      <c r="Y166" s="66"/>
      <c r="Z166" s="66"/>
    </row>
    <row r="167" spans="1:26" ht="15.75">
      <c r="A167" s="207" t="s">
        <v>1029</v>
      </c>
      <c r="B167" s="246"/>
      <c r="C167" s="254">
        <f>+G130</f>
        <v>122683.38</v>
      </c>
      <c r="D167" s="254"/>
      <c r="E167" s="254"/>
      <c r="F167" s="254"/>
      <c r="G167" s="254"/>
      <c r="H167" s="254"/>
      <c r="I167" s="254"/>
      <c r="J167" s="254"/>
      <c r="K167" s="254"/>
      <c r="L167" s="254"/>
      <c r="M167" s="254"/>
      <c r="N167" s="254"/>
      <c r="O167" s="254"/>
      <c r="P167" s="254"/>
      <c r="Q167" s="254"/>
      <c r="R167" s="254"/>
      <c r="S167" s="254"/>
      <c r="T167" s="254"/>
      <c r="U167" s="68"/>
      <c r="V167" s="66"/>
      <c r="W167" s="66"/>
      <c r="X167" s="66"/>
      <c r="Y167" s="66"/>
      <c r="Z167" s="66"/>
    </row>
    <row r="168" spans="1:26" ht="15.75">
      <c r="A168" s="266" t="s">
        <v>1030</v>
      </c>
      <c r="B168" s="246"/>
      <c r="C168" s="265">
        <f>F96+F99+F102+F105+F108+F110+F113+F117+F120+F123+F126+F129</f>
        <v>61898.040000000015</v>
      </c>
      <c r="D168" s="254"/>
      <c r="E168" s="254">
        <f>E159</f>
        <v>8195280.46</v>
      </c>
      <c r="F168" s="254"/>
      <c r="G168" s="254"/>
      <c r="H168" s="254"/>
      <c r="I168" s="254"/>
      <c r="J168" s="254"/>
      <c r="K168" s="254"/>
      <c r="L168" s="254"/>
      <c r="M168" s="254"/>
      <c r="N168" s="254"/>
      <c r="O168" s="254"/>
      <c r="P168" s="254"/>
      <c r="Q168" s="254"/>
      <c r="R168" s="254"/>
      <c r="S168" s="254"/>
      <c r="T168" s="254"/>
      <c r="U168" s="68"/>
      <c r="V168" s="66"/>
      <c r="W168" s="66"/>
      <c r="X168" s="66"/>
      <c r="Y168" s="66"/>
      <c r="Z168" s="66"/>
    </row>
    <row r="169" spans="1:26" ht="15.75">
      <c r="A169" s="246"/>
      <c r="B169" s="246"/>
      <c r="C169" s="254">
        <f>SUM(C166:C168)</f>
        <v>783851.05</v>
      </c>
      <c r="D169" s="254"/>
      <c r="E169" s="254">
        <v>8195280.46</v>
      </c>
      <c r="F169" s="254" t="s">
        <v>1032</v>
      </c>
      <c r="G169" s="254"/>
      <c r="H169" s="254"/>
      <c r="I169" s="254"/>
      <c r="J169" s="254"/>
      <c r="K169" s="254"/>
      <c r="L169" s="254"/>
      <c r="M169" s="254"/>
      <c r="N169" s="254"/>
      <c r="O169" s="254"/>
      <c r="P169" s="254"/>
      <c r="Q169" s="254"/>
      <c r="R169" s="254"/>
      <c r="S169" s="254"/>
      <c r="T169" s="254"/>
      <c r="U169" s="68"/>
      <c r="V169" s="66"/>
      <c r="W169" s="66"/>
      <c r="X169" s="66"/>
      <c r="Y169" s="66"/>
      <c r="Z169" s="66"/>
    </row>
    <row r="170" spans="1:26" ht="15.75">
      <c r="A170" s="246"/>
      <c r="B170" s="246"/>
      <c r="C170" s="207"/>
      <c r="D170" s="254"/>
      <c r="E170" s="254">
        <f>SUM(E168-E169)</f>
        <v>0</v>
      </c>
      <c r="F170" s="254"/>
      <c r="G170" s="254"/>
      <c r="H170" s="254"/>
      <c r="I170" s="254"/>
      <c r="J170" s="254"/>
      <c r="K170" s="254"/>
      <c r="L170" s="254"/>
      <c r="M170" s="254"/>
      <c r="N170" s="254"/>
      <c r="O170" s="254"/>
      <c r="P170" s="254"/>
      <c r="Q170" s="254"/>
      <c r="R170" s="254"/>
      <c r="S170" s="254"/>
      <c r="T170" s="254"/>
      <c r="U170" s="68"/>
      <c r="V170" s="66"/>
      <c r="W170" s="66"/>
      <c r="X170" s="66"/>
      <c r="Y170" s="66"/>
      <c r="Z170" s="66"/>
    </row>
    <row r="171" spans="1:26" ht="15.75">
      <c r="A171" s="246"/>
      <c r="B171" s="246"/>
      <c r="C171" s="207"/>
      <c r="D171" s="254"/>
      <c r="E171" s="254"/>
      <c r="F171" s="254"/>
      <c r="G171" s="254"/>
      <c r="H171" s="254"/>
      <c r="I171" s="254"/>
      <c r="J171" s="254"/>
      <c r="K171" s="254"/>
      <c r="L171" s="254"/>
      <c r="M171" s="254"/>
      <c r="N171" s="254"/>
      <c r="O171" s="254"/>
      <c r="P171" s="254"/>
      <c r="Q171" s="254"/>
      <c r="R171" s="254"/>
      <c r="S171" s="254"/>
      <c r="T171" s="254"/>
      <c r="U171" s="68"/>
      <c r="V171" s="66"/>
      <c r="W171" s="66"/>
      <c r="X171" s="66"/>
      <c r="Y171" s="66"/>
      <c r="Z171" s="66"/>
    </row>
    <row r="172" spans="1:26" ht="15.75">
      <c r="A172" s="266" t="s">
        <v>1033</v>
      </c>
      <c r="B172" s="246"/>
      <c r="C172" s="207"/>
      <c r="D172" s="254"/>
      <c r="E172" s="254"/>
      <c r="F172" s="254"/>
      <c r="G172" s="254"/>
      <c r="H172" s="254"/>
      <c r="I172" s="254"/>
      <c r="J172" s="254"/>
      <c r="K172" s="254"/>
      <c r="L172" s="254"/>
      <c r="M172" s="254"/>
      <c r="N172" s="254"/>
      <c r="O172" s="254"/>
      <c r="P172" s="254"/>
      <c r="Q172" s="254"/>
      <c r="R172" s="254"/>
      <c r="S172" s="254"/>
      <c r="T172" s="254"/>
      <c r="U172" s="68"/>
      <c r="V172" s="66"/>
      <c r="W172" s="66"/>
      <c r="X172" s="66"/>
      <c r="Y172" s="66"/>
      <c r="Z172" s="66"/>
    </row>
    <row r="173" spans="1:26" ht="15.75">
      <c r="A173" s="207" t="s">
        <v>1028</v>
      </c>
      <c r="B173" s="246"/>
      <c r="C173" s="254">
        <f>(C93+C94+C97)*1.22</f>
        <v>3164.6556</v>
      </c>
      <c r="D173" s="254"/>
      <c r="E173" s="254"/>
      <c r="F173" s="254"/>
      <c r="G173" s="254"/>
      <c r="H173" s="254"/>
      <c r="I173" s="254"/>
      <c r="J173" s="254"/>
      <c r="K173" s="254"/>
      <c r="L173" s="254"/>
      <c r="M173" s="254"/>
      <c r="N173" s="254"/>
      <c r="O173" s="254"/>
      <c r="P173" s="254"/>
      <c r="Q173" s="254"/>
      <c r="R173" s="254"/>
      <c r="S173" s="254"/>
      <c r="T173" s="254"/>
      <c r="U173" s="68"/>
      <c r="V173" s="66"/>
      <c r="W173" s="66"/>
      <c r="X173" s="66"/>
      <c r="Y173" s="66"/>
      <c r="Z173" s="66"/>
    </row>
    <row r="174" spans="1:26" ht="15.75">
      <c r="A174" s="207" t="s">
        <v>1029</v>
      </c>
      <c r="B174" s="246"/>
      <c r="C174" s="254">
        <f>+(C104+C95+C98)*1.22</f>
        <v>504.17719999999997</v>
      </c>
      <c r="D174" s="254"/>
      <c r="E174" s="254"/>
      <c r="F174" s="254"/>
      <c r="G174" s="254"/>
      <c r="H174" s="254"/>
      <c r="I174" s="254"/>
      <c r="J174" s="254"/>
      <c r="K174" s="254"/>
      <c r="L174" s="254"/>
      <c r="M174" s="254"/>
      <c r="N174" s="254"/>
      <c r="O174" s="254"/>
      <c r="P174" s="254"/>
      <c r="Q174" s="254"/>
      <c r="R174" s="254"/>
      <c r="S174" s="254"/>
      <c r="T174" s="254"/>
      <c r="U174" s="68"/>
      <c r="V174" s="66"/>
      <c r="W174" s="66"/>
      <c r="X174" s="66"/>
      <c r="Y174" s="66"/>
      <c r="Z174" s="66"/>
    </row>
    <row r="175" spans="1:26" ht="15.75">
      <c r="A175" s="266" t="s">
        <v>1030</v>
      </c>
      <c r="B175" s="246"/>
      <c r="C175" s="265">
        <f>+C163*12.5</f>
        <v>3187.5</v>
      </c>
      <c r="D175" s="254"/>
      <c r="E175" s="254"/>
      <c r="F175" s="254"/>
      <c r="G175" s="254"/>
      <c r="H175" s="254"/>
      <c r="I175" s="254"/>
      <c r="J175" s="254"/>
      <c r="K175" s="254"/>
      <c r="L175" s="254"/>
      <c r="M175" s="254"/>
      <c r="N175" s="254"/>
      <c r="O175" s="254"/>
      <c r="P175" s="254"/>
      <c r="Q175" s="254"/>
      <c r="R175" s="254"/>
      <c r="S175" s="254"/>
      <c r="T175" s="254"/>
      <c r="U175" s="68"/>
      <c r="V175" s="66"/>
      <c r="W175" s="66"/>
      <c r="X175" s="66"/>
      <c r="Y175" s="66"/>
      <c r="Z175" s="66"/>
    </row>
    <row r="176" spans="1:26" ht="15.75">
      <c r="A176" s="246"/>
      <c r="B176" s="246"/>
      <c r="C176" s="254">
        <f>SUM(C173:C175)</f>
        <v>6856.3328000000001</v>
      </c>
      <c r="D176" s="254"/>
      <c r="E176" s="254"/>
      <c r="F176" s="254"/>
      <c r="G176" s="254"/>
      <c r="H176" s="254"/>
      <c r="I176" s="254"/>
      <c r="J176" s="254"/>
      <c r="K176" s="254"/>
      <c r="L176" s="254"/>
      <c r="M176" s="254"/>
      <c r="N176" s="254"/>
      <c r="O176" s="254"/>
      <c r="P176" s="254"/>
      <c r="Q176" s="254"/>
      <c r="R176" s="254"/>
      <c r="S176" s="254"/>
      <c r="T176" s="254"/>
      <c r="U176" s="68"/>
      <c r="V176" s="66"/>
      <c r="W176" s="66"/>
      <c r="X176" s="66"/>
      <c r="Y176" s="66"/>
      <c r="Z176" s="66"/>
    </row>
    <row r="177" spans="1:26" ht="15.75">
      <c r="A177" s="246"/>
      <c r="B177" s="246"/>
      <c r="C177" s="207"/>
      <c r="D177" s="254"/>
      <c r="E177" s="254"/>
      <c r="F177" s="254"/>
      <c r="G177" s="254"/>
      <c r="H177" s="254"/>
      <c r="I177" s="254"/>
      <c r="J177" s="254"/>
      <c r="K177" s="254"/>
      <c r="L177" s="254"/>
      <c r="M177" s="254"/>
      <c r="N177" s="254"/>
      <c r="O177" s="254"/>
      <c r="P177" s="254"/>
      <c r="Q177" s="254"/>
      <c r="R177" s="254"/>
      <c r="S177" s="254"/>
      <c r="T177" s="254"/>
      <c r="U177" s="68"/>
      <c r="V177" s="66"/>
      <c r="W177" s="66"/>
      <c r="X177" s="66"/>
      <c r="Y177" s="66"/>
      <c r="Z177" s="66"/>
    </row>
    <row r="178" spans="1:26" ht="15.75">
      <c r="A178" s="246"/>
      <c r="B178" s="246"/>
      <c r="C178" s="207"/>
      <c r="D178" s="254"/>
      <c r="E178" s="254"/>
      <c r="F178" s="254"/>
      <c r="G178" s="254"/>
      <c r="H178" s="254"/>
      <c r="I178" s="254"/>
      <c r="J178" s="254"/>
      <c r="K178" s="254"/>
      <c r="L178" s="254"/>
      <c r="M178" s="254"/>
      <c r="N178" s="254"/>
      <c r="O178" s="254"/>
      <c r="P178" s="254"/>
      <c r="Q178" s="254"/>
      <c r="R178" s="254"/>
      <c r="S178" s="254"/>
      <c r="T178" s="254"/>
      <c r="U178" s="68"/>
      <c r="V178" s="66"/>
      <c r="W178" s="66"/>
      <c r="X178" s="66"/>
      <c r="Y178" s="66"/>
      <c r="Z178" s="66"/>
    </row>
    <row r="179" spans="1:26">
      <c r="A179" s="68"/>
      <c r="B179" s="68"/>
      <c r="C179" s="68"/>
      <c r="D179" s="68"/>
      <c r="E179" s="68"/>
      <c r="F179" s="68"/>
      <c r="G179" s="68"/>
      <c r="H179" s="68"/>
      <c r="I179" s="68"/>
      <c r="J179" s="68"/>
      <c r="K179" s="68"/>
      <c r="L179" s="68"/>
      <c r="M179" s="68"/>
      <c r="N179" s="68"/>
      <c r="O179" s="68"/>
      <c r="P179" s="68"/>
      <c r="Q179" s="68"/>
      <c r="R179" s="68"/>
      <c r="S179" s="68"/>
      <c r="T179" s="68"/>
      <c r="U179" s="68"/>
      <c r="V179" s="66"/>
      <c r="W179" s="66"/>
      <c r="X179" s="66"/>
      <c r="Y179" s="66"/>
      <c r="Z179" s="66"/>
    </row>
    <row r="180" spans="1:26">
      <c r="A180" s="68"/>
      <c r="B180" s="68"/>
      <c r="C180" s="68"/>
      <c r="D180" s="68"/>
      <c r="E180" s="68"/>
      <c r="F180" s="68"/>
      <c r="G180" s="68"/>
      <c r="H180" s="68"/>
      <c r="I180" s="68"/>
      <c r="J180" s="68"/>
      <c r="K180" s="68"/>
      <c r="L180" s="68"/>
      <c r="M180" s="68"/>
      <c r="N180" s="68"/>
      <c r="O180" s="68"/>
      <c r="P180" s="68"/>
      <c r="Q180" s="68"/>
      <c r="R180" s="68"/>
      <c r="S180" s="68"/>
      <c r="T180" s="68"/>
      <c r="U180" s="68"/>
      <c r="V180" s="66"/>
      <c r="W180" s="66"/>
      <c r="X180" s="66"/>
      <c r="Y180" s="66"/>
      <c r="Z180" s="66"/>
    </row>
    <row r="181" spans="1:26">
      <c r="A181" s="68"/>
      <c r="B181" s="68"/>
      <c r="C181" s="68"/>
      <c r="D181" s="68"/>
      <c r="E181" s="68"/>
      <c r="F181" s="68"/>
      <c r="G181" s="68"/>
      <c r="H181" s="68"/>
      <c r="I181" s="68"/>
      <c r="J181" s="68"/>
      <c r="K181" s="68"/>
      <c r="L181" s="68"/>
      <c r="M181" s="68"/>
      <c r="N181" s="68"/>
      <c r="O181" s="68"/>
      <c r="P181" s="68"/>
      <c r="Q181" s="68"/>
      <c r="R181" s="68"/>
      <c r="S181" s="68"/>
      <c r="T181" s="68"/>
      <c r="U181" s="68"/>
      <c r="V181" s="66"/>
      <c r="W181" s="66"/>
      <c r="X181" s="66"/>
      <c r="Y181" s="66"/>
      <c r="Z181" s="66"/>
    </row>
    <row r="182" spans="1:26">
      <c r="A182" s="68"/>
      <c r="B182" s="68"/>
      <c r="C182" s="68"/>
      <c r="D182" s="68"/>
      <c r="E182" s="68"/>
      <c r="F182" s="68"/>
      <c r="G182" s="68"/>
      <c r="H182" s="68"/>
      <c r="I182" s="68"/>
      <c r="J182" s="68"/>
      <c r="K182" s="68"/>
      <c r="L182" s="68"/>
      <c r="M182" s="68"/>
      <c r="N182" s="68"/>
      <c r="O182" s="68"/>
      <c r="P182" s="68"/>
      <c r="Q182" s="68"/>
      <c r="R182" s="68"/>
      <c r="S182" s="68"/>
      <c r="T182" s="68"/>
      <c r="U182" s="68"/>
      <c r="V182" s="66"/>
      <c r="W182" s="66"/>
      <c r="X182" s="66"/>
      <c r="Y182" s="66"/>
      <c r="Z182" s="66"/>
    </row>
    <row r="183" spans="1:26">
      <c r="A183" s="68"/>
      <c r="B183" s="68"/>
      <c r="C183" s="68"/>
      <c r="D183" s="68"/>
      <c r="E183" s="68"/>
      <c r="F183" s="68"/>
      <c r="G183" s="68"/>
      <c r="H183" s="68"/>
      <c r="I183" s="68"/>
      <c r="J183" s="68"/>
      <c r="K183" s="68"/>
      <c r="L183" s="68"/>
      <c r="M183" s="68"/>
      <c r="N183" s="68"/>
      <c r="O183" s="68"/>
      <c r="P183" s="68"/>
      <c r="Q183" s="68"/>
      <c r="R183" s="68"/>
      <c r="S183" s="68"/>
      <c r="T183" s="68"/>
      <c r="U183" s="68"/>
      <c r="V183" s="66"/>
      <c r="W183" s="66"/>
      <c r="X183" s="66"/>
      <c r="Y183" s="66"/>
      <c r="Z183" s="66"/>
    </row>
    <row r="184" spans="1:26">
      <c r="A184" s="68"/>
      <c r="B184" s="68"/>
      <c r="C184" s="68"/>
      <c r="D184" s="68"/>
      <c r="E184" s="68"/>
      <c r="F184" s="68"/>
      <c r="G184" s="68"/>
      <c r="H184" s="68"/>
      <c r="I184" s="68"/>
      <c r="J184" s="68"/>
      <c r="K184" s="68"/>
      <c r="L184" s="68"/>
      <c r="M184" s="68"/>
      <c r="N184" s="68"/>
      <c r="O184" s="68"/>
      <c r="P184" s="68"/>
      <c r="Q184" s="68"/>
      <c r="R184" s="68"/>
      <c r="S184" s="68"/>
      <c r="T184" s="68"/>
      <c r="U184" s="68"/>
      <c r="V184" s="66"/>
      <c r="W184" s="66"/>
      <c r="X184" s="66"/>
      <c r="Y184" s="66"/>
      <c r="Z184" s="66"/>
    </row>
    <row r="185" spans="1:26">
      <c r="A185" s="68"/>
      <c r="B185" s="68"/>
      <c r="C185" s="68"/>
      <c r="D185" s="68"/>
      <c r="E185" s="68"/>
      <c r="F185" s="68"/>
      <c r="G185" s="68"/>
      <c r="H185" s="68"/>
      <c r="I185" s="68"/>
      <c r="J185" s="68"/>
      <c r="K185" s="68"/>
      <c r="L185" s="68"/>
      <c r="M185" s="68"/>
      <c r="N185" s="68"/>
      <c r="O185" s="68"/>
      <c r="P185" s="68"/>
      <c r="Q185" s="68"/>
      <c r="R185" s="68"/>
      <c r="S185" s="68"/>
      <c r="T185" s="68"/>
      <c r="U185" s="68"/>
      <c r="V185" s="66"/>
      <c r="W185" s="66"/>
      <c r="X185" s="66"/>
      <c r="Y185" s="66"/>
      <c r="Z185" s="66"/>
    </row>
    <row r="186" spans="1:26">
      <c r="A186" s="68"/>
      <c r="B186" s="68"/>
      <c r="C186" s="68"/>
      <c r="D186" s="68"/>
      <c r="E186" s="68"/>
      <c r="F186" s="68"/>
      <c r="G186" s="68"/>
      <c r="H186" s="68"/>
      <c r="I186" s="68"/>
      <c r="J186" s="68"/>
      <c r="K186" s="68"/>
      <c r="L186" s="68"/>
      <c r="M186" s="68"/>
      <c r="N186" s="68"/>
      <c r="O186" s="68"/>
      <c r="P186" s="68"/>
      <c r="Q186" s="68"/>
      <c r="R186" s="68"/>
      <c r="S186" s="68"/>
      <c r="T186" s="68"/>
      <c r="U186" s="68"/>
      <c r="V186" s="66"/>
      <c r="W186" s="66"/>
      <c r="X186" s="66"/>
      <c r="Y186" s="66"/>
      <c r="Z186" s="66"/>
    </row>
    <row r="187" spans="1:26">
      <c r="A187" s="68"/>
      <c r="B187" s="68"/>
      <c r="C187" s="68"/>
      <c r="D187" s="68"/>
      <c r="E187" s="68"/>
      <c r="F187" s="68"/>
      <c r="G187" s="68"/>
      <c r="H187" s="68"/>
      <c r="I187" s="68"/>
      <c r="J187" s="68"/>
      <c r="K187" s="68"/>
      <c r="L187" s="68"/>
      <c r="M187" s="68"/>
      <c r="N187" s="68"/>
      <c r="O187" s="68"/>
      <c r="P187" s="68"/>
      <c r="Q187" s="68"/>
      <c r="R187" s="68"/>
      <c r="S187" s="68"/>
      <c r="T187" s="68"/>
      <c r="U187" s="68"/>
      <c r="V187" s="66"/>
      <c r="W187" s="66"/>
      <c r="X187" s="66"/>
      <c r="Y187" s="66"/>
      <c r="Z187" s="66"/>
    </row>
    <row r="188" spans="1:26">
      <c r="A188" s="68"/>
      <c r="B188" s="68"/>
      <c r="C188" s="68"/>
      <c r="D188" s="68"/>
      <c r="E188" s="68"/>
      <c r="F188" s="68"/>
      <c r="G188" s="68"/>
      <c r="H188" s="68"/>
      <c r="I188" s="68"/>
      <c r="J188" s="68"/>
      <c r="K188" s="68"/>
      <c r="L188" s="68"/>
      <c r="M188" s="68"/>
      <c r="N188" s="68"/>
      <c r="O188" s="68"/>
      <c r="P188" s="68"/>
      <c r="Q188" s="68"/>
      <c r="R188" s="68"/>
      <c r="S188" s="68"/>
      <c r="T188" s="68"/>
      <c r="U188" s="68"/>
      <c r="V188" s="66"/>
      <c r="W188" s="66"/>
      <c r="X188" s="66"/>
      <c r="Y188" s="66"/>
      <c r="Z188" s="66"/>
    </row>
    <row r="189" spans="1:26">
      <c r="A189" s="68"/>
      <c r="B189" s="68"/>
      <c r="C189" s="68"/>
      <c r="D189" s="68"/>
      <c r="E189" s="68"/>
      <c r="F189" s="68"/>
      <c r="G189" s="68"/>
      <c r="H189" s="68"/>
      <c r="I189" s="68"/>
      <c r="J189" s="68"/>
      <c r="K189" s="68"/>
      <c r="L189" s="68"/>
      <c r="M189" s="68"/>
      <c r="N189" s="68"/>
      <c r="O189" s="68"/>
      <c r="P189" s="68"/>
      <c r="Q189" s="68"/>
      <c r="R189" s="68"/>
      <c r="S189" s="68"/>
      <c r="T189" s="68"/>
      <c r="U189" s="68"/>
      <c r="V189" s="66"/>
      <c r="W189" s="66"/>
      <c r="X189" s="66"/>
      <c r="Y189" s="66"/>
      <c r="Z189" s="66"/>
    </row>
    <row r="190" spans="1:26">
      <c r="A190" s="68"/>
      <c r="B190" s="68"/>
      <c r="C190" s="68"/>
      <c r="D190" s="68"/>
      <c r="E190" s="68"/>
      <c r="F190" s="68"/>
      <c r="G190" s="68"/>
      <c r="H190" s="68"/>
      <c r="I190" s="68"/>
      <c r="J190" s="68"/>
      <c r="K190" s="68"/>
      <c r="L190" s="68"/>
      <c r="M190" s="68"/>
      <c r="N190" s="68"/>
      <c r="O190" s="68"/>
      <c r="P190" s="68"/>
      <c r="Q190" s="68"/>
      <c r="R190" s="68"/>
      <c r="S190" s="68"/>
      <c r="T190" s="68"/>
      <c r="U190" s="68"/>
      <c r="V190" s="66"/>
      <c r="W190" s="66"/>
      <c r="X190" s="66"/>
      <c r="Y190" s="66"/>
      <c r="Z190" s="66"/>
    </row>
    <row r="191" spans="1:26">
      <c r="A191" s="68"/>
      <c r="B191" s="68"/>
      <c r="C191" s="68"/>
      <c r="D191" s="68"/>
      <c r="E191" s="68"/>
      <c r="F191" s="68"/>
      <c r="G191" s="68"/>
      <c r="H191" s="68"/>
      <c r="I191" s="68"/>
      <c r="J191" s="68"/>
      <c r="K191" s="68"/>
      <c r="L191" s="68"/>
      <c r="M191" s="68"/>
      <c r="N191" s="68"/>
      <c r="O191" s="68"/>
      <c r="P191" s="68"/>
      <c r="Q191" s="68"/>
      <c r="R191" s="68"/>
      <c r="S191" s="68"/>
      <c r="T191" s="68"/>
      <c r="U191" s="68"/>
      <c r="V191" s="66"/>
      <c r="W191" s="66"/>
      <c r="X191" s="66"/>
      <c r="Y191" s="66"/>
      <c r="Z191" s="66"/>
    </row>
    <row r="192" spans="1:26">
      <c r="A192" s="68"/>
      <c r="B192" s="68"/>
      <c r="C192" s="68"/>
      <c r="D192" s="68"/>
      <c r="E192" s="68"/>
      <c r="F192" s="68"/>
      <c r="G192" s="68"/>
      <c r="H192" s="68"/>
      <c r="I192" s="68"/>
      <c r="J192" s="68"/>
      <c r="K192" s="68"/>
      <c r="L192" s="68"/>
      <c r="M192" s="68"/>
      <c r="N192" s="68"/>
      <c r="O192" s="68"/>
      <c r="P192" s="68"/>
      <c r="Q192" s="68"/>
      <c r="R192" s="68"/>
      <c r="S192" s="68"/>
      <c r="T192" s="68"/>
      <c r="U192" s="68"/>
      <c r="V192" s="66"/>
      <c r="W192" s="66"/>
      <c r="X192" s="66"/>
      <c r="Y192" s="66"/>
      <c r="Z192" s="66"/>
    </row>
    <row r="193" spans="1:26">
      <c r="A193" s="68"/>
      <c r="B193" s="68"/>
      <c r="C193" s="68"/>
      <c r="D193" s="68"/>
      <c r="E193" s="68"/>
      <c r="F193" s="68"/>
      <c r="G193" s="68"/>
      <c r="H193" s="68"/>
      <c r="I193" s="68"/>
      <c r="J193" s="68"/>
      <c r="K193" s="68"/>
      <c r="L193" s="68"/>
      <c r="M193" s="68"/>
      <c r="N193" s="68"/>
      <c r="O193" s="68"/>
      <c r="P193" s="68"/>
      <c r="Q193" s="68"/>
      <c r="R193" s="68"/>
      <c r="S193" s="68"/>
      <c r="T193" s="68"/>
      <c r="U193" s="68"/>
      <c r="V193" s="66"/>
      <c r="W193" s="66"/>
      <c r="X193" s="66"/>
      <c r="Y193" s="66"/>
      <c r="Z193" s="66"/>
    </row>
    <row r="194" spans="1:26">
      <c r="A194" s="68"/>
      <c r="B194" s="68"/>
      <c r="C194" s="68"/>
      <c r="D194" s="68"/>
      <c r="E194" s="68"/>
      <c r="F194" s="68"/>
      <c r="G194" s="68"/>
      <c r="H194" s="68"/>
      <c r="I194" s="68"/>
      <c r="J194" s="68"/>
      <c r="K194" s="68"/>
      <c r="L194" s="68"/>
      <c r="M194" s="68"/>
      <c r="N194" s="68"/>
      <c r="O194" s="68"/>
      <c r="P194" s="68"/>
      <c r="Q194" s="68"/>
      <c r="R194" s="68"/>
      <c r="S194" s="68"/>
      <c r="T194" s="68"/>
      <c r="U194" s="68"/>
      <c r="V194" s="66"/>
      <c r="W194" s="66"/>
      <c r="X194" s="66"/>
      <c r="Y194" s="66"/>
      <c r="Z194" s="66"/>
    </row>
    <row r="195" spans="1:26">
      <c r="A195" s="68"/>
      <c r="B195" s="68"/>
      <c r="C195" s="68"/>
      <c r="D195" s="68"/>
      <c r="E195" s="68"/>
      <c r="F195" s="68"/>
      <c r="G195" s="68"/>
      <c r="H195" s="68"/>
      <c r="I195" s="68"/>
      <c r="J195" s="68"/>
      <c r="K195" s="68"/>
      <c r="L195" s="68"/>
      <c r="M195" s="68"/>
      <c r="N195" s="68"/>
      <c r="O195" s="68"/>
      <c r="P195" s="68"/>
      <c r="Q195" s="68"/>
      <c r="R195" s="68"/>
      <c r="S195" s="68"/>
      <c r="T195" s="68"/>
      <c r="U195" s="68"/>
      <c r="V195" s="66"/>
      <c r="W195" s="66"/>
      <c r="X195" s="66"/>
      <c r="Y195" s="66"/>
      <c r="Z195" s="66"/>
    </row>
    <row r="196" spans="1:26">
      <c r="A196" s="68"/>
      <c r="B196" s="68"/>
      <c r="C196" s="68"/>
      <c r="D196" s="68"/>
      <c r="E196" s="68"/>
      <c r="F196" s="68"/>
      <c r="G196" s="68"/>
      <c r="H196" s="68"/>
      <c r="I196" s="68"/>
      <c r="J196" s="68"/>
      <c r="K196" s="68"/>
      <c r="L196" s="68"/>
      <c r="M196" s="68"/>
      <c r="N196" s="68"/>
      <c r="O196" s="68"/>
      <c r="P196" s="68"/>
      <c r="Q196" s="68"/>
      <c r="R196" s="68"/>
      <c r="S196" s="68"/>
      <c r="T196" s="68"/>
      <c r="U196" s="68"/>
      <c r="V196" s="66"/>
      <c r="W196" s="66"/>
      <c r="X196" s="66"/>
      <c r="Y196" s="66"/>
      <c r="Z196" s="66"/>
    </row>
    <row r="197" spans="1:26">
      <c r="A197" s="68"/>
      <c r="B197" s="68"/>
      <c r="C197" s="68"/>
      <c r="D197" s="68"/>
      <c r="E197" s="68"/>
      <c r="F197" s="68"/>
      <c r="G197" s="68"/>
      <c r="H197" s="68"/>
      <c r="I197" s="68"/>
      <c r="J197" s="68"/>
      <c r="K197" s="68"/>
      <c r="L197" s="68"/>
      <c r="M197" s="68"/>
      <c r="N197" s="68"/>
      <c r="O197" s="68"/>
      <c r="P197" s="68"/>
      <c r="Q197" s="68"/>
      <c r="R197" s="68"/>
      <c r="S197" s="68"/>
      <c r="T197" s="68"/>
      <c r="U197" s="68"/>
      <c r="V197" s="66"/>
      <c r="W197" s="66"/>
      <c r="X197" s="66"/>
      <c r="Y197" s="66"/>
      <c r="Z197" s="66"/>
    </row>
    <row r="198" spans="1:26">
      <c r="A198" s="68"/>
      <c r="B198" s="68"/>
      <c r="C198" s="68"/>
      <c r="D198" s="68"/>
      <c r="E198" s="68"/>
      <c r="F198" s="68"/>
      <c r="G198" s="68"/>
      <c r="H198" s="68"/>
      <c r="I198" s="68"/>
      <c r="J198" s="68"/>
      <c r="K198" s="68"/>
      <c r="L198" s="68"/>
      <c r="M198" s="68"/>
      <c r="N198" s="68"/>
      <c r="O198" s="68"/>
      <c r="P198" s="68"/>
      <c r="Q198" s="68"/>
      <c r="R198" s="68"/>
      <c r="S198" s="68"/>
      <c r="T198" s="68"/>
      <c r="U198" s="68"/>
      <c r="V198" s="66"/>
      <c r="W198" s="66"/>
      <c r="X198" s="66"/>
      <c r="Y198" s="66"/>
      <c r="Z198" s="66"/>
    </row>
    <row r="199" spans="1:26">
      <c r="A199" s="68"/>
      <c r="B199" s="68"/>
      <c r="C199" s="68"/>
      <c r="D199" s="68"/>
      <c r="E199" s="68"/>
      <c r="F199" s="68"/>
      <c r="G199" s="68"/>
      <c r="H199" s="68"/>
      <c r="I199" s="68"/>
      <c r="J199" s="68"/>
      <c r="K199" s="68"/>
      <c r="L199" s="68"/>
      <c r="M199" s="68"/>
      <c r="N199" s="68"/>
      <c r="O199" s="68"/>
      <c r="P199" s="68"/>
      <c r="Q199" s="68"/>
      <c r="R199" s="68"/>
      <c r="S199" s="68"/>
      <c r="T199" s="68"/>
      <c r="U199" s="68"/>
      <c r="V199" s="66"/>
      <c r="W199" s="66"/>
      <c r="X199" s="66"/>
      <c r="Y199" s="66"/>
      <c r="Z199" s="66"/>
    </row>
    <row r="200" spans="1:26">
      <c r="A200" s="68"/>
      <c r="B200" s="68"/>
      <c r="C200" s="68"/>
      <c r="D200" s="68"/>
      <c r="E200" s="68"/>
      <c r="F200" s="68"/>
      <c r="G200" s="68"/>
      <c r="H200" s="68"/>
      <c r="I200" s="68"/>
      <c r="J200" s="68"/>
      <c r="K200" s="68"/>
      <c r="L200" s="68"/>
      <c r="M200" s="68"/>
      <c r="N200" s="68"/>
      <c r="O200" s="68"/>
      <c r="P200" s="68"/>
      <c r="Q200" s="68"/>
      <c r="R200" s="68"/>
      <c r="S200" s="68"/>
      <c r="T200" s="68"/>
      <c r="U200" s="68"/>
      <c r="V200" s="66"/>
      <c r="W200" s="66"/>
      <c r="X200" s="66"/>
      <c r="Y200" s="66"/>
      <c r="Z200" s="66"/>
    </row>
    <row r="201" spans="1:26">
      <c r="A201" s="68"/>
      <c r="B201" s="68"/>
      <c r="C201" s="68"/>
      <c r="D201" s="68"/>
      <c r="E201" s="68"/>
      <c r="F201" s="68"/>
      <c r="G201" s="68"/>
      <c r="H201" s="68"/>
      <c r="I201" s="68"/>
      <c r="J201" s="68"/>
      <c r="K201" s="68"/>
      <c r="L201" s="68"/>
      <c r="M201" s="68"/>
      <c r="N201" s="68"/>
      <c r="O201" s="68"/>
      <c r="P201" s="68"/>
      <c r="Q201" s="68"/>
      <c r="R201" s="68"/>
      <c r="S201" s="68"/>
      <c r="T201" s="68"/>
      <c r="U201" s="68"/>
      <c r="V201" s="66"/>
      <c r="W201" s="66"/>
      <c r="X201" s="66"/>
      <c r="Y201" s="66"/>
      <c r="Z201" s="66"/>
    </row>
    <row r="202" spans="1:26">
      <c r="A202" s="68"/>
      <c r="B202" s="68"/>
      <c r="C202" s="68"/>
      <c r="D202" s="68"/>
      <c r="E202" s="68"/>
      <c r="F202" s="68"/>
      <c r="G202" s="68"/>
      <c r="H202" s="68"/>
      <c r="I202" s="68"/>
      <c r="J202" s="68"/>
      <c r="K202" s="68"/>
      <c r="L202" s="68"/>
      <c r="M202" s="68"/>
      <c r="N202" s="68"/>
      <c r="O202" s="68"/>
      <c r="P202" s="68"/>
      <c r="Q202" s="68"/>
      <c r="R202" s="68"/>
      <c r="S202" s="68"/>
      <c r="T202" s="68"/>
      <c r="U202" s="68"/>
      <c r="V202" s="66"/>
      <c r="W202" s="66"/>
      <c r="X202" s="66"/>
      <c r="Y202" s="66"/>
      <c r="Z202" s="66"/>
    </row>
    <row r="203" spans="1:26">
      <c r="A203" s="68"/>
      <c r="B203" s="68"/>
      <c r="C203" s="68"/>
      <c r="D203" s="68"/>
      <c r="E203" s="68"/>
      <c r="F203" s="68"/>
      <c r="G203" s="68"/>
      <c r="H203" s="68"/>
      <c r="I203" s="68"/>
      <c r="J203" s="68"/>
      <c r="K203" s="68"/>
      <c r="L203" s="68"/>
      <c r="M203" s="68"/>
      <c r="N203" s="68"/>
      <c r="O203" s="68"/>
      <c r="P203" s="68"/>
      <c r="Q203" s="68"/>
      <c r="R203" s="68"/>
      <c r="S203" s="68"/>
      <c r="T203" s="68"/>
      <c r="U203" s="68"/>
      <c r="V203" s="66"/>
      <c r="W203" s="66"/>
      <c r="X203" s="66"/>
      <c r="Y203" s="66"/>
      <c r="Z203" s="66"/>
    </row>
    <row r="204" spans="1:26">
      <c r="A204" s="68"/>
      <c r="B204" s="68"/>
      <c r="C204" s="68"/>
      <c r="D204" s="68"/>
      <c r="E204" s="68"/>
      <c r="F204" s="68"/>
      <c r="G204" s="68"/>
      <c r="H204" s="68"/>
      <c r="I204" s="68"/>
      <c r="J204" s="68"/>
      <c r="K204" s="68"/>
      <c r="L204" s="68"/>
      <c r="M204" s="68"/>
      <c r="N204" s="68"/>
      <c r="O204" s="68"/>
      <c r="P204" s="68"/>
      <c r="Q204" s="68"/>
      <c r="R204" s="68"/>
      <c r="S204" s="68"/>
      <c r="T204" s="68"/>
      <c r="U204" s="68"/>
      <c r="V204" s="66"/>
      <c r="W204" s="66"/>
      <c r="X204" s="66"/>
      <c r="Y204" s="66"/>
      <c r="Z204" s="66"/>
    </row>
    <row r="205" spans="1:26">
      <c r="A205" s="68"/>
      <c r="B205" s="68"/>
      <c r="C205" s="68"/>
      <c r="D205" s="68"/>
      <c r="E205" s="68"/>
      <c r="F205" s="68"/>
      <c r="G205" s="68"/>
      <c r="H205" s="68"/>
      <c r="I205" s="68"/>
      <c r="J205" s="68"/>
      <c r="K205" s="68"/>
      <c r="L205" s="68"/>
      <c r="M205" s="68"/>
      <c r="N205" s="68"/>
      <c r="O205" s="68"/>
      <c r="P205" s="68"/>
      <c r="Q205" s="68"/>
      <c r="R205" s="68"/>
      <c r="S205" s="68"/>
      <c r="T205" s="68"/>
      <c r="U205" s="68"/>
      <c r="V205" s="66"/>
      <c r="W205" s="66"/>
      <c r="X205" s="66"/>
      <c r="Y205" s="66"/>
      <c r="Z205" s="66"/>
    </row>
    <row r="206" spans="1:26">
      <c r="A206" s="68"/>
      <c r="B206" s="68"/>
      <c r="C206" s="68"/>
      <c r="D206" s="68"/>
      <c r="E206" s="68"/>
      <c r="F206" s="68"/>
      <c r="G206" s="68"/>
      <c r="H206" s="68"/>
      <c r="I206" s="68"/>
      <c r="J206" s="68"/>
      <c r="K206" s="68"/>
      <c r="L206" s="68"/>
      <c r="M206" s="68"/>
      <c r="N206" s="68"/>
      <c r="O206" s="68"/>
      <c r="P206" s="68"/>
      <c r="Q206" s="68"/>
      <c r="R206" s="68"/>
      <c r="S206" s="68"/>
      <c r="T206" s="68"/>
      <c r="U206" s="68"/>
      <c r="V206" s="66"/>
      <c r="W206" s="66"/>
      <c r="X206" s="66"/>
      <c r="Y206" s="66"/>
      <c r="Z206" s="66"/>
    </row>
    <row r="207" spans="1:26">
      <c r="A207" s="68"/>
      <c r="B207" s="68"/>
      <c r="C207" s="68"/>
      <c r="D207" s="68"/>
      <c r="E207" s="68"/>
      <c r="F207" s="68"/>
      <c r="G207" s="68"/>
      <c r="H207" s="68"/>
      <c r="I207" s="68"/>
      <c r="J207" s="68"/>
      <c r="K207" s="68"/>
      <c r="L207" s="68"/>
      <c r="M207" s="68"/>
      <c r="N207" s="68"/>
      <c r="O207" s="68"/>
      <c r="P207" s="68"/>
      <c r="Q207" s="68"/>
      <c r="R207" s="68"/>
      <c r="S207" s="68"/>
      <c r="T207" s="68"/>
      <c r="U207" s="68"/>
      <c r="V207" s="66"/>
      <c r="W207" s="66"/>
      <c r="X207" s="66"/>
      <c r="Y207" s="66"/>
      <c r="Z207" s="66"/>
    </row>
    <row r="208" spans="1:26">
      <c r="A208" s="68"/>
      <c r="B208" s="68"/>
      <c r="C208" s="68"/>
      <c r="D208" s="68"/>
      <c r="E208" s="68"/>
      <c r="F208" s="68"/>
      <c r="G208" s="68"/>
      <c r="H208" s="68"/>
      <c r="I208" s="68"/>
      <c r="J208" s="68"/>
      <c r="K208" s="68"/>
      <c r="L208" s="68"/>
      <c r="M208" s="68"/>
      <c r="N208" s="68"/>
      <c r="O208" s="68"/>
      <c r="P208" s="68"/>
      <c r="Q208" s="68"/>
      <c r="R208" s="68"/>
      <c r="S208" s="68"/>
      <c r="T208" s="68"/>
      <c r="U208" s="68"/>
      <c r="V208" s="66"/>
      <c r="W208" s="66"/>
      <c r="X208" s="66"/>
      <c r="Y208" s="66"/>
      <c r="Z208" s="66"/>
    </row>
    <row r="209" spans="1:26">
      <c r="A209" s="68"/>
      <c r="B209" s="68"/>
      <c r="C209" s="68"/>
      <c r="D209" s="68"/>
      <c r="E209" s="68"/>
      <c r="F209" s="68"/>
      <c r="G209" s="68"/>
      <c r="H209" s="68"/>
      <c r="I209" s="68"/>
      <c r="J209" s="68"/>
      <c r="K209" s="68"/>
      <c r="L209" s="68"/>
      <c r="M209" s="68"/>
      <c r="N209" s="68"/>
      <c r="O209" s="68"/>
      <c r="P209" s="68"/>
      <c r="Q209" s="68"/>
      <c r="R209" s="68"/>
      <c r="S209" s="68"/>
      <c r="T209" s="68"/>
      <c r="U209" s="68"/>
      <c r="V209" s="66"/>
      <c r="W209" s="66"/>
      <c r="X209" s="66"/>
      <c r="Y209" s="66"/>
      <c r="Z209" s="66"/>
    </row>
    <row r="210" spans="1:26">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68C8-1A4B-437D-BF59-59634B8F9B5D}">
  <sheetPr codeName="Sheet16">
    <pageSetUpPr fitToPage="1"/>
  </sheetPr>
  <dimension ref="A1:AG161"/>
  <sheetViews>
    <sheetView zoomScale="90" zoomScaleNormal="90" workbookViewId="0">
      <pane ySplit="5" topLeftCell="A109" activePane="bottomLeft" state="frozen"/>
      <selection activeCell="B1" sqref="B1"/>
      <selection pane="bottomLeft" activeCell="G105" sqref="G105"/>
    </sheetView>
  </sheetViews>
  <sheetFormatPr defaultRowHeight="15"/>
  <cols>
    <col min="1" max="1" width="18.109375" customWidth="1"/>
    <col min="2" max="2" width="16" customWidth="1"/>
    <col min="3" max="3" width="11.33203125" customWidth="1"/>
    <col min="4" max="4" width="10.88671875" customWidth="1"/>
    <col min="5" max="5" width="12.109375" customWidth="1"/>
    <col min="6" max="6" width="11.6640625" customWidth="1"/>
    <col min="7" max="7" width="10.6640625" customWidth="1"/>
    <col min="8" max="9" width="10.77734375" customWidth="1"/>
    <col min="18" max="18" width="10.77734375" customWidth="1"/>
  </cols>
  <sheetData>
    <row r="1" spans="1:33" s="364" customFormat="1" ht="18.75">
      <c r="A1" s="366" t="s">
        <v>128</v>
      </c>
      <c r="B1" s="366"/>
      <c r="C1" s="366"/>
      <c r="D1" s="366"/>
      <c r="E1" s="366"/>
      <c r="F1" s="366"/>
      <c r="G1" s="366"/>
      <c r="H1" s="366"/>
      <c r="I1" s="366"/>
      <c r="J1" s="366"/>
      <c r="K1" s="366"/>
      <c r="L1" s="366"/>
      <c r="M1" s="366"/>
      <c r="N1" s="366"/>
      <c r="O1" s="366"/>
      <c r="P1" s="366"/>
      <c r="Q1" s="366"/>
      <c r="R1" s="366"/>
      <c r="S1" s="360"/>
      <c r="T1" s="360"/>
      <c r="U1" s="360"/>
      <c r="V1" s="360"/>
      <c r="W1" s="360"/>
      <c r="X1" s="360"/>
      <c r="Y1" s="360"/>
      <c r="Z1" s="360"/>
      <c r="AA1" s="360"/>
      <c r="AB1" s="360"/>
      <c r="AC1" s="360"/>
      <c r="AD1" s="360"/>
      <c r="AE1" s="360"/>
      <c r="AF1" s="360"/>
      <c r="AG1" s="360"/>
    </row>
    <row r="2" spans="1:33" s="364" customFormat="1" ht="18.75">
      <c r="A2" s="366" t="s">
        <v>1280</v>
      </c>
      <c r="B2" s="366"/>
      <c r="C2" s="366"/>
      <c r="D2" s="366"/>
      <c r="E2" s="366"/>
      <c r="F2" s="366"/>
      <c r="G2" s="366"/>
      <c r="H2" s="366"/>
      <c r="I2" s="366"/>
      <c r="J2" s="366"/>
      <c r="K2" s="366"/>
      <c r="L2" s="366"/>
      <c r="M2" s="366"/>
      <c r="N2" s="366"/>
      <c r="O2" s="366"/>
      <c r="P2" s="366"/>
      <c r="Q2" s="366"/>
      <c r="R2" s="366"/>
      <c r="S2" s="360"/>
      <c r="T2" s="360"/>
      <c r="U2" s="360"/>
      <c r="V2" s="360"/>
      <c r="W2" s="360"/>
      <c r="X2" s="360"/>
      <c r="Y2" s="360"/>
      <c r="Z2" s="360"/>
      <c r="AA2" s="360"/>
      <c r="AB2" s="360"/>
      <c r="AC2" s="360"/>
      <c r="AD2" s="360"/>
      <c r="AE2" s="360"/>
      <c r="AF2" s="360"/>
      <c r="AG2" s="360"/>
    </row>
    <row r="3" spans="1:33" s="364" customFormat="1" ht="18.75">
      <c r="A3" s="366" t="s">
        <v>1281</v>
      </c>
      <c r="B3" s="366"/>
      <c r="C3" s="366"/>
      <c r="D3" s="366"/>
      <c r="E3" s="366"/>
      <c r="F3" s="366"/>
      <c r="G3" s="366"/>
      <c r="H3" s="366"/>
      <c r="I3" s="366"/>
      <c r="J3" s="366"/>
      <c r="K3" s="366"/>
      <c r="L3" s="366"/>
      <c r="M3" s="366"/>
      <c r="N3" s="366"/>
      <c r="O3" s="366"/>
      <c r="P3" s="366"/>
      <c r="Q3" s="366"/>
      <c r="R3" s="366"/>
      <c r="S3" s="360"/>
      <c r="T3" s="360"/>
      <c r="U3" s="360"/>
      <c r="V3" s="360"/>
      <c r="W3" s="360"/>
      <c r="X3" s="360"/>
      <c r="Y3" s="360"/>
      <c r="Z3" s="360"/>
      <c r="AA3" s="360"/>
      <c r="AB3" s="360"/>
      <c r="AC3" s="360"/>
      <c r="AD3" s="360"/>
      <c r="AE3" s="360"/>
      <c r="AF3" s="360"/>
      <c r="AG3" s="360"/>
    </row>
    <row r="4" spans="1:33" s="364" customFormat="1" ht="12.75">
      <c r="A4" s="360"/>
      <c r="B4" s="360"/>
      <c r="C4" s="360"/>
      <c r="D4" s="360"/>
      <c r="E4" s="365"/>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row>
    <row r="5" spans="1:33" s="364" customFormat="1" ht="51">
      <c r="A5" s="353" t="s">
        <v>683</v>
      </c>
      <c r="B5" s="356" t="s">
        <v>1701</v>
      </c>
      <c r="C5" s="353" t="s">
        <v>684</v>
      </c>
      <c r="D5" s="356" t="s">
        <v>685</v>
      </c>
      <c r="E5" s="356" t="s">
        <v>1279</v>
      </c>
      <c r="F5" s="357" t="s">
        <v>686</v>
      </c>
      <c r="G5" s="356" t="s">
        <v>687</v>
      </c>
      <c r="H5" s="295" t="s">
        <v>1268</v>
      </c>
      <c r="I5" s="295" t="s">
        <v>1269</v>
      </c>
      <c r="J5" s="361" t="s">
        <v>1272</v>
      </c>
      <c r="K5" s="363" t="s">
        <v>1267</v>
      </c>
      <c r="L5" s="361" t="s">
        <v>1282</v>
      </c>
      <c r="M5" s="363" t="s">
        <v>1274</v>
      </c>
      <c r="N5" s="363" t="s">
        <v>1267</v>
      </c>
      <c r="O5" s="363" t="s">
        <v>1273</v>
      </c>
      <c r="P5" s="363" t="s">
        <v>1270</v>
      </c>
      <c r="Q5" s="362" t="s">
        <v>1271</v>
      </c>
      <c r="R5" s="363" t="s">
        <v>1278</v>
      </c>
      <c r="S5" s="363" t="s">
        <v>1500</v>
      </c>
      <c r="T5" s="363" t="s">
        <v>1501</v>
      </c>
      <c r="U5" s="208"/>
      <c r="V5" s="360"/>
      <c r="W5" s="360"/>
      <c r="X5" s="360"/>
      <c r="Y5" s="360"/>
      <c r="Z5" s="360"/>
      <c r="AA5" s="360"/>
      <c r="AB5" s="360"/>
      <c r="AC5" s="360"/>
      <c r="AD5" s="360"/>
      <c r="AE5" s="360"/>
      <c r="AF5" s="360"/>
      <c r="AG5" s="360"/>
    </row>
    <row r="6" spans="1:33" ht="15.75">
      <c r="A6" s="204" t="s">
        <v>740</v>
      </c>
      <c r="B6" s="204" t="s">
        <v>1702</v>
      </c>
      <c r="C6" s="354">
        <v>43466</v>
      </c>
      <c r="D6" s="212" t="s">
        <v>741</v>
      </c>
      <c r="E6" s="295">
        <v>209496.56</v>
      </c>
      <c r="F6" s="212" t="s">
        <v>690</v>
      </c>
      <c r="G6" s="204"/>
      <c r="H6" s="295">
        <v>2080</v>
      </c>
      <c r="I6" s="295"/>
      <c r="J6" s="295"/>
      <c r="K6" s="295"/>
      <c r="L6" s="295"/>
      <c r="M6" s="295"/>
      <c r="N6" s="295"/>
      <c r="O6" s="295"/>
      <c r="P6" s="295"/>
      <c r="Q6" s="295"/>
      <c r="R6" s="295">
        <f>+E6*1.0389</f>
        <v>217645.97618399997</v>
      </c>
      <c r="S6" s="295"/>
      <c r="T6" s="66"/>
      <c r="U6" s="155">
        <f>+R6-E6</f>
        <v>8149.4161839999724</v>
      </c>
      <c r="V6" s="66"/>
      <c r="W6" s="66"/>
      <c r="X6" s="66"/>
      <c r="Y6" s="66"/>
      <c r="Z6" s="66"/>
      <c r="AA6" s="66"/>
      <c r="AB6" s="66"/>
      <c r="AC6" s="66"/>
      <c r="AD6" s="66"/>
      <c r="AE6" s="66"/>
      <c r="AF6" s="66"/>
      <c r="AG6" s="66"/>
    </row>
    <row r="7" spans="1:33" ht="15.75">
      <c r="A7" s="204"/>
      <c r="B7" s="204"/>
      <c r="C7" s="354"/>
      <c r="D7" s="212"/>
      <c r="E7" s="295"/>
      <c r="F7" s="212"/>
      <c r="G7" s="204"/>
      <c r="H7" s="295"/>
      <c r="I7" s="295"/>
      <c r="J7" s="295"/>
      <c r="K7" s="295"/>
      <c r="L7" s="295"/>
      <c r="M7" s="295"/>
      <c r="N7" s="295"/>
      <c r="O7" s="295"/>
      <c r="P7" s="295"/>
      <c r="Q7" s="295"/>
      <c r="R7" s="295"/>
      <c r="S7" s="295"/>
      <c r="T7" s="66"/>
      <c r="U7" s="155"/>
      <c r="V7" s="66"/>
      <c r="W7" s="66"/>
      <c r="X7" s="66"/>
      <c r="Y7" s="66"/>
      <c r="Z7" s="66"/>
      <c r="AA7" s="66"/>
      <c r="AB7" s="66"/>
      <c r="AC7" s="66"/>
      <c r="AD7" s="66"/>
      <c r="AE7" s="66"/>
      <c r="AF7" s="66"/>
      <c r="AG7" s="66"/>
    </row>
    <row r="8" spans="1:33" ht="15.75">
      <c r="A8" s="204" t="s">
        <v>691</v>
      </c>
      <c r="B8" s="204" t="s">
        <v>1702</v>
      </c>
      <c r="C8" s="354">
        <v>44256</v>
      </c>
      <c r="D8" s="212" t="s">
        <v>692</v>
      </c>
      <c r="E8" s="295">
        <v>3360</v>
      </c>
      <c r="F8" s="212" t="s">
        <v>690</v>
      </c>
      <c r="G8" s="204"/>
      <c r="H8" s="295">
        <v>160</v>
      </c>
      <c r="I8" s="295"/>
      <c r="J8" s="295">
        <v>22.85</v>
      </c>
      <c r="K8" s="295">
        <v>24.85</v>
      </c>
      <c r="L8" s="295"/>
      <c r="M8" s="295"/>
      <c r="N8" s="295"/>
      <c r="O8" s="295"/>
      <c r="P8" s="295"/>
      <c r="Q8" s="295"/>
      <c r="R8" s="295">
        <f>+K8*2080</f>
        <v>51688</v>
      </c>
      <c r="S8" s="295"/>
      <c r="T8" s="66"/>
      <c r="U8" s="155"/>
      <c r="V8" s="66"/>
      <c r="W8" s="66"/>
      <c r="X8" s="66"/>
      <c r="Y8" s="66"/>
      <c r="Z8" s="66"/>
      <c r="AA8" s="66"/>
      <c r="AB8" s="66"/>
      <c r="AC8" s="66"/>
      <c r="AD8" s="66"/>
      <c r="AE8" s="66"/>
      <c r="AF8" s="66"/>
      <c r="AG8" s="66"/>
    </row>
    <row r="9" spans="1:33" ht="15.75">
      <c r="A9" s="204" t="s">
        <v>691</v>
      </c>
      <c r="B9" s="204" t="s">
        <v>1702</v>
      </c>
      <c r="C9" s="354">
        <v>27589</v>
      </c>
      <c r="D9" s="212" t="s">
        <v>705</v>
      </c>
      <c r="E9" s="295">
        <v>44493.24</v>
      </c>
      <c r="F9" s="212" t="s">
        <v>690</v>
      </c>
      <c r="G9" s="204"/>
      <c r="H9" s="295">
        <v>996</v>
      </c>
      <c r="I9" s="295"/>
      <c r="J9" s="295">
        <v>41.93</v>
      </c>
      <c r="K9" s="295">
        <v>43.93</v>
      </c>
      <c r="L9" s="295"/>
      <c r="M9" s="295"/>
      <c r="N9" s="295"/>
      <c r="O9" s="295"/>
      <c r="P9" s="295"/>
      <c r="Q9" s="295"/>
      <c r="R9" s="295">
        <f>+K9*H9</f>
        <v>43754.28</v>
      </c>
      <c r="S9" s="295"/>
      <c r="T9" s="66"/>
      <c r="U9" s="155"/>
      <c r="V9" s="66"/>
      <c r="W9" s="66"/>
      <c r="X9" s="66"/>
      <c r="Y9" s="66"/>
      <c r="Z9" s="66"/>
      <c r="AA9" s="66"/>
      <c r="AB9" s="66"/>
      <c r="AC9" s="66"/>
      <c r="AD9" s="66"/>
      <c r="AE9" s="66"/>
      <c r="AF9" s="66"/>
      <c r="AG9" s="66"/>
    </row>
    <row r="10" spans="1:33" ht="15.75">
      <c r="A10" s="204" t="s">
        <v>691</v>
      </c>
      <c r="B10" s="204" t="s">
        <v>1702</v>
      </c>
      <c r="C10" s="354">
        <v>31719</v>
      </c>
      <c r="D10" s="212" t="s">
        <v>709</v>
      </c>
      <c r="E10" s="295">
        <v>5391.75</v>
      </c>
      <c r="F10" s="212" t="s">
        <v>690</v>
      </c>
      <c r="G10" s="354">
        <v>43969</v>
      </c>
      <c r="H10" s="295">
        <v>36</v>
      </c>
      <c r="I10" s="295"/>
      <c r="J10" s="295">
        <v>19.75</v>
      </c>
      <c r="K10" s="295">
        <v>21.75</v>
      </c>
      <c r="L10" s="295"/>
      <c r="M10" s="295"/>
      <c r="N10" s="295"/>
      <c r="O10" s="295"/>
      <c r="P10" s="295"/>
      <c r="Q10" s="295"/>
      <c r="R10" s="295"/>
      <c r="S10" s="295"/>
      <c r="T10" s="66"/>
      <c r="U10" s="155"/>
      <c r="V10" s="66"/>
      <c r="W10" s="66"/>
      <c r="X10" s="66"/>
      <c r="Y10" s="66"/>
      <c r="Z10" s="66"/>
      <c r="AA10" s="66"/>
      <c r="AB10" s="66"/>
      <c r="AC10" s="66"/>
      <c r="AD10" s="66"/>
      <c r="AE10" s="66"/>
      <c r="AF10" s="66"/>
      <c r="AG10" s="66"/>
    </row>
    <row r="11" spans="1:33" ht="15.75">
      <c r="A11" s="204" t="s">
        <v>691</v>
      </c>
      <c r="B11" s="204" t="s">
        <v>1702</v>
      </c>
      <c r="C11" s="354">
        <v>39104</v>
      </c>
      <c r="D11" s="212" t="s">
        <v>710</v>
      </c>
      <c r="E11" s="295">
        <v>49666.8</v>
      </c>
      <c r="F11" s="212" t="s">
        <v>690</v>
      </c>
      <c r="G11" s="204"/>
      <c r="H11" s="295">
        <v>2024</v>
      </c>
      <c r="I11" s="295"/>
      <c r="J11" s="295">
        <v>24.8</v>
      </c>
      <c r="K11" s="295">
        <v>26.8</v>
      </c>
      <c r="L11" s="295"/>
      <c r="M11" s="295"/>
      <c r="N11" s="295"/>
      <c r="O11" s="295"/>
      <c r="P11" s="295"/>
      <c r="Q11" s="295"/>
      <c r="R11" s="295">
        <f>+K11*H11</f>
        <v>54243.200000000004</v>
      </c>
      <c r="S11" s="218"/>
      <c r="T11" s="66"/>
      <c r="U11" s="155"/>
      <c r="V11" s="66"/>
      <c r="W11" s="66"/>
      <c r="X11" s="66"/>
      <c r="Y11" s="66"/>
      <c r="Z11" s="66"/>
      <c r="AA11" s="66"/>
      <c r="AB11" s="66"/>
      <c r="AC11" s="66"/>
      <c r="AD11" s="66"/>
      <c r="AE11" s="66"/>
      <c r="AF11" s="66"/>
      <c r="AG11" s="66"/>
    </row>
    <row r="12" spans="1:33" ht="15.75">
      <c r="A12" s="204" t="s">
        <v>691</v>
      </c>
      <c r="B12" s="204" t="s">
        <v>1702</v>
      </c>
      <c r="C12" s="354">
        <v>42710</v>
      </c>
      <c r="D12" s="212" t="s">
        <v>711</v>
      </c>
      <c r="E12" s="295">
        <v>44439.6</v>
      </c>
      <c r="F12" s="212" t="s">
        <v>690</v>
      </c>
      <c r="G12" s="204"/>
      <c r="H12" s="295">
        <v>1984</v>
      </c>
      <c r="I12" s="295"/>
      <c r="J12" s="295">
        <v>22.85</v>
      </c>
      <c r="K12" s="295">
        <v>24.85</v>
      </c>
      <c r="L12" s="295"/>
      <c r="M12" s="295"/>
      <c r="N12" s="295"/>
      <c r="O12" s="295"/>
      <c r="P12" s="295"/>
      <c r="Q12" s="295"/>
      <c r="R12" s="295">
        <f>+K12*H12</f>
        <v>49302.400000000001</v>
      </c>
      <c r="S12" s="218"/>
      <c r="T12" s="66"/>
      <c r="U12" s="155"/>
      <c r="V12" s="66"/>
      <c r="W12" s="66"/>
      <c r="X12" s="66"/>
      <c r="Y12" s="66"/>
      <c r="Z12" s="66"/>
      <c r="AA12" s="66"/>
      <c r="AB12" s="66"/>
      <c r="AC12" s="66"/>
      <c r="AD12" s="66"/>
      <c r="AE12" s="66"/>
      <c r="AF12" s="66"/>
      <c r="AG12" s="66"/>
    </row>
    <row r="13" spans="1:33" ht="15.75">
      <c r="A13" s="204" t="s">
        <v>691</v>
      </c>
      <c r="B13" s="204" t="s">
        <v>1702</v>
      </c>
      <c r="C13" s="354">
        <v>38467</v>
      </c>
      <c r="D13" s="212" t="s">
        <v>714</v>
      </c>
      <c r="E13" s="295">
        <v>34986.480000000003</v>
      </c>
      <c r="F13" s="212" t="s">
        <v>715</v>
      </c>
      <c r="G13" s="354">
        <v>44146</v>
      </c>
      <c r="H13" s="295">
        <v>1216</v>
      </c>
      <c r="I13" s="295"/>
      <c r="J13" s="295">
        <v>22.3</v>
      </c>
      <c r="K13" s="295"/>
      <c r="L13" s="295"/>
      <c r="M13" s="295"/>
      <c r="N13" s="295"/>
      <c r="O13" s="295"/>
      <c r="P13" s="295"/>
      <c r="Q13" s="295"/>
      <c r="R13" s="295"/>
      <c r="S13" s="295"/>
      <c r="T13" s="66"/>
      <c r="U13" s="155"/>
      <c r="V13" s="66"/>
      <c r="W13" s="66"/>
      <c r="X13" s="66"/>
      <c r="Y13" s="66"/>
      <c r="Z13" s="66"/>
      <c r="AA13" s="66"/>
      <c r="AB13" s="66"/>
      <c r="AC13" s="66"/>
      <c r="AD13" s="66"/>
      <c r="AE13" s="66"/>
      <c r="AF13" s="66"/>
      <c r="AG13" s="66"/>
    </row>
    <row r="14" spans="1:33" ht="15.75">
      <c r="A14" s="204" t="s">
        <v>691</v>
      </c>
      <c r="B14" s="204" t="s">
        <v>1702</v>
      </c>
      <c r="C14" s="354">
        <v>44146</v>
      </c>
      <c r="D14" s="212" t="s">
        <v>727</v>
      </c>
      <c r="E14" s="295">
        <v>13440</v>
      </c>
      <c r="F14" s="212" t="s">
        <v>715</v>
      </c>
      <c r="G14" s="354">
        <v>44243</v>
      </c>
      <c r="H14" s="295">
        <v>416</v>
      </c>
      <c r="I14" s="295"/>
      <c r="J14" s="295">
        <v>30</v>
      </c>
      <c r="K14" s="295"/>
      <c r="L14" s="295"/>
      <c r="M14" s="295"/>
      <c r="N14" s="295"/>
      <c r="O14" s="295"/>
      <c r="P14" s="295"/>
      <c r="Q14" s="295"/>
      <c r="R14" s="295"/>
      <c r="S14" s="295"/>
      <c r="T14" s="66"/>
      <c r="U14" s="155"/>
      <c r="V14" s="66"/>
      <c r="W14" s="66"/>
      <c r="X14" s="66"/>
      <c r="Y14" s="66"/>
      <c r="Z14" s="66"/>
      <c r="AA14" s="66"/>
      <c r="AB14" s="66"/>
      <c r="AC14" s="66"/>
      <c r="AD14" s="66"/>
      <c r="AE14" s="66"/>
      <c r="AF14" s="66"/>
      <c r="AG14" s="66"/>
    </row>
    <row r="15" spans="1:33" ht="15.75">
      <c r="A15" s="204" t="s">
        <v>691</v>
      </c>
      <c r="B15" s="204" t="s">
        <v>1702</v>
      </c>
      <c r="C15" s="354">
        <v>43201</v>
      </c>
      <c r="D15" s="212" t="s">
        <v>738</v>
      </c>
      <c r="E15" s="295">
        <v>73832.33</v>
      </c>
      <c r="F15" s="212" t="s">
        <v>690</v>
      </c>
      <c r="G15" s="204"/>
      <c r="H15" s="295">
        <v>2007</v>
      </c>
      <c r="I15" s="295">
        <v>3</v>
      </c>
      <c r="J15" s="295">
        <v>32.200000000000003</v>
      </c>
      <c r="K15" s="295">
        <v>34.200000000000003</v>
      </c>
      <c r="L15" s="295"/>
      <c r="M15" s="295"/>
      <c r="N15" s="295"/>
      <c r="O15" s="295"/>
      <c r="P15" s="295"/>
      <c r="Q15" s="295"/>
      <c r="R15" s="295">
        <f>+K15*2080+((K15*1.5)*I15)</f>
        <v>71289.899999999994</v>
      </c>
      <c r="S15" s="218"/>
      <c r="T15" s="66"/>
      <c r="U15" s="155"/>
      <c r="V15" s="66"/>
      <c r="W15" s="66"/>
      <c r="X15" s="66"/>
      <c r="Y15" s="66"/>
      <c r="Z15" s="66"/>
      <c r="AA15" s="66"/>
      <c r="AB15" s="66"/>
      <c r="AC15" s="66"/>
      <c r="AD15" s="66"/>
      <c r="AE15" s="66"/>
      <c r="AF15" s="66"/>
      <c r="AG15" s="66"/>
    </row>
    <row r="16" spans="1:33" ht="15.75">
      <c r="A16" s="204" t="s">
        <v>691</v>
      </c>
      <c r="B16" s="204" t="s">
        <v>1702</v>
      </c>
      <c r="C16" s="354">
        <v>28936</v>
      </c>
      <c r="D16" s="212" t="s">
        <v>745</v>
      </c>
      <c r="E16" s="295">
        <v>137517.01999999999</v>
      </c>
      <c r="F16" s="212" t="s">
        <v>1277</v>
      </c>
      <c r="G16" s="204"/>
      <c r="H16" s="295">
        <v>2032</v>
      </c>
      <c r="I16" s="295"/>
      <c r="J16" s="295">
        <v>47.45</v>
      </c>
      <c r="K16" s="295"/>
      <c r="L16" s="295"/>
      <c r="M16" s="295"/>
      <c r="N16" s="295"/>
      <c r="O16" s="295"/>
      <c r="P16" s="295"/>
      <c r="Q16" s="295"/>
      <c r="R16" s="295"/>
      <c r="S16" s="295"/>
      <c r="T16" s="66"/>
      <c r="U16" s="155"/>
      <c r="V16" s="66"/>
      <c r="W16" s="66"/>
      <c r="X16" s="66"/>
      <c r="Y16" s="66"/>
      <c r="Z16" s="66"/>
      <c r="AA16" s="66"/>
      <c r="AB16" s="66"/>
      <c r="AC16" s="66"/>
      <c r="AD16" s="66"/>
      <c r="AE16" s="66"/>
      <c r="AF16" s="66"/>
      <c r="AG16" s="66"/>
    </row>
    <row r="17" spans="1:33" ht="15.75">
      <c r="A17" s="204" t="s">
        <v>691</v>
      </c>
      <c r="B17" s="204" t="s">
        <v>1702</v>
      </c>
      <c r="C17" s="354">
        <v>33063</v>
      </c>
      <c r="D17" s="212" t="s">
        <v>747</v>
      </c>
      <c r="E17" s="352">
        <v>132906.72</v>
      </c>
      <c r="F17" s="212" t="s">
        <v>1277</v>
      </c>
      <c r="G17" s="204"/>
      <c r="H17" s="295">
        <v>2032</v>
      </c>
      <c r="I17" s="295"/>
      <c r="J17" s="295">
        <v>47.45</v>
      </c>
      <c r="K17" s="295"/>
      <c r="L17" s="295"/>
      <c r="M17" s="295"/>
      <c r="N17" s="295"/>
      <c r="O17" s="295"/>
      <c r="P17" s="295"/>
      <c r="Q17" s="295"/>
      <c r="R17" s="295"/>
      <c r="S17" s="295"/>
      <c r="T17" s="66"/>
      <c r="U17" s="155"/>
      <c r="V17" s="66"/>
      <c r="W17" s="66"/>
      <c r="X17" s="66"/>
      <c r="Y17" s="66"/>
      <c r="Z17" s="66"/>
      <c r="AA17" s="66"/>
      <c r="AB17" s="66"/>
      <c r="AC17" s="66"/>
      <c r="AD17" s="66"/>
      <c r="AE17" s="66"/>
      <c r="AF17" s="66"/>
      <c r="AG17" s="66"/>
    </row>
    <row r="18" spans="1:33" ht="15.75">
      <c r="A18" s="204"/>
      <c r="B18" s="204"/>
      <c r="C18" s="354"/>
      <c r="D18" s="212"/>
      <c r="E18" s="295">
        <f>SUM(E8:E17)</f>
        <v>540033.93999999994</v>
      </c>
      <c r="F18" s="212"/>
      <c r="G18" s="204"/>
      <c r="H18" s="204"/>
      <c r="I18" s="295"/>
      <c r="J18" s="295"/>
      <c r="K18" s="295"/>
      <c r="L18" s="295"/>
      <c r="M18" s="295"/>
      <c r="N18" s="295"/>
      <c r="O18" s="295"/>
      <c r="P18" s="295"/>
      <c r="Q18" s="295"/>
      <c r="R18" s="295"/>
      <c r="S18" s="295"/>
      <c r="T18" s="66"/>
      <c r="U18" s="155"/>
      <c r="V18" s="66"/>
      <c r="W18" s="66"/>
      <c r="X18" s="66"/>
      <c r="Y18" s="66"/>
      <c r="Z18" s="66"/>
      <c r="AA18" s="66"/>
      <c r="AB18" s="66"/>
      <c r="AC18" s="66"/>
      <c r="AD18" s="66"/>
      <c r="AE18" s="66"/>
      <c r="AF18" s="66"/>
      <c r="AG18" s="66"/>
    </row>
    <row r="19" spans="1:33" ht="15.75">
      <c r="A19" s="204"/>
      <c r="B19" s="204"/>
      <c r="C19" s="354" t="s">
        <v>1512</v>
      </c>
      <c r="D19" s="212"/>
      <c r="E19" s="295"/>
      <c r="F19" s="212"/>
      <c r="G19" s="204"/>
      <c r="H19" s="204"/>
      <c r="I19" s="295"/>
      <c r="J19" s="295"/>
      <c r="K19" s="295"/>
      <c r="L19" s="295"/>
      <c r="M19" s="295"/>
      <c r="N19" s="295"/>
      <c r="O19" s="295"/>
      <c r="P19" s="295"/>
      <c r="Q19" s="295"/>
      <c r="R19" s="295">
        <f>2080*22</f>
        <v>45760</v>
      </c>
      <c r="S19" s="295"/>
      <c r="T19" s="66"/>
      <c r="U19" s="155"/>
      <c r="V19" s="66"/>
      <c r="W19" s="66"/>
      <c r="X19" s="66"/>
      <c r="Y19" s="66"/>
      <c r="Z19" s="66"/>
      <c r="AA19" s="66"/>
      <c r="AB19" s="66"/>
      <c r="AC19" s="66"/>
      <c r="AD19" s="66"/>
      <c r="AE19" s="66"/>
      <c r="AF19" s="66"/>
      <c r="AG19" s="66"/>
    </row>
    <row r="20" spans="1:33" ht="15.75">
      <c r="A20" s="204"/>
      <c r="B20" s="204"/>
      <c r="C20" s="354" t="s">
        <v>1275</v>
      </c>
      <c r="D20" s="212"/>
      <c r="E20" s="295"/>
      <c r="F20" s="212"/>
      <c r="G20" s="204"/>
      <c r="H20" s="204"/>
      <c r="I20" s="295"/>
      <c r="J20" s="295"/>
      <c r="K20" s="295"/>
      <c r="L20" s="295"/>
      <c r="M20" s="295"/>
      <c r="N20" s="295"/>
      <c r="O20" s="295"/>
      <c r="P20" s="295"/>
      <c r="Q20" s="295"/>
      <c r="R20" s="295">
        <v>105000</v>
      </c>
      <c r="S20" s="295"/>
      <c r="T20" s="66"/>
      <c r="U20" s="155"/>
      <c r="V20" s="66"/>
      <c r="W20" s="66"/>
      <c r="X20" s="66"/>
      <c r="Y20" s="66"/>
      <c r="Z20" s="66"/>
      <c r="AA20" s="66"/>
      <c r="AB20" s="66"/>
      <c r="AC20" s="66"/>
      <c r="AD20" s="66"/>
      <c r="AE20" s="66"/>
      <c r="AF20" s="66"/>
      <c r="AG20" s="66"/>
    </row>
    <row r="21" spans="1:33" ht="15.75">
      <c r="A21" s="204"/>
      <c r="B21" s="204"/>
      <c r="C21" s="354" t="s">
        <v>1276</v>
      </c>
      <c r="D21" s="212"/>
      <c r="E21" s="295"/>
      <c r="F21" s="212"/>
      <c r="G21" s="204"/>
      <c r="H21" s="204"/>
      <c r="I21" s="295"/>
      <c r="J21" s="295"/>
      <c r="K21" s="295"/>
      <c r="L21" s="295"/>
      <c r="M21" s="295"/>
      <c r="N21" s="295"/>
      <c r="O21" s="295"/>
      <c r="P21" s="295"/>
      <c r="Q21" s="295"/>
      <c r="R21" s="352">
        <v>100000</v>
      </c>
      <c r="S21" s="295"/>
      <c r="T21" s="66"/>
      <c r="U21" s="155"/>
      <c r="V21" s="66"/>
      <c r="W21" s="66"/>
      <c r="X21" s="66"/>
      <c r="Y21" s="66"/>
      <c r="Z21" s="66"/>
      <c r="AA21" s="66"/>
      <c r="AB21" s="66"/>
      <c r="AC21" s="66"/>
      <c r="AD21" s="66"/>
      <c r="AE21" s="66"/>
      <c r="AF21" s="66"/>
      <c r="AG21" s="66"/>
    </row>
    <row r="22" spans="1:33" ht="15.75">
      <c r="A22" s="204"/>
      <c r="B22" s="204"/>
      <c r="C22" s="354"/>
      <c r="D22" s="204"/>
      <c r="E22" s="295"/>
      <c r="F22" s="212"/>
      <c r="G22" s="204"/>
      <c r="H22" s="204"/>
      <c r="I22" s="295"/>
      <c r="J22" s="295"/>
      <c r="K22" s="295"/>
      <c r="L22" s="295"/>
      <c r="M22" s="295"/>
      <c r="N22" s="295"/>
      <c r="O22" s="295"/>
      <c r="P22" s="295"/>
      <c r="Q22" s="295"/>
      <c r="R22" s="295">
        <f>SUM(R8:R21)</f>
        <v>521037.78</v>
      </c>
      <c r="S22" s="295"/>
      <c r="T22" s="66"/>
      <c r="U22" s="155">
        <f>+R22-E18</f>
        <v>-18996.159999999916</v>
      </c>
      <c r="V22" s="66"/>
      <c r="W22" s="66"/>
      <c r="X22" s="66"/>
      <c r="Y22" s="66"/>
      <c r="Z22" s="66"/>
      <c r="AA22" s="66"/>
      <c r="AB22" s="66"/>
      <c r="AC22" s="66"/>
      <c r="AD22" s="66"/>
      <c r="AE22" s="66"/>
      <c r="AF22" s="66"/>
      <c r="AG22" s="66"/>
    </row>
    <row r="23" spans="1:33" ht="15.75">
      <c r="A23" s="204"/>
      <c r="B23" s="204"/>
      <c r="C23" s="354"/>
      <c r="D23" s="204"/>
      <c r="E23" s="295"/>
      <c r="F23" s="212"/>
      <c r="G23" s="204"/>
      <c r="H23" s="204"/>
      <c r="I23" s="295"/>
      <c r="J23" s="295"/>
      <c r="K23" s="295"/>
      <c r="L23" s="295"/>
      <c r="M23" s="295"/>
      <c r="N23" s="295"/>
      <c r="O23" s="295"/>
      <c r="P23" s="295"/>
      <c r="Q23" s="295"/>
      <c r="R23" s="295"/>
      <c r="S23" s="295"/>
      <c r="T23" s="66"/>
      <c r="U23" s="155"/>
      <c r="V23" s="66"/>
      <c r="W23" s="66"/>
      <c r="X23" s="66"/>
      <c r="Y23" s="66"/>
      <c r="Z23" s="66"/>
      <c r="AA23" s="66"/>
      <c r="AB23" s="66"/>
      <c r="AC23" s="66"/>
      <c r="AD23" s="66"/>
      <c r="AE23" s="66"/>
      <c r="AF23" s="66"/>
      <c r="AG23" s="66"/>
    </row>
    <row r="24" spans="1:33" ht="15.75">
      <c r="A24" s="204"/>
      <c r="B24" s="204"/>
      <c r="C24" s="354"/>
      <c r="D24" s="204"/>
      <c r="E24" s="295"/>
      <c r="F24" s="212"/>
      <c r="G24" s="204"/>
      <c r="H24" s="204"/>
      <c r="I24" s="295"/>
      <c r="J24" s="295"/>
      <c r="K24" s="295"/>
      <c r="L24" s="295"/>
      <c r="M24" s="295"/>
      <c r="N24" s="295"/>
      <c r="O24" s="295"/>
      <c r="P24" s="295"/>
      <c r="Q24" s="295"/>
      <c r="R24" s="295"/>
      <c r="S24" s="295"/>
      <c r="T24" s="66"/>
      <c r="U24" s="155"/>
      <c r="V24" s="66"/>
      <c r="W24" s="66"/>
      <c r="X24" s="66"/>
      <c r="Y24" s="66"/>
      <c r="Z24" s="66"/>
      <c r="AA24" s="66"/>
      <c r="AB24" s="66"/>
      <c r="AC24" s="66"/>
      <c r="AD24" s="66"/>
      <c r="AE24" s="66"/>
      <c r="AF24" s="66"/>
      <c r="AG24" s="66"/>
    </row>
    <row r="25" spans="1:33" ht="15.75">
      <c r="A25" s="204"/>
      <c r="B25" s="204"/>
      <c r="C25" s="354"/>
      <c r="D25" s="204"/>
      <c r="E25" s="295"/>
      <c r="F25" s="212"/>
      <c r="G25" s="204"/>
      <c r="H25" s="204"/>
      <c r="I25" s="295"/>
      <c r="J25" s="295"/>
      <c r="K25" s="295"/>
      <c r="L25" s="295"/>
      <c r="M25" s="295"/>
      <c r="N25" s="295"/>
      <c r="O25" s="295"/>
      <c r="P25" s="295"/>
      <c r="Q25" s="295"/>
      <c r="R25" s="295"/>
      <c r="S25" s="295"/>
      <c r="T25" s="66"/>
      <c r="U25" s="155"/>
      <c r="V25" s="66"/>
      <c r="W25" s="66"/>
      <c r="X25" s="66"/>
      <c r="Y25" s="66"/>
      <c r="Z25" s="66"/>
      <c r="AA25" s="66"/>
      <c r="AB25" s="66"/>
      <c r="AC25" s="66"/>
      <c r="AD25" s="66"/>
      <c r="AE25" s="66"/>
      <c r="AF25" s="66"/>
      <c r="AG25" s="66"/>
    </row>
    <row r="26" spans="1:33" ht="15.75">
      <c r="A26" s="204" t="s">
        <v>688</v>
      </c>
      <c r="B26" s="204" t="s">
        <v>1702</v>
      </c>
      <c r="C26" s="354">
        <v>42843</v>
      </c>
      <c r="D26" s="212" t="s">
        <v>689</v>
      </c>
      <c r="E26" s="295">
        <f>31808.13+36279.75+216.64</f>
        <v>68304.52</v>
      </c>
      <c r="F26" s="212" t="s">
        <v>690</v>
      </c>
      <c r="G26" s="204"/>
      <c r="H26" s="295">
        <v>1797</v>
      </c>
      <c r="I26" s="295">
        <v>182.5</v>
      </c>
      <c r="J26" s="360"/>
      <c r="K26" s="360"/>
      <c r="L26" s="360">
        <v>26.63</v>
      </c>
      <c r="M26" s="295">
        <v>29.7</v>
      </c>
      <c r="N26" s="295">
        <v>31.5</v>
      </c>
      <c r="O26" s="295"/>
      <c r="P26" s="295"/>
      <c r="Q26" s="295"/>
      <c r="R26" s="295">
        <f>+E26*S26</f>
        <v>80795.808486669179</v>
      </c>
      <c r="S26" s="218">
        <f>+N26/L26</f>
        <v>1.182876455125798</v>
      </c>
      <c r="T26" s="66"/>
      <c r="U26" s="155"/>
      <c r="V26" s="66"/>
      <c r="W26" s="66"/>
      <c r="X26" s="66"/>
      <c r="Y26" s="66"/>
      <c r="Z26" s="66"/>
      <c r="AA26" s="66"/>
      <c r="AB26" s="66"/>
      <c r="AC26" s="66"/>
      <c r="AD26" s="66"/>
      <c r="AE26" s="66"/>
      <c r="AF26" s="66"/>
      <c r="AG26" s="66"/>
    </row>
    <row r="27" spans="1:33" ht="15.75">
      <c r="A27" s="204" t="s">
        <v>688</v>
      </c>
      <c r="B27" s="204" t="s">
        <v>1702</v>
      </c>
      <c r="C27" s="354">
        <v>41295</v>
      </c>
      <c r="D27" s="212" t="s">
        <v>699</v>
      </c>
      <c r="E27" s="295">
        <f>56010.58+6187.5</f>
        <v>62198.080000000002</v>
      </c>
      <c r="F27" s="212" t="s">
        <v>690</v>
      </c>
      <c r="G27" s="204"/>
      <c r="H27" s="295">
        <v>1284.5</v>
      </c>
      <c r="I27" s="295">
        <v>22</v>
      </c>
      <c r="J27" s="360"/>
      <c r="K27" s="360"/>
      <c r="L27" s="360">
        <v>32.25</v>
      </c>
      <c r="M27" s="295">
        <v>33</v>
      </c>
      <c r="N27" s="295">
        <v>35</v>
      </c>
      <c r="O27" s="295"/>
      <c r="P27" s="295"/>
      <c r="Q27" s="295"/>
      <c r="R27" s="295">
        <f t="shared" ref="R27:R33" si="0">+E27*S27</f>
        <v>67501.792248062018</v>
      </c>
      <c r="S27" s="218">
        <f t="shared" ref="S27:S33" si="1">+N27/L27</f>
        <v>1.0852713178294573</v>
      </c>
      <c r="T27" s="66"/>
      <c r="U27" s="155"/>
      <c r="V27" s="66"/>
      <c r="W27" s="66"/>
      <c r="X27" s="66"/>
      <c r="Y27" s="66"/>
      <c r="Z27" s="66"/>
      <c r="AA27" s="66"/>
      <c r="AB27" s="66"/>
      <c r="AC27" s="66"/>
      <c r="AD27" s="66"/>
      <c r="AE27" s="66"/>
      <c r="AF27" s="66"/>
      <c r="AG27" s="66"/>
    </row>
    <row r="28" spans="1:33" ht="15.75">
      <c r="A28" s="204" t="s">
        <v>688</v>
      </c>
      <c r="B28" s="204" t="s">
        <v>1702</v>
      </c>
      <c r="C28" s="354">
        <v>38421</v>
      </c>
      <c r="D28" s="212" t="s">
        <v>722</v>
      </c>
      <c r="E28" s="295">
        <f>58041.27+12055.53+1050</f>
        <v>71146.8</v>
      </c>
      <c r="F28" s="212" t="s">
        <v>690</v>
      </c>
      <c r="G28" s="204"/>
      <c r="H28" s="295">
        <v>1736</v>
      </c>
      <c r="I28" s="295">
        <v>25</v>
      </c>
      <c r="J28" s="360"/>
      <c r="K28" s="360"/>
      <c r="L28" s="360">
        <v>32.25</v>
      </c>
      <c r="M28" s="295">
        <v>33</v>
      </c>
      <c r="N28" s="295">
        <v>35</v>
      </c>
      <c r="O28" s="295"/>
      <c r="P28" s="295"/>
      <c r="Q28" s="295"/>
      <c r="R28" s="295">
        <f t="shared" si="0"/>
        <v>77213.58139534884</v>
      </c>
      <c r="S28" s="218">
        <f t="shared" si="1"/>
        <v>1.0852713178294573</v>
      </c>
      <c r="T28" s="66"/>
      <c r="U28" s="155"/>
      <c r="V28" s="66"/>
      <c r="W28" s="66"/>
      <c r="X28" s="66"/>
      <c r="Y28" s="66"/>
      <c r="Z28" s="66"/>
      <c r="AA28" s="66"/>
      <c r="AB28" s="66"/>
      <c r="AC28" s="66"/>
      <c r="AD28" s="66"/>
      <c r="AE28" s="66"/>
      <c r="AF28" s="66"/>
      <c r="AG28" s="66"/>
    </row>
    <row r="29" spans="1:33" ht="15.75">
      <c r="A29" s="204" t="s">
        <v>688</v>
      </c>
      <c r="B29" s="204" t="s">
        <v>1702</v>
      </c>
      <c r="C29" s="354">
        <v>39475</v>
      </c>
      <c r="D29" s="212" t="s">
        <v>723</v>
      </c>
      <c r="E29" s="295">
        <v>71728.160000000003</v>
      </c>
      <c r="F29" s="212" t="s">
        <v>690</v>
      </c>
      <c r="G29" s="204"/>
      <c r="H29" s="295">
        <v>1686.5</v>
      </c>
      <c r="I29" s="295">
        <v>30.5</v>
      </c>
      <c r="J29" s="360"/>
      <c r="K29" s="360"/>
      <c r="L29" s="360">
        <v>32.25</v>
      </c>
      <c r="M29" s="295">
        <v>33</v>
      </c>
      <c r="N29" s="295">
        <v>35</v>
      </c>
      <c r="O29" s="295"/>
      <c r="P29" s="295"/>
      <c r="Q29" s="295"/>
      <c r="R29" s="295">
        <f t="shared" si="0"/>
        <v>77844.514728682174</v>
      </c>
      <c r="S29" s="218">
        <f t="shared" si="1"/>
        <v>1.0852713178294573</v>
      </c>
      <c r="T29" s="66"/>
      <c r="U29" s="155"/>
      <c r="V29" s="66"/>
      <c r="W29" s="66"/>
      <c r="X29" s="66"/>
      <c r="Y29" s="66"/>
      <c r="Z29" s="66"/>
      <c r="AA29" s="66"/>
      <c r="AB29" s="66"/>
      <c r="AC29" s="66"/>
      <c r="AD29" s="66"/>
      <c r="AE29" s="66"/>
      <c r="AF29" s="66"/>
      <c r="AG29" s="66"/>
    </row>
    <row r="30" spans="1:33" ht="15.75">
      <c r="A30" s="204" t="s">
        <v>688</v>
      </c>
      <c r="B30" s="204" t="s">
        <v>1702</v>
      </c>
      <c r="C30" s="354">
        <v>38881</v>
      </c>
      <c r="D30" s="212" t="s">
        <v>730</v>
      </c>
      <c r="E30" s="295">
        <f>71037.92</f>
        <v>71037.919999999998</v>
      </c>
      <c r="F30" s="212" t="s">
        <v>690</v>
      </c>
      <c r="G30" s="204"/>
      <c r="H30" s="295">
        <v>1567.5</v>
      </c>
      <c r="I30" s="295">
        <v>22.5</v>
      </c>
      <c r="J30" s="360"/>
      <c r="K30" s="360"/>
      <c r="L30" s="360">
        <v>32.25</v>
      </c>
      <c r="M30" s="295">
        <v>33</v>
      </c>
      <c r="N30" s="295">
        <v>35</v>
      </c>
      <c r="O30" s="295"/>
      <c r="P30" s="295"/>
      <c r="Q30" s="295"/>
      <c r="R30" s="295">
        <f t="shared" si="0"/>
        <v>77095.417054263555</v>
      </c>
      <c r="S30" s="218">
        <f t="shared" si="1"/>
        <v>1.0852713178294573</v>
      </c>
      <c r="T30" s="66"/>
      <c r="U30" s="155"/>
      <c r="V30" s="66"/>
      <c r="W30" s="66"/>
      <c r="X30" s="66"/>
      <c r="Y30" s="66"/>
      <c r="Z30" s="66"/>
      <c r="AA30" s="66"/>
      <c r="AB30" s="66"/>
      <c r="AC30" s="66"/>
      <c r="AD30" s="66"/>
      <c r="AE30" s="66"/>
      <c r="AF30" s="66"/>
      <c r="AG30" s="66"/>
    </row>
    <row r="31" spans="1:33" ht="15.75">
      <c r="A31" s="204" t="s">
        <v>688</v>
      </c>
      <c r="B31" s="204" t="s">
        <v>1702</v>
      </c>
      <c r="C31" s="354">
        <v>34820</v>
      </c>
      <c r="D31" s="212" t="s">
        <v>731</v>
      </c>
      <c r="E31" s="295">
        <f>70366.11</f>
        <v>70366.11</v>
      </c>
      <c r="F31" s="212" t="s">
        <v>690</v>
      </c>
      <c r="G31" s="204"/>
      <c r="H31" s="295">
        <v>1227</v>
      </c>
      <c r="I31" s="295">
        <v>35.5</v>
      </c>
      <c r="J31" s="360"/>
      <c r="K31" s="360"/>
      <c r="L31" s="360">
        <v>32.25</v>
      </c>
      <c r="M31" s="295">
        <v>33</v>
      </c>
      <c r="N31" s="295">
        <v>35</v>
      </c>
      <c r="O31" s="295"/>
      <c r="P31" s="295"/>
      <c r="Q31" s="295"/>
      <c r="R31" s="295">
        <f t="shared" si="0"/>
        <v>76366.320930232556</v>
      </c>
      <c r="S31" s="218">
        <f t="shared" si="1"/>
        <v>1.0852713178294573</v>
      </c>
      <c r="T31" s="66"/>
      <c r="U31" s="155"/>
      <c r="V31" s="66"/>
      <c r="W31" s="66"/>
      <c r="X31" s="66"/>
      <c r="Y31" s="66"/>
      <c r="Z31" s="66"/>
      <c r="AA31" s="66"/>
      <c r="AB31" s="66"/>
      <c r="AC31" s="66"/>
      <c r="AD31" s="66"/>
      <c r="AE31" s="66"/>
      <c r="AF31" s="66"/>
      <c r="AG31" s="66"/>
    </row>
    <row r="32" spans="1:33" ht="15.75">
      <c r="A32" s="204" t="s">
        <v>688</v>
      </c>
      <c r="B32" s="204" t="s">
        <v>1702</v>
      </c>
      <c r="C32" s="354">
        <v>39780</v>
      </c>
      <c r="D32" s="212" t="s">
        <v>739</v>
      </c>
      <c r="E32" s="295">
        <f>48661.28+3985.88+1394.25+33949.91</f>
        <v>87991.32</v>
      </c>
      <c r="F32" s="212" t="s">
        <v>690</v>
      </c>
      <c r="G32" s="204"/>
      <c r="H32" s="295">
        <v>1792</v>
      </c>
      <c r="I32" s="295">
        <v>296</v>
      </c>
      <c r="J32" s="360"/>
      <c r="K32" s="360"/>
      <c r="L32" s="360">
        <v>32.25</v>
      </c>
      <c r="M32" s="295">
        <v>33</v>
      </c>
      <c r="N32" s="295">
        <v>35</v>
      </c>
      <c r="O32" s="295"/>
      <c r="P32" s="295"/>
      <c r="Q32" s="295"/>
      <c r="R32" s="295">
        <f t="shared" si="0"/>
        <v>95494.455813953493</v>
      </c>
      <c r="S32" s="218">
        <f t="shared" si="1"/>
        <v>1.0852713178294573</v>
      </c>
      <c r="T32" s="66"/>
      <c r="U32" s="155"/>
      <c r="V32" s="66"/>
      <c r="W32" s="66"/>
      <c r="X32" s="66"/>
      <c r="Y32" s="66"/>
      <c r="Z32" s="66"/>
      <c r="AA32" s="66"/>
      <c r="AB32" s="66"/>
      <c r="AC32" s="66"/>
      <c r="AD32" s="66"/>
      <c r="AE32" s="66"/>
      <c r="AF32" s="66"/>
      <c r="AG32" s="66"/>
    </row>
    <row r="33" spans="1:33" ht="15.75">
      <c r="A33" s="204" t="s">
        <v>688</v>
      </c>
      <c r="B33" s="204" t="s">
        <v>1702</v>
      </c>
      <c r="C33" s="354">
        <v>39223</v>
      </c>
      <c r="D33" s="212" t="s">
        <v>743</v>
      </c>
      <c r="E33" s="295">
        <f>74338.17</f>
        <v>74338.17</v>
      </c>
      <c r="F33" s="212" t="s">
        <v>690</v>
      </c>
      <c r="G33" s="204"/>
      <c r="H33" s="295">
        <v>1773</v>
      </c>
      <c r="I33" s="295">
        <v>46</v>
      </c>
      <c r="J33" s="360"/>
      <c r="K33" s="360"/>
      <c r="L33" s="360">
        <v>32.25</v>
      </c>
      <c r="M33" s="295">
        <v>33</v>
      </c>
      <c r="N33" s="295">
        <v>35</v>
      </c>
      <c r="O33" s="295"/>
      <c r="P33" s="295"/>
      <c r="Q33" s="295"/>
      <c r="R33" s="295">
        <f t="shared" si="0"/>
        <v>80677.083720930226</v>
      </c>
      <c r="S33" s="218">
        <f t="shared" si="1"/>
        <v>1.0852713178294573</v>
      </c>
      <c r="T33" s="66"/>
      <c r="U33" s="155"/>
      <c r="V33" s="66"/>
      <c r="W33" s="66"/>
      <c r="X33" s="66"/>
      <c r="Y33" s="66"/>
      <c r="Z33" s="66"/>
      <c r="AA33" s="66"/>
      <c r="AB33" s="66"/>
      <c r="AC33" s="66"/>
      <c r="AD33" s="66"/>
      <c r="AE33" s="66"/>
      <c r="AF33" s="66"/>
      <c r="AG33" s="66"/>
    </row>
    <row r="34" spans="1:33" ht="15.75">
      <c r="A34" s="204" t="s">
        <v>688</v>
      </c>
      <c r="B34" s="204" t="s">
        <v>1702</v>
      </c>
      <c r="C34" s="354">
        <v>43829</v>
      </c>
      <c r="D34" s="212" t="s">
        <v>746</v>
      </c>
      <c r="E34" s="295">
        <v>8971.5</v>
      </c>
      <c r="F34" s="212" t="s">
        <v>1277</v>
      </c>
      <c r="G34" s="354">
        <v>44299</v>
      </c>
      <c r="H34" s="295">
        <v>213</v>
      </c>
      <c r="I34" s="295">
        <v>1</v>
      </c>
      <c r="J34" s="360"/>
      <c r="K34" s="360"/>
      <c r="L34" s="360">
        <v>32.25</v>
      </c>
      <c r="M34" s="295">
        <v>33</v>
      </c>
      <c r="N34" s="295">
        <v>35</v>
      </c>
      <c r="O34" s="295"/>
      <c r="P34" s="295"/>
      <c r="Q34" s="295"/>
      <c r="R34" s="295"/>
      <c r="S34" s="295"/>
      <c r="T34" s="66"/>
      <c r="U34" s="155"/>
      <c r="V34" s="66"/>
      <c r="W34" s="66"/>
      <c r="X34" s="66"/>
      <c r="Y34" s="66"/>
      <c r="Z34" s="66"/>
      <c r="AA34" s="66"/>
      <c r="AB34" s="66"/>
      <c r="AC34" s="66"/>
      <c r="AD34" s="66"/>
      <c r="AE34" s="66"/>
      <c r="AF34" s="66"/>
      <c r="AG34" s="66"/>
    </row>
    <row r="35" spans="1:33" ht="15.75">
      <c r="A35" s="204" t="s">
        <v>688</v>
      </c>
      <c r="B35" s="204" t="s">
        <v>1702</v>
      </c>
      <c r="C35" s="354">
        <v>40654</v>
      </c>
      <c r="D35" s="212" t="s">
        <v>751</v>
      </c>
      <c r="E35" s="295">
        <f>63479.11+264+9512.67</f>
        <v>73255.78</v>
      </c>
      <c r="F35" s="212" t="s">
        <v>690</v>
      </c>
      <c r="G35" s="204"/>
      <c r="H35" s="295">
        <v>1706</v>
      </c>
      <c r="I35" s="295">
        <v>37</v>
      </c>
      <c r="J35" s="360"/>
      <c r="K35" s="360"/>
      <c r="L35" s="360">
        <v>32.25</v>
      </c>
      <c r="M35" s="295">
        <v>33</v>
      </c>
      <c r="N35" s="295">
        <v>35</v>
      </c>
      <c r="O35" s="295"/>
      <c r="P35" s="295"/>
      <c r="Q35" s="295"/>
      <c r="R35" s="295">
        <f t="shared" ref="R35:R39" si="2">+E35*S35</f>
        <v>79502.396899224797</v>
      </c>
      <c r="S35" s="218">
        <f t="shared" ref="S35:S39" si="3">+N35/L35</f>
        <v>1.0852713178294573</v>
      </c>
      <c r="T35" s="66"/>
      <c r="U35" s="155"/>
      <c r="V35" s="66"/>
      <c r="W35" s="66"/>
      <c r="X35" s="66"/>
      <c r="Y35" s="66"/>
      <c r="Z35" s="66"/>
      <c r="AA35" s="66"/>
      <c r="AB35" s="66"/>
      <c r="AC35" s="66"/>
      <c r="AD35" s="66"/>
      <c r="AE35" s="66"/>
      <c r="AF35" s="66"/>
      <c r="AG35" s="66"/>
    </row>
    <row r="36" spans="1:33" ht="15.75">
      <c r="A36" s="204" t="s">
        <v>688</v>
      </c>
      <c r="B36" s="204" t="s">
        <v>1702</v>
      </c>
      <c r="C36" s="354">
        <v>41089</v>
      </c>
      <c r="D36" s="212" t="s">
        <v>752</v>
      </c>
      <c r="E36" s="295">
        <f>71154.39+1056</f>
        <v>72210.39</v>
      </c>
      <c r="F36" s="212" t="s">
        <v>690</v>
      </c>
      <c r="G36" s="204"/>
      <c r="H36" s="295">
        <v>1592</v>
      </c>
      <c r="I36" s="295">
        <v>43.5</v>
      </c>
      <c r="J36" s="360"/>
      <c r="K36" s="360"/>
      <c r="L36" s="360">
        <v>32.25</v>
      </c>
      <c r="M36" s="295">
        <v>33</v>
      </c>
      <c r="N36" s="295">
        <v>35</v>
      </c>
      <c r="O36" s="295"/>
      <c r="P36" s="295"/>
      <c r="Q36" s="295"/>
      <c r="R36" s="295">
        <f t="shared" si="2"/>
        <v>78367.865116279063</v>
      </c>
      <c r="S36" s="218">
        <f t="shared" si="3"/>
        <v>1.0852713178294573</v>
      </c>
      <c r="T36" s="66"/>
      <c r="U36" s="155"/>
      <c r="V36" s="66"/>
      <c r="W36" s="66"/>
      <c r="X36" s="66"/>
      <c r="Y36" s="66"/>
      <c r="Z36" s="66"/>
      <c r="AA36" s="66"/>
      <c r="AB36" s="66"/>
      <c r="AC36" s="66"/>
      <c r="AD36" s="66"/>
      <c r="AE36" s="66"/>
      <c r="AF36" s="66"/>
      <c r="AG36" s="66"/>
    </row>
    <row r="37" spans="1:33" ht="15.75">
      <c r="A37" s="204" t="s">
        <v>688</v>
      </c>
      <c r="B37" s="204" t="s">
        <v>1702</v>
      </c>
      <c r="C37" s="354">
        <v>36752</v>
      </c>
      <c r="D37" s="212" t="s">
        <v>753</v>
      </c>
      <c r="E37" s="295">
        <f>57613.14+16811.48</f>
        <v>74424.62</v>
      </c>
      <c r="F37" s="212" t="s">
        <v>690</v>
      </c>
      <c r="G37" s="204"/>
      <c r="H37" s="295">
        <v>1680.5</v>
      </c>
      <c r="I37" s="295">
        <v>91</v>
      </c>
      <c r="J37" s="360"/>
      <c r="K37" s="360"/>
      <c r="L37" s="360">
        <v>32.25</v>
      </c>
      <c r="M37" s="295">
        <v>33</v>
      </c>
      <c r="N37" s="295">
        <v>35</v>
      </c>
      <c r="O37" s="295"/>
      <c r="P37" s="295"/>
      <c r="Q37" s="295"/>
      <c r="R37" s="295">
        <f t="shared" si="2"/>
        <v>80770.905426356578</v>
      </c>
      <c r="S37" s="218">
        <f t="shared" si="3"/>
        <v>1.0852713178294573</v>
      </c>
      <c r="T37" s="66"/>
      <c r="U37" s="155"/>
      <c r="V37" s="66"/>
      <c r="W37" s="66"/>
      <c r="X37" s="66"/>
      <c r="Y37" s="66"/>
      <c r="Z37" s="66"/>
      <c r="AA37" s="66"/>
      <c r="AB37" s="66"/>
      <c r="AC37" s="66"/>
      <c r="AD37" s="66"/>
      <c r="AE37" s="66"/>
      <c r="AF37" s="66"/>
      <c r="AG37" s="66"/>
    </row>
    <row r="38" spans="1:33" ht="15.75">
      <c r="A38" s="204" t="s">
        <v>688</v>
      </c>
      <c r="B38" s="204" t="s">
        <v>1702</v>
      </c>
      <c r="C38" s="354">
        <v>41813</v>
      </c>
      <c r="D38" s="212" t="s">
        <v>755</v>
      </c>
      <c r="E38" s="295">
        <f>36304.37+3082.93+213.44+29953.2+258</f>
        <v>69811.94</v>
      </c>
      <c r="F38" s="212" t="s">
        <v>690</v>
      </c>
      <c r="G38" s="204"/>
      <c r="H38" s="295">
        <v>1800</v>
      </c>
      <c r="I38" s="295">
        <v>54.5</v>
      </c>
      <c r="J38" s="360"/>
      <c r="K38" s="360"/>
      <c r="L38" s="360">
        <v>32.25</v>
      </c>
      <c r="M38" s="295">
        <v>33</v>
      </c>
      <c r="N38" s="295">
        <v>35</v>
      </c>
      <c r="O38" s="295"/>
      <c r="P38" s="295"/>
      <c r="Q38" s="295"/>
      <c r="R38" s="295">
        <f t="shared" si="2"/>
        <v>75764.896124031002</v>
      </c>
      <c r="S38" s="218">
        <f t="shared" si="3"/>
        <v>1.0852713178294573</v>
      </c>
      <c r="T38" s="66"/>
      <c r="U38" s="155"/>
      <c r="V38" s="66"/>
      <c r="W38" s="66"/>
      <c r="X38" s="66"/>
      <c r="Y38" s="66"/>
      <c r="Z38" s="66"/>
      <c r="AA38" s="66"/>
      <c r="AB38" s="66"/>
      <c r="AC38" s="66"/>
      <c r="AD38" s="66"/>
      <c r="AE38" s="66"/>
      <c r="AF38" s="66"/>
      <c r="AG38" s="66"/>
    </row>
    <row r="39" spans="1:33" ht="15.75">
      <c r="A39" s="204" t="s">
        <v>688</v>
      </c>
      <c r="B39" s="204" t="s">
        <v>1702</v>
      </c>
      <c r="C39" s="354">
        <v>39647</v>
      </c>
      <c r="D39" s="212" t="s">
        <v>756</v>
      </c>
      <c r="E39" s="352">
        <f>63862.61+7473.75+2336.06</f>
        <v>73672.42</v>
      </c>
      <c r="F39" s="212" t="s">
        <v>690</v>
      </c>
      <c r="G39" s="204"/>
      <c r="H39" s="352">
        <v>1496.5</v>
      </c>
      <c r="I39" s="352">
        <v>82</v>
      </c>
      <c r="J39" s="360"/>
      <c r="K39" s="360"/>
      <c r="L39" s="360">
        <v>32.25</v>
      </c>
      <c r="M39" s="295">
        <v>33</v>
      </c>
      <c r="N39" s="295">
        <v>35</v>
      </c>
      <c r="O39" s="295"/>
      <c r="P39" s="295"/>
      <c r="Q39" s="295"/>
      <c r="R39" s="352">
        <f t="shared" si="2"/>
        <v>79954.564341085264</v>
      </c>
      <c r="S39" s="218">
        <f t="shared" si="3"/>
        <v>1.0852713178294573</v>
      </c>
      <c r="T39" s="66"/>
      <c r="U39" s="155"/>
      <c r="V39" s="66"/>
      <c r="W39" s="66"/>
      <c r="X39" s="66"/>
      <c r="Y39" s="66"/>
      <c r="Z39" s="66"/>
      <c r="AA39" s="66"/>
      <c r="AB39" s="66"/>
      <c r="AC39" s="66"/>
      <c r="AD39" s="66"/>
      <c r="AE39" s="66"/>
      <c r="AF39" s="66"/>
      <c r="AG39" s="66"/>
    </row>
    <row r="40" spans="1:33" ht="15.75">
      <c r="A40" s="204"/>
      <c r="B40" s="204"/>
      <c r="C40" s="354"/>
      <c r="D40" s="212"/>
      <c r="E40" s="295">
        <f>SUM(E26:E39)</f>
        <v>949457.7300000001</v>
      </c>
      <c r="F40" s="212"/>
      <c r="G40" s="295"/>
      <c r="H40" s="295">
        <f>SUM(H26:H39)</f>
        <v>21351.5</v>
      </c>
      <c r="I40" s="295">
        <f>SUM(I26:I39)</f>
        <v>969</v>
      </c>
      <c r="J40" s="360"/>
      <c r="K40" s="360"/>
      <c r="L40" s="360"/>
      <c r="M40" s="355"/>
      <c r="N40" s="295"/>
      <c r="O40" s="295"/>
      <c r="P40" s="295"/>
      <c r="Q40" s="295"/>
      <c r="R40" s="295">
        <f>SUM(R26:R39)</f>
        <v>1027349.6022851189</v>
      </c>
      <c r="S40" s="295"/>
      <c r="T40" s="66"/>
      <c r="U40" s="155">
        <f>+R40-E40</f>
        <v>77891.872285118792</v>
      </c>
      <c r="V40" s="66"/>
      <c r="W40" s="66"/>
      <c r="X40" s="66"/>
      <c r="Y40" s="66"/>
      <c r="Z40" s="66"/>
      <c r="AA40" s="66"/>
      <c r="AB40" s="66"/>
      <c r="AC40" s="66"/>
      <c r="AD40" s="66"/>
      <c r="AE40" s="66"/>
      <c r="AF40" s="66"/>
      <c r="AG40" s="66"/>
    </row>
    <row r="41" spans="1:33" ht="15.75">
      <c r="A41" s="204"/>
      <c r="B41" s="204"/>
      <c r="C41" s="354"/>
      <c r="D41" s="212"/>
      <c r="E41" s="295"/>
      <c r="F41" s="212" t="s">
        <v>1595</v>
      </c>
      <c r="G41" s="295"/>
      <c r="H41" s="352">
        <f>-H34</f>
        <v>-213</v>
      </c>
      <c r="I41" s="352">
        <f>-I34</f>
        <v>-1</v>
      </c>
      <c r="J41" s="360"/>
      <c r="K41" s="360"/>
      <c r="L41" s="360"/>
      <c r="M41" s="355"/>
      <c r="N41" s="295"/>
      <c r="O41" s="295"/>
      <c r="P41" s="295"/>
      <c r="Q41" s="295"/>
      <c r="R41" s="295"/>
      <c r="S41" s="295"/>
      <c r="T41" s="66"/>
      <c r="U41" s="155"/>
      <c r="V41" s="66"/>
      <c r="W41" s="66"/>
      <c r="X41" s="66"/>
      <c r="Y41" s="66"/>
      <c r="Z41" s="66"/>
      <c r="AA41" s="66"/>
      <c r="AB41" s="66"/>
      <c r="AC41" s="66"/>
      <c r="AD41" s="66"/>
      <c r="AE41" s="66"/>
      <c r="AF41" s="66"/>
      <c r="AG41" s="66"/>
    </row>
    <row r="42" spans="1:33" ht="15.75">
      <c r="A42" s="204"/>
      <c r="B42" s="204"/>
      <c r="C42" s="354"/>
      <c r="D42" s="212"/>
      <c r="E42" s="295"/>
      <c r="F42" s="212"/>
      <c r="G42" s="295"/>
      <c r="H42" s="295">
        <f>SUM(H40:H41)</f>
        <v>21138.5</v>
      </c>
      <c r="I42" s="295">
        <f>SUM(I40:I41)</f>
        <v>968</v>
      </c>
      <c r="J42" s="360"/>
      <c r="K42" s="360"/>
      <c r="L42" s="360"/>
      <c r="M42" s="355"/>
      <c r="N42" s="295"/>
      <c r="O42" s="295"/>
      <c r="P42" s="295"/>
      <c r="Q42" s="295"/>
      <c r="R42" s="295"/>
      <c r="S42" s="295"/>
      <c r="T42" s="66"/>
      <c r="U42" s="155"/>
      <c r="V42" s="66"/>
      <c r="W42" s="66"/>
      <c r="X42" s="66"/>
      <c r="Y42" s="66"/>
      <c r="Z42" s="66"/>
      <c r="AA42" s="66"/>
      <c r="AB42" s="66"/>
      <c r="AC42" s="66"/>
      <c r="AD42" s="66"/>
      <c r="AE42" s="66"/>
      <c r="AF42" s="66"/>
      <c r="AG42" s="66"/>
    </row>
    <row r="43" spans="1:33" ht="15.75">
      <c r="A43" s="204"/>
      <c r="B43" s="204"/>
      <c r="C43" s="354"/>
      <c r="D43" s="212"/>
      <c r="E43" s="295"/>
      <c r="F43" s="212"/>
      <c r="G43" s="295"/>
      <c r="H43" s="295"/>
      <c r="I43" s="295"/>
      <c r="J43" s="360"/>
      <c r="K43" s="360"/>
      <c r="L43" s="360"/>
      <c r="M43" s="355"/>
      <c r="N43" s="295"/>
      <c r="O43" s="295"/>
      <c r="P43" s="295"/>
      <c r="Q43" s="295"/>
      <c r="R43" s="295"/>
      <c r="S43" s="295"/>
      <c r="T43" s="66"/>
      <c r="U43" s="155"/>
      <c r="V43" s="66"/>
      <c r="W43" s="66"/>
      <c r="X43" s="66"/>
      <c r="Y43" s="66"/>
      <c r="Z43" s="66"/>
      <c r="AA43" s="66"/>
      <c r="AB43" s="66"/>
      <c r="AC43" s="66"/>
      <c r="AD43" s="66"/>
      <c r="AE43" s="66"/>
      <c r="AF43" s="66"/>
      <c r="AG43" s="66"/>
    </row>
    <row r="44" spans="1:33" ht="15.75">
      <c r="A44" s="204"/>
      <c r="B44" s="204"/>
      <c r="C44" s="354"/>
      <c r="D44" s="212"/>
      <c r="E44" s="295"/>
      <c r="F44" s="212"/>
      <c r="G44" s="295"/>
      <c r="H44" s="66"/>
      <c r="I44" s="66"/>
      <c r="J44" s="360"/>
      <c r="K44" s="360"/>
      <c r="L44" s="360"/>
      <c r="M44" s="355"/>
      <c r="N44" s="295"/>
      <c r="O44" s="295"/>
      <c r="P44" s="295"/>
      <c r="Q44" s="295"/>
      <c r="R44" s="295"/>
      <c r="S44" s="295"/>
      <c r="T44" s="66"/>
      <c r="U44" s="155"/>
      <c r="V44" s="66"/>
      <c r="W44" s="66"/>
      <c r="X44" s="66"/>
      <c r="Y44" s="66"/>
      <c r="Z44" s="66"/>
      <c r="AA44" s="66"/>
      <c r="AB44" s="66"/>
      <c r="AC44" s="66"/>
      <c r="AD44" s="66"/>
      <c r="AE44" s="66"/>
      <c r="AF44" s="66"/>
      <c r="AG44" s="66"/>
    </row>
    <row r="45" spans="1:33" ht="15.75">
      <c r="A45" s="204" t="s">
        <v>695</v>
      </c>
      <c r="B45" s="204" t="s">
        <v>1702</v>
      </c>
      <c r="C45" s="354">
        <v>35431</v>
      </c>
      <c r="D45" s="212" t="s">
        <v>696</v>
      </c>
      <c r="E45" s="295">
        <v>90815.29</v>
      </c>
      <c r="F45" s="212" t="s">
        <v>690</v>
      </c>
      <c r="G45" s="204"/>
      <c r="H45" s="295">
        <v>1929.5</v>
      </c>
      <c r="I45" s="295">
        <v>276</v>
      </c>
      <c r="J45" s="360"/>
      <c r="K45" s="360"/>
      <c r="L45" s="360">
        <v>32.25</v>
      </c>
      <c r="M45" s="295">
        <v>33</v>
      </c>
      <c r="N45" s="295">
        <v>35</v>
      </c>
      <c r="O45" s="295"/>
      <c r="P45" s="295"/>
      <c r="Q45" s="295"/>
      <c r="R45" s="295">
        <f t="shared" ref="R45:R49" si="4">+E45*S45</f>
        <v>98559.22945736433</v>
      </c>
      <c r="S45" s="218">
        <f t="shared" ref="S45:S49" si="5">+N45/L45</f>
        <v>1.0852713178294573</v>
      </c>
      <c r="T45" s="66"/>
      <c r="U45" s="155"/>
      <c r="V45" s="66"/>
      <c r="W45" s="66"/>
      <c r="X45" s="66"/>
      <c r="Y45" s="66"/>
      <c r="Z45" s="66"/>
      <c r="AA45" s="66"/>
      <c r="AB45" s="66"/>
      <c r="AC45" s="66"/>
      <c r="AD45" s="66"/>
      <c r="AE45" s="66"/>
      <c r="AF45" s="66"/>
      <c r="AG45" s="66"/>
    </row>
    <row r="46" spans="1:33" ht="15.75">
      <c r="A46" s="204" t="s">
        <v>695</v>
      </c>
      <c r="B46" s="204" t="s">
        <v>1702</v>
      </c>
      <c r="C46" s="354">
        <v>35975</v>
      </c>
      <c r="D46" s="212" t="s">
        <v>712</v>
      </c>
      <c r="E46" s="295">
        <f>70047.75+1812.02+2064</f>
        <v>73923.77</v>
      </c>
      <c r="F46" s="212" t="s">
        <v>690</v>
      </c>
      <c r="G46" s="204"/>
      <c r="H46" s="295">
        <v>1796</v>
      </c>
      <c r="I46" s="295">
        <v>71</v>
      </c>
      <c r="J46" s="360"/>
      <c r="K46" s="360"/>
      <c r="L46" s="360">
        <v>32.25</v>
      </c>
      <c r="M46" s="295">
        <v>33</v>
      </c>
      <c r="N46" s="295">
        <v>35</v>
      </c>
      <c r="O46" s="295"/>
      <c r="P46" s="295"/>
      <c r="Q46" s="295"/>
      <c r="R46" s="295">
        <f t="shared" si="4"/>
        <v>80227.347286821707</v>
      </c>
      <c r="S46" s="218">
        <f t="shared" si="5"/>
        <v>1.0852713178294573</v>
      </c>
      <c r="T46" s="66"/>
      <c r="U46" s="155"/>
      <c r="V46" s="66"/>
      <c r="W46" s="66"/>
      <c r="X46" s="66"/>
      <c r="Y46" s="66"/>
      <c r="Z46" s="66"/>
      <c r="AA46" s="66"/>
      <c r="AB46" s="66"/>
      <c r="AC46" s="66"/>
      <c r="AD46" s="66"/>
      <c r="AE46" s="66"/>
      <c r="AF46" s="66"/>
      <c r="AG46" s="66"/>
    </row>
    <row r="47" spans="1:33" ht="15.75">
      <c r="A47" s="204" t="s">
        <v>695</v>
      </c>
      <c r="B47" s="204" t="s">
        <v>1702</v>
      </c>
      <c r="C47" s="354">
        <v>35611</v>
      </c>
      <c r="D47" s="212" t="s">
        <v>719</v>
      </c>
      <c r="E47" s="295">
        <f>84858.68</f>
        <v>84858.68</v>
      </c>
      <c r="F47" s="212" t="s">
        <v>690</v>
      </c>
      <c r="G47" s="204"/>
      <c r="H47" s="295">
        <v>1835.5</v>
      </c>
      <c r="I47" s="295">
        <v>170.5</v>
      </c>
      <c r="J47" s="360"/>
      <c r="K47" s="360"/>
      <c r="L47" s="360">
        <v>32.25</v>
      </c>
      <c r="M47" s="295">
        <v>33</v>
      </c>
      <c r="N47" s="295">
        <v>35</v>
      </c>
      <c r="O47" s="295"/>
      <c r="P47" s="295"/>
      <c r="Q47" s="295"/>
      <c r="R47" s="295">
        <f t="shared" si="4"/>
        <v>92094.691472868202</v>
      </c>
      <c r="S47" s="218">
        <f t="shared" si="5"/>
        <v>1.0852713178294573</v>
      </c>
      <c r="T47" s="66"/>
      <c r="U47" s="155"/>
      <c r="V47" s="66"/>
      <c r="W47" s="66"/>
      <c r="X47" s="66"/>
      <c r="Y47" s="66"/>
      <c r="Z47" s="66"/>
      <c r="AA47" s="66"/>
      <c r="AB47" s="66"/>
      <c r="AC47" s="66"/>
      <c r="AD47" s="66"/>
      <c r="AE47" s="66"/>
      <c r="AF47" s="66"/>
      <c r="AG47" s="66"/>
    </row>
    <row r="48" spans="1:33" ht="15.75">
      <c r="A48" s="204" t="s">
        <v>695</v>
      </c>
      <c r="B48" s="204" t="s">
        <v>1702</v>
      </c>
      <c r="C48" s="354">
        <v>35947</v>
      </c>
      <c r="D48" s="212" t="s">
        <v>732</v>
      </c>
      <c r="E48" s="295">
        <f>74125.25+2088.19</f>
        <v>76213.440000000002</v>
      </c>
      <c r="F48" s="212" t="s">
        <v>690</v>
      </c>
      <c r="G48" s="204"/>
      <c r="H48" s="295">
        <v>1490</v>
      </c>
      <c r="I48" s="295">
        <v>120</v>
      </c>
      <c r="J48" s="360"/>
      <c r="K48" s="360"/>
      <c r="L48" s="360">
        <v>32.25</v>
      </c>
      <c r="M48" s="295">
        <v>33</v>
      </c>
      <c r="N48" s="295">
        <v>35</v>
      </c>
      <c r="O48" s="295"/>
      <c r="P48" s="295"/>
      <c r="Q48" s="295"/>
      <c r="R48" s="295">
        <f t="shared" si="4"/>
        <v>82712.260465116269</v>
      </c>
      <c r="S48" s="218">
        <f t="shared" si="5"/>
        <v>1.0852713178294573</v>
      </c>
      <c r="T48" s="66"/>
      <c r="U48" s="155"/>
      <c r="V48" s="66"/>
      <c r="W48" s="66"/>
      <c r="X48" s="66"/>
      <c r="Y48" s="66"/>
      <c r="Z48" s="66"/>
      <c r="AA48" s="66"/>
      <c r="AB48" s="66"/>
      <c r="AC48" s="66"/>
      <c r="AD48" s="66"/>
      <c r="AE48" s="66"/>
      <c r="AF48" s="66"/>
      <c r="AG48" s="66"/>
    </row>
    <row r="49" spans="1:33" ht="15.75">
      <c r="A49" s="204" t="s">
        <v>703</v>
      </c>
      <c r="B49" s="204" t="s">
        <v>1702</v>
      </c>
      <c r="C49" s="354">
        <v>35548</v>
      </c>
      <c r="D49" s="212" t="s">
        <v>704</v>
      </c>
      <c r="E49" s="352">
        <f>83836.14+6306.01</f>
        <v>90142.15</v>
      </c>
      <c r="F49" s="212" t="s">
        <v>690</v>
      </c>
      <c r="G49" s="204"/>
      <c r="H49" s="352">
        <v>1863.5</v>
      </c>
      <c r="I49" s="352">
        <v>306</v>
      </c>
      <c r="J49" s="360"/>
      <c r="K49" s="360"/>
      <c r="L49" s="360">
        <v>32.25</v>
      </c>
      <c r="M49" s="295">
        <v>33</v>
      </c>
      <c r="N49" s="295">
        <v>35</v>
      </c>
      <c r="O49" s="295"/>
      <c r="P49" s="295"/>
      <c r="Q49" s="295"/>
      <c r="R49" s="352">
        <f t="shared" si="4"/>
        <v>97828.689922480611</v>
      </c>
      <c r="S49" s="218">
        <f t="shared" si="5"/>
        <v>1.0852713178294573</v>
      </c>
      <c r="T49" s="66"/>
      <c r="U49" s="155"/>
      <c r="V49" s="66"/>
      <c r="W49" s="66"/>
      <c r="X49" s="66"/>
      <c r="Y49" s="66"/>
      <c r="Z49" s="66"/>
      <c r="AA49" s="66"/>
      <c r="AB49" s="66"/>
      <c r="AC49" s="66"/>
      <c r="AD49" s="66"/>
      <c r="AE49" s="66"/>
      <c r="AF49" s="66"/>
      <c r="AG49" s="66"/>
    </row>
    <row r="50" spans="1:33" ht="15.75">
      <c r="A50" s="204"/>
      <c r="B50" s="204"/>
      <c r="C50" s="354"/>
      <c r="D50" s="212"/>
      <c r="E50" s="295">
        <f>SUM(E45:E49)</f>
        <v>415953.32999999996</v>
      </c>
      <c r="F50" s="212"/>
      <c r="G50" s="204"/>
      <c r="H50" s="295">
        <f t="shared" ref="H50:I50" si="6">SUM(H45:H49)</f>
        <v>8914.5</v>
      </c>
      <c r="I50" s="295">
        <f t="shared" si="6"/>
        <v>943.5</v>
      </c>
      <c r="J50" s="295"/>
      <c r="K50" s="295"/>
      <c r="L50" s="295"/>
      <c r="M50" s="295"/>
      <c r="N50" s="295"/>
      <c r="O50" s="295"/>
      <c r="P50" s="295"/>
      <c r="Q50" s="295"/>
      <c r="R50" s="295">
        <f>SUM(R45:R49)</f>
        <v>451422.21860465116</v>
      </c>
      <c r="S50" s="295"/>
      <c r="T50" s="66"/>
      <c r="U50" s="155">
        <f>+R50-E50</f>
        <v>35468.888604651205</v>
      </c>
      <c r="V50" s="66"/>
      <c r="W50" s="66"/>
      <c r="X50" s="66"/>
      <c r="Y50" s="66"/>
      <c r="Z50" s="66"/>
      <c r="AA50" s="66"/>
      <c r="AB50" s="66"/>
      <c r="AC50" s="66"/>
      <c r="AD50" s="66"/>
      <c r="AE50" s="66"/>
      <c r="AF50" s="66"/>
      <c r="AG50" s="66"/>
    </row>
    <row r="51" spans="1:33" ht="15.75">
      <c r="A51" s="204"/>
      <c r="B51" s="204"/>
      <c r="C51" s="354"/>
      <c r="D51" s="212"/>
      <c r="E51" s="295"/>
      <c r="F51" s="212"/>
      <c r="G51" s="204"/>
      <c r="H51" s="295"/>
      <c r="I51" s="295"/>
      <c r="J51" s="295"/>
      <c r="K51" s="295"/>
      <c r="L51" s="295"/>
      <c r="M51" s="295"/>
      <c r="N51" s="295"/>
      <c r="O51" s="295"/>
      <c r="P51" s="295"/>
      <c r="Q51" s="295"/>
      <c r="R51" s="295"/>
      <c r="S51" s="295"/>
      <c r="T51" s="66"/>
      <c r="U51" s="155"/>
      <c r="V51" s="66"/>
      <c r="W51" s="66"/>
      <c r="X51" s="66"/>
      <c r="Y51" s="66"/>
      <c r="Z51" s="66"/>
      <c r="AA51" s="66"/>
      <c r="AB51" s="66"/>
      <c r="AC51" s="66"/>
      <c r="AD51" s="66"/>
      <c r="AE51" s="66"/>
      <c r="AF51" s="66"/>
      <c r="AG51" s="66"/>
    </row>
    <row r="52" spans="1:33" ht="15.75">
      <c r="A52" s="204"/>
      <c r="B52" s="204"/>
      <c r="C52" s="354"/>
      <c r="D52" s="212"/>
      <c r="E52" s="295"/>
      <c r="F52" s="212"/>
      <c r="G52" s="204"/>
      <c r="H52" s="295"/>
      <c r="I52" s="295"/>
      <c r="J52" s="295"/>
      <c r="K52" s="295"/>
      <c r="L52" s="295"/>
      <c r="M52" s="295"/>
      <c r="N52" s="295"/>
      <c r="O52" s="295"/>
      <c r="P52" s="295"/>
      <c r="Q52" s="295"/>
      <c r="R52" s="295"/>
      <c r="S52" s="295"/>
      <c r="T52" s="66"/>
      <c r="U52" s="155"/>
      <c r="V52" s="66"/>
      <c r="W52" s="66"/>
      <c r="X52" s="66"/>
      <c r="Y52" s="66"/>
      <c r="Z52" s="66"/>
      <c r="AA52" s="66"/>
      <c r="AB52" s="66"/>
      <c r="AC52" s="66"/>
      <c r="AD52" s="66"/>
      <c r="AE52" s="66"/>
      <c r="AF52" s="66"/>
      <c r="AG52" s="66"/>
    </row>
    <row r="53" spans="1:33" ht="15.75">
      <c r="A53" s="204" t="s">
        <v>693</v>
      </c>
      <c r="B53" s="204" t="s">
        <v>1702</v>
      </c>
      <c r="C53" s="354">
        <v>44189</v>
      </c>
      <c r="D53" s="212" t="s">
        <v>694</v>
      </c>
      <c r="E53" s="295">
        <v>16415.5</v>
      </c>
      <c r="F53" s="212" t="s">
        <v>690</v>
      </c>
      <c r="G53" s="204"/>
      <c r="H53" s="295">
        <v>472.5</v>
      </c>
      <c r="I53" s="295">
        <v>95.5</v>
      </c>
      <c r="J53" s="295"/>
      <c r="K53" s="295"/>
      <c r="L53" s="295"/>
      <c r="M53" s="295"/>
      <c r="N53" s="295"/>
      <c r="O53" s="295">
        <v>24.75</v>
      </c>
      <c r="P53" s="295">
        <v>25.2</v>
      </c>
      <c r="Q53" s="295">
        <v>25.9</v>
      </c>
      <c r="R53" s="295">
        <f>2080*Q53</f>
        <v>53872</v>
      </c>
      <c r="S53" s="66"/>
      <c r="T53" s="218">
        <f t="shared" ref="T53:T56" si="7">+Q53/O53</f>
        <v>1.0464646464646463</v>
      </c>
      <c r="U53" s="155"/>
      <c r="V53" s="66"/>
      <c r="W53" s="66"/>
      <c r="X53" s="66"/>
      <c r="Y53" s="66"/>
      <c r="Z53" s="66"/>
      <c r="AA53" s="66"/>
      <c r="AB53" s="66"/>
      <c r="AC53" s="66"/>
      <c r="AD53" s="66"/>
      <c r="AE53" s="66"/>
      <c r="AF53" s="66"/>
      <c r="AG53" s="66"/>
    </row>
    <row r="54" spans="1:33" ht="15.75">
      <c r="A54" s="204" t="s">
        <v>693</v>
      </c>
      <c r="B54" s="204" t="s">
        <v>1702</v>
      </c>
      <c r="C54" s="354">
        <v>44088</v>
      </c>
      <c r="D54" s="212" t="s">
        <v>700</v>
      </c>
      <c r="E54" s="295">
        <f>32433.29</f>
        <v>32433.29</v>
      </c>
      <c r="F54" s="212" t="s">
        <v>690</v>
      </c>
      <c r="G54" s="204"/>
      <c r="H54" s="295">
        <v>959.5</v>
      </c>
      <c r="I54" s="295">
        <v>174</v>
      </c>
      <c r="J54" s="295"/>
      <c r="K54" s="295"/>
      <c r="L54" s="295"/>
      <c r="M54" s="295"/>
      <c r="N54" s="295"/>
      <c r="O54" s="295">
        <v>24.75</v>
      </c>
      <c r="P54" s="295">
        <v>25.45</v>
      </c>
      <c r="Q54" s="295">
        <v>26.4</v>
      </c>
      <c r="R54" s="295">
        <f>2080*Q54</f>
        <v>54912</v>
      </c>
      <c r="S54" s="66"/>
      <c r="T54" s="218">
        <f t="shared" si="7"/>
        <v>1.0666666666666667</v>
      </c>
      <c r="U54" s="155"/>
      <c r="V54" s="66"/>
      <c r="W54" s="66"/>
      <c r="X54" s="66"/>
      <c r="Y54" s="66"/>
      <c r="Z54" s="66"/>
      <c r="AA54" s="66"/>
      <c r="AB54" s="66"/>
      <c r="AC54" s="66"/>
      <c r="AD54" s="66"/>
      <c r="AE54" s="66"/>
      <c r="AF54" s="66"/>
      <c r="AG54" s="66"/>
    </row>
    <row r="55" spans="1:33" ht="15.75">
      <c r="A55" s="204" t="s">
        <v>693</v>
      </c>
      <c r="B55" s="204" t="s">
        <v>1702</v>
      </c>
      <c r="C55" s="354">
        <v>41886</v>
      </c>
      <c r="D55" s="212" t="s">
        <v>706</v>
      </c>
      <c r="E55" s="295">
        <f>42552.66+17917.01+6927.79</f>
        <v>67397.459999999992</v>
      </c>
      <c r="F55" s="212" t="s">
        <v>690</v>
      </c>
      <c r="G55" s="204"/>
      <c r="H55" s="295">
        <v>1751</v>
      </c>
      <c r="I55" s="295">
        <v>197.8</v>
      </c>
      <c r="J55" s="295"/>
      <c r="K55" s="295"/>
      <c r="L55" s="295"/>
      <c r="M55" s="295"/>
      <c r="N55" s="295"/>
      <c r="O55" s="295">
        <v>25.5</v>
      </c>
      <c r="P55" s="295">
        <v>25.95</v>
      </c>
      <c r="Q55" s="295">
        <v>26.4</v>
      </c>
      <c r="R55" s="295">
        <f t="shared" ref="R55:R56" si="8">+E55*T55</f>
        <v>69776.19388235292</v>
      </c>
      <c r="S55" s="66"/>
      <c r="T55" s="218">
        <f t="shared" si="7"/>
        <v>1.0352941176470587</v>
      </c>
      <c r="U55" s="155"/>
      <c r="V55" s="66"/>
      <c r="W55" s="66"/>
      <c r="X55" s="66"/>
      <c r="Y55" s="66"/>
      <c r="Z55" s="66"/>
      <c r="AA55" s="66"/>
      <c r="AB55" s="66"/>
      <c r="AC55" s="66"/>
      <c r="AD55" s="66"/>
      <c r="AE55" s="66"/>
      <c r="AF55" s="66"/>
      <c r="AG55" s="66"/>
    </row>
    <row r="56" spans="1:33" ht="15.75">
      <c r="A56" s="204" t="s">
        <v>693</v>
      </c>
      <c r="B56" s="204" t="s">
        <v>1702</v>
      </c>
      <c r="C56" s="354">
        <v>43182</v>
      </c>
      <c r="D56" s="212" t="s">
        <v>707</v>
      </c>
      <c r="E56" s="295">
        <f>65887.92</f>
        <v>65887.92</v>
      </c>
      <c r="F56" s="212" t="s">
        <v>690</v>
      </c>
      <c r="G56" s="204"/>
      <c r="H56" s="295">
        <v>1781</v>
      </c>
      <c r="I56" s="295">
        <v>249</v>
      </c>
      <c r="J56" s="295"/>
      <c r="K56" s="295"/>
      <c r="L56" s="295"/>
      <c r="M56" s="295"/>
      <c r="N56" s="295"/>
      <c r="O56" s="295">
        <v>25.5</v>
      </c>
      <c r="P56" s="295">
        <v>25.95</v>
      </c>
      <c r="Q56" s="295">
        <v>26.4</v>
      </c>
      <c r="R56" s="295">
        <f t="shared" si="8"/>
        <v>68213.375999999989</v>
      </c>
      <c r="S56" s="66"/>
      <c r="T56" s="218">
        <f t="shared" si="7"/>
        <v>1.0352941176470587</v>
      </c>
      <c r="U56" s="155"/>
      <c r="V56" s="66"/>
      <c r="W56" s="66"/>
      <c r="X56" s="66"/>
      <c r="Y56" s="66"/>
      <c r="Z56" s="66"/>
      <c r="AA56" s="66"/>
      <c r="AB56" s="66"/>
      <c r="AC56" s="66"/>
      <c r="AD56" s="66"/>
      <c r="AE56" s="66"/>
      <c r="AF56" s="66"/>
      <c r="AG56" s="66"/>
    </row>
    <row r="57" spans="1:33" ht="15.75">
      <c r="A57" s="204" t="s">
        <v>693</v>
      </c>
      <c r="B57" s="204" t="s">
        <v>1702</v>
      </c>
      <c r="C57" s="354">
        <v>43517</v>
      </c>
      <c r="D57" s="212" t="s">
        <v>708</v>
      </c>
      <c r="E57" s="295">
        <f>69878.92</f>
        <v>69878.92</v>
      </c>
      <c r="F57" s="212" t="s">
        <v>690</v>
      </c>
      <c r="G57" s="204"/>
      <c r="H57" s="295">
        <v>1917</v>
      </c>
      <c r="I57" s="295">
        <v>321</v>
      </c>
      <c r="J57" s="295"/>
      <c r="K57" s="295"/>
      <c r="L57" s="295"/>
      <c r="M57" s="295"/>
      <c r="N57" s="295"/>
      <c r="O57" s="295">
        <v>25.5</v>
      </c>
      <c r="P57" s="295">
        <v>25.95</v>
      </c>
      <c r="Q57" s="295">
        <v>26.4</v>
      </c>
      <c r="R57" s="295">
        <f>+E57*T57</f>
        <v>72345.234823529405</v>
      </c>
      <c r="S57" s="66"/>
      <c r="T57" s="218">
        <f>+Q57/O57</f>
        <v>1.0352941176470587</v>
      </c>
      <c r="U57" s="155"/>
      <c r="V57" s="66"/>
      <c r="W57" s="66"/>
      <c r="X57" s="66"/>
      <c r="Y57" s="66"/>
      <c r="Z57" s="66"/>
      <c r="AA57" s="66"/>
      <c r="AB57" s="66"/>
      <c r="AC57" s="66"/>
      <c r="AD57" s="66"/>
      <c r="AE57" s="66"/>
      <c r="AF57" s="66"/>
      <c r="AG57" s="66"/>
    </row>
    <row r="58" spans="1:33" ht="15.75">
      <c r="A58" s="204" t="s">
        <v>693</v>
      </c>
      <c r="B58" s="204" t="s">
        <v>1702</v>
      </c>
      <c r="C58" s="354">
        <v>43591</v>
      </c>
      <c r="D58" s="212" t="s">
        <v>716</v>
      </c>
      <c r="E58" s="295">
        <f>18182.54</f>
        <v>18182.54</v>
      </c>
      <c r="F58" s="212" t="s">
        <v>717</v>
      </c>
      <c r="G58" s="354">
        <v>43679</v>
      </c>
      <c r="H58" s="295">
        <v>601</v>
      </c>
      <c r="I58" s="295">
        <v>77.5</v>
      </c>
      <c r="J58" s="295"/>
      <c r="K58" s="295"/>
      <c r="L58" s="295"/>
      <c r="M58" s="295"/>
      <c r="N58" s="295"/>
      <c r="O58" s="295"/>
      <c r="P58" s="295"/>
      <c r="Q58" s="295"/>
      <c r="R58" s="295"/>
      <c r="S58" s="295"/>
      <c r="T58" s="66"/>
      <c r="U58" s="155"/>
      <c r="V58" s="66"/>
      <c r="W58" s="66"/>
      <c r="X58" s="66"/>
      <c r="Y58" s="66"/>
      <c r="Z58" s="66"/>
      <c r="AA58" s="66"/>
      <c r="AB58" s="66"/>
      <c r="AC58" s="66"/>
      <c r="AD58" s="66"/>
      <c r="AE58" s="66"/>
      <c r="AF58" s="66"/>
      <c r="AG58" s="66"/>
    </row>
    <row r="59" spans="1:33" ht="15.75">
      <c r="A59" s="204" t="s">
        <v>693</v>
      </c>
      <c r="B59" s="204" t="s">
        <v>1702</v>
      </c>
      <c r="C59" s="354">
        <v>43697</v>
      </c>
      <c r="D59" s="212" t="s">
        <v>718</v>
      </c>
      <c r="E59" s="295">
        <f>57573.58+437.26</f>
        <v>58010.840000000004</v>
      </c>
      <c r="F59" s="212" t="s">
        <v>715</v>
      </c>
      <c r="G59" s="354">
        <v>44215</v>
      </c>
      <c r="H59" s="295">
        <v>1640</v>
      </c>
      <c r="I59" s="295">
        <v>257</v>
      </c>
      <c r="J59" s="295"/>
      <c r="K59" s="295"/>
      <c r="L59" s="295"/>
      <c r="M59" s="295"/>
      <c r="N59" s="295"/>
      <c r="O59" s="295"/>
      <c r="P59" s="295"/>
      <c r="Q59" s="295"/>
      <c r="R59" s="295"/>
      <c r="S59" s="295"/>
      <c r="T59" s="66"/>
      <c r="U59" s="155"/>
      <c r="V59" s="66"/>
      <c r="W59" s="66"/>
      <c r="X59" s="66"/>
      <c r="Y59" s="66"/>
      <c r="Z59" s="66"/>
      <c r="AA59" s="66"/>
      <c r="AB59" s="66"/>
      <c r="AC59" s="66"/>
      <c r="AD59" s="66"/>
      <c r="AE59" s="66"/>
      <c r="AF59" s="66"/>
      <c r="AG59" s="66"/>
    </row>
    <row r="60" spans="1:33" ht="15.75">
      <c r="A60" s="204" t="s">
        <v>693</v>
      </c>
      <c r="B60" s="204" t="s">
        <v>1702</v>
      </c>
      <c r="C60" s="354">
        <v>42936</v>
      </c>
      <c r="D60" s="212" t="s">
        <v>720</v>
      </c>
      <c r="E60" s="295">
        <f>66714.87</f>
        <v>66714.87</v>
      </c>
      <c r="F60" s="212" t="s">
        <v>690</v>
      </c>
      <c r="G60" s="204"/>
      <c r="H60" s="295">
        <v>1815.5</v>
      </c>
      <c r="I60" s="295">
        <v>253.5</v>
      </c>
      <c r="J60" s="360"/>
      <c r="K60" s="360"/>
      <c r="L60" s="360"/>
      <c r="M60" s="66"/>
      <c r="N60" s="66"/>
      <c r="O60" s="295">
        <v>25.5</v>
      </c>
      <c r="P60" s="295">
        <v>25.95</v>
      </c>
      <c r="Q60" s="295">
        <v>26.4</v>
      </c>
      <c r="R60" s="295">
        <f>+E60*T60</f>
        <v>69069.512470588219</v>
      </c>
      <c r="S60" s="66"/>
      <c r="T60" s="218">
        <f>+Q60/O60</f>
        <v>1.0352941176470587</v>
      </c>
      <c r="U60" s="155"/>
      <c r="V60" s="66"/>
      <c r="W60" s="66"/>
      <c r="X60" s="66"/>
      <c r="Y60" s="66"/>
      <c r="Z60" s="66"/>
      <c r="AA60" s="66"/>
      <c r="AB60" s="66"/>
      <c r="AC60" s="66"/>
      <c r="AD60" s="66"/>
      <c r="AE60" s="66"/>
      <c r="AF60" s="66"/>
      <c r="AG60" s="66"/>
    </row>
    <row r="61" spans="1:33" ht="15.75">
      <c r="A61" s="204" t="s">
        <v>693</v>
      </c>
      <c r="B61" s="204" t="s">
        <v>1702</v>
      </c>
      <c r="C61" s="354">
        <v>43430</v>
      </c>
      <c r="D61" s="212" t="s">
        <v>721</v>
      </c>
      <c r="E61" s="295">
        <f>54447</f>
        <v>54447</v>
      </c>
      <c r="F61" s="212" t="s">
        <v>715</v>
      </c>
      <c r="G61" s="354">
        <v>44215</v>
      </c>
      <c r="H61" s="295">
        <v>1464.5</v>
      </c>
      <c r="I61" s="295">
        <v>220.5</v>
      </c>
      <c r="J61" s="295"/>
      <c r="K61" s="295"/>
      <c r="L61" s="295"/>
      <c r="M61" s="295"/>
      <c r="N61" s="295"/>
      <c r="O61" s="295"/>
      <c r="P61" s="295"/>
      <c r="Q61" s="295"/>
      <c r="R61" s="295"/>
      <c r="S61" s="295"/>
      <c r="T61" s="66"/>
      <c r="U61" s="155"/>
      <c r="V61" s="66"/>
      <c r="W61" s="66"/>
      <c r="X61" s="66"/>
      <c r="Y61" s="66"/>
      <c r="Z61" s="66"/>
      <c r="AA61" s="66"/>
      <c r="AB61" s="66"/>
      <c r="AC61" s="66"/>
      <c r="AD61" s="66"/>
      <c r="AE61" s="66"/>
      <c r="AF61" s="66"/>
      <c r="AG61" s="66"/>
    </row>
    <row r="62" spans="1:33" ht="15.75">
      <c r="A62" s="204" t="s">
        <v>693</v>
      </c>
      <c r="B62" s="204" t="s">
        <v>1702</v>
      </c>
      <c r="C62" s="354">
        <v>41911</v>
      </c>
      <c r="D62" s="212" t="s">
        <v>724</v>
      </c>
      <c r="E62" s="295">
        <f>24367.06+27367.24+1019.63+15169.84</f>
        <v>67923.77</v>
      </c>
      <c r="F62" s="212" t="s">
        <v>690</v>
      </c>
      <c r="G62" s="204"/>
      <c r="H62" s="295">
        <v>1902</v>
      </c>
      <c r="I62" s="295">
        <v>110.5</v>
      </c>
      <c r="J62" s="295"/>
      <c r="K62" s="295"/>
      <c r="L62" s="295"/>
      <c r="M62" s="295"/>
      <c r="N62" s="295"/>
      <c r="O62" s="295">
        <v>25.5</v>
      </c>
      <c r="P62" s="295">
        <v>25.95</v>
      </c>
      <c r="Q62" s="295">
        <v>26.4</v>
      </c>
      <c r="R62" s="295">
        <f t="shared" ref="R62:R63" si="9">+E62*T62</f>
        <v>70321.079529411756</v>
      </c>
      <c r="S62" s="66"/>
      <c r="T62" s="218">
        <f t="shared" ref="T62:T64" si="10">+Q62/O62</f>
        <v>1.0352941176470587</v>
      </c>
      <c r="U62" s="155"/>
      <c r="V62" s="66"/>
      <c r="W62" s="66"/>
      <c r="X62" s="66"/>
      <c r="Y62" s="66"/>
      <c r="Z62" s="66"/>
      <c r="AA62" s="66"/>
      <c r="AB62" s="66"/>
      <c r="AC62" s="66"/>
      <c r="AD62" s="66"/>
      <c r="AE62" s="66"/>
      <c r="AF62" s="66"/>
      <c r="AG62" s="66"/>
    </row>
    <row r="63" spans="1:33" ht="15.75">
      <c r="A63" s="204" t="s">
        <v>693</v>
      </c>
      <c r="B63" s="204" t="s">
        <v>1702</v>
      </c>
      <c r="C63" s="354">
        <v>43549</v>
      </c>
      <c r="D63" s="212" t="s">
        <v>725</v>
      </c>
      <c r="E63" s="295">
        <f>66543.87</f>
        <v>66543.87</v>
      </c>
      <c r="F63" s="212" t="s">
        <v>690</v>
      </c>
      <c r="G63" s="204"/>
      <c r="H63" s="295">
        <v>1837.5</v>
      </c>
      <c r="I63" s="295">
        <v>288</v>
      </c>
      <c r="J63" s="295"/>
      <c r="K63" s="295"/>
      <c r="L63" s="295"/>
      <c r="M63" s="295"/>
      <c r="N63" s="295"/>
      <c r="O63" s="295">
        <v>25.5</v>
      </c>
      <c r="P63" s="295">
        <v>25.95</v>
      </c>
      <c r="Q63" s="295">
        <v>26.4</v>
      </c>
      <c r="R63" s="295">
        <f t="shared" si="9"/>
        <v>68892.47717647058</v>
      </c>
      <c r="S63" s="66"/>
      <c r="T63" s="218">
        <f t="shared" si="10"/>
        <v>1.0352941176470587</v>
      </c>
      <c r="U63" s="155"/>
      <c r="V63" s="66"/>
      <c r="W63" s="66"/>
      <c r="X63" s="66"/>
      <c r="Y63" s="66"/>
      <c r="Z63" s="66"/>
      <c r="AA63" s="66"/>
      <c r="AB63" s="66"/>
      <c r="AC63" s="66"/>
      <c r="AD63" s="66"/>
      <c r="AE63" s="66"/>
      <c r="AF63" s="66"/>
      <c r="AG63" s="66"/>
    </row>
    <row r="64" spans="1:33" ht="15.75">
      <c r="A64" s="204" t="s">
        <v>693</v>
      </c>
      <c r="B64" s="204" t="s">
        <v>1702</v>
      </c>
      <c r="C64" s="354">
        <v>44256</v>
      </c>
      <c r="D64" s="212" t="s">
        <v>726</v>
      </c>
      <c r="E64" s="295">
        <f>3984.75</f>
        <v>3984.75</v>
      </c>
      <c r="F64" s="212" t="s">
        <v>690</v>
      </c>
      <c r="G64" s="354"/>
      <c r="H64" s="295">
        <v>122</v>
      </c>
      <c r="I64" s="295">
        <v>22</v>
      </c>
      <c r="J64" s="295"/>
      <c r="K64" s="295"/>
      <c r="L64" s="295"/>
      <c r="M64" s="295"/>
      <c r="N64" s="295"/>
      <c r="O64" s="295">
        <v>25.5</v>
      </c>
      <c r="P64" s="295">
        <v>25.95</v>
      </c>
      <c r="Q64" s="295">
        <v>26.4</v>
      </c>
      <c r="R64" s="295">
        <f>2080*Q64</f>
        <v>54912</v>
      </c>
      <c r="S64" s="66"/>
      <c r="T64" s="218">
        <f t="shared" si="10"/>
        <v>1.0352941176470587</v>
      </c>
      <c r="U64" s="155"/>
      <c r="V64" s="66"/>
      <c r="W64" s="66"/>
      <c r="X64" s="66"/>
      <c r="Y64" s="66"/>
      <c r="Z64" s="66"/>
      <c r="AA64" s="66"/>
      <c r="AB64" s="66"/>
      <c r="AC64" s="66"/>
      <c r="AD64" s="66"/>
      <c r="AE64" s="66"/>
      <c r="AF64" s="66"/>
      <c r="AG64" s="66"/>
    </row>
    <row r="65" spans="1:33" ht="15.75">
      <c r="A65" s="204" t="s">
        <v>693</v>
      </c>
      <c r="B65" s="204" t="s">
        <v>1702</v>
      </c>
      <c r="C65" s="354">
        <v>43626</v>
      </c>
      <c r="D65" s="212" t="s">
        <v>754</v>
      </c>
      <c r="E65" s="295">
        <f>10579.17</f>
        <v>10579.17</v>
      </c>
      <c r="F65" s="212" t="s">
        <v>717</v>
      </c>
      <c r="G65" s="354">
        <v>43714</v>
      </c>
      <c r="H65" s="295">
        <v>326</v>
      </c>
      <c r="I65" s="295">
        <v>21.5</v>
      </c>
      <c r="J65" s="295"/>
      <c r="K65" s="295"/>
      <c r="L65" s="295"/>
      <c r="M65" s="295"/>
      <c r="N65" s="295"/>
      <c r="O65" s="295"/>
      <c r="P65" s="295"/>
      <c r="Q65" s="295"/>
      <c r="R65" s="295"/>
      <c r="S65" s="295"/>
      <c r="T65" s="66"/>
      <c r="U65" s="155"/>
      <c r="V65" s="66"/>
      <c r="W65" s="66"/>
      <c r="X65" s="66"/>
      <c r="Y65" s="66"/>
      <c r="Z65" s="66"/>
      <c r="AA65" s="66"/>
      <c r="AB65" s="66"/>
      <c r="AC65" s="66"/>
      <c r="AD65" s="66"/>
      <c r="AE65" s="66"/>
      <c r="AF65" s="66"/>
      <c r="AG65" s="66"/>
    </row>
    <row r="66" spans="1:33" ht="15.75">
      <c r="A66" s="204" t="s">
        <v>693</v>
      </c>
      <c r="B66" s="204" t="s">
        <v>1702</v>
      </c>
      <c r="C66" s="354">
        <v>43377</v>
      </c>
      <c r="D66" s="212" t="s">
        <v>757</v>
      </c>
      <c r="E66" s="352">
        <f>2843.19+57426.52</f>
        <v>60269.71</v>
      </c>
      <c r="F66" s="212" t="s">
        <v>690</v>
      </c>
      <c r="G66" s="204"/>
      <c r="H66" s="352">
        <v>1743</v>
      </c>
      <c r="I66" s="352">
        <v>211</v>
      </c>
      <c r="J66" s="295"/>
      <c r="K66" s="295"/>
      <c r="L66" s="295"/>
      <c r="M66" s="295"/>
      <c r="N66" s="295"/>
      <c r="O66" s="295">
        <v>25.5</v>
      </c>
      <c r="P66" s="295">
        <v>25.95</v>
      </c>
      <c r="Q66" s="295">
        <v>26.4</v>
      </c>
      <c r="R66" s="352">
        <f>+E66*T66</f>
        <v>62396.876235294112</v>
      </c>
      <c r="S66" s="66"/>
      <c r="T66" s="218">
        <f>+Q66/O66</f>
        <v>1.0352941176470587</v>
      </c>
      <c r="U66" s="155"/>
      <c r="V66" s="66"/>
      <c r="W66" s="66"/>
      <c r="X66" s="66"/>
      <c r="Y66" s="66"/>
      <c r="Z66" s="66"/>
      <c r="AA66" s="66"/>
      <c r="AB66" s="66"/>
      <c r="AC66" s="66"/>
      <c r="AD66" s="66"/>
      <c r="AE66" s="66"/>
      <c r="AF66" s="66"/>
      <c r="AG66" s="66"/>
    </row>
    <row r="67" spans="1:33" ht="15.75">
      <c r="A67" s="204"/>
      <c r="B67" s="204"/>
      <c r="C67" s="354"/>
      <c r="D67" s="212"/>
      <c r="E67" s="295">
        <f>SUM(E53:E66)</f>
        <v>658669.61</v>
      </c>
      <c r="F67" s="212"/>
      <c r="G67" s="204"/>
      <c r="H67" s="295">
        <f t="shared" ref="H67:I67" si="11">SUM(H53:H66)</f>
        <v>18332.5</v>
      </c>
      <c r="I67" s="295">
        <f t="shared" si="11"/>
        <v>2498.8000000000002</v>
      </c>
      <c r="J67" s="295"/>
      <c r="K67" s="295"/>
      <c r="L67" s="295"/>
      <c r="M67" s="295"/>
      <c r="N67" s="295"/>
      <c r="O67" s="295"/>
      <c r="P67" s="295"/>
      <c r="Q67" s="295"/>
      <c r="R67" s="295">
        <f>SUM(R53:R66)</f>
        <v>644710.750117647</v>
      </c>
      <c r="S67" s="295"/>
      <c r="T67" s="66"/>
      <c r="U67" s="155">
        <f>+R67-E67</f>
        <v>-13958.85988235299</v>
      </c>
      <c r="V67" s="66"/>
      <c r="W67" s="66"/>
      <c r="X67" s="66"/>
      <c r="Y67" s="66"/>
      <c r="Z67" s="66"/>
      <c r="AA67" s="66"/>
      <c r="AB67" s="66"/>
      <c r="AC67" s="66"/>
      <c r="AD67" s="66"/>
      <c r="AE67" s="66"/>
      <c r="AF67" s="66"/>
      <c r="AG67" s="66"/>
    </row>
    <row r="68" spans="1:33" ht="15.75">
      <c r="A68" s="204"/>
      <c r="B68" s="204"/>
      <c r="C68" s="354"/>
      <c r="D68" s="212"/>
      <c r="E68" s="295"/>
      <c r="F68" s="212"/>
      <c r="G68" s="204"/>
      <c r="H68" s="352">
        <f>-H58-H59-H61-H65</f>
        <v>-4031.5</v>
      </c>
      <c r="I68" s="352">
        <f>-I58-I59-I61-I65</f>
        <v>-576.5</v>
      </c>
      <c r="J68" s="295"/>
      <c r="K68" s="295"/>
      <c r="L68" s="295"/>
      <c r="M68" s="295"/>
      <c r="N68" s="295"/>
      <c r="O68" s="295"/>
      <c r="P68" s="295"/>
      <c r="Q68" s="295"/>
      <c r="R68" s="295"/>
      <c r="S68" s="295"/>
      <c r="T68" s="66"/>
      <c r="U68" s="155"/>
      <c r="V68" s="66"/>
      <c r="W68" s="66"/>
      <c r="X68" s="66"/>
      <c r="Y68" s="66"/>
      <c r="Z68" s="66"/>
      <c r="AA68" s="66"/>
      <c r="AB68" s="66"/>
      <c r="AC68" s="66"/>
      <c r="AD68" s="66"/>
      <c r="AE68" s="66"/>
      <c r="AF68" s="66"/>
      <c r="AG68" s="66"/>
    </row>
    <row r="69" spans="1:33" ht="15.75">
      <c r="A69" s="204"/>
      <c r="B69" s="204"/>
      <c r="C69" s="354"/>
      <c r="D69" s="212"/>
      <c r="E69" s="295"/>
      <c r="F69" s="212"/>
      <c r="G69" s="204"/>
      <c r="H69" s="295">
        <f>SUM(H67:H68)</f>
        <v>14301</v>
      </c>
      <c r="I69" s="295">
        <f>SUM(I67:I68)</f>
        <v>1922.3000000000002</v>
      </c>
      <c r="J69" s="295"/>
      <c r="K69" s="295"/>
      <c r="L69" s="295"/>
      <c r="M69" s="295"/>
      <c r="N69" s="295"/>
      <c r="O69" s="295"/>
      <c r="P69" s="295"/>
      <c r="Q69" s="295"/>
      <c r="R69" s="295"/>
      <c r="S69" s="295"/>
      <c r="T69" s="66"/>
      <c r="U69" s="155"/>
      <c r="V69" s="66"/>
      <c r="W69" s="66"/>
      <c r="X69" s="66"/>
      <c r="Y69" s="66"/>
      <c r="Z69" s="66"/>
      <c r="AA69" s="66"/>
      <c r="AB69" s="66"/>
      <c r="AC69" s="66"/>
      <c r="AD69" s="66"/>
      <c r="AE69" s="66"/>
      <c r="AF69" s="66"/>
      <c r="AG69" s="66"/>
    </row>
    <row r="70" spans="1:33" ht="15.75">
      <c r="A70" s="204"/>
      <c r="B70" s="204"/>
      <c r="C70" s="354"/>
      <c r="D70" s="212"/>
      <c r="E70" s="295"/>
      <c r="F70" s="212"/>
      <c r="G70" s="204"/>
      <c r="H70" s="204"/>
      <c r="I70" s="295"/>
      <c r="J70" s="295"/>
      <c r="K70" s="295"/>
      <c r="L70" s="295"/>
      <c r="M70" s="295"/>
      <c r="N70" s="295"/>
      <c r="O70" s="295"/>
      <c r="P70" s="295"/>
      <c r="Q70" s="295"/>
      <c r="R70" s="295"/>
      <c r="S70" s="295"/>
      <c r="T70" s="66"/>
      <c r="U70" s="155"/>
      <c r="V70" s="66"/>
      <c r="W70" s="66"/>
      <c r="X70" s="66"/>
      <c r="Y70" s="66"/>
      <c r="Z70" s="66"/>
      <c r="AA70" s="66"/>
      <c r="AB70" s="66"/>
      <c r="AC70" s="66"/>
      <c r="AD70" s="66"/>
      <c r="AE70" s="66"/>
      <c r="AF70" s="66"/>
      <c r="AG70" s="66"/>
    </row>
    <row r="71" spans="1:33" ht="15.75">
      <c r="A71" s="204"/>
      <c r="B71" s="204"/>
      <c r="C71" s="354"/>
      <c r="D71" s="212"/>
      <c r="E71" s="295"/>
      <c r="F71" s="212"/>
      <c r="G71" s="204"/>
      <c r="H71" s="204"/>
      <c r="I71" s="295"/>
      <c r="J71" s="295"/>
      <c r="K71" s="295"/>
      <c r="L71" s="295"/>
      <c r="M71" s="295"/>
      <c r="N71" s="295"/>
      <c r="O71" s="295"/>
      <c r="P71" s="295"/>
      <c r="Q71" s="295"/>
      <c r="R71" s="295"/>
      <c r="S71" s="295"/>
      <c r="T71" s="66"/>
      <c r="U71" s="155"/>
      <c r="V71" s="66"/>
      <c r="W71" s="66"/>
      <c r="X71" s="66"/>
      <c r="Y71" s="66"/>
      <c r="Z71" s="66"/>
      <c r="AA71" s="66"/>
      <c r="AB71" s="66"/>
      <c r="AC71" s="66"/>
      <c r="AD71" s="66"/>
      <c r="AE71" s="66"/>
      <c r="AF71" s="66"/>
      <c r="AG71" s="66"/>
    </row>
    <row r="72" spans="1:33" ht="15.75">
      <c r="A72" s="204" t="s">
        <v>728</v>
      </c>
      <c r="B72" s="204" t="s">
        <v>1702</v>
      </c>
      <c r="C72" s="354">
        <v>34515</v>
      </c>
      <c r="D72" s="212" t="s">
        <v>729</v>
      </c>
      <c r="E72" s="295">
        <f>60276.95</f>
        <v>60276.95</v>
      </c>
      <c r="F72" s="212" t="s">
        <v>690</v>
      </c>
      <c r="G72" s="204"/>
      <c r="H72" s="295">
        <v>1774</v>
      </c>
      <c r="I72" s="295">
        <v>97.5</v>
      </c>
      <c r="J72" s="295"/>
      <c r="K72" s="295"/>
      <c r="L72" s="295"/>
      <c r="M72" s="295"/>
      <c r="N72" s="295"/>
      <c r="O72" s="295">
        <v>25.5</v>
      </c>
      <c r="P72" s="295">
        <v>25.95</v>
      </c>
      <c r="Q72" s="295">
        <v>26.4</v>
      </c>
      <c r="R72" s="295">
        <f t="shared" ref="R72:R74" si="12">+E72*T72</f>
        <v>62404.371764705873</v>
      </c>
      <c r="S72" s="66"/>
      <c r="T72" s="218">
        <f t="shared" ref="T72:T74" si="13">+Q72/O72</f>
        <v>1.0352941176470587</v>
      </c>
      <c r="U72" s="155"/>
      <c r="V72" s="66"/>
      <c r="W72" s="66"/>
      <c r="X72" s="66"/>
      <c r="Y72" s="66"/>
      <c r="Z72" s="66"/>
      <c r="AA72" s="66"/>
      <c r="AB72" s="66"/>
      <c r="AC72" s="66"/>
      <c r="AD72" s="66"/>
      <c r="AE72" s="66"/>
      <c r="AF72" s="66"/>
      <c r="AG72" s="66"/>
    </row>
    <row r="73" spans="1:33" ht="15.75">
      <c r="A73" s="204" t="s">
        <v>728</v>
      </c>
      <c r="B73" s="204" t="s">
        <v>1702</v>
      </c>
      <c r="C73" s="354">
        <v>43208</v>
      </c>
      <c r="D73" s="212" t="s">
        <v>748</v>
      </c>
      <c r="E73" s="295">
        <f>53348.28+211.04+7230+604.8</f>
        <v>61394.12</v>
      </c>
      <c r="F73" s="212" t="s">
        <v>690</v>
      </c>
      <c r="G73" s="204"/>
      <c r="H73" s="295">
        <v>1895.5</v>
      </c>
      <c r="I73" s="295">
        <v>140</v>
      </c>
      <c r="J73" s="295"/>
      <c r="K73" s="295"/>
      <c r="L73" s="295"/>
      <c r="M73" s="295"/>
      <c r="N73" s="295"/>
      <c r="O73" s="295">
        <v>25.5</v>
      </c>
      <c r="P73" s="295">
        <v>25.95</v>
      </c>
      <c r="Q73" s="295">
        <v>26.4</v>
      </c>
      <c r="R73" s="295">
        <f t="shared" si="12"/>
        <v>63560.97129411764</v>
      </c>
      <c r="S73" s="66"/>
      <c r="T73" s="218">
        <f t="shared" si="13"/>
        <v>1.0352941176470587</v>
      </c>
      <c r="U73" s="155"/>
      <c r="V73" s="66"/>
      <c r="W73" s="66"/>
      <c r="X73" s="66"/>
      <c r="Y73" s="66"/>
      <c r="Z73" s="66"/>
      <c r="AA73" s="66"/>
      <c r="AB73" s="66"/>
      <c r="AC73" s="66"/>
      <c r="AD73" s="66"/>
      <c r="AE73" s="66"/>
      <c r="AF73" s="66"/>
      <c r="AG73" s="66"/>
    </row>
    <row r="74" spans="1:33" ht="15.75">
      <c r="A74" s="204" t="s">
        <v>736</v>
      </c>
      <c r="B74" s="204" t="s">
        <v>1702</v>
      </c>
      <c r="C74" s="354">
        <v>42632</v>
      </c>
      <c r="D74" s="212" t="s">
        <v>737</v>
      </c>
      <c r="E74" s="352">
        <f>70149.13+1408.16</f>
        <v>71557.290000000008</v>
      </c>
      <c r="F74" s="212" t="s">
        <v>690</v>
      </c>
      <c r="G74" s="204"/>
      <c r="H74" s="352">
        <v>1698</v>
      </c>
      <c r="I74" s="352">
        <v>297</v>
      </c>
      <c r="J74" s="295"/>
      <c r="K74" s="295"/>
      <c r="L74" s="295"/>
      <c r="M74" s="295"/>
      <c r="N74" s="295"/>
      <c r="O74" s="295">
        <v>27.08</v>
      </c>
      <c r="P74" s="295">
        <v>27.53</v>
      </c>
      <c r="Q74" s="295">
        <v>27.98</v>
      </c>
      <c r="R74" s="352">
        <f t="shared" si="12"/>
        <v>73935.486491875927</v>
      </c>
      <c r="S74" s="66"/>
      <c r="T74" s="218">
        <f t="shared" si="13"/>
        <v>1.0332348596750369</v>
      </c>
      <c r="U74" s="155"/>
      <c r="V74" s="66"/>
      <c r="W74" s="66"/>
      <c r="X74" s="66"/>
      <c r="Y74" s="66"/>
      <c r="Z74" s="66"/>
      <c r="AA74" s="66"/>
      <c r="AB74" s="66"/>
      <c r="AC74" s="66"/>
      <c r="AD74" s="66"/>
      <c r="AE74" s="66"/>
      <c r="AF74" s="66"/>
      <c r="AG74" s="66"/>
    </row>
    <row r="75" spans="1:33" ht="15.75">
      <c r="A75" s="204"/>
      <c r="B75" s="204"/>
      <c r="C75" s="354"/>
      <c r="D75" s="212"/>
      <c r="E75" s="295">
        <f>SUM(E72:E74)</f>
        <v>193228.36000000002</v>
      </c>
      <c r="F75" s="212"/>
      <c r="G75" s="204"/>
      <c r="H75" s="295">
        <f t="shared" ref="H75:I75" si="14">SUM(H72:H74)</f>
        <v>5367.5</v>
      </c>
      <c r="I75" s="295">
        <f t="shared" si="14"/>
        <v>534.5</v>
      </c>
      <c r="J75" s="295"/>
      <c r="K75" s="295"/>
      <c r="L75" s="295"/>
      <c r="M75" s="295"/>
      <c r="N75" s="295"/>
      <c r="O75" s="295"/>
      <c r="P75" s="295"/>
      <c r="Q75" s="295"/>
      <c r="R75" s="295">
        <f>SUM(R72:R74)</f>
        <v>199900.82955069945</v>
      </c>
      <c r="S75" s="295"/>
      <c r="T75" s="66"/>
      <c r="U75" s="155">
        <f>+R75-E75</f>
        <v>6672.4695506994321</v>
      </c>
      <c r="V75" s="66"/>
      <c r="W75" s="66"/>
      <c r="X75" s="66"/>
      <c r="Y75" s="66"/>
      <c r="Z75" s="66"/>
      <c r="AA75" s="66"/>
      <c r="AB75" s="66"/>
      <c r="AC75" s="66"/>
      <c r="AD75" s="66"/>
      <c r="AE75" s="66"/>
      <c r="AF75" s="66"/>
      <c r="AG75" s="66"/>
    </row>
    <row r="76" spans="1:33" ht="15.75">
      <c r="A76" s="204"/>
      <c r="B76" s="204"/>
      <c r="C76" s="354"/>
      <c r="D76" s="212"/>
      <c r="E76" s="295"/>
      <c r="F76" s="212"/>
      <c r="G76" s="204"/>
      <c r="H76" s="204"/>
      <c r="I76" s="295"/>
      <c r="J76" s="295"/>
      <c r="K76" s="295"/>
      <c r="L76" s="295"/>
      <c r="M76" s="295"/>
      <c r="N76" s="295"/>
      <c r="O76" s="295"/>
      <c r="P76" s="295"/>
      <c r="Q76" s="295"/>
      <c r="R76" s="295"/>
      <c r="S76" s="295"/>
      <c r="T76" s="66"/>
      <c r="U76" s="155"/>
      <c r="V76" s="66"/>
      <c r="W76" s="66"/>
      <c r="X76" s="66"/>
      <c r="Y76" s="66"/>
      <c r="Z76" s="66"/>
      <c r="AA76" s="66"/>
      <c r="AB76" s="66"/>
      <c r="AC76" s="66"/>
      <c r="AD76" s="66"/>
      <c r="AE76" s="66"/>
      <c r="AF76" s="66"/>
      <c r="AG76" s="66"/>
    </row>
    <row r="77" spans="1:33" ht="15.75">
      <c r="A77" s="204" t="s">
        <v>697</v>
      </c>
      <c r="B77" s="204" t="s">
        <v>1702</v>
      </c>
      <c r="C77" s="354">
        <v>43832</v>
      </c>
      <c r="D77" s="212" t="s">
        <v>698</v>
      </c>
      <c r="E77" s="295">
        <f>43531.4+7142.4+1280.64+9648.09</f>
        <v>61602.53</v>
      </c>
      <c r="F77" s="212" t="s">
        <v>690</v>
      </c>
      <c r="G77" s="354"/>
      <c r="H77" s="295">
        <v>1804.5</v>
      </c>
      <c r="I77" s="295">
        <v>78.5</v>
      </c>
      <c r="J77" s="295"/>
      <c r="K77" s="295"/>
      <c r="L77" s="295"/>
      <c r="M77" s="295"/>
      <c r="N77" s="295"/>
      <c r="O77" s="295">
        <v>25.5</v>
      </c>
      <c r="P77" s="295">
        <v>25.95</v>
      </c>
      <c r="Q77" s="295">
        <v>26.4</v>
      </c>
      <c r="R77" s="295">
        <f t="shared" ref="R77" si="15">+E77*T77</f>
        <v>63776.736941176459</v>
      </c>
      <c r="S77" s="66"/>
      <c r="T77" s="218">
        <f t="shared" ref="T77" si="16">+Q77/O77</f>
        <v>1.0352941176470587</v>
      </c>
      <c r="U77" s="155"/>
      <c r="V77" s="66"/>
      <c r="W77" s="66"/>
      <c r="X77" s="66"/>
      <c r="Y77" s="66"/>
      <c r="Z77" s="66"/>
      <c r="AA77" s="66"/>
      <c r="AB77" s="66"/>
      <c r="AC77" s="66"/>
      <c r="AD77" s="66"/>
      <c r="AE77" s="66"/>
      <c r="AF77" s="66"/>
      <c r="AG77" s="66"/>
    </row>
    <row r="78" spans="1:33" ht="15.75">
      <c r="A78" s="204" t="s">
        <v>697</v>
      </c>
      <c r="B78" s="204" t="s">
        <v>1702</v>
      </c>
      <c r="C78" s="354">
        <v>42846</v>
      </c>
      <c r="D78" s="212" t="s">
        <v>713</v>
      </c>
      <c r="E78" s="295">
        <f>63058.16+815.47</f>
        <v>63873.630000000005</v>
      </c>
      <c r="F78" s="212" t="s">
        <v>690</v>
      </c>
      <c r="G78" s="204"/>
      <c r="H78" s="295">
        <v>1654</v>
      </c>
      <c r="I78" s="295">
        <v>60.5</v>
      </c>
      <c r="J78" s="295"/>
      <c r="K78" s="295"/>
      <c r="L78" s="295"/>
      <c r="M78" s="295"/>
      <c r="N78" s="295"/>
      <c r="O78" s="295">
        <v>26.83</v>
      </c>
      <c r="P78" s="295">
        <v>27.28</v>
      </c>
      <c r="Q78" s="295">
        <v>27.73</v>
      </c>
      <c r="R78" s="295">
        <f t="shared" ref="R78:R80" si="17">+E78*T78</f>
        <v>66016.241516958646</v>
      </c>
      <c r="S78" s="66"/>
      <c r="T78" s="218">
        <f t="shared" ref="T78:T80" si="18">+Q78/O78</f>
        <v>1.0335445396943721</v>
      </c>
      <c r="U78" s="155"/>
      <c r="V78" s="66"/>
      <c r="W78" s="66"/>
      <c r="X78" s="66"/>
      <c r="Y78" s="66"/>
      <c r="Z78" s="66"/>
      <c r="AA78" s="66"/>
      <c r="AB78" s="66"/>
      <c r="AC78" s="66"/>
      <c r="AD78" s="66"/>
      <c r="AE78" s="66"/>
      <c r="AF78" s="66"/>
      <c r="AG78" s="66"/>
    </row>
    <row r="79" spans="1:33" ht="15.75">
      <c r="A79" s="204" t="s">
        <v>697</v>
      </c>
      <c r="B79" s="204" t="s">
        <v>1702</v>
      </c>
      <c r="C79" s="354">
        <v>43802</v>
      </c>
      <c r="D79" s="212" t="s">
        <v>742</v>
      </c>
      <c r="E79" s="295">
        <f>61835.25</f>
        <v>61835.25</v>
      </c>
      <c r="F79" s="212" t="s">
        <v>690</v>
      </c>
      <c r="G79" s="204"/>
      <c r="H79" s="295">
        <v>1902</v>
      </c>
      <c r="I79" s="295">
        <v>118.5</v>
      </c>
      <c r="J79" s="295"/>
      <c r="K79" s="295"/>
      <c r="L79" s="295"/>
      <c r="M79" s="295"/>
      <c r="N79" s="295"/>
      <c r="O79" s="295">
        <v>26.83</v>
      </c>
      <c r="P79" s="295">
        <v>27.28</v>
      </c>
      <c r="Q79" s="295">
        <v>27.73</v>
      </c>
      <c r="R79" s="295">
        <f t="shared" si="17"/>
        <v>63909.484998136424</v>
      </c>
      <c r="S79" s="66"/>
      <c r="T79" s="218">
        <f t="shared" si="18"/>
        <v>1.0335445396943721</v>
      </c>
      <c r="U79" s="155"/>
      <c r="V79" s="66"/>
      <c r="W79" s="66"/>
      <c r="X79" s="66"/>
      <c r="Y79" s="66"/>
      <c r="Z79" s="66"/>
      <c r="AA79" s="66"/>
      <c r="AB79" s="66"/>
      <c r="AC79" s="66"/>
      <c r="AD79" s="66"/>
      <c r="AE79" s="66"/>
      <c r="AF79" s="66"/>
      <c r="AG79" s="66"/>
    </row>
    <row r="80" spans="1:33" ht="15.75">
      <c r="A80" s="204" t="s">
        <v>697</v>
      </c>
      <c r="B80" s="204" t="s">
        <v>1702</v>
      </c>
      <c r="C80" s="354">
        <v>43440</v>
      </c>
      <c r="D80" s="212" t="s">
        <v>750</v>
      </c>
      <c r="E80" s="352">
        <f>1621.05+35520.52+34254.55</f>
        <v>71396.12</v>
      </c>
      <c r="F80" s="212" t="s">
        <v>690</v>
      </c>
      <c r="G80" s="204"/>
      <c r="H80" s="352">
        <v>1932.5</v>
      </c>
      <c r="I80" s="352">
        <v>257</v>
      </c>
      <c r="J80" s="295"/>
      <c r="K80" s="295"/>
      <c r="L80" s="295"/>
      <c r="M80" s="295"/>
      <c r="N80" s="295"/>
      <c r="O80" s="295">
        <v>26.83</v>
      </c>
      <c r="P80" s="295">
        <v>27.28</v>
      </c>
      <c r="Q80" s="295">
        <v>27.73</v>
      </c>
      <c r="R80" s="352">
        <f t="shared" si="17"/>
        <v>73791.069981364155</v>
      </c>
      <c r="S80" s="66"/>
      <c r="T80" s="218">
        <f t="shared" si="18"/>
        <v>1.0335445396943721</v>
      </c>
      <c r="U80" s="155"/>
      <c r="V80" s="66"/>
      <c r="W80" s="66"/>
      <c r="X80" s="66"/>
      <c r="Y80" s="66"/>
      <c r="Z80" s="66"/>
      <c r="AA80" s="66"/>
      <c r="AB80" s="66"/>
      <c r="AC80" s="66"/>
      <c r="AD80" s="66"/>
      <c r="AE80" s="66"/>
      <c r="AF80" s="66"/>
      <c r="AG80" s="66"/>
    </row>
    <row r="81" spans="1:33" ht="15.75">
      <c r="A81" s="204"/>
      <c r="B81" s="204"/>
      <c r="C81" s="354"/>
      <c r="D81" s="212"/>
      <c r="E81" s="295">
        <f>SUM(E77:E80)</f>
        <v>258707.53</v>
      </c>
      <c r="F81" s="212"/>
      <c r="G81" s="204"/>
      <c r="H81" s="295">
        <f t="shared" ref="H81:I81" si="19">SUM(H77:H80)</f>
        <v>7293</v>
      </c>
      <c r="I81" s="295">
        <f t="shared" si="19"/>
        <v>514.5</v>
      </c>
      <c r="J81" s="295"/>
      <c r="K81" s="295"/>
      <c r="L81" s="295"/>
      <c r="M81" s="295"/>
      <c r="N81" s="295"/>
      <c r="O81" s="295"/>
      <c r="P81" s="295"/>
      <c r="Q81" s="295"/>
      <c r="R81" s="295">
        <f>SUM(R77:R80)</f>
        <v>267493.53343763563</v>
      </c>
      <c r="S81" s="295"/>
      <c r="T81" s="66"/>
      <c r="U81" s="155">
        <f>+R81-E81</f>
        <v>8786.0034376356343</v>
      </c>
      <c r="V81" s="66"/>
      <c r="W81" s="66"/>
      <c r="X81" s="66"/>
      <c r="Y81" s="66"/>
      <c r="Z81" s="66"/>
      <c r="AA81" s="66"/>
      <c r="AB81" s="66"/>
      <c r="AC81" s="66"/>
      <c r="AD81" s="66"/>
      <c r="AE81" s="66"/>
      <c r="AF81" s="66"/>
      <c r="AG81" s="66"/>
    </row>
    <row r="82" spans="1:33" ht="15.75">
      <c r="A82" s="204"/>
      <c r="B82" s="204"/>
      <c r="C82" s="354"/>
      <c r="D82" s="212"/>
      <c r="E82" s="295"/>
      <c r="F82" s="212"/>
      <c r="G82" s="204"/>
      <c r="H82" s="355"/>
      <c r="I82" s="295"/>
      <c r="J82" s="295"/>
      <c r="K82" s="295"/>
      <c r="L82" s="295"/>
      <c r="M82" s="295"/>
      <c r="N82" s="295"/>
      <c r="O82" s="295"/>
      <c r="P82" s="295"/>
      <c r="Q82" s="295"/>
      <c r="R82" s="295"/>
      <c r="S82" s="295"/>
      <c r="T82" s="66"/>
      <c r="U82" s="155"/>
      <c r="V82" s="66"/>
      <c r="W82" s="66"/>
      <c r="X82" s="66"/>
      <c r="Y82" s="66"/>
      <c r="Z82" s="66"/>
      <c r="AA82" s="66"/>
      <c r="AB82" s="66"/>
      <c r="AC82" s="66"/>
      <c r="AD82" s="66"/>
      <c r="AE82" s="66"/>
      <c r="AF82" s="66"/>
      <c r="AG82" s="66"/>
    </row>
    <row r="83" spans="1:33" ht="15.75">
      <c r="A83" s="204" t="s">
        <v>701</v>
      </c>
      <c r="B83" s="204" t="s">
        <v>1702</v>
      </c>
      <c r="C83" s="354">
        <v>36061</v>
      </c>
      <c r="D83" s="212" t="s">
        <v>702</v>
      </c>
      <c r="E83" s="295">
        <v>65819.44</v>
      </c>
      <c r="F83" s="212" t="s">
        <v>690</v>
      </c>
      <c r="G83" s="204"/>
      <c r="H83" s="295">
        <v>1675.5</v>
      </c>
      <c r="I83" s="295">
        <v>51.5</v>
      </c>
      <c r="J83" s="295"/>
      <c r="K83" s="295"/>
      <c r="L83" s="295"/>
      <c r="M83" s="295"/>
      <c r="N83" s="295"/>
      <c r="O83" s="295">
        <v>28.58</v>
      </c>
      <c r="P83" s="295">
        <v>29.03</v>
      </c>
      <c r="Q83" s="295">
        <v>29.48</v>
      </c>
      <c r="R83" s="295">
        <f>+E83*T83</f>
        <v>67892.130552834162</v>
      </c>
      <c r="S83" s="66"/>
      <c r="T83" s="218">
        <f>+Q83/O83</f>
        <v>1.0314905528341498</v>
      </c>
      <c r="U83" s="155"/>
      <c r="V83" s="66"/>
      <c r="W83" s="66"/>
      <c r="X83" s="66"/>
      <c r="Y83" s="66"/>
      <c r="Z83" s="66"/>
      <c r="AA83" s="66"/>
      <c r="AB83" s="66"/>
      <c r="AC83" s="66"/>
      <c r="AD83" s="66"/>
      <c r="AE83" s="66"/>
      <c r="AF83" s="66"/>
      <c r="AG83" s="66"/>
    </row>
    <row r="84" spans="1:33" ht="15.75">
      <c r="A84" s="204" t="s">
        <v>701</v>
      </c>
      <c r="B84" s="204" t="s">
        <v>1702</v>
      </c>
      <c r="C84" s="354">
        <v>42954</v>
      </c>
      <c r="D84" s="212" t="s">
        <v>733</v>
      </c>
      <c r="E84" s="352">
        <f>446.89+1276.08</f>
        <v>1722.9699999999998</v>
      </c>
      <c r="F84" s="212" t="s">
        <v>715</v>
      </c>
      <c r="G84" s="354">
        <v>43921</v>
      </c>
      <c r="H84" s="352">
        <v>15</v>
      </c>
      <c r="I84" s="352">
        <f>H84*1.5</f>
        <v>22.5</v>
      </c>
      <c r="J84" s="295"/>
      <c r="K84" s="295"/>
      <c r="L84" s="295"/>
      <c r="M84" s="295"/>
      <c r="N84" s="295"/>
      <c r="O84" s="295"/>
      <c r="P84" s="295"/>
      <c r="Q84" s="295"/>
      <c r="R84" s="352"/>
      <c r="S84" s="295"/>
      <c r="T84" s="66"/>
      <c r="U84" s="155"/>
      <c r="V84" s="66"/>
      <c r="W84" s="66"/>
      <c r="X84" s="66"/>
      <c r="Y84" s="66"/>
      <c r="Z84" s="66"/>
      <c r="AA84" s="66"/>
      <c r="AB84" s="66"/>
      <c r="AC84" s="66"/>
      <c r="AD84" s="66"/>
      <c r="AE84" s="66"/>
      <c r="AF84" s="66"/>
      <c r="AG84" s="66"/>
    </row>
    <row r="85" spans="1:33" ht="15.75">
      <c r="A85" s="204"/>
      <c r="B85" s="204"/>
      <c r="C85" s="354"/>
      <c r="D85" s="212"/>
      <c r="E85" s="295">
        <f>SUM(E83:E84)</f>
        <v>67542.41</v>
      </c>
      <c r="F85" s="212"/>
      <c r="G85" s="354"/>
      <c r="H85" s="295">
        <f>SUM(H83:H84)</f>
        <v>1690.5</v>
      </c>
      <c r="I85" s="295">
        <f>SUM(I83:I84)</f>
        <v>74</v>
      </c>
      <c r="J85" s="295"/>
      <c r="K85" s="295"/>
      <c r="L85" s="295"/>
      <c r="M85" s="295"/>
      <c r="N85" s="295"/>
      <c r="O85" s="295"/>
      <c r="P85" s="295"/>
      <c r="Q85" s="295"/>
      <c r="R85" s="295">
        <f>SUM(R83:R84)</f>
        <v>67892.130552834162</v>
      </c>
      <c r="S85" s="295"/>
      <c r="T85" s="66"/>
      <c r="U85" s="155">
        <f>+R85-E85</f>
        <v>349.7205528341583</v>
      </c>
      <c r="V85" s="66"/>
      <c r="W85" s="66"/>
      <c r="X85" s="66"/>
      <c r="Y85" s="66"/>
      <c r="Z85" s="66"/>
      <c r="AA85" s="66"/>
      <c r="AB85" s="66"/>
      <c r="AC85" s="66"/>
      <c r="AD85" s="66"/>
      <c r="AE85" s="66"/>
      <c r="AF85" s="66"/>
      <c r="AG85" s="66"/>
    </row>
    <row r="86" spans="1:33" ht="15.75">
      <c r="A86" s="204"/>
      <c r="B86" s="204"/>
      <c r="C86" s="354"/>
      <c r="D86" s="212"/>
      <c r="E86" s="295"/>
      <c r="F86" s="212"/>
      <c r="G86" s="354"/>
      <c r="H86" s="352">
        <f>-H84</f>
        <v>-15</v>
      </c>
      <c r="I86" s="352">
        <f>-I84</f>
        <v>-22.5</v>
      </c>
      <c r="J86" s="295"/>
      <c r="K86" s="295"/>
      <c r="L86" s="295"/>
      <c r="M86" s="295"/>
      <c r="N86" s="295"/>
      <c r="O86" s="295"/>
      <c r="P86" s="295"/>
      <c r="Q86" s="295"/>
      <c r="R86" s="295"/>
      <c r="S86" s="295"/>
      <c r="T86" s="66"/>
      <c r="U86" s="155"/>
      <c r="V86" s="66"/>
      <c r="W86" s="66"/>
      <c r="X86" s="66"/>
      <c r="Y86" s="66"/>
      <c r="Z86" s="66"/>
      <c r="AA86" s="66"/>
      <c r="AB86" s="66"/>
      <c r="AC86" s="66"/>
      <c r="AD86" s="66"/>
      <c r="AE86" s="66"/>
      <c r="AF86" s="66"/>
      <c r="AG86" s="66"/>
    </row>
    <row r="87" spans="1:33" ht="15.75">
      <c r="A87" s="204"/>
      <c r="B87" s="204"/>
      <c r="C87" s="354"/>
      <c r="D87" s="212"/>
      <c r="E87" s="295"/>
      <c r="F87" s="212"/>
      <c r="G87" s="354"/>
      <c r="H87" s="295">
        <f>SUM(H85:H86)</f>
        <v>1675.5</v>
      </c>
      <c r="I87" s="295">
        <f>SUM(I85:I86)</f>
        <v>51.5</v>
      </c>
      <c r="J87" s="295"/>
      <c r="K87" s="295"/>
      <c r="L87" s="295"/>
      <c r="M87" s="295"/>
      <c r="N87" s="295"/>
      <c r="O87" s="295"/>
      <c r="P87" s="295"/>
      <c r="Q87" s="295"/>
      <c r="R87" s="295"/>
      <c r="S87" s="295"/>
      <c r="T87" s="66"/>
      <c r="U87" s="155"/>
      <c r="V87" s="66"/>
      <c r="W87" s="66"/>
      <c r="X87" s="66"/>
      <c r="Y87" s="66"/>
      <c r="Z87" s="66"/>
      <c r="AA87" s="66"/>
      <c r="AB87" s="66"/>
      <c r="AC87" s="66"/>
      <c r="AD87" s="66"/>
      <c r="AE87" s="66"/>
      <c r="AF87" s="66"/>
      <c r="AG87" s="66"/>
    </row>
    <row r="88" spans="1:33" ht="15.75">
      <c r="A88" s="204"/>
      <c r="B88" s="204"/>
      <c r="C88" s="354"/>
      <c r="D88" s="212"/>
      <c r="E88" s="295"/>
      <c r="F88" s="212"/>
      <c r="G88" s="354"/>
      <c r="H88" s="204"/>
      <c r="I88" s="295"/>
      <c r="J88" s="295"/>
      <c r="K88" s="295"/>
      <c r="L88" s="295"/>
      <c r="M88" s="295"/>
      <c r="N88" s="295"/>
      <c r="O88" s="295"/>
      <c r="P88" s="295"/>
      <c r="Q88" s="295"/>
      <c r="R88" s="295"/>
      <c r="S88" s="295"/>
      <c r="T88" s="66"/>
      <c r="U88" s="155"/>
      <c r="V88" s="66"/>
      <c r="W88" s="66"/>
      <c r="X88" s="66"/>
      <c r="Y88" s="66"/>
      <c r="Z88" s="66"/>
      <c r="AA88" s="66"/>
      <c r="AB88" s="66"/>
      <c r="AC88" s="66"/>
      <c r="AD88" s="66"/>
      <c r="AE88" s="66"/>
      <c r="AF88" s="66"/>
      <c r="AG88" s="66"/>
    </row>
    <row r="89" spans="1:33" ht="15.75">
      <c r="A89" s="204"/>
      <c r="B89" s="204"/>
      <c r="C89" s="354"/>
      <c r="D89" s="212"/>
      <c r="E89" s="295"/>
      <c r="F89" s="212"/>
      <c r="G89" s="354"/>
      <c r="H89" s="204"/>
      <c r="I89" s="295"/>
      <c r="J89" s="295"/>
      <c r="K89" s="295"/>
      <c r="L89" s="295"/>
      <c r="M89" s="295"/>
      <c r="N89" s="295"/>
      <c r="O89" s="295"/>
      <c r="P89" s="295"/>
      <c r="Q89" s="295"/>
      <c r="R89" s="295"/>
      <c r="S89" s="295"/>
      <c r="T89" s="66"/>
      <c r="U89" s="155"/>
      <c r="V89" s="66"/>
      <c r="W89" s="66"/>
      <c r="X89" s="66"/>
      <c r="Y89" s="66"/>
      <c r="Z89" s="66"/>
      <c r="AA89" s="66"/>
      <c r="AB89" s="66"/>
      <c r="AC89" s="66"/>
      <c r="AD89" s="66"/>
      <c r="AE89" s="66"/>
      <c r="AF89" s="66"/>
      <c r="AG89" s="66"/>
    </row>
    <row r="90" spans="1:33" ht="15.75">
      <c r="A90" s="204" t="s">
        <v>734</v>
      </c>
      <c r="B90" s="204" t="s">
        <v>1702</v>
      </c>
      <c r="C90" s="354">
        <v>35431</v>
      </c>
      <c r="D90" s="212" t="s">
        <v>735</v>
      </c>
      <c r="E90" s="295">
        <f>85593.88</f>
        <v>85593.88</v>
      </c>
      <c r="F90" s="212" t="s">
        <v>690</v>
      </c>
      <c r="G90" s="204"/>
      <c r="H90" s="295">
        <v>1795.5</v>
      </c>
      <c r="I90" s="295">
        <v>312</v>
      </c>
      <c r="J90" s="295"/>
      <c r="K90" s="295"/>
      <c r="L90" s="360">
        <v>32.25</v>
      </c>
      <c r="M90" s="295">
        <v>33</v>
      </c>
      <c r="N90" s="295">
        <v>35</v>
      </c>
      <c r="O90" s="295"/>
      <c r="P90" s="295"/>
      <c r="Q90" s="295"/>
      <c r="R90" s="295">
        <f t="shared" ref="R90:R92" si="20">+E90*S90</f>
        <v>92892.582945736431</v>
      </c>
      <c r="S90" s="218">
        <f t="shared" ref="S90:S92" si="21">+N90/L90</f>
        <v>1.0852713178294573</v>
      </c>
      <c r="T90" s="66"/>
      <c r="U90" s="155"/>
      <c r="V90" s="66"/>
      <c r="W90" s="66"/>
      <c r="X90" s="66"/>
      <c r="Y90" s="66"/>
      <c r="Z90" s="66"/>
      <c r="AA90" s="66"/>
      <c r="AB90" s="66"/>
      <c r="AC90" s="66"/>
      <c r="AD90" s="66"/>
      <c r="AE90" s="66"/>
      <c r="AF90" s="66"/>
      <c r="AG90" s="66"/>
    </row>
    <row r="91" spans="1:33" ht="15.75">
      <c r="A91" s="204" t="s">
        <v>734</v>
      </c>
      <c r="B91" s="204" t="s">
        <v>1702</v>
      </c>
      <c r="C91" s="354">
        <v>40651</v>
      </c>
      <c r="D91" s="212" t="s">
        <v>744</v>
      </c>
      <c r="E91" s="295">
        <f>1130.63+80616.39</f>
        <v>81747.02</v>
      </c>
      <c r="F91" s="212" t="s">
        <v>690</v>
      </c>
      <c r="G91" s="204"/>
      <c r="H91" s="295">
        <v>1921</v>
      </c>
      <c r="I91" s="295">
        <v>176</v>
      </c>
      <c r="J91" s="295"/>
      <c r="K91" s="295"/>
      <c r="L91" s="360">
        <v>32.25</v>
      </c>
      <c r="M91" s="295">
        <v>33</v>
      </c>
      <c r="N91" s="295">
        <v>35</v>
      </c>
      <c r="O91" s="295"/>
      <c r="P91" s="295"/>
      <c r="Q91" s="295"/>
      <c r="R91" s="295">
        <f t="shared" si="20"/>
        <v>88717.696124031005</v>
      </c>
      <c r="S91" s="218">
        <f t="shared" si="21"/>
        <v>1.0852713178294573</v>
      </c>
      <c r="T91" s="66"/>
      <c r="U91" s="155"/>
      <c r="V91" s="66"/>
      <c r="W91" s="66"/>
      <c r="X91" s="66"/>
      <c r="Y91" s="66"/>
      <c r="Z91" s="66"/>
      <c r="AA91" s="66"/>
      <c r="AB91" s="66"/>
      <c r="AC91" s="66"/>
      <c r="AD91" s="66"/>
      <c r="AE91" s="66"/>
      <c r="AF91" s="66"/>
      <c r="AG91" s="66"/>
    </row>
    <row r="92" spans="1:33" ht="15.75">
      <c r="A92" s="204" t="s">
        <v>734</v>
      </c>
      <c r="B92" s="204" t="s">
        <v>1702</v>
      </c>
      <c r="C92" s="354">
        <v>37462</v>
      </c>
      <c r="D92" s="212" t="s">
        <v>749</v>
      </c>
      <c r="E92" s="352">
        <f>83543.97</f>
        <v>83543.97</v>
      </c>
      <c r="F92" s="212" t="s">
        <v>690</v>
      </c>
      <c r="G92" s="204"/>
      <c r="H92" s="295">
        <v>1761.5</v>
      </c>
      <c r="I92" s="295">
        <v>271</v>
      </c>
      <c r="J92" s="295"/>
      <c r="K92" s="295"/>
      <c r="L92" s="360">
        <v>32.25</v>
      </c>
      <c r="M92" s="295">
        <v>33</v>
      </c>
      <c r="N92" s="295">
        <v>35</v>
      </c>
      <c r="O92" s="295"/>
      <c r="P92" s="295"/>
      <c r="Q92" s="295"/>
      <c r="R92" s="295">
        <f t="shared" si="20"/>
        <v>90667.874418604653</v>
      </c>
      <c r="S92" s="218">
        <f t="shared" si="21"/>
        <v>1.0852713178294573</v>
      </c>
      <c r="T92" s="66"/>
      <c r="U92" s="155"/>
      <c r="V92" s="66"/>
      <c r="W92" s="66"/>
      <c r="X92" s="66"/>
      <c r="Y92" s="66"/>
      <c r="Z92" s="66"/>
      <c r="AA92" s="66"/>
      <c r="AB92" s="66"/>
      <c r="AC92" s="66"/>
      <c r="AD92" s="66"/>
      <c r="AE92" s="66"/>
      <c r="AF92" s="66"/>
      <c r="AG92" s="66"/>
    </row>
    <row r="93" spans="1:33" ht="15.75">
      <c r="A93" s="204"/>
      <c r="B93" s="204"/>
      <c r="C93" s="204"/>
      <c r="D93" s="212"/>
      <c r="E93" s="556">
        <f>SUM(E90:E92)</f>
        <v>250884.87000000002</v>
      </c>
      <c r="F93" s="204"/>
      <c r="G93" s="204"/>
      <c r="H93" s="556">
        <f t="shared" ref="H93:I93" si="22">SUM(H90:H92)</f>
        <v>5478</v>
      </c>
      <c r="I93" s="556">
        <f t="shared" si="22"/>
        <v>759</v>
      </c>
      <c r="J93" s="295"/>
      <c r="K93" s="295"/>
      <c r="L93" s="360"/>
      <c r="M93" s="295"/>
      <c r="N93" s="295"/>
      <c r="O93" s="295"/>
      <c r="P93" s="295"/>
      <c r="Q93" s="295"/>
      <c r="R93" s="358">
        <f>SUM(R90:R92)</f>
        <v>272278.1534883721</v>
      </c>
      <c r="S93" s="295"/>
      <c r="T93" s="66"/>
      <c r="U93" s="227">
        <f>+R93-E93</f>
        <v>21393.283488372079</v>
      </c>
      <c r="V93" s="66"/>
      <c r="W93" s="66"/>
      <c r="X93" s="66"/>
      <c r="Y93" s="66"/>
      <c r="Z93" s="66"/>
      <c r="AA93" s="66"/>
      <c r="AB93" s="66"/>
      <c r="AC93" s="66"/>
      <c r="AD93" s="66"/>
      <c r="AE93" s="66"/>
      <c r="AF93" s="66"/>
      <c r="AG93" s="66"/>
    </row>
    <row r="94" spans="1:33" ht="15.75">
      <c r="A94" s="272"/>
      <c r="B94" s="272" t="s">
        <v>1506</v>
      </c>
      <c r="C94" s="272"/>
      <c r="D94" s="460"/>
      <c r="E94" s="295">
        <f>+E40+E50+E67+E75+E81+E85+E93</f>
        <v>2794443.84</v>
      </c>
      <c r="F94" s="272"/>
      <c r="G94" s="272"/>
      <c r="H94" s="295">
        <f>+H42+H50+H69+H75+H81+H87+H93</f>
        <v>64168</v>
      </c>
      <c r="I94" s="295">
        <f>+I42+I50+I69+I75+I81+I87+I93</f>
        <v>5693.3</v>
      </c>
      <c r="J94" s="295"/>
      <c r="K94" s="295"/>
      <c r="L94" s="360"/>
      <c r="M94" s="295"/>
      <c r="N94" s="295"/>
      <c r="O94" s="295"/>
      <c r="P94" s="295"/>
      <c r="Q94" s="295"/>
      <c r="R94" s="359">
        <f>+R40+R50+R67+R75+R81+R85+R93</f>
        <v>2931047.2180369585</v>
      </c>
      <c r="S94" s="295"/>
      <c r="T94" s="66"/>
      <c r="U94" s="472">
        <f>+U40+U50+U67+U75+U81+U85+U93</f>
        <v>136603.37803695831</v>
      </c>
      <c r="V94" s="66"/>
      <c r="W94" s="66"/>
      <c r="X94" s="66"/>
      <c r="Y94" s="66"/>
      <c r="Z94" s="66"/>
      <c r="AA94" s="66"/>
      <c r="AB94" s="66"/>
      <c r="AC94" s="66"/>
      <c r="AD94" s="66"/>
      <c r="AE94" s="66"/>
      <c r="AF94" s="66"/>
      <c r="AG94" s="66"/>
    </row>
    <row r="95" spans="1:33" ht="15.75">
      <c r="A95" s="293"/>
      <c r="B95" s="293" t="s">
        <v>1507</v>
      </c>
      <c r="C95" s="293"/>
      <c r="D95" s="461"/>
      <c r="E95" s="295">
        <v>2793992.49</v>
      </c>
      <c r="F95" s="272"/>
      <c r="G95" s="272"/>
      <c r="H95" s="272"/>
      <c r="I95" s="295"/>
      <c r="J95" s="295"/>
      <c r="K95" s="295"/>
      <c r="L95" s="295"/>
      <c r="M95" s="295"/>
      <c r="N95" s="295"/>
      <c r="O95" s="295"/>
      <c r="P95" s="295"/>
      <c r="Q95" s="295"/>
      <c r="R95" s="295"/>
      <c r="S95" s="295"/>
      <c r="T95" s="66"/>
      <c r="U95" s="155"/>
      <c r="V95" s="66"/>
      <c r="W95" s="66"/>
      <c r="X95" s="66"/>
      <c r="Y95" s="66"/>
      <c r="Z95" s="66"/>
      <c r="AA95" s="66"/>
      <c r="AB95" s="66"/>
      <c r="AC95" s="66"/>
      <c r="AD95" s="66"/>
      <c r="AE95" s="66"/>
      <c r="AF95" s="66"/>
      <c r="AG95" s="66"/>
    </row>
    <row r="96" spans="1:33" ht="15.75">
      <c r="A96" s="293"/>
      <c r="B96" s="293" t="s">
        <v>1508</v>
      </c>
      <c r="C96" s="293"/>
      <c r="D96" s="293"/>
      <c r="E96" s="293">
        <f>+E94-E95</f>
        <v>451.34999999962747</v>
      </c>
      <c r="F96" s="272"/>
      <c r="G96" s="272"/>
      <c r="H96" s="272"/>
      <c r="I96" s="295"/>
      <c r="J96" s="295"/>
      <c r="K96" s="295"/>
      <c r="L96" s="295"/>
      <c r="M96" s="295"/>
      <c r="N96" s="295"/>
      <c r="O96" s="295"/>
      <c r="P96" s="295"/>
      <c r="Q96" s="295"/>
      <c r="R96" s="293"/>
      <c r="S96" s="295"/>
      <c r="T96" s="66"/>
      <c r="U96" s="155"/>
      <c r="V96" s="66"/>
      <c r="W96" s="66"/>
      <c r="X96" s="66"/>
      <c r="Y96" s="66"/>
      <c r="Z96" s="66"/>
      <c r="AA96" s="66"/>
      <c r="AB96" s="66"/>
      <c r="AC96" s="66"/>
      <c r="AD96" s="66"/>
      <c r="AE96" s="66"/>
      <c r="AF96" s="66"/>
      <c r="AG96" s="66"/>
    </row>
    <row r="97" spans="1:33" ht="15.75">
      <c r="A97" s="293"/>
      <c r="B97" s="293"/>
      <c r="C97" s="293"/>
      <c r="D97" s="293"/>
      <c r="E97" s="293"/>
      <c r="F97" s="272"/>
      <c r="G97" s="272"/>
      <c r="H97" s="272"/>
      <c r="I97" s="295"/>
      <c r="J97" s="295"/>
      <c r="K97" s="295"/>
      <c r="L97" s="295"/>
      <c r="M97" s="295"/>
      <c r="N97" s="295"/>
      <c r="O97" s="295"/>
      <c r="P97" s="295"/>
      <c r="Q97" s="295"/>
      <c r="R97" s="295"/>
      <c r="S97" s="295"/>
      <c r="T97" s="66"/>
      <c r="U97" s="155"/>
      <c r="V97" s="66"/>
      <c r="W97" s="66"/>
      <c r="X97" s="66"/>
      <c r="Y97" s="66"/>
      <c r="Z97" s="66"/>
      <c r="AA97" s="66"/>
      <c r="AB97" s="66"/>
      <c r="AC97" s="66"/>
      <c r="AD97" s="66"/>
      <c r="AE97" s="66"/>
      <c r="AF97" s="66"/>
      <c r="AG97" s="66"/>
    </row>
    <row r="98" spans="1:33" ht="15.75">
      <c r="A98" s="293"/>
      <c r="B98" s="293" t="s">
        <v>1509</v>
      </c>
      <c r="C98" s="293"/>
      <c r="D98" s="293"/>
      <c r="E98" s="293">
        <f>+E6</f>
        <v>209496.56</v>
      </c>
      <c r="F98" s="272"/>
      <c r="G98" s="272"/>
      <c r="H98" s="272"/>
      <c r="I98" s="295"/>
      <c r="J98" s="295"/>
      <c r="K98" s="295"/>
      <c r="L98" s="295"/>
      <c r="M98" s="295"/>
      <c r="N98" s="295"/>
      <c r="O98" s="295"/>
      <c r="P98" s="295"/>
      <c r="Q98" s="295"/>
      <c r="R98" s="293">
        <f>+R6</f>
        <v>217645.97618399997</v>
      </c>
      <c r="S98" s="295"/>
      <c r="T98" s="66"/>
      <c r="U98" s="155">
        <f>+U6</f>
        <v>8149.4161839999724</v>
      </c>
      <c r="V98" s="66"/>
      <c r="W98" s="66"/>
      <c r="X98" s="66"/>
      <c r="Y98" s="66"/>
      <c r="Z98" s="66"/>
      <c r="AA98" s="66"/>
      <c r="AB98" s="66"/>
      <c r="AC98" s="66"/>
      <c r="AD98" s="66"/>
      <c r="AE98" s="66"/>
      <c r="AF98" s="66"/>
      <c r="AG98" s="66"/>
    </row>
    <row r="99" spans="1:33" ht="15.75">
      <c r="A99" s="293"/>
      <c r="B99" s="293" t="s">
        <v>1510</v>
      </c>
      <c r="C99" s="293"/>
      <c r="D99" s="293"/>
      <c r="E99" s="267">
        <f>+E18</f>
        <v>540033.93999999994</v>
      </c>
      <c r="F99" s="272"/>
      <c r="G99" s="272"/>
      <c r="H99" s="272"/>
      <c r="I99" s="295"/>
      <c r="J99" s="295"/>
      <c r="K99" s="295"/>
      <c r="L99" s="295"/>
      <c r="M99" s="295"/>
      <c r="N99" s="295"/>
      <c r="O99" s="295"/>
      <c r="P99" s="295"/>
      <c r="Q99" s="295"/>
      <c r="R99" s="267">
        <f>+R22</f>
        <v>521037.78</v>
      </c>
      <c r="S99" s="295"/>
      <c r="T99" s="66"/>
      <c r="U99" s="227">
        <f>+U22</f>
        <v>-18996.159999999916</v>
      </c>
      <c r="V99" s="66"/>
      <c r="W99" s="66"/>
      <c r="X99" s="66"/>
      <c r="Y99" s="66"/>
      <c r="Z99" s="66"/>
      <c r="AA99" s="66"/>
      <c r="AB99" s="66"/>
      <c r="AC99" s="66"/>
      <c r="AD99" s="66"/>
      <c r="AE99" s="66"/>
      <c r="AF99" s="66"/>
      <c r="AG99" s="66"/>
    </row>
    <row r="100" spans="1:33" ht="15.75">
      <c r="A100" s="293"/>
      <c r="B100" s="293"/>
      <c r="C100" s="293"/>
      <c r="D100" s="293"/>
      <c r="E100" s="293">
        <f>+E94+E98+E99</f>
        <v>3543974.34</v>
      </c>
      <c r="F100" s="272"/>
      <c r="G100" s="272"/>
      <c r="H100" s="272"/>
      <c r="I100" s="295"/>
      <c r="J100" s="295"/>
      <c r="K100" s="295"/>
      <c r="L100" s="295"/>
      <c r="M100" s="295"/>
      <c r="N100" s="295"/>
      <c r="O100" s="295"/>
      <c r="P100" s="295"/>
      <c r="Q100" s="295"/>
      <c r="R100" s="295">
        <f>SUM(R94:R99)</f>
        <v>3669730.9742209585</v>
      </c>
      <c r="S100" s="295"/>
      <c r="T100" s="66"/>
      <c r="U100" s="155">
        <f>SUM(U94:U99)</f>
        <v>125756.63422095837</v>
      </c>
      <c r="V100" s="66"/>
      <c r="W100" s="66"/>
      <c r="X100" s="66"/>
      <c r="Y100" s="66"/>
      <c r="Z100" s="66"/>
      <c r="AA100" s="66"/>
      <c r="AB100" s="66"/>
      <c r="AC100" s="66"/>
      <c r="AD100" s="66"/>
      <c r="AE100" s="66"/>
      <c r="AF100" s="66"/>
      <c r="AG100" s="66"/>
    </row>
    <row r="101" spans="1:33" ht="15.75">
      <c r="A101" s="293"/>
      <c r="B101" s="293"/>
      <c r="C101" s="293"/>
      <c r="D101" s="293"/>
      <c r="E101" s="293"/>
      <c r="F101" s="272"/>
      <c r="G101" s="272"/>
      <c r="H101" s="272"/>
      <c r="I101" s="295"/>
      <c r="J101" s="295"/>
      <c r="K101" s="295"/>
      <c r="L101" s="295"/>
      <c r="M101" s="295"/>
      <c r="N101" s="295"/>
      <c r="O101" s="295"/>
      <c r="P101" s="295"/>
      <c r="Q101" s="295"/>
      <c r="R101" s="295"/>
      <c r="S101" s="295"/>
      <c r="T101" s="66"/>
      <c r="U101" s="440"/>
      <c r="V101" s="66"/>
      <c r="W101" s="66"/>
      <c r="X101" s="66"/>
      <c r="Y101" s="66"/>
      <c r="Z101" s="66"/>
      <c r="AA101" s="66"/>
      <c r="AB101" s="66"/>
      <c r="AC101" s="66"/>
      <c r="AD101" s="66"/>
      <c r="AE101" s="66"/>
      <c r="AF101" s="66"/>
      <c r="AG101" s="66"/>
    </row>
    <row r="102" spans="1:33" ht="15.75">
      <c r="A102" s="293"/>
      <c r="B102" s="155" t="s">
        <v>931</v>
      </c>
      <c r="C102" s="155" t="s">
        <v>932</v>
      </c>
      <c r="D102" s="155" t="s">
        <v>911</v>
      </c>
      <c r="E102" s="155" t="s">
        <v>933</v>
      </c>
      <c r="F102" s="155" t="s">
        <v>674</v>
      </c>
      <c r="G102" s="155" t="s">
        <v>759</v>
      </c>
      <c r="H102" s="272"/>
      <c r="I102" s="155" t="s">
        <v>931</v>
      </c>
      <c r="J102" s="155" t="s">
        <v>932</v>
      </c>
      <c r="K102" s="155" t="s">
        <v>911</v>
      </c>
      <c r="L102" s="155" t="s">
        <v>933</v>
      </c>
      <c r="M102" s="155" t="s">
        <v>674</v>
      </c>
      <c r="N102" s="155" t="s">
        <v>759</v>
      </c>
      <c r="O102" s="295"/>
      <c r="P102" s="295"/>
      <c r="Q102" s="295"/>
      <c r="R102" s="295"/>
      <c r="S102" s="295"/>
      <c r="T102" s="66"/>
      <c r="U102" s="440"/>
      <c r="V102" s="66"/>
      <c r="W102" s="66"/>
      <c r="X102" s="66"/>
      <c r="Y102" s="66"/>
      <c r="Z102" s="66"/>
      <c r="AA102" s="66"/>
      <c r="AB102" s="66"/>
      <c r="AC102" s="66"/>
      <c r="AD102" s="66"/>
      <c r="AE102" s="66"/>
      <c r="AF102" s="66"/>
      <c r="AG102" s="66"/>
    </row>
    <row r="103" spans="1:33" ht="15.75">
      <c r="A103" s="272"/>
      <c r="B103" s="155" t="s">
        <v>519</v>
      </c>
      <c r="C103" s="155" t="s">
        <v>678</v>
      </c>
      <c r="D103" s="155" t="s">
        <v>681</v>
      </c>
      <c r="E103" s="155"/>
      <c r="F103" s="155" t="s">
        <v>681</v>
      </c>
      <c r="G103" s="155"/>
      <c r="H103" s="272"/>
      <c r="I103" s="155" t="s">
        <v>519</v>
      </c>
      <c r="J103" s="155" t="s">
        <v>678</v>
      </c>
      <c r="K103" s="155" t="s">
        <v>681</v>
      </c>
      <c r="L103" s="155"/>
      <c r="M103" s="155" t="s">
        <v>681</v>
      </c>
      <c r="N103" s="155"/>
      <c r="O103" s="295"/>
      <c r="P103" s="295"/>
      <c r="Q103" s="295"/>
      <c r="R103" s="295"/>
      <c r="S103" s="295"/>
      <c r="T103" s="66"/>
      <c r="U103" s="440"/>
      <c r="V103" s="66"/>
      <c r="W103" s="66"/>
      <c r="X103" s="66"/>
      <c r="Y103" s="66"/>
      <c r="Z103" s="66"/>
      <c r="AA103" s="66"/>
      <c r="AB103" s="66"/>
      <c r="AC103" s="66"/>
      <c r="AD103" s="66"/>
      <c r="AE103" s="66"/>
      <c r="AF103" s="66"/>
      <c r="AG103" s="66"/>
    </row>
    <row r="104" spans="1:33" ht="15.75">
      <c r="A104" s="272"/>
      <c r="B104" s="537">
        <f>+'12 Month P&amp;L'!P50+'12 Month P&amp;L'!P51+'12 Month P&amp;L'!P52</f>
        <v>1683798.2600000002</v>
      </c>
      <c r="C104" s="537">
        <f>+'12 Month P&amp;L'!P56</f>
        <v>164379.10999999999</v>
      </c>
      <c r="D104" s="537">
        <f>+'12 Month P&amp;L'!P53</f>
        <v>594713.91</v>
      </c>
      <c r="E104" s="537">
        <f>+'12 Month P&amp;L'!P55</f>
        <v>154121.78</v>
      </c>
      <c r="F104" s="537">
        <f>+'12 Month P&amp;L'!P54</f>
        <v>62962.07</v>
      </c>
      <c r="G104" s="537">
        <f>+'12 Month P&amp;L'!P57</f>
        <v>134017.35999999999</v>
      </c>
      <c r="H104" s="537">
        <f>SUM(B104:G104)</f>
        <v>2793992.4899999998</v>
      </c>
      <c r="I104" s="293">
        <f>+H93+I93+H50+I50+H42+I42</f>
        <v>38201.5</v>
      </c>
      <c r="J104" s="293">
        <f>+H75+I75</f>
        <v>5902</v>
      </c>
      <c r="K104" s="293">
        <f>+H69+I69</f>
        <v>16223.3</v>
      </c>
      <c r="L104" s="291"/>
      <c r="M104" s="293">
        <f>+H81+I81</f>
        <v>7807.5</v>
      </c>
      <c r="N104" s="293">
        <f>+H87+I87</f>
        <v>1727</v>
      </c>
      <c r="O104" s="537">
        <f>+I104+J104+K104+M104+N104</f>
        <v>69861.3</v>
      </c>
      <c r="P104" s="537">
        <f>+O104-H94-I94</f>
        <v>0</v>
      </c>
      <c r="Q104" s="66"/>
      <c r="R104" s="66"/>
      <c r="S104" s="66"/>
      <c r="T104" s="66"/>
      <c r="U104" s="440"/>
      <c r="V104" s="66"/>
      <c r="W104" s="66"/>
      <c r="X104" s="66"/>
      <c r="Y104" s="66"/>
      <c r="Z104" s="66"/>
      <c r="AA104" s="66"/>
      <c r="AB104" s="66"/>
      <c r="AC104" s="66"/>
      <c r="AD104" s="66"/>
      <c r="AE104" s="66"/>
      <c r="AF104" s="66"/>
      <c r="AG104" s="66"/>
    </row>
    <row r="105" spans="1:33" ht="15.75">
      <c r="A105" s="272"/>
      <c r="B105" s="555"/>
      <c r="C105" s="555"/>
      <c r="D105" s="555"/>
      <c r="E105" s="555"/>
      <c r="F105" s="555"/>
      <c r="G105" s="555"/>
      <c r="H105" s="272"/>
      <c r="I105" s="293"/>
      <c r="J105" s="291"/>
      <c r="K105" s="291"/>
      <c r="L105" s="291"/>
      <c r="M105" s="291"/>
      <c r="N105" s="291"/>
      <c r="O105" s="66"/>
      <c r="P105" s="66"/>
      <c r="Q105" s="66"/>
      <c r="R105" s="66"/>
      <c r="S105" s="66"/>
      <c r="T105" s="66"/>
      <c r="U105" s="440"/>
      <c r="V105" s="66"/>
      <c r="W105" s="66"/>
      <c r="X105" s="66"/>
      <c r="Y105" s="66"/>
      <c r="Z105" s="66"/>
      <c r="AA105" s="66"/>
      <c r="AB105" s="66"/>
      <c r="AC105" s="66"/>
      <c r="AD105" s="66"/>
      <c r="AE105" s="66"/>
      <c r="AF105" s="66"/>
      <c r="AG105" s="66"/>
    </row>
    <row r="106" spans="1:33" ht="15.75">
      <c r="A106" s="272"/>
      <c r="B106" s="537">
        <f t="shared" ref="B106:G106" si="23">SUM(B104:B105)</f>
        <v>1683798.2600000002</v>
      </c>
      <c r="C106" s="537">
        <f t="shared" si="23"/>
        <v>164379.10999999999</v>
      </c>
      <c r="D106" s="537">
        <f t="shared" si="23"/>
        <v>594713.91</v>
      </c>
      <c r="E106" s="537">
        <f t="shared" si="23"/>
        <v>154121.78</v>
      </c>
      <c r="F106" s="537">
        <f t="shared" si="23"/>
        <v>62962.07</v>
      </c>
      <c r="G106" s="537">
        <f t="shared" si="23"/>
        <v>134017.35999999999</v>
      </c>
      <c r="H106" s="272"/>
      <c r="I106" s="293"/>
      <c r="J106" s="291"/>
      <c r="K106" s="291"/>
      <c r="L106" s="291"/>
      <c r="M106" s="291"/>
      <c r="N106" s="291"/>
      <c r="O106" s="289"/>
      <c r="P106" s="66"/>
      <c r="Q106" s="66"/>
      <c r="R106" s="66"/>
      <c r="S106" s="66"/>
      <c r="T106" s="66"/>
      <c r="U106" s="440"/>
      <c r="V106" s="66"/>
      <c r="W106" s="66"/>
      <c r="X106" s="66"/>
      <c r="Y106" s="66"/>
      <c r="Z106" s="66"/>
      <c r="AA106" s="66"/>
      <c r="AB106" s="66"/>
      <c r="AC106" s="66"/>
      <c r="AD106" s="66"/>
      <c r="AE106" s="66"/>
      <c r="AF106" s="66"/>
      <c r="AG106" s="66"/>
    </row>
    <row r="107" spans="1:33" ht="15.75">
      <c r="A107" s="272"/>
      <c r="B107" s="537"/>
      <c r="C107" s="537"/>
      <c r="D107" s="537"/>
      <c r="E107" s="537"/>
      <c r="F107" s="537"/>
      <c r="G107" s="537"/>
      <c r="H107" s="272"/>
      <c r="I107" s="293"/>
      <c r="J107" s="291"/>
      <c r="K107" s="291"/>
      <c r="L107" s="291"/>
      <c r="M107" s="291"/>
      <c r="N107" s="291"/>
      <c r="O107" s="66"/>
      <c r="P107" s="66"/>
      <c r="Q107" s="66"/>
      <c r="R107" s="66"/>
      <c r="S107" s="66"/>
      <c r="T107" s="66"/>
      <c r="U107" s="440"/>
      <c r="V107" s="66"/>
      <c r="W107" s="66"/>
      <c r="X107" s="66"/>
      <c r="Y107" s="66"/>
      <c r="Z107" s="66"/>
      <c r="AA107" s="66"/>
      <c r="AB107" s="66"/>
      <c r="AC107" s="66"/>
      <c r="AD107" s="66"/>
      <c r="AE107" s="66"/>
      <c r="AF107" s="66"/>
      <c r="AG107" s="66"/>
    </row>
    <row r="108" spans="1:33" ht="15.75">
      <c r="A108" s="272"/>
      <c r="B108" s="538">
        <f>+B106/$H$104</f>
        <v>0.60264952966999574</v>
      </c>
      <c r="C108" s="538">
        <f t="shared" ref="C108:G108" si="24">+C106/$H$104</f>
        <v>5.8833053627857103E-2</v>
      </c>
      <c r="D108" s="538">
        <f t="shared" si="24"/>
        <v>0.2128545127191806</v>
      </c>
      <c r="E108" s="538">
        <f t="shared" si="24"/>
        <v>5.516184476215253E-2</v>
      </c>
      <c r="F108" s="538">
        <f t="shared" si="24"/>
        <v>2.2534802876295494E-2</v>
      </c>
      <c r="G108" s="538">
        <f t="shared" si="24"/>
        <v>4.7966256344518662E-2</v>
      </c>
      <c r="H108" s="272"/>
      <c r="I108" s="231">
        <f>+I104/$O$104</f>
        <v>0.54681919746698093</v>
      </c>
      <c r="J108" s="231">
        <f t="shared" ref="J108:N108" si="25">+J104/$O$104</f>
        <v>8.4481680129055714E-2</v>
      </c>
      <c r="K108" s="231">
        <f t="shared" si="25"/>
        <v>0.23222155900333946</v>
      </c>
      <c r="L108" s="231">
        <f t="shared" si="25"/>
        <v>0</v>
      </c>
      <c r="M108" s="231">
        <f t="shared" si="25"/>
        <v>0.11175715310193196</v>
      </c>
      <c r="N108" s="231">
        <f t="shared" si="25"/>
        <v>2.4720410298691837E-2</v>
      </c>
      <c r="O108" s="66"/>
      <c r="P108" s="66"/>
      <c r="Q108" s="66"/>
      <c r="R108" s="66"/>
      <c r="S108" s="66"/>
      <c r="T108" s="66"/>
      <c r="U108" s="440"/>
      <c r="V108" s="66"/>
      <c r="W108" s="66"/>
      <c r="X108" s="66"/>
      <c r="Y108" s="66"/>
      <c r="Z108" s="66"/>
      <c r="AA108" s="66"/>
      <c r="AB108" s="66"/>
      <c r="AC108" s="66"/>
      <c r="AD108" s="66"/>
      <c r="AE108" s="66"/>
      <c r="AF108" s="66"/>
      <c r="AG108" s="66"/>
    </row>
    <row r="109" spans="1:33" ht="15.75">
      <c r="A109" s="66"/>
      <c r="B109" s="66"/>
      <c r="C109" s="66"/>
      <c r="D109" s="66"/>
      <c r="E109" s="66"/>
      <c r="F109" s="66"/>
      <c r="G109" s="66"/>
      <c r="H109" s="66"/>
      <c r="I109" s="291"/>
      <c r="J109" s="291"/>
      <c r="K109" s="291"/>
      <c r="L109" s="291"/>
      <c r="M109" s="291"/>
      <c r="N109" s="291"/>
      <c r="O109" s="66"/>
      <c r="P109" s="66"/>
      <c r="Q109" s="66"/>
      <c r="R109" s="66"/>
      <c r="S109" s="66"/>
      <c r="T109" s="66"/>
      <c r="U109" s="440"/>
      <c r="V109" s="66"/>
      <c r="W109" s="66"/>
      <c r="X109" s="66"/>
      <c r="Y109" s="66"/>
      <c r="Z109" s="66"/>
      <c r="AA109" s="66"/>
      <c r="AB109" s="66"/>
      <c r="AC109" s="66"/>
      <c r="AD109" s="66"/>
      <c r="AE109" s="66"/>
      <c r="AF109" s="66"/>
      <c r="AG109" s="66"/>
    </row>
    <row r="110" spans="1:33" ht="15.75">
      <c r="A110" s="66"/>
      <c r="B110" s="66"/>
      <c r="C110" s="66"/>
      <c r="D110" s="66"/>
      <c r="E110" s="66"/>
      <c r="F110" s="66"/>
      <c r="G110" s="66"/>
      <c r="H110" s="66"/>
      <c r="I110" s="291"/>
      <c r="J110" s="291"/>
      <c r="K110" s="291"/>
      <c r="L110" s="291"/>
      <c r="M110" s="291"/>
      <c r="N110" s="291"/>
      <c r="O110" s="66"/>
      <c r="P110" s="66"/>
      <c r="Q110" s="66"/>
      <c r="R110" s="66"/>
      <c r="S110" s="66"/>
      <c r="T110" s="66"/>
      <c r="U110" s="440"/>
      <c r="V110" s="66"/>
      <c r="W110" s="66"/>
      <c r="X110" s="66"/>
      <c r="Y110" s="66"/>
      <c r="Z110" s="66"/>
      <c r="AA110" s="66"/>
      <c r="AB110" s="66"/>
      <c r="AC110" s="66"/>
      <c r="AD110" s="66"/>
      <c r="AE110" s="66"/>
      <c r="AF110" s="66"/>
      <c r="AG110" s="66"/>
    </row>
    <row r="111" spans="1:33" ht="15.75">
      <c r="A111" s="66"/>
      <c r="B111" s="66"/>
      <c r="C111" s="66"/>
      <c r="D111" s="66"/>
      <c r="E111" s="66"/>
      <c r="F111" s="66"/>
      <c r="G111" s="66"/>
      <c r="H111" s="66"/>
      <c r="I111" s="291"/>
      <c r="J111" s="291"/>
      <c r="K111" s="291"/>
      <c r="L111" s="291"/>
      <c r="M111" s="291"/>
      <c r="N111" s="291"/>
      <c r="O111" s="66"/>
      <c r="P111" s="66"/>
      <c r="Q111" s="66"/>
      <c r="R111" s="66"/>
      <c r="S111" s="66"/>
      <c r="T111" s="66"/>
      <c r="U111" s="440"/>
      <c r="V111" s="66"/>
      <c r="W111" s="66"/>
      <c r="X111" s="66"/>
      <c r="Y111" s="66"/>
      <c r="Z111" s="66"/>
      <c r="AA111" s="66"/>
      <c r="AB111" s="66"/>
      <c r="AC111" s="66"/>
      <c r="AD111" s="66"/>
      <c r="AE111" s="66"/>
      <c r="AF111" s="66"/>
      <c r="AG111" s="66"/>
    </row>
    <row r="112" spans="1:33" ht="15.75">
      <c r="A112" s="66"/>
      <c r="B112" s="863" t="s">
        <v>760</v>
      </c>
      <c r="C112" s="864"/>
      <c r="D112" s="863"/>
      <c r="E112" s="863"/>
      <c r="F112" s="865"/>
      <c r="G112" s="66"/>
      <c r="H112" s="66"/>
      <c r="I112" s="291"/>
      <c r="J112" s="291"/>
      <c r="K112" s="291"/>
      <c r="L112" s="291"/>
      <c r="M112" s="291"/>
      <c r="N112" s="291"/>
      <c r="O112" s="66"/>
      <c r="P112" s="66"/>
      <c r="Q112" s="66"/>
      <c r="R112" s="66"/>
      <c r="S112" s="66"/>
      <c r="T112" s="66"/>
      <c r="U112" s="440"/>
      <c r="V112" s="66"/>
      <c r="W112" s="66"/>
      <c r="X112" s="66"/>
      <c r="Y112" s="66"/>
      <c r="Z112" s="66"/>
      <c r="AA112" s="66"/>
      <c r="AB112" s="66"/>
      <c r="AC112" s="66"/>
      <c r="AD112" s="66"/>
      <c r="AE112" s="66"/>
      <c r="AF112" s="66"/>
      <c r="AG112" s="66"/>
    </row>
    <row r="113" spans="1:33" ht="15.75">
      <c r="A113" s="66"/>
      <c r="B113" s="863" t="s">
        <v>761</v>
      </c>
      <c r="C113" s="864"/>
      <c r="D113" s="863"/>
      <c r="E113" s="863"/>
      <c r="F113" s="865"/>
      <c r="G113" s="66"/>
      <c r="H113" s="66"/>
      <c r="I113" s="291"/>
      <c r="J113" s="291"/>
      <c r="K113" s="291"/>
      <c r="L113" s="291"/>
      <c r="M113" s="291"/>
      <c r="N113" s="291"/>
      <c r="O113" s="66"/>
      <c r="P113" s="66"/>
      <c r="Q113" s="66"/>
      <c r="R113" s="66"/>
      <c r="S113" s="66"/>
      <c r="T113" s="66"/>
      <c r="U113" s="440"/>
      <c r="V113" s="66"/>
      <c r="W113" s="66"/>
      <c r="X113" s="66"/>
      <c r="Y113" s="66"/>
      <c r="Z113" s="66"/>
      <c r="AA113" s="66"/>
      <c r="AB113" s="66"/>
      <c r="AC113" s="66"/>
      <c r="AD113" s="66"/>
      <c r="AE113" s="66"/>
      <c r="AF113" s="66"/>
      <c r="AG113" s="66"/>
    </row>
    <row r="114" spans="1:33" ht="15.75">
      <c r="A114" s="66"/>
      <c r="B114" s="863"/>
      <c r="C114" s="864" t="s">
        <v>1287</v>
      </c>
      <c r="D114" s="863" t="s">
        <v>1288</v>
      </c>
      <c r="E114" s="863" t="s">
        <v>1289</v>
      </c>
      <c r="F114" s="865"/>
      <c r="G114" s="66"/>
      <c r="H114" s="66"/>
      <c r="I114" s="291"/>
      <c r="J114" s="291"/>
      <c r="K114" s="291"/>
      <c r="L114" s="291"/>
      <c r="M114" s="291"/>
      <c r="N114" s="291"/>
      <c r="O114" s="66"/>
      <c r="P114" s="66"/>
      <c r="Q114" s="66"/>
      <c r="R114" s="66"/>
      <c r="S114" s="66"/>
      <c r="T114" s="66"/>
      <c r="U114" s="440"/>
      <c r="V114" s="66"/>
      <c r="W114" s="66"/>
      <c r="X114" s="66"/>
      <c r="Y114" s="66"/>
      <c r="Z114" s="66"/>
      <c r="AA114" s="66"/>
      <c r="AB114" s="66"/>
      <c r="AC114" s="66"/>
      <c r="AD114" s="66"/>
      <c r="AE114" s="66"/>
      <c r="AF114" s="66"/>
      <c r="AG114" s="66"/>
    </row>
    <row r="115" spans="1:33" ht="15.75">
      <c r="A115" s="66"/>
      <c r="B115" s="863" t="s">
        <v>1283</v>
      </c>
      <c r="C115" s="866">
        <v>884321.54</v>
      </c>
      <c r="D115" s="867">
        <v>896905.87</v>
      </c>
      <c r="E115" s="867">
        <v>896905.87</v>
      </c>
      <c r="F115" s="865"/>
      <c r="G115" s="66"/>
      <c r="H115" s="66"/>
      <c r="I115" s="66"/>
      <c r="J115" s="66"/>
      <c r="K115" s="66"/>
      <c r="L115" s="66"/>
      <c r="M115" s="66"/>
      <c r="N115" s="66"/>
      <c r="O115" s="66"/>
      <c r="P115" s="66"/>
      <c r="Q115" s="66"/>
      <c r="R115" s="66"/>
      <c r="S115" s="66"/>
      <c r="T115" s="66"/>
      <c r="U115" s="440"/>
      <c r="V115" s="66"/>
      <c r="W115" s="66"/>
      <c r="X115" s="66"/>
      <c r="Y115" s="66"/>
      <c r="Z115" s="66"/>
      <c r="AA115" s="66"/>
    </row>
    <row r="116" spans="1:33" ht="15.75">
      <c r="A116" s="66"/>
      <c r="B116" s="863" t="s">
        <v>1286</v>
      </c>
      <c r="C116" s="866">
        <v>888670.78</v>
      </c>
      <c r="D116" s="867">
        <v>890540.37</v>
      </c>
      <c r="E116" s="867">
        <v>902624.13</v>
      </c>
      <c r="F116" s="865"/>
      <c r="G116" s="66"/>
      <c r="H116" s="66"/>
      <c r="I116" s="66"/>
      <c r="J116" s="66"/>
      <c r="K116" s="66"/>
      <c r="L116" s="66"/>
      <c r="M116" s="66"/>
      <c r="N116" s="66"/>
      <c r="O116" s="66"/>
      <c r="P116" s="66"/>
      <c r="Q116" s="66"/>
      <c r="R116" s="66"/>
      <c r="S116" s="66"/>
      <c r="T116" s="66"/>
      <c r="U116" s="440"/>
      <c r="V116" s="66"/>
      <c r="W116" s="66"/>
      <c r="X116" s="66"/>
      <c r="Y116" s="66"/>
      <c r="Z116" s="66"/>
      <c r="AA116" s="66"/>
    </row>
    <row r="117" spans="1:33" ht="15.75">
      <c r="A117" s="66"/>
      <c r="B117" s="863" t="s">
        <v>1285</v>
      </c>
      <c r="C117" s="868">
        <v>874285.75</v>
      </c>
      <c r="D117" s="869">
        <v>884655.01</v>
      </c>
      <c r="E117" s="869">
        <v>887115.01</v>
      </c>
      <c r="F117" s="865"/>
      <c r="G117" s="66"/>
      <c r="H117" s="66"/>
      <c r="I117" s="66"/>
      <c r="J117" s="66"/>
      <c r="K117" s="66"/>
      <c r="L117" s="66"/>
      <c r="M117" s="66"/>
      <c r="N117" s="66"/>
      <c r="O117" s="66"/>
      <c r="P117" s="66"/>
      <c r="Q117" s="66"/>
      <c r="R117" s="66"/>
      <c r="S117" s="66"/>
      <c r="T117" s="66"/>
      <c r="U117" s="440"/>
      <c r="V117" s="66"/>
      <c r="W117" s="66"/>
      <c r="X117" s="66"/>
      <c r="Y117" s="66"/>
      <c r="Z117" s="66"/>
      <c r="AA117" s="66"/>
    </row>
    <row r="118" spans="1:33" ht="15.75">
      <c r="A118" s="66"/>
      <c r="B118" s="863" t="s">
        <v>1284</v>
      </c>
      <c r="C118" s="870">
        <v>886358.77</v>
      </c>
      <c r="D118" s="871">
        <v>892591.89</v>
      </c>
      <c r="E118" s="871">
        <v>892591.89</v>
      </c>
      <c r="F118" s="865"/>
      <c r="G118" s="66"/>
      <c r="H118" s="66"/>
      <c r="I118" s="66"/>
      <c r="J118" s="66"/>
      <c r="K118" s="66"/>
      <c r="L118" s="66"/>
      <c r="M118" s="66"/>
      <c r="N118" s="66"/>
      <c r="O118" s="66"/>
      <c r="P118" s="66"/>
      <c r="Q118" s="66"/>
      <c r="R118" s="66"/>
      <c r="S118" s="66"/>
      <c r="T118" s="66"/>
      <c r="U118" s="440"/>
      <c r="V118" s="66"/>
      <c r="W118" s="66"/>
      <c r="X118" s="66"/>
      <c r="Y118" s="66"/>
      <c r="Z118" s="66"/>
      <c r="AA118" s="66"/>
    </row>
    <row r="119" spans="1:33" ht="15.75">
      <c r="A119" s="66"/>
      <c r="B119" s="863"/>
      <c r="C119" s="872">
        <f>SUM(C115:C118)</f>
        <v>3533636.8400000003</v>
      </c>
      <c r="D119" s="866">
        <f>SUM(D115:D118)</f>
        <v>3564693.14</v>
      </c>
      <c r="E119" s="866">
        <f>SUM(E115:E118)</f>
        <v>3579236.9</v>
      </c>
      <c r="F119" s="865"/>
      <c r="G119" s="66"/>
      <c r="H119" s="66"/>
      <c r="I119" s="66"/>
      <c r="J119" s="66"/>
      <c r="K119" s="66"/>
      <c r="L119" s="66"/>
      <c r="M119" s="66"/>
      <c r="N119" s="66"/>
      <c r="O119" s="66"/>
      <c r="P119" s="66"/>
      <c r="Q119" s="66"/>
      <c r="R119" s="66"/>
      <c r="S119" s="66"/>
      <c r="T119" s="66"/>
      <c r="U119" s="440"/>
      <c r="V119" s="66"/>
      <c r="W119" s="66"/>
      <c r="X119" s="66"/>
      <c r="Y119" s="66"/>
      <c r="Z119" s="66"/>
      <c r="AA119" s="66"/>
    </row>
    <row r="120" spans="1:33" ht="15.75">
      <c r="A120" s="66"/>
      <c r="B120" s="863" t="s">
        <v>48</v>
      </c>
      <c r="C120" s="864"/>
      <c r="D120" s="873">
        <v>6.2E-2</v>
      </c>
      <c r="E120" s="873">
        <v>1.4500000000000001E-2</v>
      </c>
      <c r="F120" s="865"/>
      <c r="G120" s="66"/>
      <c r="H120" s="66"/>
      <c r="I120" s="66"/>
      <c r="J120" s="66"/>
      <c r="K120" s="66"/>
      <c r="L120" s="66"/>
      <c r="M120" s="66"/>
      <c r="N120" s="66"/>
      <c r="O120" s="66"/>
      <c r="P120" s="66"/>
      <c r="Q120" s="66"/>
      <c r="R120" s="66"/>
      <c r="S120" s="66"/>
      <c r="T120" s="66"/>
      <c r="U120" s="440"/>
      <c r="V120" s="66"/>
      <c r="W120" s="66"/>
      <c r="X120" s="66"/>
      <c r="Y120" s="66"/>
      <c r="Z120" s="66"/>
      <c r="AA120" s="66"/>
    </row>
    <row r="121" spans="1:33" ht="15.75">
      <c r="A121" s="66"/>
      <c r="B121" s="863"/>
      <c r="C121" s="864"/>
      <c r="D121" s="874">
        <f>D119*D120</f>
        <v>221010.97468000001</v>
      </c>
      <c r="E121" s="874">
        <f>E119*E120</f>
        <v>51898.93505</v>
      </c>
      <c r="F121" s="865"/>
      <c r="G121" s="66"/>
      <c r="H121" s="66"/>
      <c r="I121" s="66"/>
      <c r="J121" s="66"/>
      <c r="K121" s="66"/>
      <c r="L121" s="66"/>
      <c r="M121" s="66"/>
      <c r="N121" s="66"/>
      <c r="O121" s="66"/>
      <c r="P121" s="66"/>
      <c r="Q121" s="66"/>
      <c r="R121" s="66"/>
      <c r="S121" s="66"/>
      <c r="T121" s="66"/>
      <c r="U121" s="440"/>
      <c r="V121" s="66"/>
      <c r="W121" s="66"/>
      <c r="X121" s="66"/>
      <c r="Y121" s="66"/>
      <c r="Z121" s="66"/>
      <c r="AA121" s="66"/>
    </row>
    <row r="122" spans="1:33" ht="15.75">
      <c r="A122" s="66"/>
      <c r="B122" s="863"/>
      <c r="C122" s="864"/>
      <c r="D122" s="875">
        <f>D121+E121</f>
        <v>272909.90973000001</v>
      </c>
      <c r="E122" s="867"/>
      <c r="F122" s="865"/>
      <c r="G122" s="66"/>
      <c r="H122" s="66"/>
      <c r="I122" s="66"/>
      <c r="J122" s="66"/>
      <c r="K122" s="66"/>
      <c r="L122" s="66"/>
      <c r="M122" s="66"/>
      <c r="N122" s="66"/>
      <c r="O122" s="66"/>
      <c r="P122" s="66"/>
      <c r="Q122" s="66"/>
      <c r="R122" s="66"/>
      <c r="S122" s="66"/>
      <c r="T122" s="66"/>
      <c r="U122" s="440"/>
      <c r="V122" s="66"/>
      <c r="W122" s="66"/>
      <c r="X122" s="66"/>
      <c r="Y122" s="66"/>
      <c r="Z122" s="66"/>
      <c r="AA122" s="66"/>
    </row>
    <row r="123" spans="1:33" ht="15.75">
      <c r="A123" s="66"/>
      <c r="B123" s="290" t="s">
        <v>130</v>
      </c>
      <c r="C123" s="876"/>
      <c r="D123" s="446">
        <f>+'Pro Forma'!C62</f>
        <v>262111.08</v>
      </c>
      <c r="E123" s="290"/>
      <c r="F123" s="865"/>
      <c r="G123" s="66"/>
      <c r="H123" s="66"/>
      <c r="I123" s="66"/>
      <c r="J123" s="66"/>
      <c r="K123" s="66"/>
      <c r="L123" s="66"/>
      <c r="M123" s="66"/>
      <c r="N123" s="66"/>
      <c r="O123" s="66"/>
      <c r="P123" s="66"/>
      <c r="Q123" s="66"/>
      <c r="R123" s="66"/>
      <c r="S123" s="66"/>
      <c r="T123" s="66"/>
      <c r="U123" s="440"/>
      <c r="V123" s="66"/>
      <c r="W123" s="66"/>
      <c r="X123" s="66"/>
      <c r="Y123" s="66"/>
      <c r="Z123" s="66"/>
      <c r="AA123" s="66"/>
    </row>
    <row r="124" spans="1:33" ht="15.75">
      <c r="A124" s="66"/>
      <c r="B124" s="290" t="s">
        <v>1496</v>
      </c>
      <c r="C124" s="876"/>
      <c r="D124" s="440">
        <f>+D122-D123</f>
        <v>10798.829730000027</v>
      </c>
      <c r="E124" s="290"/>
      <c r="F124" s="865"/>
      <c r="G124" s="66"/>
      <c r="H124" s="66"/>
      <c r="I124" s="66"/>
      <c r="J124" s="66"/>
      <c r="K124" s="66"/>
      <c r="L124" s="66"/>
      <c r="M124" s="66"/>
      <c r="N124" s="66"/>
      <c r="O124" s="66"/>
      <c r="P124" s="66"/>
      <c r="Q124" s="66"/>
      <c r="R124" s="66"/>
      <c r="S124" s="66"/>
      <c r="T124" s="66"/>
      <c r="U124" s="440"/>
      <c r="V124" s="66"/>
      <c r="W124" s="66"/>
      <c r="X124" s="66"/>
      <c r="Y124" s="66"/>
      <c r="Z124" s="66"/>
      <c r="AA124" s="66"/>
    </row>
    <row r="125" spans="1:33" ht="15.75">
      <c r="A125" s="66"/>
      <c r="B125" s="865"/>
      <c r="C125" s="865"/>
      <c r="D125" s="865"/>
      <c r="E125" s="865"/>
      <c r="F125" s="865"/>
      <c r="G125" s="66"/>
      <c r="H125" s="66"/>
      <c r="I125" s="66"/>
      <c r="J125" s="66"/>
      <c r="K125" s="66"/>
      <c r="L125" s="66"/>
      <c r="M125" s="66"/>
      <c r="N125" s="66"/>
      <c r="O125" s="66"/>
      <c r="P125" s="66"/>
      <c r="Q125" s="66"/>
      <c r="R125" s="66"/>
      <c r="S125" s="66"/>
      <c r="T125" s="66"/>
      <c r="U125" s="440"/>
      <c r="V125" s="66"/>
      <c r="W125" s="66"/>
      <c r="X125" s="66"/>
      <c r="Y125" s="66"/>
      <c r="Z125" s="66"/>
      <c r="AA125" s="66"/>
    </row>
    <row r="126" spans="1:33" ht="15.75">
      <c r="A126" s="66"/>
      <c r="B126" s="865"/>
      <c r="C126" s="865"/>
      <c r="D126" s="865"/>
      <c r="E126" s="865"/>
      <c r="F126" s="865"/>
      <c r="G126" s="66"/>
      <c r="H126" s="66"/>
      <c r="I126" s="66"/>
      <c r="J126" s="66"/>
      <c r="K126" s="66"/>
      <c r="L126" s="66"/>
      <c r="M126" s="66"/>
      <c r="N126" s="66"/>
      <c r="O126" s="66"/>
      <c r="P126" s="66"/>
      <c r="Q126" s="66"/>
      <c r="R126" s="66"/>
      <c r="S126" s="66"/>
      <c r="T126" s="66"/>
      <c r="U126" s="440"/>
      <c r="V126" s="66"/>
      <c r="W126" s="66"/>
      <c r="X126" s="66"/>
      <c r="Y126" s="66"/>
      <c r="Z126" s="66"/>
      <c r="AA126" s="66"/>
    </row>
    <row r="127" spans="1:33" ht="15.75">
      <c r="A127" s="66"/>
      <c r="B127" s="66"/>
      <c r="C127" s="66"/>
      <c r="D127" s="66"/>
      <c r="E127" s="66"/>
      <c r="F127" s="66"/>
      <c r="G127" s="66"/>
      <c r="H127" s="66"/>
      <c r="I127" s="66"/>
      <c r="J127" s="66"/>
      <c r="K127" s="66"/>
      <c r="L127" s="66"/>
      <c r="M127" s="66"/>
      <c r="N127" s="66"/>
      <c r="O127" s="66"/>
      <c r="P127" s="66"/>
      <c r="Q127" s="66"/>
      <c r="R127" s="66"/>
      <c r="S127" s="66"/>
      <c r="T127" s="66"/>
      <c r="U127" s="440"/>
      <c r="V127" s="66"/>
      <c r="W127" s="66"/>
      <c r="X127" s="66"/>
      <c r="Y127" s="66"/>
      <c r="Z127" s="66"/>
      <c r="AA127" s="66"/>
    </row>
    <row r="128" spans="1:33" ht="15.75">
      <c r="A128" s="66"/>
      <c r="B128" s="66"/>
      <c r="C128" s="66"/>
      <c r="D128" s="66"/>
      <c r="E128" s="66"/>
      <c r="F128" s="66"/>
      <c r="G128" s="66"/>
      <c r="H128" s="66"/>
      <c r="I128" s="66"/>
      <c r="J128" s="66"/>
      <c r="K128" s="66"/>
      <c r="L128" s="66"/>
      <c r="M128" s="66"/>
      <c r="N128" s="66"/>
      <c r="O128" s="66"/>
      <c r="P128" s="66"/>
      <c r="Q128" s="66"/>
      <c r="R128" s="66"/>
      <c r="S128" s="66"/>
      <c r="T128" s="66"/>
      <c r="U128" s="440"/>
      <c r="V128" s="66"/>
      <c r="W128" s="66"/>
      <c r="X128" s="66"/>
      <c r="Y128" s="66"/>
      <c r="Z128" s="66"/>
      <c r="AA128" s="66"/>
    </row>
    <row r="129" spans="1:27">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row>
    <row r="130" spans="1:27">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row>
    <row r="131" spans="1:27">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row>
    <row r="132" spans="1:27">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row>
    <row r="133" spans="1:27">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row>
    <row r="134" spans="1:27">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row>
    <row r="135" spans="1:27">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row>
    <row r="136" spans="1:27">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row>
    <row r="137" spans="1:27">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row>
    <row r="138" spans="1:27">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row>
    <row r="139" spans="1:27">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row>
    <row r="140" spans="1:27">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row>
    <row r="141" spans="1:27">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row>
    <row r="142" spans="1:27">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row>
    <row r="143" spans="1:27">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row>
    <row r="144" spans="1:27">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row>
    <row r="145" spans="1:27">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row>
    <row r="146" spans="1:27">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row>
    <row r="147" spans="1:27">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row>
    <row r="148" spans="1:27">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row>
    <row r="149" spans="1:27">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row>
    <row r="150" spans="1:27">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row>
    <row r="151" spans="1:27">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row>
    <row r="152" spans="1:27">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row>
    <row r="153" spans="1:27">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row>
    <row r="154" spans="1:27">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row>
    <row r="155" spans="1:27">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row>
    <row r="156" spans="1:27">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row>
    <row r="157" spans="1:27">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row>
    <row r="158" spans="1:27">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row>
    <row r="159" spans="1:27">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row>
    <row r="160" spans="1:27">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row>
    <row r="161" spans="1:27">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row>
  </sheetData>
  <sortState xmlns:xlrd2="http://schemas.microsoft.com/office/spreadsheetml/2017/richdata2" ref="A6:G92">
    <sortCondition ref="A6:A92"/>
  </sortState>
  <pageMargins left="0.5" right="0.25" top="1.5" bottom="0.75" header="0.55000000000000004" footer="0.3"/>
  <pageSetup fitToHeight="0" orientation="landscape" r:id="rId1"/>
  <headerFooter>
    <oddHeader>&amp;C&amp;"-,Bold"Rubatino Refuse Removal, Inc. 
Payroll Summary
Test Period 4/1/2020 - 3/31/2021</oddHeader>
    <oddFoote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E8437-9808-4E07-95C4-CDE5A764B805}">
  <sheetPr codeName="Sheet21"/>
  <dimension ref="A1:J58"/>
  <sheetViews>
    <sheetView topLeftCell="A4" workbookViewId="0">
      <selection activeCell="H13" sqref="H13"/>
    </sheetView>
  </sheetViews>
  <sheetFormatPr defaultRowHeight="15"/>
  <cols>
    <col min="1" max="1" width="14.5546875" bestFit="1" customWidth="1"/>
    <col min="7" max="7" width="9.6640625" bestFit="1" customWidth="1"/>
    <col min="8" max="8" width="9.21875" customWidth="1"/>
  </cols>
  <sheetData>
    <row r="1" spans="1:10">
      <c r="A1" s="234" t="s">
        <v>128</v>
      </c>
      <c r="B1" s="234"/>
      <c r="C1" s="234"/>
      <c r="D1" s="234"/>
      <c r="E1" s="234"/>
      <c r="F1" s="234"/>
      <c r="G1" s="234"/>
      <c r="H1" s="234"/>
      <c r="I1" s="189"/>
      <c r="J1" s="68"/>
    </row>
    <row r="2" spans="1:10">
      <c r="A2" s="234" t="s">
        <v>942</v>
      </c>
      <c r="B2" s="234"/>
      <c r="C2" s="234"/>
      <c r="D2" s="234"/>
      <c r="E2" s="234"/>
      <c r="F2" s="234"/>
      <c r="G2" s="234"/>
      <c r="H2" s="234"/>
      <c r="I2" s="189"/>
      <c r="J2" s="68"/>
    </row>
    <row r="3" spans="1:10">
      <c r="A3" s="234" t="s">
        <v>943</v>
      </c>
      <c r="B3" s="234"/>
      <c r="C3" s="234"/>
      <c r="D3" s="234"/>
      <c r="E3" s="234"/>
      <c r="F3" s="234"/>
      <c r="G3" s="234"/>
      <c r="H3" s="234"/>
      <c r="I3" s="189"/>
      <c r="J3" s="68"/>
    </row>
    <row r="4" spans="1:10">
      <c r="A4" s="189"/>
      <c r="B4" s="189"/>
      <c r="C4" s="189"/>
      <c r="D4" s="189"/>
      <c r="E4" s="189"/>
      <c r="F4" s="189"/>
      <c r="G4" s="189"/>
      <c r="H4" s="189"/>
      <c r="I4" s="189"/>
      <c r="J4" s="68"/>
    </row>
    <row r="5" spans="1:10">
      <c r="A5" s="189"/>
      <c r="B5" s="189"/>
      <c r="C5" s="189"/>
      <c r="D5" s="189"/>
      <c r="E5" s="189"/>
      <c r="F5" s="189"/>
      <c r="G5" s="189"/>
      <c r="H5" s="189" t="s">
        <v>944</v>
      </c>
      <c r="I5" s="189"/>
      <c r="J5" s="68"/>
    </row>
    <row r="6" spans="1:10">
      <c r="A6" s="189" t="s">
        <v>945</v>
      </c>
      <c r="B6" s="189"/>
      <c r="C6" s="189"/>
      <c r="D6" s="189"/>
      <c r="E6" s="189"/>
      <c r="F6" s="189"/>
      <c r="G6" s="235" t="s">
        <v>538</v>
      </c>
      <c r="H6" s="189" t="s">
        <v>946</v>
      </c>
      <c r="I6" s="189"/>
      <c r="J6" s="68"/>
    </row>
    <row r="7" spans="1:10">
      <c r="A7" s="189"/>
      <c r="B7" s="189"/>
      <c r="C7" s="189"/>
      <c r="D7" s="189"/>
      <c r="E7" s="189" t="s">
        <v>947</v>
      </c>
      <c r="F7" s="189" t="s">
        <v>948</v>
      </c>
      <c r="G7" s="189" t="s">
        <v>42</v>
      </c>
      <c r="H7" s="189" t="s">
        <v>949</v>
      </c>
      <c r="I7" s="189"/>
      <c r="J7" s="68"/>
    </row>
    <row r="8" spans="1:10">
      <c r="A8" s="236" t="s">
        <v>950</v>
      </c>
      <c r="B8" s="189"/>
      <c r="C8" s="189"/>
      <c r="D8" s="189"/>
      <c r="E8" s="189"/>
      <c r="F8" s="189"/>
      <c r="G8" s="189"/>
      <c r="H8" s="189"/>
      <c r="I8" s="189"/>
      <c r="J8" s="68"/>
    </row>
    <row r="9" spans="1:10">
      <c r="A9" s="189" t="s">
        <v>951</v>
      </c>
      <c r="B9" s="189"/>
      <c r="C9" s="189">
        <v>23</v>
      </c>
      <c r="D9" s="189"/>
      <c r="E9" s="189">
        <v>1391.6</v>
      </c>
      <c r="F9" s="189">
        <v>1411.6</v>
      </c>
      <c r="G9" s="189">
        <f>+F9-E9</f>
        <v>20</v>
      </c>
      <c r="H9" s="189">
        <f>(+C9*G9)*12</f>
        <v>5520</v>
      </c>
      <c r="I9" s="189"/>
      <c r="J9" s="68"/>
    </row>
    <row r="10" spans="1:10">
      <c r="A10" s="189"/>
      <c r="B10" s="189"/>
      <c r="C10" s="189"/>
      <c r="D10" s="189"/>
      <c r="E10" s="189"/>
      <c r="F10" s="189"/>
      <c r="G10" s="189"/>
      <c r="H10" s="189"/>
      <c r="I10" s="189"/>
      <c r="J10" s="68"/>
    </row>
    <row r="11" spans="1:10">
      <c r="A11" s="236" t="s">
        <v>952</v>
      </c>
      <c r="B11" s="189"/>
      <c r="C11" s="189">
        <v>22</v>
      </c>
      <c r="D11" s="189"/>
      <c r="E11" s="189">
        <v>1600.6</v>
      </c>
      <c r="F11" s="189">
        <v>1617.1</v>
      </c>
      <c r="G11" s="189">
        <f>+F11-E11</f>
        <v>16.5</v>
      </c>
      <c r="H11" s="189">
        <f>(+C11*G11)*12</f>
        <v>4356</v>
      </c>
      <c r="I11" s="189"/>
      <c r="J11" s="68"/>
    </row>
    <row r="12" spans="1:10">
      <c r="A12" s="189" t="s">
        <v>953</v>
      </c>
      <c r="B12" s="189"/>
      <c r="C12" s="189">
        <v>6</v>
      </c>
      <c r="D12" s="189"/>
      <c r="E12" s="189">
        <v>1600.6</v>
      </c>
      <c r="F12" s="189">
        <v>1617.1</v>
      </c>
      <c r="G12" s="189">
        <f>+F12-E12</f>
        <v>16.5</v>
      </c>
      <c r="H12" s="236">
        <f>(+C12*G12)*12</f>
        <v>1188</v>
      </c>
      <c r="I12" s="189"/>
      <c r="J12" s="68"/>
    </row>
    <row r="13" spans="1:10">
      <c r="A13" s="189" t="s">
        <v>949</v>
      </c>
      <c r="B13" s="189"/>
      <c r="C13" s="189"/>
      <c r="D13" s="189"/>
      <c r="E13" s="189"/>
      <c r="F13" s="189"/>
      <c r="G13" s="189"/>
      <c r="H13" s="189">
        <f>SUM(H9:H12)</f>
        <v>11064</v>
      </c>
      <c r="I13" s="189"/>
      <c r="J13" s="68"/>
    </row>
    <row r="14" spans="1:10">
      <c r="A14" s="189"/>
      <c r="B14" s="189"/>
      <c r="C14" s="189"/>
      <c r="D14" s="189"/>
      <c r="E14" s="189"/>
      <c r="F14" s="189"/>
      <c r="G14" s="189"/>
      <c r="H14" s="189"/>
      <c r="I14" s="189"/>
      <c r="J14" s="68"/>
    </row>
    <row r="15" spans="1:10">
      <c r="A15" s="189"/>
      <c r="B15" s="189"/>
      <c r="C15" s="189"/>
      <c r="D15" s="189"/>
      <c r="E15" s="189"/>
      <c r="F15" s="189"/>
      <c r="G15" s="189"/>
      <c r="H15" s="189"/>
      <c r="I15" s="189"/>
      <c r="J15" s="68"/>
    </row>
    <row r="16" spans="1:10">
      <c r="A16" s="189"/>
      <c r="B16" s="189"/>
      <c r="C16" s="189"/>
      <c r="D16" s="189"/>
      <c r="E16" s="189"/>
      <c r="F16" s="189"/>
      <c r="G16" s="189"/>
      <c r="H16" s="189"/>
      <c r="I16" s="189"/>
      <c r="J16" s="68"/>
    </row>
    <row r="17" spans="1:10">
      <c r="A17" s="189"/>
      <c r="B17" s="189"/>
      <c r="C17" s="189"/>
      <c r="D17" s="189"/>
      <c r="E17" s="189"/>
      <c r="F17" s="189"/>
      <c r="G17" s="189"/>
      <c r="H17" s="189"/>
      <c r="I17" s="189"/>
      <c r="J17" s="68"/>
    </row>
    <row r="18" spans="1:10">
      <c r="A18" s="189"/>
      <c r="B18" s="189"/>
      <c r="C18" s="189"/>
      <c r="D18" s="189"/>
      <c r="E18" s="189"/>
      <c r="F18" s="189"/>
      <c r="G18" s="189"/>
      <c r="H18" s="189"/>
      <c r="I18" s="189"/>
      <c r="J18" s="68"/>
    </row>
    <row r="19" spans="1:10">
      <c r="A19" s="189"/>
      <c r="B19" s="189"/>
      <c r="C19" s="189"/>
      <c r="D19" s="189"/>
      <c r="E19" s="189"/>
      <c r="F19" s="189"/>
      <c r="G19" s="189"/>
      <c r="H19" s="189"/>
      <c r="I19" s="189"/>
      <c r="J19" s="68"/>
    </row>
    <row r="20" spans="1:10">
      <c r="A20" s="189"/>
      <c r="B20" s="189"/>
      <c r="C20" s="189"/>
      <c r="D20" s="189"/>
      <c r="E20" s="189"/>
      <c r="F20" s="189"/>
      <c r="G20" s="189"/>
      <c r="H20" s="189"/>
      <c r="I20" s="189"/>
      <c r="J20" s="68"/>
    </row>
    <row r="21" spans="1:10">
      <c r="A21" s="189"/>
      <c r="B21" s="189"/>
      <c r="C21" s="189"/>
      <c r="D21" s="189"/>
      <c r="E21" s="189"/>
      <c r="F21" s="189"/>
      <c r="G21" s="189"/>
      <c r="H21" s="189"/>
      <c r="I21" s="189"/>
      <c r="J21" s="68"/>
    </row>
    <row r="22" spans="1:10">
      <c r="A22" s="189"/>
      <c r="B22" s="189"/>
      <c r="C22" s="189"/>
      <c r="D22" s="189"/>
      <c r="E22" s="189"/>
      <c r="F22" s="189"/>
      <c r="G22" s="189"/>
      <c r="H22" s="189"/>
      <c r="I22" s="189"/>
      <c r="J22" s="68"/>
    </row>
    <row r="23" spans="1:10">
      <c r="A23" s="189"/>
      <c r="B23" s="189"/>
      <c r="C23" s="189"/>
      <c r="D23" s="189"/>
      <c r="E23" s="189"/>
      <c r="F23" s="189"/>
      <c r="G23" s="189"/>
      <c r="H23" s="189"/>
      <c r="I23" s="189"/>
      <c r="J23" s="68"/>
    </row>
    <row r="24" spans="1:10">
      <c r="A24" s="189"/>
      <c r="B24" s="189"/>
      <c r="C24" s="189"/>
      <c r="D24" s="189"/>
      <c r="E24" s="189"/>
      <c r="F24" s="189"/>
      <c r="G24" s="189"/>
      <c r="H24" s="189"/>
      <c r="I24" s="189"/>
      <c r="J24" s="68"/>
    </row>
    <row r="25" spans="1:10">
      <c r="A25" s="189"/>
      <c r="B25" s="189"/>
      <c r="C25" s="189"/>
      <c r="D25" s="189"/>
      <c r="E25" s="189"/>
      <c r="F25" s="189"/>
      <c r="G25" s="189"/>
      <c r="H25" s="189"/>
      <c r="I25" s="189"/>
      <c r="J25" s="68"/>
    </row>
    <row r="26" spans="1:10">
      <c r="A26" s="189"/>
      <c r="B26" s="189"/>
      <c r="C26" s="189"/>
      <c r="D26" s="189"/>
      <c r="E26" s="189"/>
      <c r="F26" s="189"/>
      <c r="G26" s="189"/>
      <c r="H26" s="189"/>
      <c r="I26" s="189"/>
      <c r="J26" s="68"/>
    </row>
    <row r="27" spans="1:10">
      <c r="A27" s="189"/>
      <c r="B27" s="189"/>
      <c r="C27" s="189"/>
      <c r="D27" s="189"/>
      <c r="E27" s="189"/>
      <c r="F27" s="189"/>
      <c r="G27" s="189"/>
      <c r="H27" s="189"/>
      <c r="I27" s="189"/>
      <c r="J27" s="68"/>
    </row>
    <row r="28" spans="1:10">
      <c r="A28" s="189"/>
      <c r="B28" s="189"/>
      <c r="C28" s="189"/>
      <c r="D28" s="189"/>
      <c r="E28" s="189"/>
      <c r="F28" s="189"/>
      <c r="G28" s="189"/>
      <c r="H28" s="189"/>
      <c r="I28" s="189"/>
      <c r="J28" s="68"/>
    </row>
    <row r="29" spans="1:10">
      <c r="A29" s="189"/>
      <c r="B29" s="189"/>
      <c r="C29" s="189"/>
      <c r="D29" s="189"/>
      <c r="E29" s="189"/>
      <c r="F29" s="189"/>
      <c r="G29" s="189"/>
      <c r="H29" s="189"/>
      <c r="I29" s="189"/>
      <c r="J29" s="68"/>
    </row>
    <row r="30" spans="1:10">
      <c r="A30" s="189"/>
      <c r="B30" s="189"/>
      <c r="C30" s="189"/>
      <c r="D30" s="189"/>
      <c r="E30" s="189"/>
      <c r="F30" s="189"/>
      <c r="G30" s="189"/>
      <c r="H30" s="189"/>
      <c r="I30" s="189"/>
      <c r="J30" s="68"/>
    </row>
    <row r="31" spans="1:10">
      <c r="A31" s="189"/>
      <c r="B31" s="189"/>
      <c r="C31" s="189"/>
      <c r="D31" s="189"/>
      <c r="E31" s="189"/>
      <c r="F31" s="189"/>
      <c r="G31" s="189"/>
      <c r="H31" s="189"/>
      <c r="I31" s="189"/>
      <c r="J31" s="68"/>
    </row>
    <row r="32" spans="1:10">
      <c r="A32" s="189"/>
      <c r="B32" s="189"/>
      <c r="C32" s="189"/>
      <c r="D32" s="189"/>
      <c r="E32" s="189"/>
      <c r="F32" s="189"/>
      <c r="G32" s="189"/>
      <c r="H32" s="189"/>
      <c r="I32" s="189"/>
      <c r="J32" s="68"/>
    </row>
    <row r="33" spans="1:10">
      <c r="A33" s="189"/>
      <c r="B33" s="189"/>
      <c r="C33" s="189"/>
      <c r="D33" s="189"/>
      <c r="E33" s="189"/>
      <c r="F33" s="189"/>
      <c r="G33" s="189"/>
      <c r="H33" s="189"/>
      <c r="I33" s="189"/>
      <c r="J33" s="68"/>
    </row>
    <row r="34" spans="1:10">
      <c r="A34" s="189"/>
      <c r="B34" s="189"/>
      <c r="C34" s="189"/>
      <c r="D34" s="189"/>
      <c r="E34" s="189"/>
      <c r="F34" s="189"/>
      <c r="G34" s="189"/>
      <c r="H34" s="189"/>
      <c r="I34" s="189"/>
      <c r="J34" s="68"/>
    </row>
    <row r="35" spans="1:10">
      <c r="A35" s="189"/>
      <c r="B35" s="189"/>
      <c r="C35" s="189"/>
      <c r="D35" s="189"/>
      <c r="E35" s="189"/>
      <c r="F35" s="189"/>
      <c r="G35" s="189"/>
      <c r="H35" s="189"/>
      <c r="I35" s="189"/>
      <c r="J35" s="68"/>
    </row>
    <row r="36" spans="1:10">
      <c r="A36" s="189"/>
      <c r="B36" s="189"/>
      <c r="C36" s="189"/>
      <c r="D36" s="189"/>
      <c r="E36" s="189"/>
      <c r="F36" s="189"/>
      <c r="G36" s="189"/>
      <c r="H36" s="189"/>
      <c r="I36" s="189"/>
      <c r="J36" s="68"/>
    </row>
    <row r="37" spans="1:10">
      <c r="A37" s="189"/>
      <c r="B37" s="189"/>
      <c r="C37" s="189"/>
      <c r="D37" s="189"/>
      <c r="E37" s="189"/>
      <c r="F37" s="189"/>
      <c r="G37" s="189"/>
      <c r="H37" s="189"/>
      <c r="I37" s="189"/>
      <c r="J37" s="68"/>
    </row>
    <row r="38" spans="1:10">
      <c r="A38" s="189"/>
      <c r="B38" s="189"/>
      <c r="C38" s="189"/>
      <c r="D38" s="189"/>
      <c r="E38" s="189"/>
      <c r="F38" s="189"/>
      <c r="G38" s="189"/>
      <c r="H38" s="189"/>
      <c r="I38" s="189"/>
      <c r="J38" s="68"/>
    </row>
    <row r="39" spans="1:10">
      <c r="A39" s="189"/>
      <c r="B39" s="189"/>
      <c r="C39" s="189"/>
      <c r="D39" s="189"/>
      <c r="E39" s="189"/>
      <c r="F39" s="189"/>
      <c r="G39" s="189"/>
      <c r="H39" s="189"/>
      <c r="I39" s="189"/>
      <c r="J39" s="68"/>
    </row>
    <row r="40" spans="1:10">
      <c r="A40" s="189"/>
      <c r="B40" s="189"/>
      <c r="C40" s="189"/>
      <c r="D40" s="189"/>
      <c r="E40" s="189"/>
      <c r="F40" s="189"/>
      <c r="G40" s="189"/>
      <c r="H40" s="189"/>
      <c r="I40" s="189"/>
      <c r="J40" s="68"/>
    </row>
    <row r="41" spans="1:10">
      <c r="A41" s="189"/>
      <c r="B41" s="189"/>
      <c r="C41" s="189"/>
      <c r="D41" s="189"/>
      <c r="E41" s="189"/>
      <c r="F41" s="189"/>
      <c r="G41" s="189"/>
      <c r="H41" s="189"/>
      <c r="I41" s="189"/>
      <c r="J41" s="68"/>
    </row>
    <row r="42" spans="1:10">
      <c r="A42" s="189"/>
      <c r="B42" s="189"/>
      <c r="C42" s="189"/>
      <c r="D42" s="189"/>
      <c r="E42" s="189"/>
      <c r="F42" s="189"/>
      <c r="G42" s="189"/>
      <c r="H42" s="189"/>
      <c r="I42" s="189"/>
      <c r="J42" s="68"/>
    </row>
    <row r="43" spans="1:10">
      <c r="A43" s="189"/>
      <c r="B43" s="189"/>
      <c r="C43" s="189"/>
      <c r="D43" s="189"/>
      <c r="E43" s="189"/>
      <c r="F43" s="189"/>
      <c r="G43" s="189"/>
      <c r="H43" s="189"/>
      <c r="I43" s="189"/>
      <c r="J43" s="68"/>
    </row>
    <row r="44" spans="1:10">
      <c r="A44" s="189"/>
      <c r="B44" s="189"/>
      <c r="C44" s="189"/>
      <c r="D44" s="189"/>
      <c r="E44" s="189"/>
      <c r="F44" s="189"/>
      <c r="G44" s="189"/>
      <c r="H44" s="189"/>
      <c r="I44" s="189"/>
      <c r="J44" s="68"/>
    </row>
    <row r="45" spans="1:10">
      <c r="A45" s="189"/>
      <c r="B45" s="189"/>
      <c r="C45" s="189"/>
      <c r="D45" s="189"/>
      <c r="E45" s="189"/>
      <c r="F45" s="189"/>
      <c r="G45" s="189"/>
      <c r="H45" s="189"/>
      <c r="I45" s="189"/>
      <c r="J45" s="68"/>
    </row>
    <row r="46" spans="1:10">
      <c r="A46" s="189"/>
      <c r="B46" s="189"/>
      <c r="C46" s="189"/>
      <c r="D46" s="189"/>
      <c r="E46" s="189"/>
      <c r="F46" s="189"/>
      <c r="G46" s="189"/>
      <c r="H46" s="189"/>
      <c r="I46" s="189"/>
      <c r="J46" s="68"/>
    </row>
    <row r="47" spans="1:10">
      <c r="A47" s="189"/>
      <c r="B47" s="189"/>
      <c r="C47" s="189"/>
      <c r="D47" s="189"/>
      <c r="E47" s="189"/>
      <c r="F47" s="189"/>
      <c r="G47" s="189"/>
      <c r="H47" s="189"/>
      <c r="I47" s="189"/>
      <c r="J47" s="68"/>
    </row>
    <row r="48" spans="1:10">
      <c r="A48" s="189"/>
      <c r="B48" s="189"/>
      <c r="C48" s="189"/>
      <c r="D48" s="189"/>
      <c r="E48" s="189"/>
      <c r="F48" s="189"/>
      <c r="G48" s="189"/>
      <c r="H48" s="189"/>
      <c r="I48" s="189"/>
      <c r="J48" s="68"/>
    </row>
    <row r="49" spans="1:10">
      <c r="A49" s="189"/>
      <c r="B49" s="189"/>
      <c r="C49" s="189"/>
      <c r="D49" s="189"/>
      <c r="E49" s="189"/>
      <c r="F49" s="189"/>
      <c r="G49" s="189"/>
      <c r="H49" s="189"/>
      <c r="I49" s="189"/>
      <c r="J49" s="68"/>
    </row>
    <row r="50" spans="1:10">
      <c r="A50" s="68"/>
      <c r="B50" s="68"/>
      <c r="C50" s="68"/>
      <c r="D50" s="68"/>
      <c r="E50" s="68"/>
      <c r="F50" s="68"/>
      <c r="G50" s="68"/>
      <c r="H50" s="68"/>
      <c r="I50" s="68"/>
      <c r="J50" s="68"/>
    </row>
    <row r="51" spans="1:10">
      <c r="A51" s="68"/>
      <c r="B51" s="68"/>
      <c r="C51" s="68"/>
      <c r="D51" s="68"/>
      <c r="E51" s="68"/>
      <c r="F51" s="68"/>
      <c r="G51" s="68"/>
      <c r="H51" s="68"/>
      <c r="I51" s="68"/>
      <c r="J51" s="68"/>
    </row>
    <row r="52" spans="1:10">
      <c r="A52" s="68"/>
      <c r="B52" s="68"/>
      <c r="C52" s="68"/>
      <c r="D52" s="68"/>
      <c r="E52" s="68"/>
      <c r="F52" s="68"/>
      <c r="G52" s="68"/>
      <c r="H52" s="68"/>
      <c r="I52" s="68"/>
      <c r="J52" s="68"/>
    </row>
    <row r="53" spans="1:10">
      <c r="A53" s="68"/>
      <c r="B53" s="68"/>
      <c r="C53" s="68"/>
      <c r="D53" s="68"/>
      <c r="E53" s="68"/>
      <c r="F53" s="68"/>
      <c r="G53" s="68"/>
      <c r="H53" s="68"/>
      <c r="I53" s="68"/>
      <c r="J53" s="68"/>
    </row>
    <row r="54" spans="1:10">
      <c r="A54" s="68"/>
      <c r="B54" s="68"/>
      <c r="C54" s="68"/>
      <c r="D54" s="68"/>
      <c r="E54" s="68"/>
      <c r="F54" s="68"/>
      <c r="G54" s="68"/>
      <c r="H54" s="68"/>
      <c r="I54" s="68"/>
      <c r="J54" s="68"/>
    </row>
    <row r="55" spans="1:10">
      <c r="A55" s="68"/>
      <c r="B55" s="68"/>
      <c r="C55" s="68"/>
      <c r="D55" s="68"/>
      <c r="E55" s="68"/>
      <c r="F55" s="68"/>
      <c r="G55" s="68"/>
      <c r="H55" s="68"/>
      <c r="I55" s="68"/>
      <c r="J55" s="68"/>
    </row>
    <row r="56" spans="1:10">
      <c r="A56" s="68"/>
      <c r="B56" s="68"/>
      <c r="C56" s="68"/>
      <c r="D56" s="68"/>
      <c r="E56" s="68"/>
      <c r="F56" s="68"/>
      <c r="G56" s="68"/>
      <c r="H56" s="68"/>
      <c r="I56" s="68"/>
      <c r="J56" s="68"/>
    </row>
    <row r="57" spans="1:10">
      <c r="A57" s="68"/>
      <c r="B57" s="68"/>
      <c r="C57" s="68"/>
      <c r="D57" s="68"/>
      <c r="E57" s="68"/>
      <c r="F57" s="68"/>
      <c r="G57" s="68"/>
      <c r="H57" s="68"/>
      <c r="I57" s="68"/>
      <c r="J57" s="68"/>
    </row>
    <row r="58" spans="1:10">
      <c r="A58" s="68"/>
      <c r="B58" s="68"/>
      <c r="C58" s="68"/>
      <c r="D58" s="68"/>
      <c r="E58" s="68"/>
      <c r="F58" s="68"/>
      <c r="G58" s="68"/>
      <c r="H58" s="68"/>
      <c r="I58" s="68"/>
      <c r="J58" s="68"/>
    </row>
  </sheetData>
  <pageMargins left="0.7" right="0.7" top="0.75" bottom="0.75" header="0.3" footer="0.3"/>
  <drawing r:id="rId1"/>
  <legacyDrawing r:id="rId2"/>
  <oleObjects>
    <mc:AlternateContent xmlns:mc="http://schemas.openxmlformats.org/markup-compatibility/2006">
      <mc:Choice Requires="x14">
        <oleObject progId="AcroExch.Document.DC" shapeId="34817" r:id="rId3">
          <objectPr defaultSize="0" r:id="rId4">
            <anchor moveWithCells="1">
              <from>
                <xdr:col>0</xdr:col>
                <xdr:colOff>247650</xdr:colOff>
                <xdr:row>15</xdr:row>
                <xdr:rowOff>0</xdr:rowOff>
              </from>
              <to>
                <xdr:col>7</xdr:col>
                <xdr:colOff>190500</xdr:colOff>
                <xdr:row>54</xdr:row>
                <xdr:rowOff>114300</xdr:rowOff>
              </to>
            </anchor>
          </objectPr>
        </oleObject>
      </mc:Choice>
      <mc:Fallback>
        <oleObject progId="AcroExch.Document.DC" shapeId="34817" r:id="rId3"/>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BA0A-B397-4174-BD18-F782A41A8772}">
  <sheetPr codeName="Sheet22"/>
  <dimension ref="A1:S53"/>
  <sheetViews>
    <sheetView topLeftCell="A4" workbookViewId="0">
      <selection activeCell="D3" sqref="D3"/>
    </sheetView>
  </sheetViews>
  <sheetFormatPr defaultRowHeight="15"/>
  <cols>
    <col min="1" max="1" width="14.5546875" bestFit="1" customWidth="1"/>
    <col min="7" max="7" width="9.6640625" bestFit="1" customWidth="1"/>
  </cols>
  <sheetData>
    <row r="1" spans="1:19">
      <c r="A1" s="234" t="s">
        <v>128</v>
      </c>
      <c r="B1" s="234"/>
      <c r="C1" s="234"/>
      <c r="D1" s="234"/>
      <c r="E1" s="234"/>
      <c r="F1" s="234"/>
      <c r="G1" s="234"/>
      <c r="H1" s="234"/>
      <c r="I1" s="68"/>
      <c r="J1" s="68"/>
      <c r="K1" s="68"/>
      <c r="L1" s="68"/>
      <c r="M1" s="68"/>
      <c r="N1" s="68"/>
      <c r="O1" s="68"/>
      <c r="P1" s="68"/>
      <c r="Q1" s="68"/>
      <c r="R1" s="68"/>
      <c r="S1" s="68"/>
    </row>
    <row r="2" spans="1:19">
      <c r="A2" s="234" t="s">
        <v>954</v>
      </c>
      <c r="B2" s="234"/>
      <c r="C2" s="234"/>
      <c r="D2" s="234"/>
      <c r="E2" s="234"/>
      <c r="F2" s="234"/>
      <c r="G2" s="234"/>
      <c r="H2" s="234"/>
      <c r="I2" s="68"/>
      <c r="J2" s="68"/>
      <c r="K2" s="68"/>
      <c r="L2" s="68"/>
      <c r="M2" s="68"/>
      <c r="N2" s="68"/>
      <c r="O2" s="68"/>
      <c r="P2" s="68"/>
      <c r="Q2" s="68"/>
      <c r="R2" s="68"/>
      <c r="S2" s="68"/>
    </row>
    <row r="3" spans="1:19">
      <c r="A3" s="189"/>
      <c r="B3" s="189"/>
      <c r="C3" s="189"/>
      <c r="D3" s="189"/>
      <c r="E3" s="189"/>
      <c r="F3" s="189"/>
      <c r="G3" s="189"/>
      <c r="H3" s="189"/>
      <c r="I3" s="68"/>
      <c r="J3" s="68"/>
      <c r="K3" s="68"/>
      <c r="L3" s="68"/>
      <c r="M3" s="68"/>
      <c r="N3" s="68"/>
      <c r="O3" s="68"/>
      <c r="P3" s="68"/>
      <c r="Q3" s="68"/>
      <c r="R3" s="68"/>
      <c r="S3" s="68"/>
    </row>
    <row r="4" spans="1:19">
      <c r="A4" s="189"/>
      <c r="B4" s="189"/>
      <c r="C4" s="189"/>
      <c r="D4" s="189"/>
      <c r="E4" s="189"/>
      <c r="F4" s="189"/>
      <c r="G4" s="189"/>
      <c r="H4" s="189" t="s">
        <v>944</v>
      </c>
      <c r="I4" s="68"/>
      <c r="J4" s="68"/>
      <c r="K4" s="68"/>
      <c r="L4" s="68"/>
      <c r="M4" s="68"/>
      <c r="N4" s="68"/>
      <c r="O4" s="68"/>
      <c r="P4" s="68"/>
      <c r="Q4" s="68"/>
      <c r="R4" s="68"/>
      <c r="S4" s="68"/>
    </row>
    <row r="5" spans="1:19">
      <c r="A5" s="189" t="s">
        <v>955</v>
      </c>
      <c r="B5" s="189"/>
      <c r="C5" s="189"/>
      <c r="D5" s="189"/>
      <c r="E5" s="189"/>
      <c r="F5" s="189"/>
      <c r="G5" s="189" t="s">
        <v>538</v>
      </c>
      <c r="H5" s="189" t="s">
        <v>946</v>
      </c>
      <c r="I5" s="68"/>
      <c r="J5" s="68"/>
      <c r="K5" s="68"/>
      <c r="L5" s="68"/>
      <c r="M5" s="68"/>
      <c r="N5" s="68"/>
      <c r="O5" s="68"/>
      <c r="P5" s="68"/>
      <c r="Q5" s="68"/>
      <c r="R5" s="68"/>
      <c r="S5" s="68"/>
    </row>
    <row r="6" spans="1:19">
      <c r="A6" s="189"/>
      <c r="B6" s="189"/>
      <c r="C6" s="189" t="s">
        <v>956</v>
      </c>
      <c r="D6" s="189"/>
      <c r="E6" s="189" t="s">
        <v>947</v>
      </c>
      <c r="F6" s="189" t="s">
        <v>948</v>
      </c>
      <c r="G6" s="189" t="s">
        <v>42</v>
      </c>
      <c r="H6" s="189" t="s">
        <v>949</v>
      </c>
      <c r="I6" s="68"/>
      <c r="J6" s="68"/>
      <c r="K6" s="68"/>
      <c r="L6" s="68"/>
      <c r="M6" s="68"/>
      <c r="N6" s="68"/>
      <c r="O6" s="68"/>
      <c r="P6" s="68"/>
      <c r="Q6" s="68"/>
      <c r="R6" s="68"/>
      <c r="S6" s="68"/>
    </row>
    <row r="7" spans="1:19">
      <c r="A7" s="189" t="s">
        <v>950</v>
      </c>
      <c r="B7" s="189"/>
      <c r="C7" s="189">
        <v>36282.800000000003</v>
      </c>
      <c r="D7" s="189"/>
      <c r="E7" s="189">
        <v>5.62</v>
      </c>
      <c r="F7" s="189">
        <v>6.25</v>
      </c>
      <c r="G7" s="189">
        <f>+F7-E7</f>
        <v>0.62999999999999989</v>
      </c>
      <c r="H7" s="189">
        <f>+C7*0.13</f>
        <v>4716.7640000000001</v>
      </c>
      <c r="I7" s="68"/>
      <c r="J7" s="68"/>
      <c r="K7" s="68"/>
      <c r="L7" s="68"/>
      <c r="M7" s="68"/>
      <c r="N7" s="68"/>
      <c r="O7" s="68"/>
      <c r="P7" s="68"/>
      <c r="Q7" s="68"/>
      <c r="R7" s="68"/>
      <c r="S7" s="68"/>
    </row>
    <row r="8" spans="1:19">
      <c r="A8" s="68"/>
      <c r="B8" s="68"/>
      <c r="C8" s="68"/>
      <c r="D8" s="68"/>
      <c r="E8" s="68"/>
      <c r="F8" s="68"/>
      <c r="G8" s="68"/>
      <c r="H8" s="68"/>
      <c r="I8" s="68"/>
      <c r="J8" s="68"/>
      <c r="K8" s="68"/>
      <c r="L8" s="68"/>
      <c r="M8" s="68"/>
      <c r="N8" s="68"/>
      <c r="O8" s="68"/>
      <c r="P8" s="68"/>
      <c r="Q8" s="68"/>
      <c r="R8" s="68"/>
      <c r="S8" s="68"/>
    </row>
    <row r="9" spans="1:19">
      <c r="A9" s="68"/>
      <c r="B9" s="68"/>
      <c r="C9" s="68"/>
      <c r="D9" s="68"/>
      <c r="E9" s="68"/>
      <c r="F9" s="68"/>
      <c r="G9" s="68"/>
      <c r="H9" s="68"/>
      <c r="I9" s="68"/>
      <c r="J9" s="68"/>
      <c r="K9" s="68"/>
      <c r="L9" s="68"/>
      <c r="M9" s="68"/>
      <c r="N9" s="68"/>
      <c r="O9" s="68"/>
      <c r="P9" s="68"/>
      <c r="Q9" s="68"/>
      <c r="R9" s="68"/>
      <c r="S9" s="68"/>
    </row>
    <row r="10" spans="1:19">
      <c r="A10" s="68"/>
      <c r="B10" s="68"/>
      <c r="C10" s="68"/>
      <c r="D10" s="68"/>
      <c r="E10" s="68"/>
      <c r="F10" s="68"/>
      <c r="G10" s="68"/>
      <c r="H10" s="68"/>
      <c r="I10" s="68"/>
      <c r="J10" s="68"/>
      <c r="K10" s="68"/>
      <c r="L10" s="68"/>
      <c r="M10" s="68"/>
      <c r="N10" s="68"/>
      <c r="O10" s="68"/>
      <c r="P10" s="68"/>
      <c r="Q10" s="68"/>
      <c r="R10" s="68"/>
      <c r="S10" s="68"/>
    </row>
    <row r="11" spans="1:19">
      <c r="A11" s="68"/>
      <c r="B11" s="68"/>
      <c r="C11" s="68"/>
      <c r="D11" s="68"/>
      <c r="E11" s="68"/>
      <c r="F11" s="68"/>
      <c r="G11" s="68"/>
      <c r="H11" s="68"/>
      <c r="I11" s="68"/>
      <c r="J11" s="68"/>
      <c r="K11" s="68"/>
      <c r="L11" s="68"/>
      <c r="M11" s="68"/>
      <c r="N11" s="68"/>
      <c r="O11" s="68"/>
      <c r="P11" s="68"/>
      <c r="Q11" s="68"/>
      <c r="R11" s="68"/>
      <c r="S11" s="68"/>
    </row>
    <row r="12" spans="1:19">
      <c r="A12" s="68"/>
      <c r="B12" s="68"/>
      <c r="C12" s="68"/>
      <c r="D12" s="68"/>
      <c r="E12" s="68"/>
      <c r="F12" s="68"/>
      <c r="G12" s="68"/>
      <c r="H12" s="68"/>
      <c r="I12" s="68"/>
      <c r="J12" s="68"/>
      <c r="K12" s="68"/>
      <c r="L12" s="68"/>
      <c r="M12" s="68"/>
      <c r="N12" s="68"/>
      <c r="O12" s="68"/>
      <c r="P12" s="68"/>
      <c r="Q12" s="68"/>
      <c r="R12" s="68"/>
      <c r="S12" s="68"/>
    </row>
    <row r="13" spans="1:19">
      <c r="A13" s="68"/>
      <c r="B13" s="68"/>
      <c r="C13" s="68"/>
      <c r="D13" s="68"/>
      <c r="E13" s="68"/>
      <c r="F13" s="68"/>
      <c r="G13" s="68"/>
      <c r="H13" s="68"/>
      <c r="I13" s="68"/>
      <c r="J13" s="68"/>
      <c r="K13" s="68"/>
      <c r="L13" s="68"/>
      <c r="M13" s="68"/>
      <c r="N13" s="68"/>
      <c r="O13" s="68"/>
      <c r="P13" s="68"/>
      <c r="Q13" s="68"/>
      <c r="R13" s="68"/>
      <c r="S13" s="68"/>
    </row>
    <row r="14" spans="1:19">
      <c r="A14" s="68"/>
      <c r="B14" s="68"/>
      <c r="C14" s="68"/>
      <c r="D14" s="68"/>
      <c r="E14" s="68"/>
      <c r="F14" s="68"/>
      <c r="G14" s="68"/>
      <c r="H14" s="68"/>
      <c r="I14" s="68"/>
      <c r="J14" s="68"/>
      <c r="K14" s="68"/>
      <c r="L14" s="68"/>
      <c r="M14" s="68"/>
      <c r="N14" s="68"/>
      <c r="O14" s="68"/>
      <c r="P14" s="68"/>
      <c r="Q14" s="68"/>
      <c r="R14" s="68"/>
      <c r="S14" s="68"/>
    </row>
    <row r="15" spans="1:19">
      <c r="A15" s="68"/>
      <c r="B15" s="68"/>
      <c r="C15" s="68"/>
      <c r="D15" s="68"/>
      <c r="E15" s="68"/>
      <c r="F15" s="68"/>
      <c r="G15" s="68"/>
      <c r="H15" s="68"/>
      <c r="I15" s="68"/>
      <c r="J15" s="68"/>
      <c r="K15" s="68"/>
      <c r="L15" s="68"/>
      <c r="M15" s="68"/>
      <c r="N15" s="68"/>
      <c r="O15" s="68"/>
      <c r="P15" s="68"/>
      <c r="Q15" s="68"/>
      <c r="R15" s="68"/>
      <c r="S15" s="68"/>
    </row>
    <row r="16" spans="1:19">
      <c r="A16" s="68"/>
      <c r="B16" s="68"/>
      <c r="C16" s="68"/>
      <c r="D16" s="68"/>
      <c r="E16" s="68"/>
      <c r="F16" s="68"/>
      <c r="G16" s="68"/>
      <c r="H16" s="68"/>
      <c r="I16" s="68"/>
      <c r="J16" s="68"/>
      <c r="K16" s="68"/>
      <c r="L16" s="68"/>
      <c r="M16" s="68"/>
      <c r="N16" s="68"/>
      <c r="O16" s="68"/>
      <c r="P16" s="68"/>
      <c r="Q16" s="68"/>
      <c r="R16" s="68"/>
      <c r="S16" s="68"/>
    </row>
    <row r="17" spans="1:19">
      <c r="A17" s="68"/>
      <c r="B17" s="68"/>
      <c r="C17" s="68"/>
      <c r="D17" s="68"/>
      <c r="E17" s="68"/>
      <c r="F17" s="68"/>
      <c r="G17" s="68"/>
      <c r="H17" s="68"/>
      <c r="I17" s="68"/>
      <c r="J17" s="68"/>
      <c r="K17" s="68"/>
      <c r="L17" s="68"/>
      <c r="M17" s="68"/>
      <c r="N17" s="68"/>
      <c r="O17" s="68"/>
      <c r="P17" s="68"/>
      <c r="Q17" s="68"/>
      <c r="R17" s="68"/>
      <c r="S17" s="68"/>
    </row>
    <row r="18" spans="1:19">
      <c r="A18" s="68"/>
      <c r="B18" s="68"/>
      <c r="C18" s="68"/>
      <c r="D18" s="68"/>
      <c r="E18" s="68"/>
      <c r="F18" s="68"/>
      <c r="G18" s="68"/>
      <c r="H18" s="68"/>
      <c r="I18" s="68"/>
      <c r="J18" s="68"/>
      <c r="K18" s="68"/>
      <c r="L18" s="68"/>
      <c r="M18" s="68"/>
      <c r="N18" s="68"/>
      <c r="O18" s="68"/>
      <c r="P18" s="68"/>
      <c r="Q18" s="68"/>
      <c r="R18" s="68"/>
      <c r="S18" s="68"/>
    </row>
    <row r="19" spans="1:19">
      <c r="A19" s="68"/>
      <c r="B19" s="68"/>
      <c r="C19" s="68"/>
      <c r="D19" s="68"/>
      <c r="E19" s="68"/>
      <c r="F19" s="68"/>
      <c r="G19" s="68"/>
      <c r="H19" s="68"/>
      <c r="I19" s="68"/>
      <c r="J19" s="68"/>
      <c r="K19" s="68"/>
      <c r="L19" s="68"/>
      <c r="M19" s="68"/>
      <c r="N19" s="68"/>
      <c r="O19" s="68"/>
      <c r="P19" s="68"/>
      <c r="Q19" s="68"/>
      <c r="R19" s="68"/>
      <c r="S19" s="68"/>
    </row>
    <row r="20" spans="1:19">
      <c r="A20" s="68"/>
      <c r="B20" s="68"/>
      <c r="C20" s="68"/>
      <c r="D20" s="68"/>
      <c r="E20" s="68"/>
      <c r="F20" s="68"/>
      <c r="G20" s="68"/>
      <c r="H20" s="68"/>
      <c r="I20" s="68"/>
      <c r="J20" s="68"/>
      <c r="K20" s="68"/>
      <c r="L20" s="68"/>
      <c r="M20" s="68"/>
      <c r="N20" s="68"/>
      <c r="O20" s="68"/>
      <c r="P20" s="68"/>
      <c r="Q20" s="68"/>
      <c r="R20" s="68"/>
      <c r="S20" s="68"/>
    </row>
    <row r="21" spans="1:19">
      <c r="A21" s="68"/>
      <c r="B21" s="68"/>
      <c r="C21" s="68"/>
      <c r="D21" s="68"/>
      <c r="E21" s="68"/>
      <c r="F21" s="68"/>
      <c r="G21" s="68"/>
      <c r="H21" s="68"/>
      <c r="I21" s="68"/>
      <c r="J21" s="68"/>
      <c r="K21" s="68"/>
      <c r="L21" s="68"/>
      <c r="M21" s="68"/>
      <c r="N21" s="68"/>
      <c r="O21" s="68"/>
      <c r="P21" s="68"/>
      <c r="Q21" s="68"/>
      <c r="R21" s="68"/>
      <c r="S21" s="68"/>
    </row>
    <row r="22" spans="1:19">
      <c r="A22" s="68"/>
      <c r="B22" s="68"/>
      <c r="C22" s="68"/>
      <c r="D22" s="68"/>
      <c r="E22" s="68"/>
      <c r="F22" s="68"/>
      <c r="G22" s="68"/>
      <c r="H22" s="68"/>
      <c r="I22" s="68"/>
      <c r="J22" s="68"/>
      <c r="K22" s="68"/>
      <c r="L22" s="68"/>
      <c r="M22" s="68"/>
      <c r="N22" s="68"/>
      <c r="O22" s="68"/>
      <c r="P22" s="68"/>
      <c r="Q22" s="68"/>
      <c r="R22" s="68"/>
      <c r="S22" s="68"/>
    </row>
    <row r="23" spans="1:19">
      <c r="A23" s="68"/>
      <c r="B23" s="68"/>
      <c r="C23" s="68"/>
      <c r="D23" s="68"/>
      <c r="E23" s="68"/>
      <c r="F23" s="68"/>
      <c r="G23" s="68"/>
      <c r="H23" s="68"/>
      <c r="I23" s="68"/>
      <c r="J23" s="68"/>
      <c r="K23" s="68"/>
      <c r="L23" s="68"/>
      <c r="M23" s="68"/>
      <c r="N23" s="68"/>
      <c r="O23" s="68"/>
      <c r="P23" s="68"/>
      <c r="Q23" s="68"/>
      <c r="R23" s="68"/>
      <c r="S23" s="68"/>
    </row>
    <row r="24" spans="1:19">
      <c r="A24" s="68"/>
      <c r="B24" s="68"/>
      <c r="C24" s="68"/>
      <c r="D24" s="68"/>
      <c r="E24" s="68"/>
      <c r="F24" s="68"/>
      <c r="G24" s="68"/>
      <c r="H24" s="68"/>
      <c r="I24" s="68"/>
      <c r="J24" s="68"/>
      <c r="K24" s="68"/>
      <c r="L24" s="68"/>
      <c r="M24" s="68"/>
      <c r="N24" s="68"/>
      <c r="O24" s="68"/>
      <c r="P24" s="68"/>
      <c r="Q24" s="68"/>
      <c r="R24" s="68"/>
      <c r="S24" s="68"/>
    </row>
    <row r="25" spans="1:19">
      <c r="A25" s="68"/>
      <c r="B25" s="68"/>
      <c r="C25" s="68"/>
      <c r="D25" s="68"/>
      <c r="E25" s="68"/>
      <c r="F25" s="68"/>
      <c r="G25" s="68"/>
      <c r="H25" s="68"/>
      <c r="I25" s="68"/>
      <c r="J25" s="68"/>
      <c r="K25" s="68"/>
      <c r="L25" s="68"/>
      <c r="M25" s="68"/>
      <c r="N25" s="68"/>
      <c r="O25" s="68"/>
      <c r="P25" s="68"/>
      <c r="Q25" s="68"/>
      <c r="R25" s="68"/>
      <c r="S25" s="68"/>
    </row>
    <row r="26" spans="1:19">
      <c r="A26" s="68"/>
      <c r="B26" s="68"/>
      <c r="C26" s="68"/>
      <c r="D26" s="68"/>
      <c r="E26" s="68"/>
      <c r="F26" s="68"/>
      <c r="G26" s="68"/>
      <c r="H26" s="68"/>
      <c r="I26" s="68"/>
      <c r="J26" s="68"/>
      <c r="K26" s="68"/>
      <c r="L26" s="68"/>
      <c r="M26" s="68"/>
      <c r="N26" s="68"/>
      <c r="O26" s="68"/>
      <c r="P26" s="68"/>
      <c r="Q26" s="68"/>
      <c r="R26" s="68"/>
      <c r="S26" s="68"/>
    </row>
    <row r="27" spans="1:19">
      <c r="A27" s="68"/>
      <c r="B27" s="68"/>
      <c r="C27" s="68"/>
      <c r="D27" s="68"/>
      <c r="E27" s="68"/>
      <c r="F27" s="68"/>
      <c r="G27" s="68"/>
      <c r="H27" s="68"/>
      <c r="I27" s="68"/>
      <c r="J27" s="68"/>
      <c r="K27" s="68"/>
      <c r="L27" s="68"/>
      <c r="M27" s="68"/>
      <c r="N27" s="68"/>
      <c r="O27" s="68"/>
      <c r="P27" s="68"/>
      <c r="Q27" s="68"/>
      <c r="R27" s="68"/>
      <c r="S27" s="68"/>
    </row>
    <row r="28" spans="1:19">
      <c r="A28" s="68"/>
      <c r="B28" s="68"/>
      <c r="C28" s="68"/>
      <c r="D28" s="68"/>
      <c r="E28" s="68"/>
      <c r="F28" s="68"/>
      <c r="G28" s="68"/>
      <c r="H28" s="68"/>
      <c r="I28" s="68"/>
      <c r="J28" s="68"/>
      <c r="K28" s="68"/>
      <c r="L28" s="68"/>
      <c r="M28" s="68"/>
      <c r="N28" s="68"/>
      <c r="O28" s="68"/>
      <c r="P28" s="68"/>
      <c r="Q28" s="68"/>
      <c r="R28" s="68"/>
      <c r="S28" s="68"/>
    </row>
    <row r="29" spans="1:19">
      <c r="A29" s="68"/>
      <c r="B29" s="68"/>
      <c r="C29" s="68"/>
      <c r="D29" s="68"/>
      <c r="E29" s="68"/>
      <c r="F29" s="68"/>
      <c r="G29" s="68"/>
      <c r="H29" s="68"/>
      <c r="I29" s="68"/>
      <c r="J29" s="68"/>
      <c r="K29" s="68"/>
      <c r="L29" s="68"/>
      <c r="M29" s="68"/>
      <c r="N29" s="68"/>
      <c r="O29" s="68"/>
      <c r="P29" s="68"/>
      <c r="Q29" s="68"/>
      <c r="R29" s="68"/>
      <c r="S29" s="68"/>
    </row>
    <row r="30" spans="1:19">
      <c r="A30" s="68"/>
      <c r="B30" s="68"/>
      <c r="C30" s="68"/>
      <c r="D30" s="68"/>
      <c r="E30" s="68"/>
      <c r="F30" s="68"/>
      <c r="G30" s="68"/>
      <c r="H30" s="68"/>
      <c r="I30" s="68"/>
      <c r="J30" s="68"/>
      <c r="K30" s="68"/>
      <c r="L30" s="68"/>
      <c r="M30" s="68"/>
      <c r="N30" s="68"/>
      <c r="O30" s="68"/>
      <c r="P30" s="68"/>
      <c r="Q30" s="68"/>
      <c r="R30" s="68"/>
      <c r="S30" s="68"/>
    </row>
    <row r="31" spans="1:19">
      <c r="A31" s="68"/>
      <c r="B31" s="68"/>
      <c r="C31" s="68"/>
      <c r="D31" s="68"/>
      <c r="E31" s="68"/>
      <c r="F31" s="68"/>
      <c r="G31" s="68"/>
      <c r="H31" s="68"/>
      <c r="I31" s="68"/>
      <c r="J31" s="68"/>
      <c r="K31" s="68"/>
      <c r="L31" s="68"/>
      <c r="M31" s="68"/>
      <c r="N31" s="68"/>
      <c r="O31" s="68"/>
      <c r="P31" s="68"/>
      <c r="Q31" s="68"/>
      <c r="R31" s="68"/>
      <c r="S31" s="68"/>
    </row>
    <row r="32" spans="1:19">
      <c r="A32" s="68"/>
      <c r="B32" s="68"/>
      <c r="C32" s="68"/>
      <c r="D32" s="68"/>
      <c r="E32" s="68"/>
      <c r="F32" s="68"/>
      <c r="G32" s="68"/>
      <c r="H32" s="68"/>
      <c r="I32" s="68"/>
      <c r="J32" s="68"/>
      <c r="K32" s="68"/>
      <c r="L32" s="68"/>
      <c r="M32" s="68"/>
      <c r="N32" s="68"/>
      <c r="O32" s="68"/>
      <c r="P32" s="68"/>
      <c r="Q32" s="68"/>
      <c r="R32" s="68"/>
      <c r="S32" s="68"/>
    </row>
    <row r="33" spans="1:19">
      <c r="A33" s="68"/>
      <c r="B33" s="68"/>
      <c r="C33" s="68"/>
      <c r="D33" s="68"/>
      <c r="E33" s="68"/>
      <c r="F33" s="68"/>
      <c r="G33" s="68"/>
      <c r="H33" s="68"/>
      <c r="I33" s="68"/>
      <c r="J33" s="68"/>
      <c r="K33" s="68"/>
      <c r="L33" s="68"/>
      <c r="M33" s="68"/>
      <c r="N33" s="68"/>
      <c r="O33" s="68"/>
      <c r="P33" s="68"/>
      <c r="Q33" s="68"/>
      <c r="R33" s="68"/>
      <c r="S33" s="68"/>
    </row>
    <row r="34" spans="1:19">
      <c r="A34" s="68"/>
      <c r="B34" s="68"/>
      <c r="C34" s="68"/>
      <c r="D34" s="68"/>
      <c r="E34" s="68"/>
      <c r="F34" s="68"/>
      <c r="G34" s="68"/>
      <c r="H34" s="68"/>
      <c r="I34" s="68"/>
      <c r="J34" s="68"/>
      <c r="K34" s="68"/>
      <c r="L34" s="68"/>
      <c r="M34" s="68"/>
      <c r="N34" s="68"/>
      <c r="O34" s="68"/>
      <c r="P34" s="68"/>
      <c r="Q34" s="68"/>
      <c r="R34" s="68"/>
      <c r="S34" s="68"/>
    </row>
    <row r="35" spans="1:19">
      <c r="A35" s="68"/>
      <c r="B35" s="68"/>
      <c r="C35" s="68"/>
      <c r="D35" s="68"/>
      <c r="E35" s="68"/>
      <c r="F35" s="68"/>
      <c r="G35" s="68"/>
      <c r="H35" s="68"/>
      <c r="I35" s="68"/>
      <c r="J35" s="68"/>
      <c r="K35" s="68"/>
      <c r="L35" s="68"/>
      <c r="M35" s="68"/>
      <c r="N35" s="68"/>
      <c r="O35" s="68"/>
      <c r="P35" s="68"/>
      <c r="Q35" s="68"/>
      <c r="R35" s="68"/>
      <c r="S35" s="68"/>
    </row>
    <row r="36" spans="1:19">
      <c r="A36" s="68"/>
      <c r="B36" s="68"/>
      <c r="C36" s="68"/>
      <c r="D36" s="68"/>
      <c r="E36" s="68"/>
      <c r="F36" s="68"/>
      <c r="G36" s="68"/>
      <c r="H36" s="68"/>
      <c r="I36" s="68"/>
      <c r="J36" s="68"/>
      <c r="K36" s="68"/>
      <c r="L36" s="68"/>
      <c r="M36" s="68"/>
      <c r="N36" s="68"/>
      <c r="O36" s="68"/>
      <c r="P36" s="68"/>
      <c r="Q36" s="68"/>
      <c r="R36" s="68"/>
      <c r="S36" s="68"/>
    </row>
    <row r="37" spans="1:19">
      <c r="A37" s="68"/>
      <c r="B37" s="68"/>
      <c r="C37" s="68"/>
      <c r="D37" s="68"/>
      <c r="E37" s="68"/>
      <c r="F37" s="68"/>
      <c r="G37" s="68"/>
      <c r="H37" s="68"/>
      <c r="I37" s="68"/>
      <c r="J37" s="68"/>
      <c r="K37" s="68"/>
      <c r="L37" s="68"/>
      <c r="M37" s="68"/>
      <c r="N37" s="68"/>
      <c r="O37" s="68"/>
      <c r="P37" s="68"/>
      <c r="Q37" s="68"/>
      <c r="R37" s="68"/>
      <c r="S37" s="68"/>
    </row>
    <row r="38" spans="1:19">
      <c r="A38" s="68"/>
      <c r="B38" s="68"/>
      <c r="C38" s="68"/>
      <c r="D38" s="68"/>
      <c r="E38" s="68"/>
      <c r="F38" s="68"/>
      <c r="G38" s="68"/>
      <c r="H38" s="68"/>
      <c r="I38" s="68"/>
      <c r="J38" s="68"/>
      <c r="K38" s="68"/>
      <c r="L38" s="68"/>
      <c r="M38" s="68"/>
      <c r="N38" s="68"/>
      <c r="O38" s="68"/>
      <c r="P38" s="68"/>
      <c r="Q38" s="68"/>
      <c r="R38" s="68"/>
      <c r="S38" s="68"/>
    </row>
    <row r="39" spans="1:19">
      <c r="A39" s="68"/>
      <c r="B39" s="68"/>
      <c r="C39" s="68"/>
      <c r="D39" s="68"/>
      <c r="E39" s="68"/>
      <c r="F39" s="68"/>
      <c r="G39" s="68"/>
      <c r="H39" s="68"/>
      <c r="I39" s="68"/>
      <c r="J39" s="68"/>
      <c r="K39" s="68"/>
      <c r="L39" s="68"/>
      <c r="M39" s="68"/>
      <c r="N39" s="68"/>
      <c r="O39" s="68"/>
      <c r="P39" s="68"/>
      <c r="Q39" s="68"/>
      <c r="R39" s="68"/>
      <c r="S39" s="68"/>
    </row>
    <row r="40" spans="1:19">
      <c r="A40" s="68"/>
      <c r="B40" s="68"/>
      <c r="C40" s="68"/>
      <c r="D40" s="68"/>
      <c r="E40" s="68"/>
      <c r="F40" s="68"/>
      <c r="G40" s="68"/>
      <c r="H40" s="68"/>
      <c r="I40" s="68"/>
      <c r="J40" s="68"/>
      <c r="K40" s="68"/>
      <c r="L40" s="68"/>
      <c r="M40" s="68"/>
      <c r="N40" s="68"/>
      <c r="O40" s="68"/>
      <c r="P40" s="68"/>
      <c r="Q40" s="68"/>
      <c r="R40" s="68"/>
      <c r="S40" s="68"/>
    </row>
    <row r="41" spans="1:19">
      <c r="A41" s="68"/>
      <c r="B41" s="68"/>
      <c r="C41" s="68"/>
      <c r="D41" s="68"/>
      <c r="E41" s="68"/>
      <c r="F41" s="68"/>
      <c r="G41" s="68"/>
      <c r="H41" s="68"/>
      <c r="I41" s="68"/>
      <c r="J41" s="68"/>
      <c r="K41" s="68"/>
      <c r="L41" s="68"/>
      <c r="M41" s="68"/>
      <c r="N41" s="68"/>
      <c r="O41" s="68"/>
      <c r="P41" s="68"/>
      <c r="Q41" s="68"/>
      <c r="R41" s="68"/>
      <c r="S41" s="68"/>
    </row>
    <row r="42" spans="1:19">
      <c r="A42" s="68"/>
      <c r="B42" s="68"/>
      <c r="C42" s="68"/>
      <c r="D42" s="68"/>
      <c r="E42" s="68"/>
      <c r="F42" s="68"/>
      <c r="G42" s="68"/>
      <c r="H42" s="68"/>
      <c r="I42" s="68"/>
      <c r="J42" s="68"/>
      <c r="K42" s="68"/>
      <c r="L42" s="68"/>
      <c r="M42" s="68"/>
      <c r="N42" s="68"/>
      <c r="O42" s="68"/>
      <c r="P42" s="68"/>
      <c r="Q42" s="68"/>
      <c r="R42" s="68"/>
      <c r="S42" s="68"/>
    </row>
    <row r="43" spans="1:19">
      <c r="A43" s="68"/>
      <c r="B43" s="68"/>
      <c r="C43" s="68"/>
      <c r="D43" s="68"/>
      <c r="E43" s="68"/>
      <c r="F43" s="68"/>
      <c r="G43" s="68"/>
      <c r="H43" s="68"/>
      <c r="I43" s="68"/>
      <c r="J43" s="68"/>
      <c r="K43" s="68"/>
      <c r="L43" s="68"/>
      <c r="M43" s="68"/>
      <c r="N43" s="68"/>
      <c r="O43" s="68"/>
      <c r="P43" s="68"/>
      <c r="Q43" s="68"/>
      <c r="R43" s="68"/>
      <c r="S43" s="68"/>
    </row>
    <row r="44" spans="1:19">
      <c r="A44" s="68"/>
      <c r="B44" s="68"/>
      <c r="C44" s="68"/>
      <c r="D44" s="68"/>
      <c r="E44" s="68"/>
      <c r="F44" s="68"/>
      <c r="G44" s="68"/>
      <c r="H44" s="68"/>
      <c r="I44" s="68"/>
      <c r="J44" s="68"/>
      <c r="K44" s="68"/>
      <c r="L44" s="68"/>
      <c r="M44" s="68"/>
      <c r="N44" s="68"/>
      <c r="O44" s="68"/>
      <c r="P44" s="68"/>
      <c r="Q44" s="68"/>
      <c r="R44" s="68"/>
      <c r="S44" s="68"/>
    </row>
    <row r="45" spans="1:19">
      <c r="A45" s="68"/>
      <c r="B45" s="68"/>
      <c r="C45" s="68"/>
      <c r="D45" s="68"/>
      <c r="E45" s="68"/>
      <c r="F45" s="68"/>
      <c r="G45" s="68"/>
      <c r="H45" s="68"/>
      <c r="I45" s="68"/>
      <c r="J45" s="68"/>
      <c r="K45" s="68"/>
      <c r="L45" s="68"/>
      <c r="M45" s="68"/>
      <c r="N45" s="68"/>
      <c r="O45" s="68"/>
      <c r="P45" s="68"/>
      <c r="Q45" s="68"/>
      <c r="R45" s="68"/>
      <c r="S45" s="68"/>
    </row>
    <row r="46" spans="1:19">
      <c r="A46" s="68"/>
      <c r="B46" s="68"/>
      <c r="C46" s="68"/>
      <c r="D46" s="68"/>
      <c r="E46" s="68"/>
      <c r="F46" s="68"/>
      <c r="G46" s="68"/>
      <c r="H46" s="68"/>
      <c r="I46" s="68"/>
      <c r="J46" s="68"/>
      <c r="K46" s="68"/>
      <c r="L46" s="68"/>
      <c r="M46" s="68"/>
      <c r="N46" s="68"/>
      <c r="O46" s="68"/>
      <c r="P46" s="68"/>
      <c r="Q46" s="68"/>
      <c r="R46" s="68"/>
      <c r="S46" s="68"/>
    </row>
    <row r="47" spans="1:19">
      <c r="A47" s="68"/>
      <c r="B47" s="68"/>
      <c r="C47" s="68"/>
      <c r="D47" s="68"/>
      <c r="E47" s="68"/>
      <c r="F47" s="68"/>
      <c r="G47" s="68"/>
      <c r="H47" s="68"/>
      <c r="I47" s="68"/>
      <c r="J47" s="68"/>
      <c r="K47" s="68"/>
      <c r="L47" s="68"/>
      <c r="M47" s="68"/>
      <c r="N47" s="68"/>
      <c r="O47" s="68"/>
      <c r="P47" s="68"/>
      <c r="Q47" s="68"/>
      <c r="R47" s="68"/>
      <c r="S47" s="68"/>
    </row>
    <row r="48" spans="1:19">
      <c r="A48" s="68"/>
      <c r="B48" s="68"/>
      <c r="C48" s="68"/>
      <c r="D48" s="68"/>
      <c r="E48" s="68"/>
      <c r="F48" s="68"/>
      <c r="G48" s="68"/>
      <c r="H48" s="68"/>
      <c r="I48" s="68"/>
      <c r="J48" s="68"/>
      <c r="K48" s="68"/>
      <c r="L48" s="68"/>
      <c r="M48" s="68"/>
      <c r="N48" s="68"/>
      <c r="O48" s="68"/>
      <c r="P48" s="68"/>
      <c r="Q48" s="68"/>
      <c r="R48" s="68"/>
      <c r="S48" s="68"/>
    </row>
    <row r="49" spans="1:19">
      <c r="A49" s="68"/>
      <c r="B49" s="68"/>
      <c r="C49" s="68"/>
      <c r="D49" s="68"/>
      <c r="E49" s="68"/>
      <c r="F49" s="68"/>
      <c r="G49" s="68"/>
      <c r="H49" s="68"/>
      <c r="I49" s="68"/>
      <c r="J49" s="68"/>
      <c r="K49" s="68"/>
      <c r="L49" s="68"/>
      <c r="M49" s="68"/>
      <c r="N49" s="68"/>
      <c r="O49" s="68"/>
      <c r="P49" s="68"/>
      <c r="Q49" s="68"/>
      <c r="R49" s="68"/>
      <c r="S49" s="68"/>
    </row>
    <row r="50" spans="1:19">
      <c r="A50" s="68"/>
      <c r="B50" s="68"/>
      <c r="C50" s="68"/>
      <c r="D50" s="68"/>
      <c r="E50" s="68"/>
      <c r="F50" s="68"/>
      <c r="G50" s="68"/>
      <c r="H50" s="68"/>
      <c r="I50" s="68"/>
      <c r="J50" s="68"/>
      <c r="K50" s="68"/>
      <c r="L50" s="68"/>
      <c r="M50" s="68"/>
      <c r="N50" s="68"/>
      <c r="O50" s="68"/>
      <c r="P50" s="68"/>
      <c r="Q50" s="68"/>
      <c r="R50" s="68"/>
      <c r="S50" s="68"/>
    </row>
    <row r="51" spans="1:19">
      <c r="A51" s="68"/>
      <c r="B51" s="68"/>
      <c r="C51" s="68"/>
      <c r="D51" s="68"/>
      <c r="E51" s="68"/>
      <c r="F51" s="68"/>
      <c r="G51" s="68"/>
      <c r="H51" s="68"/>
      <c r="I51" s="68"/>
      <c r="J51" s="68"/>
      <c r="K51" s="68"/>
      <c r="L51" s="68"/>
      <c r="M51" s="68"/>
      <c r="N51" s="68"/>
      <c r="O51" s="68"/>
      <c r="P51" s="68"/>
      <c r="Q51" s="68"/>
      <c r="R51" s="68"/>
      <c r="S51" s="68"/>
    </row>
    <row r="52" spans="1:19">
      <c r="A52" s="68"/>
      <c r="B52" s="68"/>
      <c r="C52" s="68"/>
      <c r="D52" s="68"/>
      <c r="E52" s="68"/>
      <c r="F52" s="68"/>
      <c r="G52" s="68"/>
      <c r="H52" s="68"/>
      <c r="I52" s="68"/>
      <c r="J52" s="68"/>
      <c r="K52" s="68"/>
      <c r="L52" s="68"/>
      <c r="M52" s="68"/>
      <c r="N52" s="68"/>
      <c r="O52" s="68"/>
      <c r="P52" s="68"/>
      <c r="Q52" s="68"/>
      <c r="R52" s="68"/>
      <c r="S52" s="68"/>
    </row>
    <row r="53" spans="1:19">
      <c r="A53" s="68"/>
      <c r="B53" s="68"/>
      <c r="C53" s="68"/>
      <c r="D53" s="68"/>
      <c r="E53" s="68"/>
      <c r="F53" s="68"/>
      <c r="G53" s="68"/>
      <c r="H53" s="68"/>
      <c r="I53" s="68"/>
      <c r="J53" s="68"/>
      <c r="K53" s="68"/>
      <c r="L53" s="68"/>
      <c r="M53" s="68"/>
      <c r="N53" s="68"/>
      <c r="O53" s="68"/>
      <c r="P53" s="68"/>
      <c r="Q53" s="68"/>
      <c r="R53" s="68"/>
      <c r="S53" s="68"/>
    </row>
  </sheetData>
  <pageMargins left="0.7" right="0.7" top="0.75" bottom="0.75" header="0.3" footer="0.3"/>
  <drawing r:id="rId1"/>
  <legacyDrawing r:id="rId2"/>
  <oleObjects>
    <mc:AlternateContent xmlns:mc="http://schemas.openxmlformats.org/markup-compatibility/2006">
      <mc:Choice Requires="x14">
        <oleObject progId="AcroExch.Document.DC" shapeId="36867" r:id="rId3">
          <objectPr defaultSize="0" r:id="rId4">
            <anchor moveWithCells="1">
              <from>
                <xdr:col>0</xdr:col>
                <xdr:colOff>28575</xdr:colOff>
                <xdr:row>7</xdr:row>
                <xdr:rowOff>180975</xdr:rowOff>
              </from>
              <to>
                <xdr:col>7</xdr:col>
                <xdr:colOff>733425</xdr:colOff>
                <xdr:row>47</xdr:row>
                <xdr:rowOff>104775</xdr:rowOff>
              </to>
            </anchor>
          </objectPr>
        </oleObject>
      </mc:Choice>
      <mc:Fallback>
        <oleObject progId="AcroExch.Document.DC" shapeId="36867" r:id="rId3"/>
      </mc:Fallback>
    </mc:AlternateContent>
    <mc:AlternateContent xmlns:mc="http://schemas.openxmlformats.org/markup-compatibility/2006">
      <mc:Choice Requires="x14">
        <oleObject progId="AcroExch.Document.DC" shapeId="36868" r:id="rId5">
          <objectPr defaultSize="0" r:id="rId6">
            <anchor moveWithCells="1">
              <from>
                <xdr:col>7</xdr:col>
                <xdr:colOff>428625</xdr:colOff>
                <xdr:row>8</xdr:row>
                <xdr:rowOff>0</xdr:rowOff>
              </from>
              <to>
                <xdr:col>15</xdr:col>
                <xdr:colOff>161925</xdr:colOff>
                <xdr:row>47</xdr:row>
                <xdr:rowOff>114300</xdr:rowOff>
              </to>
            </anchor>
          </objectPr>
        </oleObject>
      </mc:Choice>
      <mc:Fallback>
        <oleObject progId="AcroExch.Document.DC" shapeId="36868"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C4978-4087-4D15-B631-C4FADE3498C6}">
  <sheetPr codeName="Sheet23"/>
  <dimension ref="A1:T92"/>
  <sheetViews>
    <sheetView workbookViewId="0">
      <selection activeCell="T31" sqref="T31"/>
    </sheetView>
  </sheetViews>
  <sheetFormatPr defaultRowHeight="15"/>
  <cols>
    <col min="1" max="1" width="14.5546875" bestFit="1" customWidth="1"/>
    <col min="7" max="7" width="9.6640625" bestFit="1" customWidth="1"/>
  </cols>
  <sheetData>
    <row r="1" spans="1:20">
      <c r="A1" s="234" t="s">
        <v>128</v>
      </c>
      <c r="B1" s="234"/>
      <c r="C1" s="234"/>
      <c r="D1" s="234"/>
      <c r="E1" s="234"/>
      <c r="F1" s="234"/>
      <c r="G1" s="234"/>
      <c r="H1" s="234"/>
      <c r="I1" s="68"/>
      <c r="J1" s="68"/>
      <c r="K1" s="68"/>
      <c r="L1" s="68"/>
      <c r="M1" s="68"/>
      <c r="N1" s="68"/>
      <c r="O1" s="68"/>
      <c r="P1" s="68"/>
      <c r="Q1" s="68"/>
      <c r="R1" s="68"/>
      <c r="S1" s="68"/>
      <c r="T1" s="68"/>
    </row>
    <row r="2" spans="1:20">
      <c r="A2" s="234" t="s">
        <v>954</v>
      </c>
      <c r="B2" s="234"/>
      <c r="C2" s="234"/>
      <c r="D2" s="234"/>
      <c r="E2" s="234"/>
      <c r="F2" s="234"/>
      <c r="G2" s="234"/>
      <c r="H2" s="234"/>
      <c r="I2" s="68"/>
      <c r="J2" s="68"/>
      <c r="K2" s="68"/>
      <c r="L2" s="68"/>
      <c r="M2" s="68"/>
      <c r="N2" s="68"/>
      <c r="O2" s="68"/>
      <c r="P2" s="68"/>
      <c r="Q2" s="68"/>
      <c r="R2" s="68"/>
      <c r="S2" s="68"/>
      <c r="T2" s="68"/>
    </row>
    <row r="3" spans="1:20">
      <c r="A3" s="234"/>
      <c r="B3" s="234"/>
      <c r="C3" s="234"/>
      <c r="D3" s="234"/>
      <c r="E3" s="234"/>
      <c r="F3" s="234"/>
      <c r="G3" s="234"/>
      <c r="H3" s="234"/>
      <c r="I3" s="68"/>
      <c r="J3" s="68"/>
      <c r="K3" s="68"/>
      <c r="L3" s="68"/>
      <c r="M3" s="68"/>
      <c r="N3" s="68"/>
      <c r="O3" s="68"/>
      <c r="P3" s="68"/>
      <c r="Q3" s="68"/>
      <c r="R3" s="68"/>
      <c r="S3" s="68"/>
      <c r="T3" s="68"/>
    </row>
    <row r="4" spans="1:20">
      <c r="A4" s="189"/>
      <c r="B4" s="189"/>
      <c r="C4" s="189"/>
      <c r="D4" s="189"/>
      <c r="E4" s="189"/>
      <c r="F4" s="189"/>
      <c r="G4" s="189"/>
      <c r="H4" s="189" t="s">
        <v>944</v>
      </c>
      <c r="I4" s="68"/>
      <c r="J4" s="68"/>
      <c r="K4" s="68"/>
      <c r="L4" s="68"/>
      <c r="M4" s="68"/>
      <c r="N4" s="68"/>
      <c r="O4" s="68"/>
      <c r="P4" s="68"/>
      <c r="Q4" s="68"/>
      <c r="R4" s="68"/>
      <c r="S4" s="68"/>
      <c r="T4" s="68"/>
    </row>
    <row r="5" spans="1:20">
      <c r="A5" s="189" t="s">
        <v>955</v>
      </c>
      <c r="B5" s="189"/>
      <c r="C5" s="189"/>
      <c r="D5" s="189"/>
      <c r="E5" s="189"/>
      <c r="F5" s="189"/>
      <c r="G5" s="189" t="s">
        <v>538</v>
      </c>
      <c r="H5" s="189" t="s">
        <v>946</v>
      </c>
      <c r="I5" s="68"/>
      <c r="J5" s="68"/>
      <c r="K5" s="68"/>
      <c r="L5" s="68"/>
      <c r="M5" s="68"/>
      <c r="N5" s="68"/>
      <c r="O5" s="68"/>
      <c r="P5" s="68"/>
      <c r="Q5" s="68"/>
      <c r="R5" s="68"/>
      <c r="S5" s="68"/>
      <c r="T5" s="68"/>
    </row>
    <row r="6" spans="1:20">
      <c r="A6" s="189"/>
      <c r="B6" s="189"/>
      <c r="C6" s="189" t="s">
        <v>956</v>
      </c>
      <c r="D6" s="189"/>
      <c r="E6" s="189" t="s">
        <v>947</v>
      </c>
      <c r="F6" s="189" t="s">
        <v>948</v>
      </c>
      <c r="G6" s="189" t="s">
        <v>42</v>
      </c>
      <c r="H6" s="189" t="s">
        <v>949</v>
      </c>
      <c r="I6" s="68"/>
      <c r="J6" s="68"/>
      <c r="K6" s="68"/>
      <c r="L6" s="68"/>
      <c r="M6" s="68"/>
      <c r="N6" s="68"/>
      <c r="O6" s="68"/>
      <c r="P6" s="68"/>
      <c r="Q6" s="68"/>
      <c r="R6" s="68"/>
      <c r="S6" s="68"/>
      <c r="T6" s="68"/>
    </row>
    <row r="7" spans="1:20">
      <c r="A7" s="189" t="s">
        <v>952</v>
      </c>
      <c r="B7" s="189"/>
      <c r="C7" s="189">
        <v>38415.5</v>
      </c>
      <c r="D7" s="189"/>
      <c r="E7" s="189">
        <v>10.08</v>
      </c>
      <c r="F7" s="189">
        <v>10.85</v>
      </c>
      <c r="G7" s="189">
        <f>+F7-E7</f>
        <v>0.76999999999999957</v>
      </c>
      <c r="H7" s="189">
        <f>+G7*C7</f>
        <v>29579.934999999983</v>
      </c>
      <c r="I7" s="189"/>
      <c r="J7" s="68"/>
      <c r="K7" s="68"/>
      <c r="L7" s="68"/>
      <c r="M7" s="68"/>
      <c r="N7" s="68"/>
      <c r="O7" s="68"/>
      <c r="P7" s="68"/>
      <c r="Q7" s="68"/>
      <c r="R7" s="68"/>
      <c r="S7" s="68"/>
      <c r="T7" s="68"/>
    </row>
    <row r="8" spans="1:20">
      <c r="A8" s="189"/>
      <c r="B8" s="189"/>
      <c r="C8" s="189"/>
      <c r="D8" s="189"/>
      <c r="E8" s="189"/>
      <c r="F8" s="189"/>
      <c r="G8" s="189"/>
      <c r="H8" s="189"/>
      <c r="I8" s="189"/>
      <c r="J8" s="68"/>
      <c r="K8" s="68"/>
      <c r="L8" s="68"/>
      <c r="M8" s="68"/>
      <c r="N8" s="68"/>
      <c r="O8" s="68"/>
      <c r="P8" s="68"/>
      <c r="Q8" s="68"/>
      <c r="R8" s="68"/>
      <c r="S8" s="68"/>
      <c r="T8" s="68"/>
    </row>
    <row r="9" spans="1:20">
      <c r="A9" s="189"/>
      <c r="B9" s="189"/>
      <c r="C9" s="189"/>
      <c r="D9" s="189"/>
      <c r="E9" s="189"/>
      <c r="F9" s="189"/>
      <c r="G9" s="189"/>
      <c r="H9" s="189"/>
      <c r="I9" s="189"/>
      <c r="J9" s="68"/>
      <c r="K9" s="68"/>
      <c r="L9" s="68"/>
      <c r="M9" s="68"/>
      <c r="N9" s="68"/>
      <c r="O9" s="68"/>
      <c r="P9" s="68"/>
      <c r="Q9" s="68"/>
      <c r="R9" s="68"/>
      <c r="S9" s="68"/>
      <c r="T9" s="68"/>
    </row>
    <row r="10" spans="1:20">
      <c r="A10" s="189"/>
      <c r="B10" s="189"/>
      <c r="C10" s="189"/>
      <c r="D10" s="189"/>
      <c r="E10" s="189"/>
      <c r="F10" s="189"/>
      <c r="G10" s="189"/>
      <c r="H10" s="189"/>
      <c r="I10" s="189"/>
      <c r="J10" s="68"/>
      <c r="K10" s="68"/>
      <c r="L10" s="68"/>
      <c r="M10" s="68"/>
      <c r="N10" s="68"/>
      <c r="O10" s="68"/>
      <c r="P10" s="68"/>
      <c r="Q10" s="68"/>
      <c r="R10" s="68"/>
      <c r="S10" s="68"/>
      <c r="T10" s="68"/>
    </row>
    <row r="11" spans="1:20">
      <c r="A11" s="189"/>
      <c r="B11" s="189"/>
      <c r="C11" s="189"/>
      <c r="D11" s="189"/>
      <c r="E11" s="189"/>
      <c r="F11" s="189"/>
      <c r="G11" s="189"/>
      <c r="H11" s="189"/>
      <c r="I11" s="189"/>
      <c r="J11" s="68"/>
      <c r="K11" s="68"/>
      <c r="L11" s="68"/>
      <c r="M11" s="68"/>
      <c r="N11" s="68"/>
      <c r="O11" s="68"/>
      <c r="P11" s="68"/>
      <c r="Q11" s="68"/>
      <c r="R11" s="68"/>
      <c r="S11" s="68"/>
      <c r="T11" s="68"/>
    </row>
    <row r="12" spans="1:20">
      <c r="A12" s="189"/>
      <c r="B12" s="189"/>
      <c r="C12" s="189"/>
      <c r="D12" s="189"/>
      <c r="E12" s="189"/>
      <c r="F12" s="189"/>
      <c r="G12" s="189"/>
      <c r="H12" s="189"/>
      <c r="I12" s="189"/>
      <c r="J12" s="68"/>
      <c r="K12" s="68"/>
      <c r="L12" s="68"/>
      <c r="M12" s="68"/>
      <c r="N12" s="68"/>
      <c r="O12" s="68"/>
      <c r="P12" s="68"/>
      <c r="Q12" s="68"/>
      <c r="R12" s="68"/>
      <c r="S12" s="68"/>
      <c r="T12" s="68"/>
    </row>
    <row r="13" spans="1:20">
      <c r="A13" s="189"/>
      <c r="B13" s="189"/>
      <c r="C13" s="189"/>
      <c r="D13" s="189"/>
      <c r="E13" s="189"/>
      <c r="F13" s="189"/>
      <c r="G13" s="189"/>
      <c r="H13" s="189"/>
      <c r="I13" s="189"/>
      <c r="J13" s="68"/>
      <c r="K13" s="68"/>
      <c r="L13" s="68"/>
      <c r="M13" s="68"/>
      <c r="N13" s="68"/>
      <c r="O13" s="68"/>
      <c r="P13" s="68"/>
      <c r="Q13" s="68"/>
      <c r="R13" s="68"/>
      <c r="S13" s="68"/>
      <c r="T13" s="68"/>
    </row>
    <row r="14" spans="1:20">
      <c r="A14" s="189"/>
      <c r="B14" s="189"/>
      <c r="C14" s="189"/>
      <c r="D14" s="189"/>
      <c r="E14" s="189"/>
      <c r="F14" s="189"/>
      <c r="G14" s="189"/>
      <c r="H14" s="189"/>
      <c r="I14" s="189"/>
      <c r="J14" s="68"/>
      <c r="K14" s="68"/>
      <c r="L14" s="68"/>
      <c r="M14" s="68"/>
      <c r="N14" s="68"/>
      <c r="O14" s="68"/>
      <c r="P14" s="68"/>
      <c r="Q14" s="68"/>
      <c r="R14" s="68"/>
      <c r="S14" s="68"/>
      <c r="T14" s="68"/>
    </row>
    <row r="15" spans="1:20">
      <c r="A15" s="189"/>
      <c r="B15" s="189"/>
      <c r="C15" s="189"/>
      <c r="D15" s="189"/>
      <c r="E15" s="189"/>
      <c r="F15" s="189"/>
      <c r="G15" s="189"/>
      <c r="H15" s="189"/>
      <c r="I15" s="189"/>
      <c r="J15" s="68"/>
      <c r="K15" s="68"/>
      <c r="L15" s="68"/>
      <c r="M15" s="68"/>
      <c r="N15" s="68"/>
      <c r="O15" s="68"/>
      <c r="P15" s="68"/>
      <c r="Q15" s="68"/>
      <c r="R15" s="68"/>
      <c r="S15" s="68"/>
      <c r="T15" s="68"/>
    </row>
    <row r="16" spans="1:20">
      <c r="A16" s="189"/>
      <c r="B16" s="189"/>
      <c r="C16" s="189"/>
      <c r="D16" s="189"/>
      <c r="E16" s="189"/>
      <c r="F16" s="189"/>
      <c r="G16" s="189"/>
      <c r="H16" s="189"/>
      <c r="I16" s="189"/>
      <c r="J16" s="68"/>
      <c r="K16" s="68"/>
      <c r="L16" s="68"/>
      <c r="M16" s="68"/>
      <c r="N16" s="68"/>
      <c r="O16" s="68"/>
      <c r="P16" s="68"/>
      <c r="Q16" s="68"/>
      <c r="R16" s="68"/>
      <c r="S16" s="68"/>
      <c r="T16" s="68"/>
    </row>
    <row r="17" spans="1:20">
      <c r="A17" s="189"/>
      <c r="B17" s="189"/>
      <c r="C17" s="189"/>
      <c r="D17" s="189"/>
      <c r="E17" s="189"/>
      <c r="F17" s="189"/>
      <c r="G17" s="189"/>
      <c r="H17" s="189"/>
      <c r="I17" s="189"/>
      <c r="J17" s="68"/>
      <c r="K17" s="68"/>
      <c r="L17" s="68"/>
      <c r="M17" s="68"/>
      <c r="N17" s="68"/>
      <c r="O17" s="68"/>
      <c r="P17" s="68"/>
      <c r="Q17" s="68"/>
      <c r="R17" s="68"/>
      <c r="S17" s="68"/>
      <c r="T17" s="68"/>
    </row>
    <row r="18" spans="1:20">
      <c r="A18" s="189"/>
      <c r="B18" s="189"/>
      <c r="C18" s="189"/>
      <c r="D18" s="189"/>
      <c r="E18" s="189"/>
      <c r="F18" s="189"/>
      <c r="G18" s="189"/>
      <c r="H18" s="189"/>
      <c r="I18" s="189"/>
      <c r="J18" s="68"/>
      <c r="K18" s="68"/>
      <c r="L18" s="68"/>
      <c r="M18" s="68"/>
      <c r="N18" s="68"/>
      <c r="O18" s="68"/>
      <c r="P18" s="68"/>
      <c r="Q18" s="68"/>
      <c r="R18" s="68"/>
      <c r="S18" s="68"/>
      <c r="T18" s="68"/>
    </row>
    <row r="19" spans="1:20">
      <c r="A19" s="189"/>
      <c r="B19" s="189"/>
      <c r="C19" s="189"/>
      <c r="D19" s="189"/>
      <c r="E19" s="189"/>
      <c r="F19" s="189"/>
      <c r="G19" s="189"/>
      <c r="H19" s="189"/>
      <c r="I19" s="189"/>
      <c r="J19" s="68"/>
      <c r="K19" s="68"/>
      <c r="L19" s="68"/>
      <c r="M19" s="68"/>
      <c r="N19" s="68"/>
      <c r="O19" s="68"/>
      <c r="P19" s="68"/>
      <c r="Q19" s="68"/>
      <c r="R19" s="68"/>
      <c r="S19" s="68"/>
      <c r="T19" s="68"/>
    </row>
    <row r="20" spans="1:20">
      <c r="A20" s="189"/>
      <c r="B20" s="189"/>
      <c r="C20" s="189"/>
      <c r="D20" s="189"/>
      <c r="E20" s="189"/>
      <c r="F20" s="189"/>
      <c r="G20" s="189"/>
      <c r="H20" s="189"/>
      <c r="I20" s="189"/>
      <c r="J20" s="68"/>
      <c r="K20" s="68"/>
      <c r="L20" s="68"/>
      <c r="M20" s="68"/>
      <c r="N20" s="68"/>
      <c r="O20" s="68"/>
      <c r="P20" s="68"/>
      <c r="Q20" s="68"/>
      <c r="R20" s="68"/>
      <c r="S20" s="68"/>
      <c r="T20" s="68"/>
    </row>
    <row r="21" spans="1:20">
      <c r="A21" s="189"/>
      <c r="B21" s="189"/>
      <c r="C21" s="189"/>
      <c r="D21" s="189"/>
      <c r="E21" s="189"/>
      <c r="F21" s="189"/>
      <c r="G21" s="189"/>
      <c r="H21" s="189"/>
      <c r="I21" s="189"/>
      <c r="J21" s="68"/>
      <c r="K21" s="68"/>
      <c r="L21" s="68"/>
      <c r="M21" s="68"/>
      <c r="N21" s="68"/>
      <c r="O21" s="68"/>
      <c r="P21" s="68"/>
      <c r="Q21" s="68"/>
      <c r="R21" s="68"/>
      <c r="S21" s="68"/>
      <c r="T21" s="68"/>
    </row>
    <row r="22" spans="1:20">
      <c r="A22" s="189"/>
      <c r="B22" s="189"/>
      <c r="C22" s="189"/>
      <c r="D22" s="189"/>
      <c r="E22" s="189"/>
      <c r="F22" s="189"/>
      <c r="G22" s="189"/>
      <c r="H22" s="189"/>
      <c r="I22" s="189"/>
      <c r="J22" s="68"/>
      <c r="K22" s="68"/>
      <c r="L22" s="68"/>
      <c r="M22" s="68"/>
      <c r="N22" s="68"/>
      <c r="O22" s="68"/>
      <c r="P22" s="68"/>
      <c r="Q22" s="68"/>
      <c r="R22" s="68"/>
      <c r="S22" s="68"/>
      <c r="T22" s="68"/>
    </row>
    <row r="23" spans="1:20">
      <c r="A23" s="189"/>
      <c r="B23" s="189"/>
      <c r="C23" s="189"/>
      <c r="D23" s="189"/>
      <c r="E23" s="189"/>
      <c r="F23" s="189"/>
      <c r="G23" s="189"/>
      <c r="H23" s="189"/>
      <c r="I23" s="189"/>
      <c r="J23" s="68"/>
      <c r="K23" s="68"/>
      <c r="L23" s="68"/>
      <c r="M23" s="68"/>
      <c r="N23" s="68"/>
      <c r="O23" s="68"/>
      <c r="P23" s="68"/>
      <c r="Q23" s="68"/>
      <c r="R23" s="68"/>
      <c r="S23" s="68"/>
      <c r="T23" s="68"/>
    </row>
    <row r="24" spans="1:20">
      <c r="A24" s="189"/>
      <c r="B24" s="189"/>
      <c r="C24" s="189"/>
      <c r="D24" s="189"/>
      <c r="E24" s="189"/>
      <c r="F24" s="189"/>
      <c r="G24" s="189"/>
      <c r="H24" s="189"/>
      <c r="I24" s="189"/>
      <c r="J24" s="68"/>
      <c r="K24" s="68"/>
      <c r="L24" s="68"/>
      <c r="M24" s="68"/>
      <c r="N24" s="68"/>
      <c r="O24" s="68"/>
      <c r="P24" s="68"/>
      <c r="Q24" s="68"/>
      <c r="R24" s="68"/>
      <c r="S24" s="68"/>
      <c r="T24" s="68"/>
    </row>
    <row r="25" spans="1:20">
      <c r="A25" s="189"/>
      <c r="B25" s="189"/>
      <c r="C25" s="189"/>
      <c r="D25" s="189"/>
      <c r="E25" s="189"/>
      <c r="F25" s="189"/>
      <c r="G25" s="189"/>
      <c r="H25" s="189"/>
      <c r="I25" s="189"/>
      <c r="J25" s="68"/>
      <c r="K25" s="68"/>
      <c r="L25" s="68"/>
      <c r="M25" s="68"/>
      <c r="N25" s="68"/>
      <c r="O25" s="68"/>
      <c r="P25" s="68"/>
      <c r="Q25" s="68"/>
      <c r="R25" s="68"/>
      <c r="S25" s="68"/>
      <c r="T25" s="68"/>
    </row>
    <row r="26" spans="1:20">
      <c r="A26" s="189"/>
      <c r="B26" s="189"/>
      <c r="C26" s="189"/>
      <c r="D26" s="189"/>
      <c r="E26" s="189"/>
      <c r="F26" s="189"/>
      <c r="G26" s="189"/>
      <c r="H26" s="189"/>
      <c r="I26" s="189"/>
      <c r="J26" s="68"/>
      <c r="K26" s="68"/>
      <c r="L26" s="68"/>
      <c r="M26" s="68"/>
      <c r="N26" s="68"/>
      <c r="O26" s="68"/>
      <c r="P26" s="68"/>
      <c r="Q26" s="68"/>
      <c r="R26" s="68"/>
      <c r="S26" s="68"/>
      <c r="T26" s="68"/>
    </row>
    <row r="27" spans="1:20">
      <c r="A27" s="189"/>
      <c r="B27" s="189"/>
      <c r="C27" s="189"/>
      <c r="D27" s="189"/>
      <c r="E27" s="189"/>
      <c r="F27" s="189"/>
      <c r="G27" s="189"/>
      <c r="H27" s="189"/>
      <c r="I27" s="189"/>
      <c r="J27" s="68"/>
      <c r="K27" s="68"/>
      <c r="L27" s="68"/>
      <c r="M27" s="68"/>
      <c r="N27" s="68"/>
      <c r="O27" s="68"/>
      <c r="P27" s="68"/>
      <c r="Q27" s="68"/>
      <c r="R27" s="68"/>
      <c r="S27" s="68"/>
      <c r="T27" s="68"/>
    </row>
    <row r="28" spans="1:20">
      <c r="A28" s="189"/>
      <c r="B28" s="189"/>
      <c r="C28" s="189"/>
      <c r="D28" s="189"/>
      <c r="E28" s="189"/>
      <c r="F28" s="189"/>
      <c r="G28" s="189"/>
      <c r="H28" s="189"/>
      <c r="I28" s="189"/>
      <c r="J28" s="68"/>
      <c r="K28" s="68"/>
      <c r="L28" s="68"/>
      <c r="M28" s="68"/>
      <c r="N28" s="68"/>
      <c r="O28" s="68"/>
      <c r="P28" s="68"/>
      <c r="Q28" s="68"/>
      <c r="R28" s="68"/>
      <c r="S28" s="68"/>
      <c r="T28" s="68"/>
    </row>
    <row r="29" spans="1:20">
      <c r="A29" s="189"/>
      <c r="B29" s="189"/>
      <c r="C29" s="189"/>
      <c r="D29" s="189"/>
      <c r="E29" s="189"/>
      <c r="F29" s="189"/>
      <c r="G29" s="189"/>
      <c r="H29" s="189"/>
      <c r="I29" s="189"/>
      <c r="J29" s="68"/>
      <c r="K29" s="68"/>
      <c r="L29" s="68"/>
      <c r="M29" s="68"/>
      <c r="N29" s="68"/>
      <c r="O29" s="68"/>
      <c r="P29" s="68"/>
      <c r="Q29" s="68"/>
      <c r="R29" s="68"/>
      <c r="S29" s="68"/>
      <c r="T29" s="68"/>
    </row>
    <row r="30" spans="1:20">
      <c r="A30" s="189"/>
      <c r="B30" s="189"/>
      <c r="C30" s="189"/>
      <c r="D30" s="189"/>
      <c r="E30" s="189"/>
      <c r="F30" s="189"/>
      <c r="G30" s="189"/>
      <c r="H30" s="189"/>
      <c r="I30" s="189"/>
      <c r="J30" s="68"/>
      <c r="K30" s="68"/>
      <c r="L30" s="68"/>
      <c r="M30" s="68"/>
      <c r="N30" s="68"/>
      <c r="O30" s="68"/>
      <c r="P30" s="68"/>
      <c r="Q30" s="68"/>
      <c r="R30" s="68"/>
      <c r="S30" s="68"/>
      <c r="T30" s="68"/>
    </row>
    <row r="31" spans="1:20">
      <c r="A31" s="189"/>
      <c r="B31" s="189"/>
      <c r="C31" s="189"/>
      <c r="D31" s="189"/>
      <c r="E31" s="189"/>
      <c r="F31" s="189"/>
      <c r="G31" s="189"/>
      <c r="H31" s="189"/>
      <c r="I31" s="189"/>
      <c r="J31" s="68"/>
      <c r="K31" s="68"/>
      <c r="L31" s="68"/>
      <c r="M31" s="68"/>
      <c r="N31" s="68"/>
      <c r="O31" s="68"/>
      <c r="P31" s="68"/>
      <c r="Q31" s="68"/>
      <c r="R31" s="68"/>
      <c r="S31" s="68"/>
      <c r="T31" s="68"/>
    </row>
    <row r="32" spans="1:20">
      <c r="A32" s="189"/>
      <c r="B32" s="189"/>
      <c r="C32" s="189"/>
      <c r="D32" s="189"/>
      <c r="E32" s="189"/>
      <c r="F32" s="189"/>
      <c r="G32" s="189"/>
      <c r="H32" s="189"/>
      <c r="I32" s="189"/>
      <c r="J32" s="68"/>
      <c r="K32" s="68"/>
      <c r="L32" s="68"/>
      <c r="M32" s="68"/>
      <c r="N32" s="68"/>
      <c r="O32" s="68"/>
      <c r="P32" s="68"/>
      <c r="Q32" s="68"/>
      <c r="R32" s="68"/>
      <c r="S32" s="68"/>
      <c r="T32" s="68"/>
    </row>
    <row r="33" spans="1:20">
      <c r="A33" s="189"/>
      <c r="B33" s="189"/>
      <c r="C33" s="189"/>
      <c r="D33" s="189"/>
      <c r="E33" s="189"/>
      <c r="F33" s="189"/>
      <c r="G33" s="189"/>
      <c r="H33" s="189"/>
      <c r="I33" s="189"/>
      <c r="J33" s="68"/>
      <c r="K33" s="68"/>
      <c r="L33" s="68"/>
      <c r="M33" s="68"/>
      <c r="N33" s="68"/>
      <c r="O33" s="68"/>
      <c r="P33" s="68"/>
      <c r="Q33" s="68"/>
      <c r="R33" s="68"/>
      <c r="S33" s="68"/>
      <c r="T33" s="68"/>
    </row>
    <row r="34" spans="1:20">
      <c r="A34" s="189"/>
      <c r="B34" s="189"/>
      <c r="C34" s="189"/>
      <c r="D34" s="189"/>
      <c r="E34" s="189"/>
      <c r="F34" s="189"/>
      <c r="G34" s="189"/>
      <c r="H34" s="189"/>
      <c r="I34" s="189"/>
      <c r="J34" s="68"/>
      <c r="K34" s="68"/>
      <c r="L34" s="68"/>
      <c r="M34" s="68"/>
      <c r="N34" s="68"/>
      <c r="O34" s="68"/>
      <c r="P34" s="68"/>
      <c r="Q34" s="68"/>
      <c r="R34" s="68"/>
      <c r="S34" s="68"/>
      <c r="T34" s="68"/>
    </row>
    <row r="35" spans="1:20">
      <c r="A35" s="68"/>
      <c r="B35" s="68"/>
      <c r="C35" s="68"/>
      <c r="D35" s="68"/>
      <c r="E35" s="68"/>
      <c r="F35" s="68"/>
      <c r="G35" s="68"/>
      <c r="H35" s="68"/>
      <c r="I35" s="68"/>
      <c r="J35" s="68"/>
      <c r="K35" s="68"/>
      <c r="L35" s="68"/>
      <c r="M35" s="68"/>
      <c r="N35" s="68"/>
      <c r="O35" s="68"/>
      <c r="P35" s="68"/>
      <c r="Q35" s="68"/>
      <c r="R35" s="68"/>
      <c r="S35" s="68"/>
      <c r="T35" s="68"/>
    </row>
    <row r="36" spans="1:20">
      <c r="A36" s="68"/>
      <c r="B36" s="68"/>
      <c r="C36" s="68"/>
      <c r="D36" s="68"/>
      <c r="E36" s="68"/>
      <c r="F36" s="68"/>
      <c r="G36" s="68"/>
      <c r="H36" s="68"/>
      <c r="I36" s="68"/>
      <c r="J36" s="68"/>
      <c r="K36" s="68"/>
      <c r="L36" s="68"/>
      <c r="M36" s="68"/>
      <c r="N36" s="68"/>
      <c r="O36" s="68"/>
      <c r="P36" s="68"/>
      <c r="Q36" s="68"/>
      <c r="R36" s="68"/>
      <c r="S36" s="68"/>
      <c r="T36" s="68"/>
    </row>
    <row r="37" spans="1:20">
      <c r="A37" s="68"/>
      <c r="B37" s="68"/>
      <c r="C37" s="68"/>
      <c r="D37" s="68"/>
      <c r="E37" s="68"/>
      <c r="F37" s="68"/>
      <c r="G37" s="68"/>
      <c r="H37" s="68"/>
      <c r="I37" s="68"/>
      <c r="J37" s="68"/>
      <c r="K37" s="68"/>
      <c r="L37" s="68"/>
      <c r="M37" s="68"/>
      <c r="N37" s="68"/>
      <c r="O37" s="68"/>
      <c r="P37" s="68"/>
      <c r="Q37" s="68"/>
      <c r="R37" s="68"/>
      <c r="S37" s="68"/>
      <c r="T37" s="68"/>
    </row>
    <row r="38" spans="1:20">
      <c r="A38" s="68"/>
      <c r="B38" s="68"/>
      <c r="C38" s="68"/>
      <c r="D38" s="68"/>
      <c r="E38" s="68"/>
      <c r="F38" s="68"/>
      <c r="G38" s="68"/>
      <c r="H38" s="68"/>
      <c r="I38" s="68"/>
      <c r="J38" s="68"/>
      <c r="K38" s="68"/>
      <c r="L38" s="68"/>
      <c r="M38" s="68"/>
      <c r="N38" s="68"/>
      <c r="O38" s="68"/>
      <c r="P38" s="68"/>
      <c r="Q38" s="68"/>
      <c r="R38" s="68"/>
      <c r="S38" s="68"/>
      <c r="T38" s="68"/>
    </row>
    <row r="39" spans="1:20">
      <c r="A39" s="68"/>
      <c r="B39" s="68"/>
      <c r="C39" s="68"/>
      <c r="D39" s="68"/>
      <c r="E39" s="68"/>
      <c r="F39" s="68"/>
      <c r="G39" s="68"/>
      <c r="H39" s="68"/>
      <c r="I39" s="68"/>
      <c r="J39" s="68"/>
      <c r="K39" s="68"/>
      <c r="L39" s="68"/>
      <c r="M39" s="68"/>
      <c r="N39" s="68"/>
      <c r="O39" s="68"/>
      <c r="P39" s="68"/>
      <c r="Q39" s="68"/>
      <c r="R39" s="68"/>
      <c r="S39" s="68"/>
      <c r="T39" s="68"/>
    </row>
    <row r="40" spans="1:20">
      <c r="A40" s="68"/>
      <c r="B40" s="68"/>
      <c r="C40" s="68"/>
      <c r="D40" s="68"/>
      <c r="E40" s="68"/>
      <c r="F40" s="68"/>
      <c r="G40" s="68"/>
      <c r="H40" s="68"/>
      <c r="I40" s="68"/>
      <c r="J40" s="68"/>
      <c r="K40" s="68"/>
      <c r="L40" s="68"/>
      <c r="M40" s="68"/>
      <c r="N40" s="68"/>
      <c r="O40" s="68"/>
      <c r="P40" s="68"/>
      <c r="Q40" s="68"/>
      <c r="R40" s="68"/>
      <c r="S40" s="68"/>
      <c r="T40" s="68"/>
    </row>
    <row r="41" spans="1:20">
      <c r="A41" s="68"/>
      <c r="B41" s="68"/>
      <c r="C41" s="68"/>
      <c r="D41" s="68"/>
      <c r="E41" s="68"/>
      <c r="F41" s="68"/>
      <c r="G41" s="68"/>
      <c r="H41" s="68"/>
      <c r="I41" s="68"/>
      <c r="J41" s="68"/>
      <c r="K41" s="68"/>
      <c r="L41" s="68"/>
      <c r="M41" s="68"/>
      <c r="N41" s="68"/>
      <c r="O41" s="68"/>
      <c r="P41" s="68"/>
      <c r="Q41" s="68"/>
      <c r="R41" s="68"/>
      <c r="S41" s="68"/>
      <c r="T41" s="68"/>
    </row>
    <row r="42" spans="1:20">
      <c r="A42" s="68"/>
      <c r="B42" s="68"/>
      <c r="C42" s="68"/>
      <c r="D42" s="68"/>
      <c r="E42" s="68"/>
      <c r="F42" s="68"/>
      <c r="G42" s="68"/>
      <c r="H42" s="68"/>
      <c r="I42" s="68"/>
      <c r="J42" s="68"/>
      <c r="K42" s="68"/>
      <c r="L42" s="68"/>
      <c r="M42" s="68"/>
      <c r="N42" s="68"/>
      <c r="O42" s="68"/>
      <c r="P42" s="68"/>
      <c r="Q42" s="68"/>
      <c r="R42" s="68"/>
      <c r="S42" s="68"/>
      <c r="T42" s="68"/>
    </row>
    <row r="43" spans="1:20">
      <c r="A43" s="68"/>
      <c r="B43" s="68"/>
      <c r="C43" s="68"/>
      <c r="D43" s="68"/>
      <c r="E43" s="68"/>
      <c r="F43" s="68"/>
      <c r="G43" s="68"/>
      <c r="H43" s="68"/>
      <c r="I43" s="68"/>
      <c r="J43" s="68"/>
      <c r="K43" s="68"/>
      <c r="L43" s="68"/>
      <c r="M43" s="68"/>
      <c r="N43" s="68"/>
      <c r="O43" s="68"/>
      <c r="P43" s="68"/>
      <c r="Q43" s="68"/>
      <c r="R43" s="68"/>
      <c r="S43" s="68"/>
      <c r="T43" s="68"/>
    </row>
    <row r="44" spans="1:20">
      <c r="A44" s="68"/>
      <c r="B44" s="68"/>
      <c r="C44" s="68"/>
      <c r="D44" s="68"/>
      <c r="E44" s="68"/>
      <c r="F44" s="68"/>
      <c r="G44" s="68"/>
      <c r="H44" s="68"/>
      <c r="I44" s="68"/>
      <c r="J44" s="68"/>
      <c r="K44" s="68"/>
      <c r="L44" s="68"/>
      <c r="M44" s="68"/>
      <c r="N44" s="68"/>
      <c r="O44" s="68"/>
      <c r="P44" s="68"/>
      <c r="Q44" s="68"/>
      <c r="R44" s="68"/>
      <c r="S44" s="68"/>
      <c r="T44" s="68"/>
    </row>
    <row r="45" spans="1:20">
      <c r="A45" s="68"/>
      <c r="B45" s="68"/>
      <c r="C45" s="68"/>
      <c r="D45" s="68"/>
      <c r="E45" s="68"/>
      <c r="F45" s="68"/>
      <c r="G45" s="68"/>
      <c r="H45" s="68"/>
      <c r="I45" s="68"/>
      <c r="J45" s="68"/>
      <c r="K45" s="68"/>
      <c r="L45" s="68"/>
      <c r="M45" s="68"/>
      <c r="N45" s="68"/>
      <c r="O45" s="68"/>
      <c r="P45" s="68"/>
      <c r="Q45" s="68"/>
      <c r="R45" s="68"/>
      <c r="S45" s="68"/>
      <c r="T45" s="68"/>
    </row>
    <row r="46" spans="1:20">
      <c r="A46" s="68"/>
      <c r="B46" s="68"/>
      <c r="C46" s="68"/>
      <c r="D46" s="68"/>
      <c r="E46" s="68"/>
      <c r="F46" s="68"/>
      <c r="G46" s="68"/>
      <c r="H46" s="68"/>
      <c r="I46" s="68"/>
      <c r="J46" s="68"/>
      <c r="K46" s="68"/>
      <c r="L46" s="68"/>
      <c r="M46" s="68"/>
      <c r="N46" s="68"/>
      <c r="O46" s="68"/>
      <c r="P46" s="68"/>
      <c r="Q46" s="68"/>
      <c r="R46" s="68"/>
      <c r="S46" s="68"/>
      <c r="T46" s="68"/>
    </row>
    <row r="47" spans="1:20">
      <c r="A47" s="68"/>
      <c r="B47" s="68"/>
      <c r="C47" s="68"/>
      <c r="D47" s="68"/>
      <c r="E47" s="68"/>
      <c r="F47" s="68"/>
      <c r="G47" s="68"/>
      <c r="H47" s="68"/>
      <c r="I47" s="68"/>
      <c r="J47" s="68"/>
      <c r="K47" s="68"/>
      <c r="L47" s="68"/>
      <c r="M47" s="68"/>
      <c r="N47" s="68"/>
      <c r="O47" s="68"/>
      <c r="P47" s="68"/>
      <c r="Q47" s="68"/>
      <c r="R47" s="68"/>
      <c r="S47" s="68"/>
      <c r="T47" s="68"/>
    </row>
    <row r="48" spans="1:20">
      <c r="A48" s="68"/>
      <c r="B48" s="68"/>
      <c r="C48" s="68"/>
      <c r="D48" s="68"/>
      <c r="E48" s="68"/>
      <c r="F48" s="68"/>
      <c r="G48" s="68"/>
      <c r="H48" s="68"/>
      <c r="I48" s="68"/>
      <c r="J48" s="68"/>
      <c r="K48" s="68"/>
      <c r="L48" s="68"/>
      <c r="M48" s="68"/>
      <c r="N48" s="68"/>
      <c r="O48" s="68"/>
      <c r="P48" s="68"/>
      <c r="Q48" s="68"/>
      <c r="R48" s="68"/>
      <c r="S48" s="68"/>
      <c r="T48" s="68"/>
    </row>
    <row r="49" spans="1:20">
      <c r="A49" s="68"/>
      <c r="B49" s="68"/>
      <c r="C49" s="68"/>
      <c r="D49" s="68"/>
      <c r="E49" s="68"/>
      <c r="F49" s="68"/>
      <c r="G49" s="68"/>
      <c r="H49" s="68"/>
      <c r="I49" s="68"/>
      <c r="J49" s="68"/>
      <c r="K49" s="68"/>
      <c r="L49" s="68"/>
      <c r="M49" s="68"/>
      <c r="N49" s="68"/>
      <c r="O49" s="68"/>
      <c r="P49" s="68"/>
      <c r="Q49" s="68"/>
      <c r="R49" s="68"/>
      <c r="S49" s="68"/>
      <c r="T49" s="68"/>
    </row>
    <row r="50" spans="1:20">
      <c r="A50" s="68"/>
      <c r="B50" s="68"/>
      <c r="C50" s="68"/>
      <c r="D50" s="68"/>
      <c r="E50" s="68"/>
      <c r="F50" s="68"/>
      <c r="G50" s="68"/>
      <c r="H50" s="68"/>
      <c r="I50" s="68"/>
      <c r="J50" s="68"/>
      <c r="K50" s="68"/>
      <c r="L50" s="68"/>
      <c r="M50" s="68"/>
      <c r="N50" s="68"/>
      <c r="O50" s="68"/>
      <c r="P50" s="68"/>
      <c r="Q50" s="68"/>
      <c r="R50" s="68"/>
      <c r="S50" s="68"/>
      <c r="T50" s="68"/>
    </row>
    <row r="51" spans="1:20">
      <c r="A51" s="68"/>
      <c r="B51" s="68"/>
      <c r="C51" s="68"/>
      <c r="D51" s="68"/>
      <c r="E51" s="68"/>
      <c r="F51" s="68"/>
      <c r="G51" s="68"/>
      <c r="H51" s="68"/>
      <c r="I51" s="68"/>
      <c r="J51" s="68"/>
      <c r="K51" s="68"/>
      <c r="L51" s="68"/>
      <c r="M51" s="68"/>
      <c r="N51" s="68"/>
      <c r="O51" s="68"/>
      <c r="P51" s="68"/>
      <c r="Q51" s="68"/>
      <c r="R51" s="68"/>
      <c r="S51" s="68"/>
      <c r="T51" s="68"/>
    </row>
    <row r="52" spans="1:20">
      <c r="A52" s="68"/>
      <c r="B52" s="68"/>
      <c r="C52" s="68"/>
      <c r="D52" s="68"/>
      <c r="E52" s="68"/>
      <c r="F52" s="68"/>
      <c r="G52" s="68"/>
      <c r="H52" s="68"/>
      <c r="I52" s="68"/>
      <c r="J52" s="68"/>
      <c r="K52" s="68"/>
      <c r="L52" s="68"/>
      <c r="M52" s="68"/>
      <c r="N52" s="68"/>
      <c r="O52" s="68"/>
      <c r="P52" s="68"/>
      <c r="Q52" s="68"/>
      <c r="R52" s="68"/>
      <c r="S52" s="68"/>
      <c r="T52" s="68"/>
    </row>
    <row r="53" spans="1:20">
      <c r="A53" s="68"/>
      <c r="B53" s="68"/>
      <c r="C53" s="68"/>
      <c r="D53" s="68"/>
      <c r="E53" s="68"/>
      <c r="F53" s="68"/>
      <c r="G53" s="68"/>
      <c r="H53" s="68"/>
      <c r="I53" s="68"/>
      <c r="J53" s="68"/>
      <c r="K53" s="68"/>
      <c r="L53" s="68"/>
      <c r="M53" s="68"/>
      <c r="N53" s="68"/>
      <c r="O53" s="68"/>
      <c r="P53" s="68"/>
      <c r="Q53" s="68"/>
      <c r="R53" s="68"/>
      <c r="S53" s="68"/>
      <c r="T53" s="68"/>
    </row>
    <row r="54" spans="1:20">
      <c r="A54" s="68"/>
      <c r="B54" s="68"/>
      <c r="C54" s="68"/>
      <c r="D54" s="68"/>
      <c r="E54" s="68"/>
      <c r="F54" s="68"/>
      <c r="G54" s="68"/>
      <c r="H54" s="68"/>
      <c r="I54" s="68"/>
      <c r="J54" s="68"/>
      <c r="K54" s="68"/>
      <c r="L54" s="68"/>
      <c r="M54" s="68"/>
      <c r="N54" s="68"/>
      <c r="O54" s="68"/>
      <c r="P54" s="68"/>
      <c r="Q54" s="68"/>
      <c r="R54" s="68"/>
      <c r="S54" s="68"/>
      <c r="T54" s="68"/>
    </row>
    <row r="55" spans="1:20">
      <c r="A55" s="68"/>
      <c r="B55" s="68"/>
      <c r="C55" s="68"/>
      <c r="D55" s="68"/>
      <c r="E55" s="68"/>
      <c r="F55" s="68"/>
      <c r="G55" s="68"/>
      <c r="H55" s="68"/>
      <c r="I55" s="68"/>
      <c r="J55" s="68"/>
      <c r="K55" s="68"/>
      <c r="L55" s="68"/>
      <c r="M55" s="68"/>
      <c r="N55" s="68"/>
      <c r="O55" s="68"/>
      <c r="P55" s="68"/>
      <c r="Q55" s="68"/>
      <c r="R55" s="68"/>
      <c r="S55" s="68"/>
      <c r="T55" s="68"/>
    </row>
    <row r="56" spans="1:20">
      <c r="A56" s="68"/>
      <c r="B56" s="68"/>
      <c r="C56" s="68"/>
      <c r="D56" s="68"/>
      <c r="E56" s="68"/>
      <c r="F56" s="68"/>
      <c r="G56" s="68"/>
      <c r="H56" s="68"/>
      <c r="I56" s="68"/>
      <c r="J56" s="68"/>
      <c r="K56" s="68"/>
      <c r="L56" s="68"/>
      <c r="M56" s="68"/>
      <c r="N56" s="68"/>
      <c r="O56" s="68"/>
      <c r="P56" s="68"/>
      <c r="Q56" s="68"/>
      <c r="R56" s="68"/>
      <c r="S56" s="68"/>
      <c r="T56" s="68"/>
    </row>
    <row r="57" spans="1:20">
      <c r="A57" s="68"/>
      <c r="B57" s="68"/>
      <c r="C57" s="68"/>
      <c r="D57" s="68"/>
      <c r="E57" s="68"/>
      <c r="F57" s="68"/>
      <c r="G57" s="68"/>
      <c r="H57" s="68"/>
      <c r="I57" s="68"/>
      <c r="J57" s="68"/>
      <c r="K57" s="68"/>
      <c r="L57" s="68"/>
      <c r="M57" s="68"/>
      <c r="N57" s="68"/>
      <c r="O57" s="68"/>
      <c r="P57" s="68"/>
      <c r="Q57" s="68"/>
      <c r="R57" s="68"/>
      <c r="S57" s="68"/>
      <c r="T57" s="68"/>
    </row>
    <row r="58" spans="1:20">
      <c r="A58" s="68"/>
      <c r="B58" s="68"/>
      <c r="C58" s="68"/>
      <c r="D58" s="68"/>
      <c r="E58" s="68"/>
      <c r="F58" s="68"/>
      <c r="G58" s="68"/>
      <c r="H58" s="68"/>
      <c r="I58" s="68"/>
      <c r="J58" s="68"/>
      <c r="K58" s="68"/>
      <c r="L58" s="68"/>
      <c r="M58" s="68"/>
      <c r="N58" s="68"/>
      <c r="O58" s="68"/>
      <c r="P58" s="68"/>
      <c r="Q58" s="68"/>
      <c r="R58" s="68"/>
      <c r="S58" s="68"/>
      <c r="T58" s="68"/>
    </row>
    <row r="59" spans="1:20">
      <c r="A59" s="68"/>
      <c r="B59" s="68"/>
      <c r="C59" s="68"/>
      <c r="D59" s="68"/>
      <c r="E59" s="68"/>
      <c r="F59" s="68"/>
      <c r="G59" s="68"/>
      <c r="H59" s="68"/>
      <c r="I59" s="68"/>
      <c r="J59" s="68"/>
      <c r="K59" s="68"/>
      <c r="L59" s="68"/>
      <c r="M59" s="68"/>
      <c r="N59" s="68"/>
      <c r="O59" s="68"/>
      <c r="P59" s="68"/>
      <c r="Q59" s="68"/>
      <c r="R59" s="68"/>
      <c r="S59" s="68"/>
      <c r="T59" s="68"/>
    </row>
    <row r="60" spans="1:20">
      <c r="A60" s="68"/>
      <c r="B60" s="68"/>
      <c r="C60" s="68"/>
      <c r="D60" s="68"/>
      <c r="E60" s="68"/>
      <c r="F60" s="68"/>
      <c r="G60" s="68"/>
      <c r="H60" s="68"/>
      <c r="I60" s="68"/>
      <c r="J60" s="68"/>
      <c r="K60" s="68"/>
      <c r="L60" s="68"/>
      <c r="M60" s="68"/>
      <c r="N60" s="68"/>
      <c r="O60" s="68"/>
      <c r="P60" s="68"/>
      <c r="Q60" s="68"/>
      <c r="R60" s="68"/>
      <c r="S60" s="68"/>
      <c r="T60" s="68"/>
    </row>
    <row r="61" spans="1:20">
      <c r="A61" s="68"/>
      <c r="B61" s="68"/>
      <c r="C61" s="68"/>
      <c r="D61" s="68"/>
      <c r="E61" s="68"/>
      <c r="F61" s="68"/>
      <c r="G61" s="68"/>
      <c r="H61" s="68"/>
      <c r="I61" s="68"/>
      <c r="J61" s="68"/>
      <c r="K61" s="68"/>
      <c r="L61" s="68"/>
      <c r="M61" s="68"/>
      <c r="N61" s="68"/>
      <c r="O61" s="68"/>
      <c r="P61" s="68"/>
      <c r="Q61" s="68"/>
      <c r="R61" s="68"/>
      <c r="S61" s="68"/>
      <c r="T61" s="68"/>
    </row>
    <row r="62" spans="1:20">
      <c r="A62" s="68"/>
      <c r="B62" s="68"/>
      <c r="C62" s="68"/>
      <c r="D62" s="68"/>
      <c r="E62" s="68"/>
      <c r="F62" s="68"/>
      <c r="G62" s="68"/>
      <c r="H62" s="68"/>
      <c r="I62" s="68"/>
      <c r="J62" s="68"/>
      <c r="K62" s="68"/>
      <c r="L62" s="68"/>
      <c r="M62" s="68"/>
      <c r="N62" s="68"/>
      <c r="O62" s="68"/>
      <c r="P62" s="68"/>
      <c r="Q62" s="68"/>
      <c r="R62" s="68"/>
      <c r="S62" s="68"/>
      <c r="T62" s="68"/>
    </row>
    <row r="63" spans="1:20">
      <c r="A63" s="68"/>
      <c r="B63" s="68"/>
      <c r="C63" s="68"/>
      <c r="D63" s="68"/>
      <c r="E63" s="68"/>
      <c r="F63" s="68"/>
      <c r="G63" s="68"/>
      <c r="H63" s="68"/>
      <c r="I63" s="68"/>
      <c r="J63" s="68"/>
      <c r="K63" s="68"/>
      <c r="L63" s="68"/>
      <c r="M63" s="68"/>
      <c r="N63" s="68"/>
      <c r="O63" s="68"/>
      <c r="P63" s="68"/>
      <c r="Q63" s="68"/>
      <c r="R63" s="68"/>
      <c r="S63" s="68"/>
      <c r="T63" s="68"/>
    </row>
    <row r="64" spans="1:20">
      <c r="A64" s="68"/>
      <c r="B64" s="68"/>
      <c r="C64" s="68"/>
      <c r="D64" s="68"/>
      <c r="E64" s="68"/>
      <c r="F64" s="68"/>
      <c r="G64" s="68"/>
      <c r="H64" s="68"/>
      <c r="I64" s="68"/>
      <c r="J64" s="68"/>
      <c r="K64" s="68"/>
      <c r="L64" s="68"/>
      <c r="M64" s="68"/>
      <c r="N64" s="68"/>
      <c r="O64" s="68"/>
      <c r="P64" s="68"/>
      <c r="Q64" s="68"/>
      <c r="R64" s="68"/>
      <c r="S64" s="68"/>
      <c r="T64" s="68"/>
    </row>
    <row r="65" spans="1:20">
      <c r="A65" s="68"/>
      <c r="B65" s="68"/>
      <c r="C65" s="68"/>
      <c r="D65" s="68"/>
      <c r="E65" s="68"/>
      <c r="F65" s="68"/>
      <c r="G65" s="68"/>
      <c r="H65" s="68"/>
      <c r="I65" s="68"/>
      <c r="J65" s="68"/>
      <c r="K65" s="68"/>
      <c r="L65" s="68"/>
      <c r="M65" s="68"/>
      <c r="N65" s="68"/>
      <c r="O65" s="68"/>
      <c r="P65" s="68"/>
      <c r="Q65" s="68"/>
      <c r="R65" s="68"/>
      <c r="S65" s="68"/>
      <c r="T65" s="68"/>
    </row>
    <row r="66" spans="1:20">
      <c r="A66" s="68"/>
      <c r="B66" s="68"/>
      <c r="C66" s="68"/>
      <c r="D66" s="68"/>
      <c r="E66" s="68"/>
      <c r="F66" s="68"/>
      <c r="G66" s="68"/>
      <c r="H66" s="68"/>
      <c r="I66" s="68"/>
      <c r="J66" s="68"/>
      <c r="K66" s="68"/>
      <c r="L66" s="68"/>
      <c r="M66" s="68"/>
      <c r="N66" s="68"/>
      <c r="O66" s="68"/>
      <c r="P66" s="68"/>
      <c r="Q66" s="68"/>
      <c r="R66" s="68"/>
      <c r="S66" s="68"/>
      <c r="T66" s="68"/>
    </row>
    <row r="67" spans="1:20">
      <c r="A67" s="68"/>
      <c r="B67" s="68"/>
      <c r="C67" s="68"/>
      <c r="D67" s="68"/>
      <c r="E67" s="68"/>
      <c r="F67" s="68"/>
      <c r="G67" s="68"/>
      <c r="H67" s="68"/>
      <c r="I67" s="68"/>
      <c r="J67" s="68"/>
      <c r="K67" s="68"/>
      <c r="L67" s="68"/>
      <c r="M67" s="68"/>
      <c r="N67" s="68"/>
      <c r="O67" s="68"/>
      <c r="P67" s="68"/>
      <c r="Q67" s="68"/>
      <c r="R67" s="68"/>
      <c r="S67" s="68"/>
      <c r="T67" s="68"/>
    </row>
    <row r="68" spans="1:20">
      <c r="A68" s="68"/>
      <c r="B68" s="68"/>
      <c r="C68" s="68"/>
      <c r="D68" s="68"/>
      <c r="E68" s="68"/>
      <c r="F68" s="68"/>
      <c r="G68" s="68"/>
      <c r="H68" s="68"/>
      <c r="I68" s="68"/>
      <c r="J68" s="68"/>
      <c r="K68" s="68"/>
      <c r="L68" s="68"/>
      <c r="M68" s="68"/>
      <c r="N68" s="68"/>
      <c r="O68" s="68"/>
      <c r="P68" s="68"/>
      <c r="Q68" s="68"/>
      <c r="R68" s="68"/>
      <c r="S68" s="68"/>
      <c r="T68" s="68"/>
    </row>
    <row r="69" spans="1:20">
      <c r="A69" s="68"/>
      <c r="B69" s="68"/>
      <c r="C69" s="68"/>
      <c r="D69" s="68"/>
      <c r="E69" s="68"/>
      <c r="F69" s="68"/>
      <c r="G69" s="68"/>
      <c r="H69" s="68"/>
      <c r="I69" s="68"/>
      <c r="J69" s="68"/>
      <c r="K69" s="68"/>
      <c r="L69" s="68"/>
      <c r="M69" s="68"/>
      <c r="N69" s="68"/>
      <c r="O69" s="68"/>
      <c r="P69" s="68"/>
      <c r="Q69" s="68"/>
      <c r="R69" s="68"/>
      <c r="S69" s="68"/>
      <c r="T69" s="68"/>
    </row>
    <row r="70" spans="1:20">
      <c r="A70" s="68"/>
      <c r="B70" s="68"/>
      <c r="C70" s="68"/>
      <c r="D70" s="68"/>
      <c r="E70" s="68"/>
      <c r="F70" s="68"/>
      <c r="G70" s="68"/>
      <c r="H70" s="68"/>
      <c r="I70" s="68"/>
      <c r="J70" s="68"/>
      <c r="K70" s="68"/>
      <c r="L70" s="68"/>
      <c r="M70" s="68"/>
      <c r="N70" s="68"/>
      <c r="O70" s="68"/>
      <c r="P70" s="68"/>
      <c r="Q70" s="68"/>
      <c r="R70" s="68"/>
      <c r="S70" s="68"/>
      <c r="T70" s="68"/>
    </row>
    <row r="71" spans="1:20">
      <c r="A71" s="68"/>
      <c r="B71" s="68"/>
      <c r="C71" s="68"/>
      <c r="D71" s="68"/>
      <c r="E71" s="68"/>
      <c r="F71" s="68"/>
      <c r="G71" s="68"/>
      <c r="H71" s="68"/>
      <c r="I71" s="68"/>
      <c r="J71" s="68"/>
      <c r="K71" s="68"/>
      <c r="L71" s="68"/>
      <c r="M71" s="68"/>
      <c r="N71" s="68"/>
      <c r="O71" s="68"/>
      <c r="P71" s="68"/>
      <c r="Q71" s="68"/>
      <c r="R71" s="68"/>
      <c r="S71" s="68"/>
      <c r="T71" s="68"/>
    </row>
    <row r="72" spans="1:20">
      <c r="A72" s="68"/>
      <c r="B72" s="68"/>
      <c r="C72" s="68"/>
      <c r="D72" s="68"/>
      <c r="E72" s="68"/>
      <c r="F72" s="68"/>
      <c r="G72" s="68"/>
      <c r="H72" s="68"/>
      <c r="I72" s="68"/>
      <c r="J72" s="68"/>
      <c r="K72" s="68"/>
      <c r="L72" s="68"/>
      <c r="M72" s="68"/>
      <c r="N72" s="68"/>
      <c r="O72" s="68"/>
      <c r="P72" s="68"/>
      <c r="Q72" s="68"/>
      <c r="R72" s="68"/>
      <c r="S72" s="68"/>
      <c r="T72" s="68"/>
    </row>
    <row r="73" spans="1:20">
      <c r="A73" s="68"/>
      <c r="B73" s="68"/>
      <c r="C73" s="68"/>
      <c r="D73" s="68"/>
      <c r="E73" s="68"/>
      <c r="F73" s="68"/>
      <c r="G73" s="68"/>
      <c r="H73" s="68"/>
      <c r="I73" s="68"/>
      <c r="J73" s="68"/>
      <c r="K73" s="68"/>
      <c r="L73" s="68"/>
      <c r="M73" s="68"/>
      <c r="N73" s="68"/>
      <c r="O73" s="68"/>
      <c r="P73" s="68"/>
      <c r="Q73" s="68"/>
      <c r="R73" s="68"/>
      <c r="S73" s="68"/>
      <c r="T73" s="68"/>
    </row>
    <row r="74" spans="1:20">
      <c r="A74" s="68"/>
      <c r="B74" s="68"/>
      <c r="C74" s="68"/>
      <c r="D74" s="68"/>
      <c r="E74" s="68"/>
      <c r="F74" s="68"/>
      <c r="G74" s="68"/>
      <c r="H74" s="68"/>
      <c r="I74" s="68"/>
      <c r="J74" s="68"/>
      <c r="K74" s="68"/>
      <c r="L74" s="68"/>
      <c r="M74" s="68"/>
      <c r="N74" s="68"/>
      <c r="O74" s="68"/>
      <c r="P74" s="68"/>
      <c r="Q74" s="68"/>
      <c r="R74" s="68"/>
      <c r="S74" s="68"/>
      <c r="T74" s="68"/>
    </row>
    <row r="75" spans="1:20">
      <c r="A75" s="68"/>
      <c r="B75" s="68"/>
      <c r="C75" s="68"/>
      <c r="D75" s="68"/>
      <c r="E75" s="68"/>
      <c r="F75" s="68"/>
      <c r="G75" s="68"/>
      <c r="H75" s="68"/>
      <c r="I75" s="68"/>
      <c r="J75" s="68"/>
      <c r="K75" s="68"/>
      <c r="L75" s="68"/>
      <c r="M75" s="68"/>
      <c r="N75" s="68"/>
      <c r="O75" s="68"/>
      <c r="P75" s="68"/>
      <c r="Q75" s="68"/>
      <c r="R75" s="68"/>
      <c r="S75" s="68"/>
      <c r="T75" s="68"/>
    </row>
    <row r="76" spans="1:20">
      <c r="A76" s="68"/>
      <c r="B76" s="68"/>
      <c r="C76" s="68"/>
      <c r="D76" s="68"/>
      <c r="E76" s="68"/>
      <c r="F76" s="68"/>
      <c r="G76" s="68"/>
      <c r="H76" s="68"/>
      <c r="I76" s="68"/>
      <c r="J76" s="68"/>
      <c r="K76" s="68"/>
      <c r="L76" s="68"/>
      <c r="M76" s="68"/>
      <c r="N76" s="68"/>
      <c r="O76" s="68"/>
      <c r="P76" s="68"/>
      <c r="Q76" s="68"/>
      <c r="R76" s="68"/>
      <c r="S76" s="68"/>
      <c r="T76" s="68"/>
    </row>
    <row r="77" spans="1:20">
      <c r="A77" s="68"/>
      <c r="B77" s="68"/>
      <c r="C77" s="68"/>
      <c r="D77" s="68"/>
      <c r="E77" s="68"/>
      <c r="F77" s="68"/>
      <c r="G77" s="68"/>
      <c r="H77" s="68"/>
      <c r="I77" s="68"/>
      <c r="J77" s="68"/>
      <c r="K77" s="68"/>
      <c r="L77" s="68"/>
      <c r="M77" s="68"/>
      <c r="N77" s="68"/>
      <c r="O77" s="68"/>
      <c r="P77" s="68"/>
      <c r="Q77" s="68"/>
      <c r="R77" s="68"/>
      <c r="S77" s="68"/>
      <c r="T77" s="68"/>
    </row>
    <row r="78" spans="1:20">
      <c r="A78" s="68"/>
      <c r="B78" s="68"/>
      <c r="C78" s="68"/>
      <c r="D78" s="68"/>
      <c r="E78" s="68"/>
      <c r="F78" s="68"/>
      <c r="G78" s="68"/>
      <c r="H78" s="68"/>
      <c r="I78" s="68"/>
      <c r="J78" s="68"/>
      <c r="K78" s="68"/>
      <c r="L78" s="68"/>
      <c r="M78" s="68"/>
      <c r="N78" s="68"/>
      <c r="O78" s="68"/>
      <c r="P78" s="68"/>
      <c r="Q78" s="68"/>
      <c r="R78" s="68"/>
      <c r="S78" s="68"/>
      <c r="T78" s="68"/>
    </row>
    <row r="79" spans="1:20">
      <c r="A79" s="68"/>
      <c r="B79" s="68"/>
      <c r="C79" s="68"/>
      <c r="D79" s="68"/>
      <c r="E79" s="68"/>
      <c r="F79" s="68"/>
      <c r="G79" s="68"/>
      <c r="H79" s="68"/>
      <c r="I79" s="68"/>
      <c r="J79" s="68"/>
      <c r="K79" s="68"/>
      <c r="L79" s="68"/>
      <c r="M79" s="68"/>
      <c r="N79" s="68"/>
      <c r="O79" s="68"/>
      <c r="P79" s="68"/>
      <c r="Q79" s="68"/>
      <c r="R79" s="68"/>
      <c r="S79" s="68"/>
      <c r="T79" s="68"/>
    </row>
    <row r="80" spans="1:20">
      <c r="A80" s="68"/>
      <c r="B80" s="68"/>
      <c r="C80" s="68"/>
      <c r="D80" s="68"/>
      <c r="E80" s="68"/>
      <c r="F80" s="68"/>
      <c r="G80" s="68"/>
      <c r="H80" s="68"/>
      <c r="I80" s="68"/>
      <c r="J80" s="68"/>
      <c r="K80" s="68"/>
      <c r="L80" s="68"/>
      <c r="M80" s="68"/>
      <c r="N80" s="68"/>
      <c r="O80" s="68"/>
      <c r="P80" s="68"/>
      <c r="Q80" s="68"/>
      <c r="R80" s="68"/>
      <c r="S80" s="68"/>
      <c r="T80" s="68"/>
    </row>
    <row r="81" spans="1:20">
      <c r="A81" s="68"/>
      <c r="B81" s="68"/>
      <c r="C81" s="68"/>
      <c r="D81" s="68"/>
      <c r="E81" s="68"/>
      <c r="F81" s="68"/>
      <c r="G81" s="68"/>
      <c r="H81" s="68"/>
      <c r="I81" s="68"/>
      <c r="J81" s="68"/>
      <c r="K81" s="68"/>
      <c r="L81" s="68"/>
      <c r="M81" s="68"/>
      <c r="N81" s="68"/>
      <c r="O81" s="68"/>
      <c r="P81" s="68"/>
      <c r="Q81" s="68"/>
      <c r="R81" s="68"/>
      <c r="S81" s="68"/>
      <c r="T81" s="68"/>
    </row>
    <row r="82" spans="1:20">
      <c r="A82" s="68"/>
      <c r="B82" s="68"/>
      <c r="C82" s="68"/>
      <c r="D82" s="68"/>
      <c r="E82" s="68"/>
      <c r="F82" s="68"/>
      <c r="G82" s="68"/>
      <c r="H82" s="68"/>
      <c r="I82" s="68"/>
      <c r="J82" s="68"/>
      <c r="K82" s="68"/>
      <c r="L82" s="68"/>
      <c r="M82" s="68"/>
      <c r="N82" s="68"/>
      <c r="O82" s="68"/>
      <c r="P82" s="68"/>
      <c r="Q82" s="68"/>
      <c r="R82" s="68"/>
      <c r="S82" s="68"/>
      <c r="T82" s="68"/>
    </row>
    <row r="83" spans="1:20">
      <c r="A83" s="68"/>
      <c r="B83" s="68"/>
      <c r="C83" s="68"/>
      <c r="D83" s="68"/>
      <c r="E83" s="68"/>
      <c r="F83" s="68"/>
      <c r="G83" s="68"/>
      <c r="H83" s="68"/>
      <c r="I83" s="68"/>
      <c r="J83" s="68"/>
      <c r="K83" s="68"/>
      <c r="L83" s="68"/>
      <c r="M83" s="68"/>
      <c r="N83" s="68"/>
      <c r="O83" s="68"/>
      <c r="P83" s="68"/>
      <c r="Q83" s="68"/>
      <c r="R83" s="68"/>
      <c r="S83" s="68"/>
      <c r="T83" s="68"/>
    </row>
    <row r="84" spans="1:20">
      <c r="A84" s="68"/>
      <c r="B84" s="68"/>
      <c r="C84" s="68"/>
      <c r="D84" s="68"/>
      <c r="E84" s="68"/>
      <c r="F84" s="68"/>
      <c r="G84" s="68"/>
      <c r="H84" s="68"/>
      <c r="I84" s="68"/>
      <c r="J84" s="68"/>
      <c r="K84" s="68"/>
      <c r="L84" s="68"/>
      <c r="M84" s="68"/>
      <c r="N84" s="68"/>
      <c r="O84" s="68"/>
      <c r="P84" s="68"/>
      <c r="Q84" s="68"/>
      <c r="R84" s="68"/>
      <c r="S84" s="68"/>
      <c r="T84" s="68"/>
    </row>
    <row r="85" spans="1:20">
      <c r="A85" s="68"/>
      <c r="B85" s="68"/>
      <c r="C85" s="68"/>
      <c r="D85" s="68"/>
      <c r="E85" s="68"/>
      <c r="F85" s="68"/>
      <c r="G85" s="68"/>
      <c r="H85" s="68"/>
      <c r="I85" s="68"/>
      <c r="J85" s="68"/>
      <c r="K85" s="68"/>
      <c r="L85" s="68"/>
      <c r="M85" s="68"/>
      <c r="N85" s="68"/>
      <c r="O85" s="68"/>
      <c r="P85" s="68"/>
      <c r="Q85" s="68"/>
      <c r="R85" s="68"/>
      <c r="S85" s="68"/>
      <c r="T85" s="68"/>
    </row>
    <row r="86" spans="1:20">
      <c r="A86" s="68"/>
      <c r="B86" s="68"/>
      <c r="C86" s="68"/>
      <c r="D86" s="68"/>
      <c r="E86" s="68"/>
      <c r="F86" s="68"/>
      <c r="G86" s="68"/>
      <c r="H86" s="68"/>
      <c r="I86" s="68"/>
      <c r="J86" s="68"/>
      <c r="K86" s="68"/>
      <c r="L86" s="68"/>
      <c r="M86" s="68"/>
      <c r="N86" s="68"/>
      <c r="O86" s="68"/>
      <c r="P86" s="68"/>
      <c r="Q86" s="68"/>
      <c r="R86" s="68"/>
      <c r="S86" s="68"/>
      <c r="T86" s="68"/>
    </row>
    <row r="87" spans="1:20">
      <c r="A87" s="68"/>
      <c r="B87" s="68"/>
      <c r="C87" s="68"/>
      <c r="D87" s="68"/>
      <c r="E87" s="68"/>
      <c r="F87" s="68"/>
      <c r="G87" s="68"/>
      <c r="H87" s="68"/>
      <c r="I87" s="68"/>
      <c r="J87" s="68"/>
      <c r="K87" s="68"/>
      <c r="L87" s="68"/>
      <c r="M87" s="68"/>
      <c r="N87" s="68"/>
      <c r="O87" s="68"/>
      <c r="P87" s="68"/>
      <c r="Q87" s="68"/>
      <c r="R87" s="68"/>
      <c r="S87" s="68"/>
      <c r="T87" s="68"/>
    </row>
    <row r="88" spans="1:20">
      <c r="A88" s="68"/>
      <c r="B88" s="68"/>
      <c r="C88" s="68"/>
      <c r="D88" s="68"/>
      <c r="E88" s="68"/>
      <c r="F88" s="68"/>
      <c r="G88" s="68"/>
      <c r="H88" s="68"/>
      <c r="I88" s="68"/>
      <c r="J88" s="68"/>
      <c r="K88" s="68"/>
      <c r="L88" s="68"/>
      <c r="M88" s="68"/>
      <c r="N88" s="68"/>
      <c r="O88" s="68"/>
      <c r="P88" s="68"/>
      <c r="Q88" s="68"/>
      <c r="R88" s="68"/>
      <c r="S88" s="68"/>
      <c r="T88" s="68"/>
    </row>
    <row r="89" spans="1:20">
      <c r="A89" s="68"/>
      <c r="B89" s="68"/>
      <c r="C89" s="68"/>
      <c r="D89" s="68"/>
      <c r="E89" s="68"/>
      <c r="F89" s="68"/>
      <c r="G89" s="68"/>
      <c r="H89" s="68"/>
      <c r="I89" s="68"/>
      <c r="J89" s="68"/>
      <c r="K89" s="68"/>
      <c r="L89" s="68"/>
      <c r="M89" s="68"/>
      <c r="N89" s="68"/>
      <c r="O89" s="68"/>
      <c r="P89" s="68"/>
      <c r="Q89" s="68"/>
      <c r="R89" s="68"/>
      <c r="S89" s="68"/>
      <c r="T89" s="68"/>
    </row>
    <row r="90" spans="1:20">
      <c r="A90" s="68"/>
      <c r="B90" s="68"/>
      <c r="C90" s="68"/>
      <c r="D90" s="68"/>
      <c r="E90" s="68"/>
      <c r="F90" s="68"/>
      <c r="G90" s="68"/>
      <c r="H90" s="68"/>
      <c r="I90" s="68"/>
      <c r="J90" s="68"/>
      <c r="K90" s="68"/>
      <c r="L90" s="68"/>
      <c r="M90" s="68"/>
      <c r="N90" s="68"/>
      <c r="O90" s="68"/>
      <c r="P90" s="68"/>
      <c r="Q90" s="68"/>
      <c r="R90" s="68"/>
      <c r="S90" s="68"/>
      <c r="T90" s="68"/>
    </row>
    <row r="91" spans="1:20">
      <c r="A91" s="68"/>
      <c r="B91" s="68"/>
      <c r="C91" s="68"/>
      <c r="D91" s="68"/>
      <c r="E91" s="68"/>
      <c r="F91" s="68"/>
      <c r="G91" s="68"/>
      <c r="H91" s="68"/>
      <c r="I91" s="68"/>
      <c r="J91" s="68"/>
      <c r="K91" s="68"/>
      <c r="L91" s="68"/>
      <c r="M91" s="68"/>
      <c r="N91" s="68"/>
      <c r="O91" s="68"/>
      <c r="P91" s="68"/>
      <c r="Q91" s="68"/>
      <c r="R91" s="68"/>
      <c r="S91" s="68"/>
      <c r="T91" s="68"/>
    </row>
    <row r="92" spans="1:20">
      <c r="A92" s="68"/>
      <c r="B92" s="68"/>
      <c r="C92" s="68"/>
      <c r="D92" s="68"/>
      <c r="E92" s="68"/>
      <c r="F92" s="68"/>
      <c r="G92" s="68"/>
      <c r="H92" s="68"/>
      <c r="I92" s="68"/>
      <c r="J92" s="68"/>
      <c r="K92" s="68"/>
      <c r="L92" s="68"/>
      <c r="M92" s="68"/>
      <c r="N92" s="68"/>
      <c r="O92" s="68"/>
      <c r="P92" s="68"/>
      <c r="Q92" s="68"/>
      <c r="R92" s="68"/>
      <c r="S92" s="68"/>
      <c r="T92" s="68"/>
    </row>
  </sheetData>
  <pageMargins left="0.7" right="0.7" top="0.75" bottom="0.75" header="0.3" footer="0.3"/>
  <drawing r:id="rId1"/>
  <legacyDrawing r:id="rId2"/>
  <oleObjects>
    <mc:AlternateContent xmlns:mc="http://schemas.openxmlformats.org/markup-compatibility/2006">
      <mc:Choice Requires="x14">
        <oleObject progId="AcroExch.Document.DC" shapeId="37889" r:id="rId3">
          <objectPr defaultSize="0" r:id="rId4">
            <anchor moveWithCells="1">
              <from>
                <xdr:col>0</xdr:col>
                <xdr:colOff>0</xdr:colOff>
                <xdr:row>8</xdr:row>
                <xdr:rowOff>0</xdr:rowOff>
              </from>
              <to>
                <xdr:col>7</xdr:col>
                <xdr:colOff>704850</xdr:colOff>
                <xdr:row>47</xdr:row>
                <xdr:rowOff>114300</xdr:rowOff>
              </to>
            </anchor>
          </objectPr>
        </oleObject>
      </mc:Choice>
      <mc:Fallback>
        <oleObject progId="AcroExch.Document.DC" shapeId="37889" r:id="rId3"/>
      </mc:Fallback>
    </mc:AlternateContent>
    <mc:AlternateContent xmlns:mc="http://schemas.openxmlformats.org/markup-compatibility/2006">
      <mc:Choice Requires="x14">
        <oleObject progId="AcroExch.Document.DC" shapeId="37890" r:id="rId5">
          <objectPr defaultSize="0" r:id="rId6">
            <anchor moveWithCells="1">
              <from>
                <xdr:col>9</xdr:col>
                <xdr:colOff>0</xdr:colOff>
                <xdr:row>8</xdr:row>
                <xdr:rowOff>0</xdr:rowOff>
              </from>
              <to>
                <xdr:col>16</xdr:col>
                <xdr:colOff>495300</xdr:colOff>
                <xdr:row>47</xdr:row>
                <xdr:rowOff>114300</xdr:rowOff>
              </to>
            </anchor>
          </objectPr>
        </oleObject>
      </mc:Choice>
      <mc:Fallback>
        <oleObject progId="AcroExch.Document.DC" shapeId="37890"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30040-7E38-49D8-B8F8-281B1D439CC1}">
  <sheetPr codeName="Sheet44">
    <pageSetUpPr fitToPage="1"/>
  </sheetPr>
  <dimension ref="A1:AT113"/>
  <sheetViews>
    <sheetView showGridLines="0" showOutlineSymbols="0" zoomScale="120" zoomScaleNormal="120" workbookViewId="0">
      <selection activeCell="C9" sqref="C9"/>
    </sheetView>
  </sheetViews>
  <sheetFormatPr defaultColWidth="13" defaultRowHeight="15"/>
  <cols>
    <col min="1" max="1" width="3.77734375" style="67" customWidth="1"/>
    <col min="2" max="2" width="26.109375" style="681" bestFit="1" customWidth="1"/>
    <col min="3" max="3" width="16.5546875" style="681" customWidth="1"/>
    <col min="4" max="4" width="16.5546875" style="681" hidden="1" customWidth="1"/>
    <col min="5" max="5" width="5.6640625" style="681" customWidth="1"/>
    <col min="6" max="6" width="4.44140625" style="67" customWidth="1"/>
    <col min="7" max="7" width="6.6640625" style="67" customWidth="1"/>
    <col min="8" max="8" width="11.6640625" style="67" customWidth="1"/>
    <col min="9" max="9" width="13.77734375" style="67" customWidth="1"/>
    <col min="10" max="10" width="10.33203125" style="67" customWidth="1"/>
    <col min="11" max="11" width="11.77734375" style="67" bestFit="1" customWidth="1"/>
    <col min="12" max="13" width="14.33203125" style="67" customWidth="1"/>
    <col min="14" max="14" width="4.77734375" style="67" customWidth="1"/>
    <col min="15" max="15" width="4.88671875" style="681" customWidth="1"/>
    <col min="16" max="16" width="31.44140625" style="681" customWidth="1"/>
    <col min="17" max="17" width="13" style="563"/>
    <col min="18" max="18" width="10.77734375" style="570" customWidth="1"/>
    <col min="19" max="19" width="13" style="67"/>
    <col min="20" max="20" width="10.44140625" style="67" customWidth="1"/>
    <col min="21" max="21" width="12.21875" style="67" customWidth="1"/>
    <col min="22" max="22" width="13" style="67"/>
    <col min="23" max="24" width="13.77734375" style="67" customWidth="1"/>
    <col min="25" max="25" width="12.44140625" style="67" customWidth="1"/>
    <col min="26" max="26" width="13" style="67"/>
    <col min="27" max="27" width="12.33203125" style="67" customWidth="1"/>
    <col min="28" max="29" width="13" style="67"/>
    <col min="30" max="30" width="12.77734375" style="67" customWidth="1"/>
    <col min="31" max="31" width="13.44140625" style="67" customWidth="1"/>
    <col min="32" max="32" width="16.109375" style="67" customWidth="1"/>
    <col min="33" max="33" width="14.109375" style="67" customWidth="1"/>
    <col min="34" max="34" width="12.77734375" style="67" customWidth="1"/>
    <col min="35" max="35" width="13" style="67"/>
    <col min="36" max="36" width="10.77734375" style="67" customWidth="1"/>
    <col min="37" max="37" width="12.77734375" style="67" customWidth="1"/>
    <col min="38" max="49" width="11.77734375" style="67" customWidth="1"/>
    <col min="50" max="16384" width="13" style="67"/>
  </cols>
  <sheetData>
    <row r="1" spans="1:35" s="562" customFormat="1" ht="15.75" thickBot="1">
      <c r="A1" s="557"/>
      <c r="B1" s="558"/>
      <c r="C1" s="558"/>
      <c r="D1" s="558"/>
      <c r="E1" s="558"/>
      <c r="F1" s="558"/>
      <c r="G1" s="558"/>
      <c r="H1" s="558"/>
      <c r="I1" s="559"/>
      <c r="J1" s="559"/>
      <c r="K1" s="559"/>
      <c r="L1" s="559"/>
      <c r="M1" s="559"/>
      <c r="N1" s="559"/>
      <c r="O1" s="558"/>
      <c r="P1" s="558"/>
      <c r="Q1" s="560"/>
      <c r="R1" s="561"/>
    </row>
    <row r="2" spans="1:35" ht="19.5" thickBot="1">
      <c r="A2" s="557"/>
      <c r="B2" s="829" t="s">
        <v>106</v>
      </c>
      <c r="C2" s="829"/>
      <c r="D2" s="557"/>
      <c r="E2" s="557"/>
      <c r="F2" s="58" t="s">
        <v>112</v>
      </c>
      <c r="G2" s="28"/>
      <c r="H2" s="28"/>
      <c r="I2" s="29" t="s">
        <v>123</v>
      </c>
      <c r="J2" s="28"/>
      <c r="K2" s="28"/>
      <c r="L2" s="28"/>
      <c r="M2" s="58" t="s">
        <v>112</v>
      </c>
      <c r="O2" s="557"/>
      <c r="P2" s="557"/>
      <c r="R2" s="683" t="s">
        <v>1</v>
      </c>
      <c r="S2" s="684"/>
      <c r="T2" s="685"/>
      <c r="AF2" s="830" t="s">
        <v>92</v>
      </c>
      <c r="AG2" s="831"/>
      <c r="AH2" s="831"/>
      <c r="AI2" s="832"/>
    </row>
    <row r="3" spans="1:35" ht="15.75">
      <c r="A3" s="557"/>
      <c r="B3" s="557"/>
      <c r="C3" s="557"/>
      <c r="D3" s="557"/>
      <c r="E3" s="557"/>
      <c r="F3" s="567"/>
      <c r="G3" s="568"/>
      <c r="K3" s="569" t="s">
        <v>121</v>
      </c>
      <c r="M3" s="569" t="s">
        <v>120</v>
      </c>
      <c r="O3" s="557"/>
      <c r="P3" s="557"/>
      <c r="R3" s="67"/>
      <c r="T3" s="67" t="s">
        <v>8</v>
      </c>
      <c r="V3" s="570" t="s">
        <v>8</v>
      </c>
      <c r="W3" s="570" t="s">
        <v>8</v>
      </c>
      <c r="X3" s="570" t="s">
        <v>8</v>
      </c>
      <c r="Y3" s="570" t="s">
        <v>9</v>
      </c>
      <c r="Z3" s="570" t="s">
        <v>9</v>
      </c>
      <c r="AA3" s="570" t="s">
        <v>9</v>
      </c>
      <c r="AB3" s="570" t="s">
        <v>9</v>
      </c>
      <c r="AC3" s="570" t="s">
        <v>9</v>
      </c>
      <c r="AD3" s="570" t="s">
        <v>9</v>
      </c>
      <c r="AE3" s="570" t="s">
        <v>86</v>
      </c>
      <c r="AF3" s="570" t="s">
        <v>12</v>
      </c>
      <c r="AG3" s="570" t="s">
        <v>89</v>
      </c>
      <c r="AH3" s="570"/>
    </row>
    <row r="4" spans="1:35" ht="19.5" thickBot="1">
      <c r="A4" s="557"/>
      <c r="B4" s="48" t="s">
        <v>115</v>
      </c>
      <c r="C4" s="686"/>
      <c r="D4" s="571"/>
      <c r="E4" s="557"/>
      <c r="F4" s="572"/>
      <c r="G4" s="568"/>
      <c r="H4" s="573" t="s">
        <v>2</v>
      </c>
      <c r="I4" s="573" t="s">
        <v>3</v>
      </c>
      <c r="J4" s="573" t="s">
        <v>4</v>
      </c>
      <c r="K4" s="573" t="s">
        <v>5</v>
      </c>
      <c r="L4" s="573" t="s">
        <v>6</v>
      </c>
      <c r="M4" s="573" t="s">
        <v>7</v>
      </c>
      <c r="O4" s="574"/>
      <c r="P4" s="557"/>
      <c r="R4" s="67"/>
      <c r="T4" s="570" t="s">
        <v>14</v>
      </c>
      <c r="V4" s="570" t="s">
        <v>15</v>
      </c>
      <c r="W4" s="570" t="s">
        <v>16</v>
      </c>
      <c r="X4" s="570" t="s">
        <v>17</v>
      </c>
      <c r="Y4" s="570" t="s">
        <v>18</v>
      </c>
      <c r="Z4" s="570" t="s">
        <v>18</v>
      </c>
      <c r="AA4" s="570" t="s">
        <v>18</v>
      </c>
      <c r="AB4" s="570" t="s">
        <v>16</v>
      </c>
      <c r="AC4" s="570" t="s">
        <v>14</v>
      </c>
      <c r="AD4" s="570" t="s">
        <v>14</v>
      </c>
      <c r="AE4" s="570" t="s">
        <v>93</v>
      </c>
      <c r="AF4" s="570" t="s">
        <v>88</v>
      </c>
      <c r="AG4" s="570" t="s">
        <v>90</v>
      </c>
      <c r="AH4" s="570" t="s">
        <v>91</v>
      </c>
      <c r="AI4" s="570" t="s">
        <v>87</v>
      </c>
    </row>
    <row r="5" spans="1:35" ht="15.75">
      <c r="A5" s="557"/>
      <c r="B5" s="575" t="s">
        <v>32</v>
      </c>
      <c r="C5" s="44">
        <f>+Allocations!D21+Allocations!G21</f>
        <v>13933734.063884139</v>
      </c>
      <c r="D5" s="571"/>
      <c r="E5" s="557"/>
      <c r="F5" s="576" t="s">
        <v>10</v>
      </c>
      <c r="G5" s="577"/>
      <c r="H5" s="577"/>
      <c r="I5" s="573" t="s">
        <v>11</v>
      </c>
      <c r="J5" s="573" t="s">
        <v>12</v>
      </c>
      <c r="K5" s="578" t="s">
        <v>13</v>
      </c>
      <c r="L5" s="578" t="s">
        <v>118</v>
      </c>
      <c r="M5" s="578" t="s">
        <v>12</v>
      </c>
      <c r="O5" s="12"/>
      <c r="P5" s="557"/>
      <c r="R5" s="579"/>
      <c r="T5" s="570" t="s">
        <v>22</v>
      </c>
      <c r="U5" s="570" t="s">
        <v>23</v>
      </c>
      <c r="V5" s="570" t="s">
        <v>24</v>
      </c>
      <c r="W5" s="570" t="s">
        <v>25</v>
      </c>
      <c r="X5" s="570" t="s">
        <v>26</v>
      </c>
      <c r="Y5" s="570" t="s">
        <v>27</v>
      </c>
      <c r="Z5" s="570" t="s">
        <v>28</v>
      </c>
      <c r="AA5" s="570" t="s">
        <v>29</v>
      </c>
      <c r="AB5" s="570" t="s">
        <v>30</v>
      </c>
      <c r="AC5" s="570" t="s">
        <v>22</v>
      </c>
      <c r="AD5" s="570" t="s">
        <v>31</v>
      </c>
      <c r="AE5" s="570" t="s">
        <v>20</v>
      </c>
      <c r="AF5" s="570" t="s">
        <v>85</v>
      </c>
      <c r="AG5" s="570" t="s">
        <v>85</v>
      </c>
      <c r="AH5" s="570" t="s">
        <v>20</v>
      </c>
      <c r="AI5" s="570" t="s">
        <v>86</v>
      </c>
    </row>
    <row r="6" spans="1:35" ht="15.75">
      <c r="A6" s="557"/>
      <c r="B6" s="575" t="s">
        <v>33</v>
      </c>
      <c r="C6" s="687">
        <f>+Allocations!D71+Allocations!G71</f>
        <v>15170561.994186459</v>
      </c>
      <c r="D6" s="571"/>
      <c r="E6" s="557"/>
      <c r="F6" s="580" t="s">
        <v>19</v>
      </c>
      <c r="G6" s="577"/>
      <c r="H6" s="577"/>
      <c r="I6" s="581"/>
      <c r="J6" s="582" t="s">
        <v>117</v>
      </c>
      <c r="K6" s="583"/>
      <c r="L6" s="582" t="s">
        <v>119</v>
      </c>
      <c r="M6" s="582" t="s">
        <v>21</v>
      </c>
      <c r="O6" s="12"/>
      <c r="P6" s="557"/>
      <c r="R6" s="600">
        <v>1</v>
      </c>
      <c r="S6" s="601">
        <f>Revenue/Investment*100</f>
        <v>591.04499792816398</v>
      </c>
      <c r="T6" s="602">
        <f>EXP(y_inter1-(slope*LN(+S6)))</f>
        <v>3.894213726952517</v>
      </c>
      <c r="U6" s="603">
        <f>(+S6*T6/100)/100</f>
        <v>0.23016555441784781</v>
      </c>
      <c r="V6" s="603">
        <f>regDebt_weighted</f>
        <v>3.5860000000000003E-2</v>
      </c>
      <c r="W6" s="603">
        <f>+U6-V6</f>
        <v>0.1943055544178478</v>
      </c>
      <c r="X6" s="603">
        <f>+((W6*(1-0.34))-Pfd_weighted)/Equity_percent</f>
        <v>0.35480135440633592</v>
      </c>
      <c r="Y6" s="603">
        <f>X6*equityP</f>
        <v>0.21288081264380154</v>
      </c>
      <c r="Z6" s="603">
        <f>+Y6/(1-taxrate)</f>
        <v>0.26946938309341967</v>
      </c>
      <c r="AA6" s="603">
        <f>debtP*Debt_Rate</f>
        <v>1.5959999999999998E-2</v>
      </c>
      <c r="AB6" s="603">
        <f>AA6+Z6</f>
        <v>0.28542938309341964</v>
      </c>
      <c r="AC6" s="603">
        <f>AB6/(S6/100)</f>
        <v>4.8292326996076017E-2</v>
      </c>
      <c r="AD6" s="603">
        <f>1-AC6</f>
        <v>0.951707673003924</v>
      </c>
      <c r="AE6" s="604">
        <f>expenses/(AD6)</f>
        <v>15940359.024639186</v>
      </c>
      <c r="AF6" s="605">
        <f>+AE6-Revenue</f>
        <v>2006624.9607550465</v>
      </c>
      <c r="AG6" s="606">
        <f ca="1">+AF6/$J$49</f>
        <v>2146960.9735533767</v>
      </c>
      <c r="AH6" s="606">
        <f ca="1">+AG6*$J$47</f>
        <v>48521.318002306318</v>
      </c>
      <c r="AI6" s="604">
        <f ca="1">ROUND(+AH6+AE6,5)</f>
        <v>15988880.342639999</v>
      </c>
    </row>
    <row r="7" spans="1:35" ht="15.75">
      <c r="A7" s="557"/>
      <c r="B7" s="575" t="s">
        <v>104</v>
      </c>
      <c r="C7" s="687">
        <f>+'Regulatory Depreciation'!G219+'Regulatory Depreciation'!M219</f>
        <v>2357474.3230595202</v>
      </c>
      <c r="D7" s="571"/>
      <c r="E7" s="557"/>
      <c r="F7" s="688">
        <v>1</v>
      </c>
      <c r="G7" s="577"/>
      <c r="H7" s="586" t="s">
        <v>32</v>
      </c>
      <c r="I7" s="20">
        <f>IF(A65=TRUE,C5,0)</f>
        <v>13933734.063884139</v>
      </c>
      <c r="J7" s="20">
        <f ca="1">(+$I8/($R51))-I7</f>
        <v>1916650.9432586748</v>
      </c>
      <c r="K7" s="20">
        <f ca="1">+I7+J7</f>
        <v>15850385.007142814</v>
      </c>
      <c r="L7" s="20">
        <f ca="1">((+J7/J49*K35)-J7)</f>
        <v>46345.695750879589</v>
      </c>
      <c r="M7" s="20">
        <f ca="1">IFERROR(+K7+L7,0.00001)</f>
        <v>15896730.702893693</v>
      </c>
      <c r="O7" s="12"/>
      <c r="P7" s="557"/>
      <c r="R7" s="587">
        <v>2</v>
      </c>
      <c r="S7" s="40">
        <f>Revenue/Investment*100</f>
        <v>591.04499792816398</v>
      </c>
      <c r="T7" s="3">
        <f>EXP(y_inter1-(slope*LN(+S7)))</f>
        <v>3.894213726952517</v>
      </c>
      <c r="U7" s="588">
        <f t="shared" ref="U7:U9" si="0">(+S7*T7/100)/100</f>
        <v>0.23016555441784781</v>
      </c>
      <c r="V7" s="588">
        <f>regDebt_weighted</f>
        <v>3.5860000000000003E-2</v>
      </c>
      <c r="W7" s="588">
        <f t="shared" ref="W7:W9" si="1">+U7-V7</f>
        <v>0.1943055544178478</v>
      </c>
      <c r="X7" s="588">
        <f>+((W7*(1-0.34))-Pfd_weighted)/Equity_percent</f>
        <v>0.35480135440633592</v>
      </c>
      <c r="Y7" s="588">
        <f>X7*equityP</f>
        <v>0.21288081264380154</v>
      </c>
      <c r="Z7" s="588">
        <f>+Y7/(1-taxrate)</f>
        <v>0.26946938309341967</v>
      </c>
      <c r="AA7" s="588">
        <f>debtP*Debt_Rate</f>
        <v>1.5959999999999998E-2</v>
      </c>
      <c r="AB7" s="588">
        <f t="shared" ref="AB7:AB9" si="2">AA7+Z7</f>
        <v>0.28542938309341964</v>
      </c>
      <c r="AC7" s="588">
        <f t="shared" ref="AC7:AC9" si="3">AB7/(S7/100)</f>
        <v>4.8292326996076017E-2</v>
      </c>
      <c r="AD7" s="588">
        <f t="shared" ref="AD7:AD9" si="4">1-AC7</f>
        <v>0.951707673003924</v>
      </c>
      <c r="AE7" s="41">
        <f>expenses/(AD7)</f>
        <v>15940359.024639186</v>
      </c>
      <c r="AF7" s="42">
        <f>+AE7-Revenue</f>
        <v>2006624.9607550465</v>
      </c>
      <c r="AG7" s="4">
        <f ca="1">+AF7/$J$49</f>
        <v>2146960.9735533767</v>
      </c>
      <c r="AH7" s="4">
        <f ca="1">+AG7*$J$47</f>
        <v>48521.318002306318</v>
      </c>
      <c r="AI7" s="41">
        <f t="shared" ref="AI7:AI9" ca="1" si="5">ROUND(+AH7+AE7,5)</f>
        <v>15988880.342639999</v>
      </c>
    </row>
    <row r="8" spans="1:35" ht="15.75">
      <c r="A8" s="557"/>
      <c r="B8" s="575" t="s">
        <v>114</v>
      </c>
      <c r="C8" s="689">
        <v>0.4</v>
      </c>
      <c r="D8" s="571"/>
      <c r="E8" s="557"/>
      <c r="F8" s="589">
        <f>+F7+1</f>
        <v>2</v>
      </c>
      <c r="G8" s="577"/>
      <c r="H8" s="586" t="s">
        <v>33</v>
      </c>
      <c r="I8" s="20">
        <f>IF(A65=TRUE,C6,0)</f>
        <v>15170561.994186459</v>
      </c>
      <c r="J8" s="568"/>
      <c r="K8" s="20">
        <f>+I8</f>
        <v>15170561.994186459</v>
      </c>
      <c r="L8" s="20">
        <f ca="1">+L7</f>
        <v>46345.695750879589</v>
      </c>
      <c r="M8" s="20">
        <f ca="1">IFERROR(+K8+L8,0.00001)</f>
        <v>15216907.689937338</v>
      </c>
      <c r="O8" s="12"/>
      <c r="P8" s="557"/>
      <c r="R8" s="590">
        <v>3</v>
      </c>
      <c r="S8" s="40">
        <f>Revenue/Investment*100</f>
        <v>591.04499792816398</v>
      </c>
      <c r="T8" s="3">
        <f>EXP(y_inter1-(slope*LN(+S8)))</f>
        <v>3.894213726952517</v>
      </c>
      <c r="U8" s="588">
        <f t="shared" si="0"/>
        <v>0.23016555441784781</v>
      </c>
      <c r="V8" s="588">
        <f>regDebt_weighted</f>
        <v>3.5860000000000003E-2</v>
      </c>
      <c r="W8" s="588">
        <f t="shared" si="1"/>
        <v>0.1943055544178478</v>
      </c>
      <c r="X8" s="588">
        <f>+((W8*(1-0.34))-Pfd_weighted)/Equity_percent</f>
        <v>0.35480135440633592</v>
      </c>
      <c r="Y8" s="588">
        <f>X8*equityP</f>
        <v>0.21288081264380154</v>
      </c>
      <c r="Z8" s="588">
        <f>+Y8/(1-taxrate)</f>
        <v>0.26946938309341967</v>
      </c>
      <c r="AA8" s="588">
        <f>debtP*Debt_Rate</f>
        <v>1.5959999999999998E-2</v>
      </c>
      <c r="AB8" s="588">
        <f t="shared" si="2"/>
        <v>0.28542938309341964</v>
      </c>
      <c r="AC8" s="588">
        <f t="shared" si="3"/>
        <v>4.8292326996076017E-2</v>
      </c>
      <c r="AD8" s="588">
        <f t="shared" si="4"/>
        <v>0.951707673003924</v>
      </c>
      <c r="AE8" s="41">
        <f>expenses/(AD8)</f>
        <v>15940359.024639186</v>
      </c>
      <c r="AF8" s="42">
        <f>+AE8-Revenue</f>
        <v>2006624.9607550465</v>
      </c>
      <c r="AG8" s="4">
        <f ca="1">+AF8/$J$49</f>
        <v>2146960.9735533767</v>
      </c>
      <c r="AH8" s="4">
        <f ca="1">+AG8*$J$47</f>
        <v>48521.318002306318</v>
      </c>
      <c r="AI8" s="41">
        <f t="shared" ca="1" si="5"/>
        <v>15988880.342639999</v>
      </c>
    </row>
    <row r="9" spans="1:35" ht="15.75">
      <c r="A9" s="557"/>
      <c r="B9" s="575" t="s">
        <v>113</v>
      </c>
      <c r="C9" s="689">
        <v>3.9899999999999998E-2</v>
      </c>
      <c r="D9" s="571"/>
      <c r="E9" s="557"/>
      <c r="F9" s="589">
        <f t="shared" ref="F9:F49" si="6">+F8+1</f>
        <v>3</v>
      </c>
      <c r="G9" s="577"/>
      <c r="H9" s="586" t="s">
        <v>34</v>
      </c>
      <c r="I9" s="690">
        <f>+I7-I8</f>
        <v>-1236827.93030232</v>
      </c>
      <c r="J9" s="568"/>
      <c r="K9" s="690">
        <f ca="1">+K7-K8</f>
        <v>679823.01295635477</v>
      </c>
      <c r="L9" s="577"/>
      <c r="M9" s="691">
        <f ca="1">+M7-M8</f>
        <v>679823.01295635477</v>
      </c>
      <c r="O9" s="12"/>
      <c r="P9" s="557"/>
      <c r="R9" s="593">
        <v>4</v>
      </c>
      <c r="S9" s="40">
        <f>Revenue/Investment*100</f>
        <v>591.04499792816398</v>
      </c>
      <c r="T9" s="3">
        <f>EXP(y_inter1-(slope*LN(+S9)))</f>
        <v>3.894213726952517</v>
      </c>
      <c r="U9" s="588">
        <f t="shared" si="0"/>
        <v>0.23016555441784781</v>
      </c>
      <c r="V9" s="588">
        <f>regDebt_weighted</f>
        <v>3.5860000000000003E-2</v>
      </c>
      <c r="W9" s="588">
        <f t="shared" si="1"/>
        <v>0.1943055544178478</v>
      </c>
      <c r="X9" s="588">
        <f>+((W9*(1-0.34))-Pfd_weighted)/Equity_percent</f>
        <v>0.35480135440633592</v>
      </c>
      <c r="Y9" s="588">
        <f>X9*equityP</f>
        <v>0.21288081264380154</v>
      </c>
      <c r="Z9" s="588">
        <f>+Y9/(1-taxrate)</f>
        <v>0.26946938309341967</v>
      </c>
      <c r="AA9" s="588">
        <f>debtP*Debt_Rate</f>
        <v>1.5959999999999998E-2</v>
      </c>
      <c r="AB9" s="588">
        <f t="shared" si="2"/>
        <v>0.28542938309341964</v>
      </c>
      <c r="AC9" s="588">
        <f t="shared" si="3"/>
        <v>4.8292326996076017E-2</v>
      </c>
      <c r="AD9" s="588">
        <f t="shared" si="4"/>
        <v>0.951707673003924</v>
      </c>
      <c r="AE9" s="41">
        <f>expenses/(AD9)</f>
        <v>15940359.024639186</v>
      </c>
      <c r="AF9" s="42">
        <f>+AE9-Revenue</f>
        <v>2006624.9607550465</v>
      </c>
      <c r="AG9" s="4">
        <f ca="1">+AF9/$J$49</f>
        <v>2146960.9735533767</v>
      </c>
      <c r="AH9" s="4">
        <f ca="1">+AG9*$J$47</f>
        <v>48521.318002306318</v>
      </c>
      <c r="AI9" s="41">
        <f t="shared" ca="1" si="5"/>
        <v>15988880.342639999</v>
      </c>
    </row>
    <row r="10" spans="1:35" ht="15.75">
      <c r="A10" s="557"/>
      <c r="B10" s="594" t="s">
        <v>98</v>
      </c>
      <c r="C10" s="689">
        <v>0.21</v>
      </c>
      <c r="D10" s="571"/>
      <c r="E10" s="557"/>
      <c r="F10" s="589">
        <f t="shared" si="6"/>
        <v>4</v>
      </c>
      <c r="G10" s="577"/>
      <c r="H10" s="577"/>
      <c r="I10" s="568"/>
      <c r="J10" s="568"/>
      <c r="K10" s="20"/>
      <c r="L10" s="577"/>
      <c r="M10" s="577"/>
      <c r="N10" s="577"/>
      <c r="O10" s="12"/>
      <c r="P10" s="557"/>
      <c r="R10" s="570" t="s">
        <v>36</v>
      </c>
    </row>
    <row r="11" spans="1:35" ht="15.75">
      <c r="A11" s="557"/>
      <c r="B11" s="575" t="s">
        <v>97</v>
      </c>
      <c r="C11" s="692">
        <v>1.7500000000000002E-2</v>
      </c>
      <c r="D11" s="571"/>
      <c r="E11" s="557"/>
      <c r="F11" s="589">
        <f t="shared" si="6"/>
        <v>5</v>
      </c>
      <c r="G11" s="577"/>
      <c r="H11" s="586" t="s">
        <v>35</v>
      </c>
      <c r="I11" s="20">
        <f>+K11</f>
        <v>37625.290196029942</v>
      </c>
      <c r="J11" s="568"/>
      <c r="K11" s="20">
        <f>+M27</f>
        <v>37625.290196029942</v>
      </c>
      <c r="L11" s="577"/>
      <c r="M11" s="20">
        <f>+K11</f>
        <v>37625.290196029942</v>
      </c>
      <c r="O11" s="12"/>
      <c r="P11" s="557"/>
      <c r="R11" s="600">
        <v>1</v>
      </c>
      <c r="S11" s="601">
        <f ca="1">IF((AI6/Investment*100)&gt;0,(AI6/Investment*100),0)</f>
        <v>678.22076305330427</v>
      </c>
      <c r="T11" s="602">
        <f ca="1">EXP(y_inter1-(slope*LN(S11)))</f>
        <v>3.5446236850652668</v>
      </c>
      <c r="U11" s="603">
        <f ca="1">(+S11*T11/100)/100</f>
        <v>0.24040373804217807</v>
      </c>
      <c r="V11" s="603">
        <f>regDebt_weighted</f>
        <v>3.5860000000000003E-2</v>
      </c>
      <c r="W11" s="603">
        <f ca="1">+U11-V11</f>
        <v>0.20454373804217807</v>
      </c>
      <c r="X11" s="603">
        <f ca="1">+((W11*(1-0.34))-Pfd_weighted)/Equity_percent</f>
        <v>0.37444438112743467</v>
      </c>
      <c r="Y11" s="603">
        <f ca="1">+X11*equityP</f>
        <v>0.22466662867646078</v>
      </c>
      <c r="Z11" s="603">
        <f ca="1">+Y11/(1-taxrate)</f>
        <v>0.2843881375651402</v>
      </c>
      <c r="AA11" s="603">
        <f>debtP*Debt_Rate</f>
        <v>1.5959999999999998E-2</v>
      </c>
      <c r="AB11" s="603">
        <f ca="1">+AA11+Z11</f>
        <v>0.30034813756514017</v>
      </c>
      <c r="AC11" s="603">
        <f ca="1">+AB11/(S11/100)</f>
        <v>4.4284715822174636E-2</v>
      </c>
      <c r="AD11" s="603">
        <f ca="1">1-AC11</f>
        <v>0.95571528417782536</v>
      </c>
      <c r="AE11" s="604">
        <f ca="1">expenses/(AD11)</f>
        <v>15873516.145802002</v>
      </c>
      <c r="AF11" s="605">
        <f ca="1">+AE11-Revenue</f>
        <v>1939782.0819178633</v>
      </c>
      <c r="AG11" s="606">
        <f ca="1">+AF11/$J$49</f>
        <v>2075443.3481724036</v>
      </c>
      <c r="AH11" s="606">
        <f ca="1">+AG11*$J$47</f>
        <v>46905.019668696325</v>
      </c>
      <c r="AI11" s="604">
        <f ca="1">ROUND(+AH11+AE11,5)</f>
        <v>15920421.16547</v>
      </c>
    </row>
    <row r="12" spans="1:35" ht="15.75">
      <c r="A12" s="557"/>
      <c r="B12" s="575" t="s">
        <v>99</v>
      </c>
      <c r="C12" s="692">
        <v>5.1000000000000004E-3</v>
      </c>
      <c r="D12" s="571"/>
      <c r="E12" s="557"/>
      <c r="F12" s="589">
        <f t="shared" si="6"/>
        <v>6</v>
      </c>
      <c r="G12" s="577"/>
      <c r="H12" s="586" t="s">
        <v>37</v>
      </c>
      <c r="I12" s="20">
        <f>J38*I9</f>
        <v>-259733.86536348719</v>
      </c>
      <c r="J12" s="20">
        <f ca="1">+K12-I12</f>
        <v>394595.38714315539</v>
      </c>
      <c r="K12" s="20">
        <f ca="1">+(K9-K11)*taxrate</f>
        <v>134861.5217796682</v>
      </c>
      <c r="L12" s="577"/>
      <c r="M12" s="20">
        <f ca="1">+K12</f>
        <v>134861.5217796682</v>
      </c>
      <c r="O12" s="12"/>
      <c r="P12" s="557"/>
      <c r="R12" s="587">
        <v>2</v>
      </c>
      <c r="S12" s="40">
        <f ca="1">IF((AI7/Investment*100)&gt;0,(AI7/Investment*100),0)</f>
        <v>678.22076305330427</v>
      </c>
      <c r="T12" s="595">
        <f ca="1">EXP(y_inter2-(slope*LN(+S12)))</f>
        <v>3.4941914377247318</v>
      </c>
      <c r="U12" s="588">
        <f ca="1">(+S12*T12/100)/100</f>
        <v>0.23698331831479902</v>
      </c>
      <c r="V12" s="588">
        <f>regDebt_weighted</f>
        <v>3.5860000000000003E-2</v>
      </c>
      <c r="W12" s="588">
        <f ca="1">+U12-V12</f>
        <v>0.20112331831479902</v>
      </c>
      <c r="X12" s="588">
        <f ca="1">+((W12*(1-0.34))-Pfd_weighted)/Equity_percent</f>
        <v>0.36788194792955625</v>
      </c>
      <c r="Y12" s="588">
        <f ca="1">+X12*equityP</f>
        <v>0.22072916875773374</v>
      </c>
      <c r="Z12" s="588">
        <f ca="1">+Y12/(1-taxrate)</f>
        <v>0.27940401108573892</v>
      </c>
      <c r="AA12" s="588">
        <f>debtP*Debt_Rate</f>
        <v>1.5959999999999998E-2</v>
      </c>
      <c r="AB12" s="588">
        <f ca="1">+AA12+Z12</f>
        <v>0.2953640110857389</v>
      </c>
      <c r="AC12" s="588">
        <f ca="1">+AB12/(S12/100)</f>
        <v>4.3549833207115335E-2</v>
      </c>
      <c r="AD12" s="588">
        <f ca="1">1-AC12</f>
        <v>0.95645016679288464</v>
      </c>
      <c r="AE12" s="41">
        <f ca="1">expenses/(AD12)</f>
        <v>15861319.827101439</v>
      </c>
      <c r="AF12" s="42">
        <f ca="1">+AE12-Revenue</f>
        <v>1927585.7632173002</v>
      </c>
      <c r="AG12" s="4">
        <f ca="1">+AF12/$J$49</f>
        <v>2062394.0635361378</v>
      </c>
      <c r="AH12" s="4">
        <f ca="1">+AG12*$J$47</f>
        <v>46610.105835916722</v>
      </c>
      <c r="AI12" s="41">
        <f t="shared" ref="AI12:AI14" ca="1" si="7">ROUND(+AH12+AE12,5)</f>
        <v>15907929.932940001</v>
      </c>
    </row>
    <row r="13" spans="1:35" ht="15.75">
      <c r="A13" s="557"/>
      <c r="B13" s="575" t="s">
        <v>100</v>
      </c>
      <c r="C13" s="692">
        <v>0</v>
      </c>
      <c r="D13" s="571"/>
      <c r="E13" s="557"/>
      <c r="F13" s="589">
        <f t="shared" si="6"/>
        <v>7</v>
      </c>
      <c r="G13" s="577"/>
      <c r="H13" s="577"/>
      <c r="I13" s="568"/>
      <c r="J13" s="568"/>
      <c r="K13" s="20"/>
      <c r="L13" s="577"/>
      <c r="M13" s="577"/>
      <c r="O13" s="12"/>
      <c r="P13" s="557"/>
      <c r="R13" s="590">
        <v>3</v>
      </c>
      <c r="S13" s="40">
        <f ca="1">IF((AI8/Investment*100)&gt;0,(AI8/Investment*100),0)</f>
        <v>678.22076305330427</v>
      </c>
      <c r="T13" s="3">
        <f ca="1">EXP(y_inter3-(slope*LN(S13)))</f>
        <v>3.4602194109558715</v>
      </c>
      <c r="U13" s="588">
        <f ca="1">(+S13*T13/100)/100</f>
        <v>0.23467926492303462</v>
      </c>
      <c r="V13" s="588">
        <f>regDebt_weighted</f>
        <v>3.5860000000000003E-2</v>
      </c>
      <c r="W13" s="588">
        <f ca="1">+U13-V13</f>
        <v>0.19881926492303462</v>
      </c>
      <c r="X13" s="588">
        <f ca="1">+((W13*(1-0.34))-Pfd_weighted)/Equity_percent</f>
        <v>0.36346138037558967</v>
      </c>
      <c r="Y13" s="588">
        <f ca="1">+X13*equityP</f>
        <v>0.21807682822535379</v>
      </c>
      <c r="Z13" s="588">
        <f ca="1">+Y13/(1-taxrate)</f>
        <v>0.27604661800677693</v>
      </c>
      <c r="AA13" s="588">
        <f>debtP*Debt_Rate</f>
        <v>1.5959999999999998E-2</v>
      </c>
      <c r="AB13" s="588">
        <f ca="1">+AA13+Z13</f>
        <v>0.29200661800677691</v>
      </c>
      <c r="AC13" s="588">
        <f ca="1">+AB13/(S13/100)</f>
        <v>4.3054803673686241E-2</v>
      </c>
      <c r="AD13" s="588">
        <f ca="1">1-AC13</f>
        <v>0.95694519632631381</v>
      </c>
      <c r="AE13" s="41">
        <f ca="1">expenses/(AD13)</f>
        <v>15853114.736795615</v>
      </c>
      <c r="AF13" s="42">
        <f ca="1">+AE13-Revenue</f>
        <v>1919380.6729114763</v>
      </c>
      <c r="AG13" s="4">
        <f ca="1">+AF13/$J$49</f>
        <v>2053615.1392151443</v>
      </c>
      <c r="AH13" s="4">
        <f ca="1">+AG13*$J$47</f>
        <v>46411.702146262265</v>
      </c>
      <c r="AI13" s="41">
        <f t="shared" ca="1" si="7"/>
        <v>15899526.43894</v>
      </c>
    </row>
    <row r="14" spans="1:35" ht="16.5" thickBot="1">
      <c r="A14" s="557"/>
      <c r="B14" s="596" t="s">
        <v>101</v>
      </c>
      <c r="C14" s="692">
        <v>0</v>
      </c>
      <c r="D14" s="571"/>
      <c r="E14" s="557"/>
      <c r="F14" s="589">
        <f t="shared" si="6"/>
        <v>8</v>
      </c>
      <c r="G14" s="577"/>
      <c r="H14" s="577" t="s">
        <v>38</v>
      </c>
      <c r="I14" s="693">
        <f>+I9-SUM(I11:I13)</f>
        <v>-1014719.3551348628</v>
      </c>
      <c r="J14" s="568"/>
      <c r="K14" s="693">
        <f ca="1">+K9-SUM(K11:K13)</f>
        <v>507336.20098065666</v>
      </c>
      <c r="L14" s="577"/>
      <c r="M14" s="693">
        <f ca="1">+M9-SUM(M11:M13)</f>
        <v>507336.20098065666</v>
      </c>
      <c r="O14" s="12"/>
      <c r="P14" s="557"/>
      <c r="R14" s="593">
        <v>4</v>
      </c>
      <c r="S14" s="40">
        <f ca="1">IF((AI9/Investment*100)&gt;0,(AI9/Investment*100),0)</f>
        <v>678.22076305330427</v>
      </c>
      <c r="T14" s="1">
        <f ca="1">EXP(y_inter4-(slope*LN(S14)))</f>
        <v>3.4384885527449782</v>
      </c>
      <c r="U14" s="588">
        <f ca="1">(+S14*T14/100)/100</f>
        <v>0.23320543299927507</v>
      </c>
      <c r="V14" s="588">
        <f>regDebt_weighted</f>
        <v>3.5860000000000003E-2</v>
      </c>
      <c r="W14" s="588">
        <f ca="1">+U14-V14</f>
        <v>0.19734543299927507</v>
      </c>
      <c r="X14" s="588">
        <f ca="1">+((W14*(1-0.34))-Pfd_weighted)/Equity_percent</f>
        <v>0.36063367959163239</v>
      </c>
      <c r="Y14" s="588">
        <f ca="1">+X14*equityP</f>
        <v>0.21638020775497943</v>
      </c>
      <c r="Z14" s="588">
        <f ca="1">+Y14/(1-taxrate)</f>
        <v>0.27389899715820182</v>
      </c>
      <c r="AA14" s="588">
        <f>debtP*Debt_Rate</f>
        <v>1.5959999999999998E-2</v>
      </c>
      <c r="AB14" s="588">
        <f ca="1">+AA14+Z14</f>
        <v>0.28985899715820179</v>
      </c>
      <c r="AC14" s="588">
        <f ca="1">+AB14/(S14/100)</f>
        <v>4.2738148542264633E-2</v>
      </c>
      <c r="AD14" s="588">
        <f ca="1">1-AC14</f>
        <v>0.95726185145773535</v>
      </c>
      <c r="AE14" s="41">
        <f ca="1">expenses/(AD14)</f>
        <v>15847870.643841555</v>
      </c>
      <c r="AF14" s="42">
        <f ca="1">+AE14-Revenue</f>
        <v>1914136.5799574163</v>
      </c>
      <c r="AG14" s="4">
        <f ca="1">+AF14/$J$49</f>
        <v>2048004.2935742047</v>
      </c>
      <c r="AH14" s="4">
        <f ca="1">+AG14*$J$47</f>
        <v>46284.89703477703</v>
      </c>
      <c r="AI14" s="41">
        <f t="shared" ca="1" si="7"/>
        <v>15894155.54088</v>
      </c>
    </row>
    <row r="15" spans="1:35" ht="16.5" thickTop="1">
      <c r="A15" s="557"/>
      <c r="B15" s="833"/>
      <c r="C15" s="833"/>
      <c r="D15" s="557"/>
      <c r="E15" s="557"/>
      <c r="F15" s="589">
        <f t="shared" si="6"/>
        <v>9</v>
      </c>
      <c r="G15" s="568"/>
      <c r="H15" s="568"/>
      <c r="I15" s="568"/>
      <c r="J15" s="568"/>
      <c r="K15" s="19"/>
      <c r="L15" s="568"/>
      <c r="M15" s="568"/>
      <c r="O15" s="12"/>
      <c r="P15" s="557"/>
      <c r="R15" s="570" t="s">
        <v>40</v>
      </c>
    </row>
    <row r="16" spans="1:35" ht="15.75">
      <c r="A16" s="557"/>
      <c r="B16" s="694" t="s">
        <v>124</v>
      </c>
      <c r="C16" s="833"/>
      <c r="D16" s="833"/>
      <c r="E16" s="557"/>
      <c r="F16" s="589">
        <f t="shared" si="6"/>
        <v>10</v>
      </c>
      <c r="G16" s="568"/>
      <c r="H16" s="598" t="s">
        <v>39</v>
      </c>
      <c r="I16" s="60">
        <f>+I8/I7</f>
        <v>1.0887650018747053</v>
      </c>
      <c r="J16" s="61"/>
      <c r="K16" s="60">
        <f ca="1">+K8/K7</f>
        <v>0.95711000000000002</v>
      </c>
      <c r="L16" s="599"/>
      <c r="M16" s="60">
        <f ca="1">+M8/M7</f>
        <v>0.95723504249634128</v>
      </c>
      <c r="O16" s="12"/>
      <c r="P16" s="557"/>
      <c r="R16" s="695">
        <v>1</v>
      </c>
      <c r="S16" s="696">
        <f ca="1">AI11/Investment*100</f>
        <v>675.31684267969229</v>
      </c>
      <c r="T16" s="697">
        <f ca="1">EXP(y_inter1-(slope*LN(+S16)))</f>
        <v>3.5550372364100769</v>
      </c>
      <c r="U16" s="698">
        <f ca="1">(+S16*T16/100)/100</f>
        <v>0.2400776522101192</v>
      </c>
      <c r="V16" s="698">
        <f>regDebt_weighted</f>
        <v>3.5860000000000003E-2</v>
      </c>
      <c r="W16" s="698">
        <f ca="1">+U16-V16</f>
        <v>0.2042176522101192</v>
      </c>
      <c r="X16" s="698">
        <f ca="1">+((W16*(1-0.34))-Pfd_weighted)/Equity_percent</f>
        <v>0.37381875133336823</v>
      </c>
      <c r="Y16" s="698">
        <f ca="1">+X16*equityP</f>
        <v>0.22429125080002094</v>
      </c>
      <c r="Z16" s="698">
        <f ca="1">+Y16/(1-taxrate)</f>
        <v>0.28391297569622903</v>
      </c>
      <c r="AA16" s="698">
        <f>debtP*Debt_Rate</f>
        <v>1.5959999999999998E-2</v>
      </c>
      <c r="AB16" s="698">
        <f ca="1">+AA16+Z16</f>
        <v>0.299872975696229</v>
      </c>
      <c r="AC16" s="698">
        <f ca="1">+AB16/(S16/100)</f>
        <v>4.4404782576770552E-2</v>
      </c>
      <c r="AD16" s="698">
        <f ca="1">1-AC16</f>
        <v>0.95559521742322939</v>
      </c>
      <c r="AE16" s="699">
        <f ca="1">expenses/(AD16)</f>
        <v>15875510.590241345</v>
      </c>
      <c r="AF16" s="700">
        <f ca="1">+AE16-Revenue</f>
        <v>1941776.5263572056</v>
      </c>
      <c r="AG16" s="701">
        <f ca="1">+AF16/$J$49</f>
        <v>2077577.2767634129</v>
      </c>
      <c r="AH16" s="701">
        <f ca="1">+AG16*$J$47</f>
        <v>46953.246454853135</v>
      </c>
      <c r="AI16" s="699">
        <f ca="1">ROUND(+AH16+AE16,5)</f>
        <v>15922463.8367</v>
      </c>
    </row>
    <row r="17" spans="1:35" ht="15.75">
      <c r="A17" s="557"/>
      <c r="B17" s="836"/>
      <c r="C17" s="833"/>
      <c r="D17" s="557" t="s">
        <v>102</v>
      </c>
      <c r="E17" s="557"/>
      <c r="F17" s="589">
        <f t="shared" si="6"/>
        <v>11</v>
      </c>
      <c r="G17" s="568"/>
      <c r="H17" s="607"/>
      <c r="I17" s="607"/>
      <c r="J17" s="608"/>
      <c r="K17" s="607"/>
      <c r="L17" s="598"/>
      <c r="M17" s="598"/>
      <c r="N17" s="21"/>
      <c r="O17" s="557"/>
      <c r="P17" s="557"/>
      <c r="R17" s="587">
        <v>2</v>
      </c>
      <c r="S17" s="40">
        <f ca="1">AI12/Investment*100</f>
        <v>674.78698611210143</v>
      </c>
      <c r="T17" s="595">
        <f ca="1">EXP(y_inter2-(slope*LN(+S17)))</f>
        <v>3.5063378969168846</v>
      </c>
      <c r="U17" s="588">
        <f ca="1">(+S17*T17/100)/100</f>
        <v>0.23660311817511889</v>
      </c>
      <c r="V17" s="588">
        <f>regDebt_weighted</f>
        <v>3.5860000000000003E-2</v>
      </c>
      <c r="W17" s="588">
        <f ca="1">+U17-V17</f>
        <v>0.20074311817511889</v>
      </c>
      <c r="X17" s="588">
        <f ca="1">+((W17*(1-0.34))-Pfd_weighted)/Equity_percent</f>
        <v>0.36715249417319323</v>
      </c>
      <c r="Y17" s="588">
        <f ca="1">+X17*equityP</f>
        <v>0.22029149650391594</v>
      </c>
      <c r="Z17" s="588">
        <f ca="1">+Y17/(1-taxrate)</f>
        <v>0.27884999557457713</v>
      </c>
      <c r="AA17" s="588">
        <f>debtP*Debt_Rate</f>
        <v>1.5959999999999998E-2</v>
      </c>
      <c r="AB17" s="588">
        <f ca="1">+AA17+Z17</f>
        <v>0.2948099955745771</v>
      </c>
      <c r="AC17" s="588">
        <f ca="1">+AB17/(S17/100)</f>
        <v>4.3689342213484944E-2</v>
      </c>
      <c r="AD17" s="588">
        <f ca="1">1-AC17</f>
        <v>0.95631065778651503</v>
      </c>
      <c r="AE17" s="41">
        <f ca="1">expenses/(AD17)</f>
        <v>15863633.71637034</v>
      </c>
      <c r="AF17" s="42">
        <f ca="1">+AE17-Revenue</f>
        <v>1929899.6524862014</v>
      </c>
      <c r="AG17" s="4">
        <f ca="1">+AF17/$J$49</f>
        <v>2064869.777760078</v>
      </c>
      <c r="AH17" s="4">
        <f ca="1">+AG17*$J$47</f>
        <v>46666.056977377768</v>
      </c>
      <c r="AI17" s="41">
        <f t="shared" ref="AI17:AI19" ca="1" si="8">ROUND(+AH17+AE17,5)</f>
        <v>15910299.77335</v>
      </c>
    </row>
    <row r="18" spans="1:35" ht="15.75">
      <c r="A18" s="557"/>
      <c r="B18" s="835" t="s">
        <v>125</v>
      </c>
      <c r="C18" s="835"/>
      <c r="D18" s="557"/>
      <c r="E18" s="557"/>
      <c r="F18" s="589">
        <f t="shared" si="6"/>
        <v>12</v>
      </c>
      <c r="G18" s="568"/>
      <c r="H18" s="702" t="s">
        <v>83</v>
      </c>
      <c r="I18" s="703"/>
      <c r="J18" s="703"/>
      <c r="K18" s="703"/>
      <c r="L18" s="703"/>
      <c r="M18" s="704"/>
      <c r="N18" s="608"/>
      <c r="O18" s="557"/>
      <c r="P18" s="557"/>
      <c r="R18" s="590">
        <v>3</v>
      </c>
      <c r="S18" s="40">
        <f ca="1">AI13/Investment*100</f>
        <v>674.43052437176334</v>
      </c>
      <c r="T18" s="3">
        <f ca="1">EXP(y_inter3-(slope*LN(S18)))</f>
        <v>3.4735023520925501</v>
      </c>
      <c r="U18" s="588">
        <f ca="1">(+S18*T18/100)/100</f>
        <v>0.23426360127283322</v>
      </c>
      <c r="V18" s="588">
        <f>regDebt_weighted</f>
        <v>3.5860000000000003E-2</v>
      </c>
      <c r="W18" s="588">
        <f ca="1">+U18-V18</f>
        <v>0.19840360127283321</v>
      </c>
      <c r="X18" s="588">
        <f ca="1">+((W18*(1-0.34))-Pfd_weighted)/Equity_percent</f>
        <v>0.36266388616299394</v>
      </c>
      <c r="Y18" s="588">
        <f ca="1">+X18*equityP</f>
        <v>0.21759833169779635</v>
      </c>
      <c r="Z18" s="588">
        <f ca="1">+Y18/(1-taxrate)</f>
        <v>0.2754409261997422</v>
      </c>
      <c r="AA18" s="588">
        <f>debtP*Debt_Rate</f>
        <v>1.5959999999999998E-2</v>
      </c>
      <c r="AB18" s="588">
        <f ca="1">+AA18+Z18</f>
        <v>0.29140092619974217</v>
      </c>
      <c r="AC18" s="588">
        <f ca="1">+AB18/(S18/100)</f>
        <v>4.3206959897193878E-2</v>
      </c>
      <c r="AD18" s="588">
        <f ca="1">1-AC18</f>
        <v>0.95679304010280608</v>
      </c>
      <c r="AE18" s="41">
        <f ca="1">expenses/(AD18)</f>
        <v>15855635.814989209</v>
      </c>
      <c r="AF18" s="42">
        <f ca="1">+AE18-Revenue</f>
        <v>1921901.7511050701</v>
      </c>
      <c r="AG18" s="4">
        <f ca="1">+AF18/$J$49</f>
        <v>2056312.5323996115</v>
      </c>
      <c r="AH18" s="4">
        <f ca="1">+AG18*$J$47</f>
        <v>46472.663232231222</v>
      </c>
      <c r="AI18" s="41">
        <f t="shared" ca="1" si="8"/>
        <v>15902108.478220001</v>
      </c>
    </row>
    <row r="19" spans="1:35" ht="15.75">
      <c r="A19" s="557"/>
      <c r="B19" s="557"/>
      <c r="C19" s="557"/>
      <c r="D19" s="557"/>
      <c r="E19" s="557"/>
      <c r="F19" s="589">
        <f t="shared" si="6"/>
        <v>13</v>
      </c>
      <c r="G19" s="568"/>
      <c r="H19" s="612"/>
      <c r="I19" s="598" t="s">
        <v>122</v>
      </c>
      <c r="J19" s="613">
        <f>+Revenue</f>
        <v>13933734.063884139</v>
      </c>
      <c r="K19" s="614"/>
      <c r="L19" s="598" t="s">
        <v>126</v>
      </c>
      <c r="M19" s="62">
        <f ca="1">+J7</f>
        <v>1916650.9432586748</v>
      </c>
      <c r="O19" s="557"/>
      <c r="P19" s="557"/>
      <c r="R19" s="593">
        <v>4</v>
      </c>
      <c r="S19" s="40">
        <f ca="1">AI14/Investment*100</f>
        <v>674.20270012750905</v>
      </c>
      <c r="T19" s="1">
        <f ca="1">EXP(y_inter4-(slope*LN(S19)))</f>
        <v>3.4524854525064801</v>
      </c>
      <c r="U19" s="588">
        <f ca="1">(+S19*T19/100)/100</f>
        <v>0.23276750142308139</v>
      </c>
      <c r="V19" s="588">
        <f>regDebt_weighted</f>
        <v>3.5860000000000003E-2</v>
      </c>
      <c r="W19" s="588">
        <f ca="1">+U19-V19</f>
        <v>0.19690750142308139</v>
      </c>
      <c r="X19" s="588">
        <f ca="1">+((W19*(1-0.34))-Pfd_weighted)/Equity_percent</f>
        <v>0.35979346203265616</v>
      </c>
      <c r="Y19" s="588">
        <f ca="1">+X19*equityP</f>
        <v>0.2158760772195937</v>
      </c>
      <c r="Z19" s="588">
        <f ca="1">+Y19/(1-taxrate)</f>
        <v>0.27326085723999199</v>
      </c>
      <c r="AA19" s="588">
        <f>debtP*Debt_Rate</f>
        <v>1.5959999999999998E-2</v>
      </c>
      <c r="AB19" s="588">
        <f ca="1">+AA19+Z19</f>
        <v>0.28922085723999197</v>
      </c>
      <c r="AC19" s="588">
        <f ca="1">+AB19/(S19/100)</f>
        <v>4.2898205122182523E-2</v>
      </c>
      <c r="AD19" s="588">
        <f ca="1">1-AC19</f>
        <v>0.95710179487781744</v>
      </c>
      <c r="AE19" s="41">
        <f ca="1">expenses/(AD19)</f>
        <v>15850520.890646867</v>
      </c>
      <c r="AF19" s="42">
        <f ca="1">+AE19-Revenue</f>
        <v>1916786.8267627284</v>
      </c>
      <c r="AG19" s="4">
        <f ca="1">+AF19/$J$49</f>
        <v>2050839.8889508059</v>
      </c>
      <c r="AH19" s="4">
        <f ca="1">+AG19*$J$47</f>
        <v>46348.981490288214</v>
      </c>
      <c r="AI19" s="41">
        <f t="shared" ca="1" si="8"/>
        <v>15896869.87214</v>
      </c>
    </row>
    <row r="20" spans="1:35" ht="15.75">
      <c r="A20" s="557"/>
      <c r="B20" s="615"/>
      <c r="C20" s="557"/>
      <c r="D20" s="557"/>
      <c r="E20" s="557"/>
      <c r="F20" s="589">
        <f t="shared" si="6"/>
        <v>14</v>
      </c>
      <c r="G20" s="568"/>
      <c r="H20" s="612"/>
      <c r="I20" s="598" t="s">
        <v>42</v>
      </c>
      <c r="J20" s="613">
        <f ca="1">+J21-J19</f>
        <v>1962996.6390095539</v>
      </c>
      <c r="K20" s="614"/>
      <c r="L20" s="598" t="s">
        <v>41</v>
      </c>
      <c r="M20" s="62">
        <f ca="1">+L8</f>
        <v>46345.695750879589</v>
      </c>
      <c r="O20" s="557"/>
      <c r="P20" s="557"/>
      <c r="R20" s="570" t="s">
        <v>43</v>
      </c>
    </row>
    <row r="21" spans="1:35" ht="16.5" thickBot="1">
      <c r="A21" s="557"/>
      <c r="B21" s="615" t="s">
        <v>0</v>
      </c>
      <c r="C21" s="557"/>
      <c r="D21" s="557"/>
      <c r="E21" s="557"/>
      <c r="F21" s="589">
        <f t="shared" si="6"/>
        <v>15</v>
      </c>
      <c r="G21" s="568"/>
      <c r="H21" s="612"/>
      <c r="I21" s="616" t="s">
        <v>83</v>
      </c>
      <c r="J21" s="63">
        <f ca="1">+M7</f>
        <v>15896730.702893693</v>
      </c>
      <c r="K21" s="608"/>
      <c r="L21" s="616" t="s">
        <v>42</v>
      </c>
      <c r="M21" s="64">
        <f ca="1">+M19+M20</f>
        <v>1962996.6390095544</v>
      </c>
      <c r="O21" s="557"/>
      <c r="P21" s="557"/>
      <c r="R21" s="695">
        <v>1</v>
      </c>
      <c r="S21" s="696">
        <f ca="1">AI16/Investment*100</f>
        <v>675.40348927473758</v>
      </c>
      <c r="T21" s="697">
        <f ca="1">EXP(y_inter1-(slope*LN(+S21)))</f>
        <v>3.5547254280963032</v>
      </c>
      <c r="U21" s="698">
        <f ca="1">(+S21*T21/100)/100</f>
        <v>0.24008739575498783</v>
      </c>
      <c r="V21" s="698">
        <f>regDebt_weighted</f>
        <v>3.5860000000000003E-2</v>
      </c>
      <c r="W21" s="698">
        <f ca="1">+U21-V21</f>
        <v>0.20422739575498783</v>
      </c>
      <c r="X21" s="698">
        <f ca="1">+((W21*(1-0.34))-Pfd_weighted)/Equity_percent</f>
        <v>0.37383744534387198</v>
      </c>
      <c r="Y21" s="698">
        <f ca="1">+X21*equityP</f>
        <v>0.22430246720632319</v>
      </c>
      <c r="Z21" s="698">
        <f ca="1">+Y21/(1-taxrate)</f>
        <v>0.28392717367889009</v>
      </c>
      <c r="AA21" s="698">
        <f>debtP*Debt_Rate</f>
        <v>1.5959999999999998E-2</v>
      </c>
      <c r="AB21" s="698">
        <f ca="1">+AA21+Z21</f>
        <v>0.29988717367889006</v>
      </c>
      <c r="AC21" s="698">
        <f ca="1">+AB21/(S21/100)</f>
        <v>4.4401188095861813E-2</v>
      </c>
      <c r="AD21" s="698">
        <f ca="1">1-AC21</f>
        <v>0.9555988119041382</v>
      </c>
      <c r="AE21" s="699">
        <f ca="1">expenses/(AD21)</f>
        <v>15875450.87457508</v>
      </c>
      <c r="AF21" s="700">
        <f ca="1">+AE21-Revenue</f>
        <v>1941716.8106909413</v>
      </c>
      <c r="AG21" s="701">
        <f ca="1">+AF21/$J$49</f>
        <v>2077513.3848017924</v>
      </c>
      <c r="AH21" s="701">
        <f ca="1">+AG21*$J$47</f>
        <v>46951.802496520511</v>
      </c>
      <c r="AI21" s="699">
        <f ca="1">ROUND(+AH21+AE21,5)</f>
        <v>15922402.677069999</v>
      </c>
    </row>
    <row r="22" spans="1:35" ht="16.5" thickTop="1">
      <c r="A22" s="557"/>
      <c r="B22" s="557" t="s">
        <v>109</v>
      </c>
      <c r="C22" s="557"/>
      <c r="D22" s="557"/>
      <c r="E22" s="557"/>
      <c r="F22" s="589">
        <f t="shared" si="6"/>
        <v>16</v>
      </c>
      <c r="G22" s="568"/>
      <c r="H22" s="617"/>
      <c r="I22" s="618"/>
      <c r="J22" s="619" t="s">
        <v>127</v>
      </c>
      <c r="K22" s="65">
        <f ca="1">+(J21/J19)-1</f>
        <v>0.14088087443103903</v>
      </c>
      <c r="L22" s="618"/>
      <c r="M22" s="620"/>
      <c r="O22" s="557"/>
      <c r="P22" s="557"/>
      <c r="R22" s="587">
        <v>2</v>
      </c>
      <c r="S22" s="40">
        <f ca="1">AI17/Investment*100</f>
        <v>674.88751066020859</v>
      </c>
      <c r="T22" s="595">
        <f ca="1">EXP(y_inter2-(slope*LN(+S22)))</f>
        <v>3.50598082864725</v>
      </c>
      <c r="U22" s="588">
        <f ca="1">(+S22*T22/100)/100</f>
        <v>0.23661426738681579</v>
      </c>
      <c r="V22" s="588">
        <f>regDebt_weighted</f>
        <v>3.5860000000000003E-2</v>
      </c>
      <c r="W22" s="588">
        <f ca="1">+U22-V22</f>
        <v>0.20075426738681579</v>
      </c>
      <c r="X22" s="588">
        <f ca="1">+((W22*(1-0.34))-Pfd_weighted)/Equity_percent</f>
        <v>0.36717388510261167</v>
      </c>
      <c r="Y22" s="588">
        <f ca="1">+X22*equityP</f>
        <v>0.22030433106156699</v>
      </c>
      <c r="Z22" s="588">
        <f ca="1">+Y22/(1-taxrate)</f>
        <v>0.2788662418500848</v>
      </c>
      <c r="AA22" s="588">
        <f>debtP*Debt_Rate</f>
        <v>1.5959999999999998E-2</v>
      </c>
      <c r="AB22" s="588">
        <f ca="1">+AA22+Z22</f>
        <v>0.29482624185008477</v>
      </c>
      <c r="AC22" s="588">
        <f ca="1">+AB22/(S22/100)</f>
        <v>4.3685241939307937E-2</v>
      </c>
      <c r="AD22" s="588">
        <f ca="1">1-AC22</f>
        <v>0.9563147580606921</v>
      </c>
      <c r="AE22" s="41">
        <f ca="1">expenses/(AD22)</f>
        <v>15863565.699802434</v>
      </c>
      <c r="AF22" s="42">
        <f ca="1">+AE22-Revenue</f>
        <v>1929831.635918295</v>
      </c>
      <c r="AG22" s="4">
        <f ca="1">+AF22/$J$49</f>
        <v>2064797.0043621059</v>
      </c>
      <c r="AH22" s="4">
        <f ca="1">+AG22*$J$47</f>
        <v>46664.4122985836</v>
      </c>
      <c r="AI22" s="41">
        <f t="shared" ref="AI22:AI24" ca="1" si="9">ROUND(+AH22+AE22,5)</f>
        <v>15910230.1121</v>
      </c>
    </row>
    <row r="23" spans="1:35" ht="15.75">
      <c r="A23" s="557"/>
      <c r="B23" s="557" t="s">
        <v>108</v>
      </c>
      <c r="C23" s="557"/>
      <c r="D23" s="557"/>
      <c r="E23" s="557"/>
      <c r="F23" s="589">
        <f t="shared" si="6"/>
        <v>17</v>
      </c>
      <c r="H23" s="568"/>
      <c r="I23" s="568"/>
      <c r="J23" s="568"/>
      <c r="K23" s="568"/>
      <c r="L23" s="568"/>
      <c r="M23" s="568"/>
      <c r="N23" s="568"/>
      <c r="O23" s="557"/>
      <c r="P23" s="557"/>
      <c r="R23" s="590">
        <v>3</v>
      </c>
      <c r="S23" s="40">
        <f ca="1">AI18/Investment*100</f>
        <v>674.54005003042039</v>
      </c>
      <c r="T23" s="3">
        <f ca="1">EXP(y_inter3-(slope*LN(S23)))</f>
        <v>3.4731167553046927</v>
      </c>
      <c r="U23" s="588">
        <f ca="1">(+S23*T23/100)/100</f>
        <v>0.2342756349884719</v>
      </c>
      <c r="V23" s="588">
        <f>regDebt_weighted</f>
        <v>3.5860000000000003E-2</v>
      </c>
      <c r="W23" s="588">
        <f ca="1">+U23-V23</f>
        <v>0.1984156349884719</v>
      </c>
      <c r="X23" s="588">
        <f ca="1">+((W23*(1-0.34))-Pfd_weighted)/Equity_percent</f>
        <v>0.3626869741057891</v>
      </c>
      <c r="Y23" s="588">
        <f ca="1">+X23*equityP</f>
        <v>0.21761218446347344</v>
      </c>
      <c r="Z23" s="588">
        <f ca="1">+Y23/(1-taxrate)</f>
        <v>0.27545846134616891</v>
      </c>
      <c r="AA23" s="588">
        <f>debtP*Debt_Rate</f>
        <v>1.5959999999999998E-2</v>
      </c>
      <c r="AB23" s="588">
        <f ca="1">+AA23+Z23</f>
        <v>0.29141846134616889</v>
      </c>
      <c r="AC23" s="588">
        <f ca="1">+AB23/(S23/100)</f>
        <v>4.3202543916113882E-2</v>
      </c>
      <c r="AD23" s="588">
        <f ca="1">1-AC23</f>
        <v>0.95679745608388611</v>
      </c>
      <c r="AE23" s="41">
        <f ca="1">expenses/(AD23)</f>
        <v>15855562.635250567</v>
      </c>
      <c r="AF23" s="42">
        <f ca="1">+AE23-Revenue</f>
        <v>1921828.5713664275</v>
      </c>
      <c r="AG23" s="4">
        <f ca="1">+AF23/$J$49</f>
        <v>2056234.2347376202</v>
      </c>
      <c r="AH23" s="4">
        <f ca="1">+AG23*$J$47</f>
        <v>46470.893705070222</v>
      </c>
      <c r="AI23" s="41">
        <f t="shared" ca="1" si="9"/>
        <v>15902033.528960001</v>
      </c>
    </row>
    <row r="24" spans="1:35" ht="15.75">
      <c r="A24" s="557"/>
      <c r="B24" s="557" t="s">
        <v>110</v>
      </c>
      <c r="C24" s="557"/>
      <c r="D24" s="557"/>
      <c r="E24" s="557"/>
      <c r="F24" s="589">
        <f t="shared" si="6"/>
        <v>18</v>
      </c>
      <c r="H24" s="568"/>
      <c r="J24" s="621" t="s">
        <v>105</v>
      </c>
      <c r="K24" s="622" t="s">
        <v>44</v>
      </c>
      <c r="L24" s="622"/>
      <c r="M24" s="622"/>
      <c r="N24" s="622"/>
      <c r="O24" s="557"/>
      <c r="P24" s="557"/>
      <c r="R24" s="593">
        <v>4</v>
      </c>
      <c r="S24" s="40">
        <f ca="1">AI19/Investment*100</f>
        <v>674.31783738408274</v>
      </c>
      <c r="T24" s="1">
        <f ca="1">EXP(y_inter4-(slope*LN(S24)))</f>
        <v>3.4520824188275498</v>
      </c>
      <c r="U24" s="588">
        <f ca="1">(+S24*T24/100)/100</f>
        <v>0.23278007511354065</v>
      </c>
      <c r="V24" s="588">
        <f>regDebt_weighted</f>
        <v>3.5860000000000003E-2</v>
      </c>
      <c r="W24" s="588">
        <f ca="1">+U24-V24</f>
        <v>0.19692007511354065</v>
      </c>
      <c r="X24" s="588">
        <f ca="1">+((W24*(1-0.34))-Pfd_weighted)/Equity_percent</f>
        <v>0.35981758597365349</v>
      </c>
      <c r="Y24" s="588">
        <f ca="1">+X24*equityP</f>
        <v>0.2158905515841921</v>
      </c>
      <c r="Z24" s="588">
        <f ca="1">+Y24/(1-taxrate)</f>
        <v>0.27327917922049633</v>
      </c>
      <c r="AA24" s="588">
        <f>debtP*Debt_Rate</f>
        <v>1.5959999999999998E-2</v>
      </c>
      <c r="AB24" s="588">
        <f ca="1">+AA24+Z24</f>
        <v>0.2892391792204963</v>
      </c>
      <c r="AC24" s="588">
        <f ca="1">+AB24/(S24/100)</f>
        <v>4.2893597527029294E-2</v>
      </c>
      <c r="AD24" s="588">
        <f ca="1">1-AC24</f>
        <v>0.95710640247297074</v>
      </c>
      <c r="AE24" s="41">
        <f ca="1">expenses/(AD24)</f>
        <v>15850444.584832756</v>
      </c>
      <c r="AF24" s="42">
        <f ca="1">+AE24-Revenue</f>
        <v>1916710.5209486168</v>
      </c>
      <c r="AG24" s="4">
        <f ca="1">+AF24/$J$49</f>
        <v>2050758.2465870574</v>
      </c>
      <c r="AH24" s="4">
        <f ca="1">+AG24*$J$47</f>
        <v>46347.136372867499</v>
      </c>
      <c r="AI24" s="41">
        <f t="shared" ca="1" si="9"/>
        <v>15896791.721209999</v>
      </c>
    </row>
    <row r="25" spans="1:35" ht="15.75">
      <c r="A25" s="557"/>
      <c r="B25" s="557" t="s">
        <v>111</v>
      </c>
      <c r="C25" s="557"/>
      <c r="D25" s="557"/>
      <c r="E25" s="557"/>
      <c r="F25" s="589">
        <f t="shared" si="6"/>
        <v>19</v>
      </c>
      <c r="H25" s="623" t="s">
        <v>45</v>
      </c>
      <c r="I25" s="22" t="s">
        <v>46</v>
      </c>
      <c r="J25" s="624" t="s">
        <v>47</v>
      </c>
      <c r="K25" s="623" t="s">
        <v>116</v>
      </c>
      <c r="L25" s="624" t="s">
        <v>49</v>
      </c>
      <c r="M25" s="624" t="s">
        <v>47</v>
      </c>
      <c r="O25" s="557"/>
      <c r="P25" s="557"/>
      <c r="R25" s="570" t="s">
        <v>50</v>
      </c>
      <c r="W25" s="2"/>
      <c r="X25" s="6"/>
      <c r="Y25" s="3"/>
      <c r="Z25" s="3"/>
      <c r="AA25" s="6"/>
      <c r="AC25" s="6"/>
      <c r="AD25" s="6"/>
      <c r="AE25" s="3"/>
      <c r="AF25" s="2"/>
    </row>
    <row r="26" spans="1:35" ht="15.75">
      <c r="A26" s="557"/>
      <c r="B26" s="557"/>
      <c r="C26" s="557"/>
      <c r="D26" s="557"/>
      <c r="E26" s="557"/>
      <c r="F26" s="589">
        <f t="shared" si="6"/>
        <v>20</v>
      </c>
      <c r="H26" s="586" t="s">
        <v>27</v>
      </c>
      <c r="I26" s="23">
        <f>1-I27</f>
        <v>0.6</v>
      </c>
      <c r="J26" s="625">
        <f>+I26*J28</f>
        <v>1414484.5938357122</v>
      </c>
      <c r="K26" s="21">
        <f ca="1">+K34</f>
        <v>0.35867212919222657</v>
      </c>
      <c r="L26" s="23">
        <f ca="1">+K26*I26</f>
        <v>0.21520327751533594</v>
      </c>
      <c r="M26" s="20">
        <f ca="1">+J26*K26</f>
        <v>507336.20098065666</v>
      </c>
      <c r="O26" s="557"/>
      <c r="P26" s="557"/>
      <c r="R26" s="695">
        <v>1</v>
      </c>
      <c r="S26" s="696">
        <f ca="1">AI21/Investment*100</f>
        <v>675.40089498858129</v>
      </c>
      <c r="T26" s="697">
        <f ca="1">EXP(y_inter1-(slope*LN(+S26)))</f>
        <v>3.5547347629725881</v>
      </c>
      <c r="U26" s="698">
        <f ca="1">(+S26*T26/100)/100</f>
        <v>0.24008710403587086</v>
      </c>
      <c r="V26" s="698">
        <f>regDebt_weighted</f>
        <v>3.5860000000000003E-2</v>
      </c>
      <c r="W26" s="698">
        <f ca="1">+U26-V26</f>
        <v>0.20422710403587085</v>
      </c>
      <c r="X26" s="698">
        <f ca="1">+((W26*(1-0.34))-Pfd_weighted)/Equity_percent</f>
        <v>0.37383688565021733</v>
      </c>
      <c r="Y26" s="698">
        <f ca="1">+X26*equityP</f>
        <v>0.22430213139013039</v>
      </c>
      <c r="Z26" s="698">
        <f ca="1">+Y26/(1-taxrate)</f>
        <v>0.28392674859510175</v>
      </c>
      <c r="AA26" s="698">
        <f>debtP*Debt_Rate</f>
        <v>1.5959999999999998E-2</v>
      </c>
      <c r="AB26" s="698">
        <f ca="1">+AA26+Z26</f>
        <v>0.29988674859510173</v>
      </c>
      <c r="AC26" s="698">
        <f ca="1">+AB26/(S26/100)</f>
        <v>4.4401295707517802E-2</v>
      </c>
      <c r="AD26" s="698">
        <f ca="1">1-AC26</f>
        <v>0.95559870429248217</v>
      </c>
      <c r="AE26" s="699">
        <f ca="1">expenses/(AD26)</f>
        <v>15875452.662337612</v>
      </c>
      <c r="AF26" s="700">
        <f ca="1">+AE26-Revenue</f>
        <v>1941718.5984534733</v>
      </c>
      <c r="AG26" s="701">
        <f ca="1">+AF26/$J$49</f>
        <v>2077515.2975938993</v>
      </c>
      <c r="AH26" s="701">
        <f ca="1">+AG26*$J$47</f>
        <v>46951.84572562213</v>
      </c>
      <c r="AI26" s="699">
        <f ca="1">ROUND(+AH26+AE26,5)</f>
        <v>15922404.508060001</v>
      </c>
    </row>
    <row r="27" spans="1:35" ht="15.75">
      <c r="A27" s="557"/>
      <c r="B27" s="557"/>
      <c r="C27" s="557"/>
      <c r="D27" s="557"/>
      <c r="E27" s="557"/>
      <c r="F27" s="589">
        <f t="shared" si="6"/>
        <v>21</v>
      </c>
      <c r="H27" s="586" t="s">
        <v>29</v>
      </c>
      <c r="I27" s="23">
        <f>IF(A65=TRUE,C8,0)</f>
        <v>0.4</v>
      </c>
      <c r="J27" s="25">
        <f>+I27*J28</f>
        <v>942989.72922380816</v>
      </c>
      <c r="K27" s="21">
        <f>IF(A65=TRUE,C9,0)</f>
        <v>3.9899999999999998E-2</v>
      </c>
      <c r="L27" s="23">
        <f>+K27*I27</f>
        <v>1.5959999999999998E-2</v>
      </c>
      <c r="M27" s="20">
        <f>+K27*J27</f>
        <v>37625.290196029942</v>
      </c>
      <c r="O27" s="557"/>
      <c r="P27" s="557"/>
      <c r="R27" s="587">
        <v>2</v>
      </c>
      <c r="S27" s="40">
        <f ca="1">AI22/Investment*100</f>
        <v>674.88455574997613</v>
      </c>
      <c r="T27" s="595">
        <f ca="1">EXP(y_inter2-(slope*LN(+S27)))</f>
        <v>3.5059913233601359</v>
      </c>
      <c r="U27" s="588">
        <f ca="1">(+S27*T27/100)/100</f>
        <v>0.23661393967291761</v>
      </c>
      <c r="V27" s="588">
        <f>regDebt_weighted</f>
        <v>3.5860000000000003E-2</v>
      </c>
      <c r="W27" s="588">
        <f ca="1">+U27-V27</f>
        <v>0.2007539396729176</v>
      </c>
      <c r="X27" s="588">
        <f ca="1">+((W27*(1-0.34))-Pfd_weighted)/Equity_percent</f>
        <v>0.36717325634920234</v>
      </c>
      <c r="Y27" s="588">
        <f ca="1">+X27*equityP</f>
        <v>0.22030395380952139</v>
      </c>
      <c r="Z27" s="588">
        <f ca="1">+Y27/(1-taxrate)</f>
        <v>0.27886576431584986</v>
      </c>
      <c r="AA27" s="588">
        <f>debtP*Debt_Rate</f>
        <v>1.5959999999999998E-2</v>
      </c>
      <c r="AB27" s="588">
        <f ca="1">+AA27+Z27</f>
        <v>0.29482576431584984</v>
      </c>
      <c r="AC27" s="588">
        <f ca="1">+AB27/(S27/100)</f>
        <v>4.3685362452578286E-2</v>
      </c>
      <c r="AD27" s="588">
        <f ca="1">1-AC27</f>
        <v>0.95631463754742174</v>
      </c>
      <c r="AE27" s="41">
        <f ca="1">expenses/(AD27)</f>
        <v>15863567.698904097</v>
      </c>
      <c r="AF27" s="42">
        <f ca="1">+AE27-Revenue</f>
        <v>1929833.635019958</v>
      </c>
      <c r="AG27" s="4">
        <f ca="1">+AF27/$J$49</f>
        <v>2064799.1432736297</v>
      </c>
      <c r="AH27" s="4">
        <f ca="1">+AG27*$J$47</f>
        <v>46664.460637984033</v>
      </c>
      <c r="AI27" s="41">
        <f t="shared" ref="AI27:AI29" ca="1" si="10">ROUND(+AH27+AE27,5)</f>
        <v>15910232.159539999</v>
      </c>
    </row>
    <row r="28" spans="1:35" ht="16.5" thickBot="1">
      <c r="A28" s="557"/>
      <c r="B28" s="557"/>
      <c r="C28" s="557"/>
      <c r="D28" s="557"/>
      <c r="E28" s="557"/>
      <c r="F28" s="589">
        <f t="shared" si="6"/>
        <v>22</v>
      </c>
      <c r="H28" s="586" t="s">
        <v>103</v>
      </c>
      <c r="I28" s="26">
        <f>SUM(I26:I27)</f>
        <v>1</v>
      </c>
      <c r="J28" s="49">
        <f>IF(A65=TRUE,C7,0)</f>
        <v>2357474.3230595202</v>
      </c>
      <c r="K28" s="626"/>
      <c r="L28" s="51">
        <f ca="1">SUM(L26:L27)</f>
        <v>0.23116327751533594</v>
      </c>
      <c r="M28" s="49">
        <f ca="1">SUM(M26:M27)</f>
        <v>544961.4911766866</v>
      </c>
      <c r="O28" s="557"/>
      <c r="P28" s="557"/>
      <c r="R28" s="590">
        <v>3</v>
      </c>
      <c r="S28" s="40">
        <f ca="1">AI23/Investment*100</f>
        <v>674.53687081191231</v>
      </c>
      <c r="T28" s="3">
        <f ca="1">EXP(y_inter3-(slope*LN(S28)))</f>
        <v>3.4731279465977156</v>
      </c>
      <c r="U28" s="588">
        <f ca="1">(+S28*T28/100)/100</f>
        <v>0.23427528570274259</v>
      </c>
      <c r="V28" s="588">
        <f>regDebt_weighted</f>
        <v>3.5860000000000003E-2</v>
      </c>
      <c r="W28" s="588">
        <f ca="1">+U28-V28</f>
        <v>0.19841528570274258</v>
      </c>
      <c r="X28" s="588">
        <f ca="1">+((W28*(1-0.34))-Pfd_weighted)/Equity_percent</f>
        <v>0.36268630396456419</v>
      </c>
      <c r="Y28" s="588">
        <f ca="1">+X28*equityP</f>
        <v>0.21761178237873852</v>
      </c>
      <c r="Z28" s="588">
        <f ca="1">+Y28/(1-taxrate)</f>
        <v>0.27545795237815002</v>
      </c>
      <c r="AA28" s="588">
        <f>debtP*Debt_Rate</f>
        <v>1.5959999999999998E-2</v>
      </c>
      <c r="AB28" s="588">
        <f ca="1">+AA28+Z28</f>
        <v>0.29141795237814999</v>
      </c>
      <c r="AC28" s="588">
        <f ca="1">+AB28/(S28/100)</f>
        <v>4.3202672083348409E-2</v>
      </c>
      <c r="AD28" s="588">
        <f ca="1">1-AC28</f>
        <v>0.95679732791665162</v>
      </c>
      <c r="AE28" s="41">
        <f ca="1">expenses/(AD28)</f>
        <v>15855564.759173319</v>
      </c>
      <c r="AF28" s="42">
        <f ca="1">+AE28-Revenue</f>
        <v>1921830.6952891797</v>
      </c>
      <c r="AG28" s="4">
        <f ca="1">+AF28/$J$49</f>
        <v>2056236.5071997638</v>
      </c>
      <c r="AH28" s="4">
        <f ca="1">+AG28*$J$47</f>
        <v>46470.945062714665</v>
      </c>
      <c r="AI28" s="41">
        <f t="shared" ca="1" si="10"/>
        <v>15902035.70424</v>
      </c>
    </row>
    <row r="29" spans="1:35" ht="16.5" thickTop="1">
      <c r="A29" s="557"/>
      <c r="B29" s="557"/>
      <c r="C29" s="557"/>
      <c r="D29" s="557"/>
      <c r="E29" s="557"/>
      <c r="F29" s="589">
        <f t="shared" si="6"/>
        <v>23</v>
      </c>
      <c r="G29" s="568"/>
      <c r="H29" s="568"/>
      <c r="I29" s="568"/>
      <c r="J29" s="568"/>
      <c r="K29" s="568"/>
      <c r="L29" s="568"/>
      <c r="M29" s="568"/>
      <c r="N29" s="568"/>
      <c r="O29" s="557"/>
      <c r="P29" s="557"/>
      <c r="R29" s="593">
        <v>4</v>
      </c>
      <c r="S29" s="40">
        <f ca="1">AI24/Investment*100</f>
        <v>674.31452235624818</v>
      </c>
      <c r="T29" s="1">
        <f ca="1">EXP(y_inter4-(slope*LN(S29)))</f>
        <v>3.4520940213390534</v>
      </c>
      <c r="U29" s="588">
        <f ca="1">(+S29*T29/100)/100</f>
        <v>0.2327797131128104</v>
      </c>
      <c r="V29" s="588">
        <f>regDebt_weighted</f>
        <v>3.5860000000000003E-2</v>
      </c>
      <c r="W29" s="588">
        <f ca="1">+U29-V29</f>
        <v>0.1969197131128104</v>
      </c>
      <c r="X29" s="588">
        <f ca="1">+((W29*(1-0.34))-Pfd_weighted)/Equity_percent</f>
        <v>0.35981689143736878</v>
      </c>
      <c r="Y29" s="588">
        <f ca="1">+X29*equityP</f>
        <v>0.21589013486242126</v>
      </c>
      <c r="Z29" s="588">
        <f ca="1">+Y29/(1-taxrate)</f>
        <v>0.27327865172458388</v>
      </c>
      <c r="AA29" s="588">
        <f>debtP*Debt_Rate</f>
        <v>1.5959999999999998E-2</v>
      </c>
      <c r="AB29" s="588">
        <f ca="1">+AA29+Z29</f>
        <v>0.28923865172458385</v>
      </c>
      <c r="AC29" s="588">
        <f ca="1">+AB29/(S29/100)</f>
        <v>4.2893730171182004E-2</v>
      </c>
      <c r="AD29" s="588">
        <f ca="1">1-AC29</f>
        <v>0.95710626982881797</v>
      </c>
      <c r="AE29" s="41">
        <f ca="1">expenses/(AD29)</f>
        <v>15850446.781525912</v>
      </c>
      <c r="AF29" s="42">
        <f ca="1">+AE29-Revenue</f>
        <v>1916712.7176417727</v>
      </c>
      <c r="AG29" s="4">
        <f ca="1">+AF29/$J$49</f>
        <v>2050760.5969089007</v>
      </c>
      <c r="AH29" s="4">
        <f ca="1">+AG29*$J$47</f>
        <v>46347.189490141158</v>
      </c>
      <c r="AI29" s="41">
        <f t="shared" ca="1" si="10"/>
        <v>15896793.97102</v>
      </c>
    </row>
    <row r="30" spans="1:35" ht="15.75">
      <c r="A30" s="557"/>
      <c r="B30" s="557"/>
      <c r="C30" s="557"/>
      <c r="D30" s="557"/>
      <c r="E30" s="557"/>
      <c r="F30" s="589">
        <f t="shared" si="6"/>
        <v>24</v>
      </c>
      <c r="G30" s="568"/>
      <c r="H30" s="568"/>
      <c r="I30" s="568"/>
      <c r="J30" s="627" t="s">
        <v>94</v>
      </c>
      <c r="K30" s="627" t="s">
        <v>96</v>
      </c>
      <c r="L30" s="568"/>
      <c r="M30" s="568"/>
      <c r="N30" s="568"/>
      <c r="O30" s="557"/>
      <c r="P30" s="557"/>
      <c r="R30" s="570" t="s">
        <v>53</v>
      </c>
      <c r="W30" s="2"/>
      <c r="X30" s="6"/>
      <c r="Y30" s="3"/>
      <c r="Z30" s="3"/>
      <c r="AA30" s="6"/>
      <c r="AC30" s="6"/>
      <c r="AD30" s="6"/>
      <c r="AE30" s="3"/>
      <c r="AF30" s="2"/>
      <c r="AH30" s="3"/>
    </row>
    <row r="31" spans="1:35" ht="15.75">
      <c r="A31" s="557"/>
      <c r="B31" s="557"/>
      <c r="C31" s="557"/>
      <c r="D31" s="557"/>
      <c r="E31" s="557"/>
      <c r="F31" s="589">
        <f t="shared" si="6"/>
        <v>25</v>
      </c>
      <c r="G31" s="568"/>
      <c r="H31" s="628" t="s">
        <v>51</v>
      </c>
      <c r="I31" s="629"/>
      <c r="J31" s="630" t="s">
        <v>95</v>
      </c>
      <c r="K31" s="630" t="s">
        <v>95</v>
      </c>
      <c r="L31" s="568"/>
      <c r="M31" s="568"/>
      <c r="N31" s="568"/>
      <c r="O31" s="557"/>
      <c r="P31" s="557"/>
      <c r="R31" s="695">
        <v>1</v>
      </c>
      <c r="S31" s="696">
        <f ca="1">AI26/Investment*100</f>
        <v>675.40097265602333</v>
      </c>
      <c r="T31" s="697">
        <f ca="1">EXP(y_inter1-(slope*LN(+S31)))</f>
        <v>3.5547344835052486</v>
      </c>
      <c r="U31" s="698">
        <f ca="1">(+S31*T31/100)/100</f>
        <v>0.24008711276933517</v>
      </c>
      <c r="V31" s="698">
        <f>regDebt_weighted</f>
        <v>3.5860000000000003E-2</v>
      </c>
      <c r="W31" s="698">
        <f ca="1">+U31-V31</f>
        <v>0.20422711276933517</v>
      </c>
      <c r="X31" s="698">
        <f ca="1">+((W31*(1-0.34))-Pfd_weighted)/Equity_percent</f>
        <v>0.37383690240628253</v>
      </c>
      <c r="Y31" s="698">
        <f ca="1">+X31*equityP</f>
        <v>0.2243021414437695</v>
      </c>
      <c r="Z31" s="698">
        <f ca="1">+Y31/(1-taxrate)</f>
        <v>0.28392676132122718</v>
      </c>
      <c r="AA31" s="698">
        <f>debtP*Debt_Rate</f>
        <v>1.5959999999999998E-2</v>
      </c>
      <c r="AB31" s="698">
        <f ca="1">+AA31+Z31</f>
        <v>0.29988676132122716</v>
      </c>
      <c r="AC31" s="698">
        <f ca="1">+AB31/(S31/100)</f>
        <v>4.4401292485842667E-2</v>
      </c>
      <c r="AD31" s="698">
        <f ca="1">1-AC31</f>
        <v>0.95559870751415732</v>
      </c>
      <c r="AE31" s="699">
        <f ca="1">expenses/(AD31)</f>
        <v>15875452.608815616</v>
      </c>
      <c r="AF31" s="700">
        <f ca="1">+AE31-Revenue</f>
        <v>1941718.5449314769</v>
      </c>
      <c r="AG31" s="701">
        <f ca="1">+AF31/$J$49</f>
        <v>2077515.2403287701</v>
      </c>
      <c r="AH31" s="701">
        <f ca="1">+AG31*$J$47</f>
        <v>46951.844431430211</v>
      </c>
      <c r="AI31" s="699">
        <f ca="1">ROUND(+AH31+AE31,5)</f>
        <v>15922404.45325</v>
      </c>
    </row>
    <row r="32" spans="1:35" ht="15.75">
      <c r="A32" s="557"/>
      <c r="B32" s="557"/>
      <c r="C32" s="557"/>
      <c r="D32" s="557"/>
      <c r="E32" s="557"/>
      <c r="F32" s="589">
        <f t="shared" si="6"/>
        <v>26</v>
      </c>
      <c r="G32" s="568"/>
      <c r="H32" s="577"/>
      <c r="I32" s="577"/>
      <c r="J32" s="577"/>
      <c r="K32" s="577"/>
      <c r="L32" s="568"/>
      <c r="M32" s="568"/>
      <c r="N32" s="568"/>
      <c r="O32" s="557"/>
      <c r="P32" s="557"/>
      <c r="R32" s="587">
        <v>2</v>
      </c>
      <c r="S32" s="40">
        <f ca="1">AI27/Investment*100</f>
        <v>674.88464259885416</v>
      </c>
      <c r="T32" s="595">
        <f ca="1">EXP(y_inter2-(slope*LN(+S32)))</f>
        <v>3.5059910149049784</v>
      </c>
      <c r="U32" s="588">
        <f ca="1">(+S32*T32/100)/100</f>
        <v>0.23661394930489404</v>
      </c>
      <c r="V32" s="588">
        <f>regDebt_weighted</f>
        <v>3.5860000000000003E-2</v>
      </c>
      <c r="W32" s="588">
        <f ca="1">+U32-V32</f>
        <v>0.20075394930489404</v>
      </c>
      <c r="X32" s="588">
        <f ca="1">+((W32*(1-0.34))-Pfd_weighted)/Equity_percent</f>
        <v>0.36717327482915713</v>
      </c>
      <c r="Y32" s="588">
        <f ca="1">+X32*equityP</f>
        <v>0.22030396489749426</v>
      </c>
      <c r="Z32" s="588">
        <f ca="1">+Y32/(1-taxrate)</f>
        <v>0.27886577835125853</v>
      </c>
      <c r="AA32" s="588">
        <f>debtP*Debt_Rate</f>
        <v>1.5959999999999998E-2</v>
      </c>
      <c r="AB32" s="588">
        <f ca="1">+AA32+Z32</f>
        <v>0.29482577835125851</v>
      </c>
      <c r="AC32" s="588">
        <f ca="1">+AB32/(S32/100)</f>
        <v>4.3685358910515393E-2</v>
      </c>
      <c r="AD32" s="588">
        <f ca="1">1-AC32</f>
        <v>0.95631464108948461</v>
      </c>
      <c r="AE32" s="41">
        <f ca="1">expenses/(AD32)</f>
        <v>15863567.640147543</v>
      </c>
      <c r="AF32" s="42">
        <f ca="1">+AE32-Revenue</f>
        <v>1929833.5762634035</v>
      </c>
      <c r="AG32" s="4">
        <f ca="1">+AF32/$J$49</f>
        <v>2064799.0804078565</v>
      </c>
      <c r="AH32" s="4">
        <f ca="1">+AG32*$J$47</f>
        <v>46664.459217217562</v>
      </c>
      <c r="AI32" s="41">
        <f t="shared" ref="AI32:AI34" ca="1" si="11">ROUND(+AH32+AE32,5)</f>
        <v>15910232.09936</v>
      </c>
    </row>
    <row r="33" spans="1:46" ht="15.75">
      <c r="A33" s="557"/>
      <c r="B33" s="557"/>
      <c r="C33" s="557"/>
      <c r="D33" s="557"/>
      <c r="E33" s="557"/>
      <c r="F33" s="589">
        <f t="shared" si="6"/>
        <v>27</v>
      </c>
      <c r="G33" s="568"/>
      <c r="H33" s="577" t="s">
        <v>54</v>
      </c>
      <c r="I33" s="577"/>
      <c r="J33" s="24">
        <f ca="1">+K9/J28</f>
        <v>0.28836921204472898</v>
      </c>
      <c r="K33" s="24">
        <f ca="1">+(M14+M11)/J28</f>
        <v>0.23116327751533594</v>
      </c>
      <c r="L33" s="568"/>
      <c r="M33" s="568"/>
      <c r="N33" s="568"/>
      <c r="O33" s="557"/>
      <c r="P33" s="557"/>
      <c r="R33" s="590">
        <v>3</v>
      </c>
      <c r="S33" s="40">
        <f ca="1">AI28/Investment*100</f>
        <v>674.5369630835429</v>
      </c>
      <c r="T33" s="3">
        <f ca="1">EXP(y_inter3-(slope*LN(S33)))</f>
        <v>3.4731276217874405</v>
      </c>
      <c r="U33" s="588">
        <f ca="1">(+S33*T33/100)/100</f>
        <v>0.23427529584020682</v>
      </c>
      <c r="V33" s="588">
        <f>regDebt_weighted</f>
        <v>3.5860000000000003E-2</v>
      </c>
      <c r="W33" s="588">
        <f ca="1">+U33-V33</f>
        <v>0.19841529584020681</v>
      </c>
      <c r="X33" s="588">
        <f ca="1">+((W33*(1-0.34))-Pfd_weighted)/Equity_percent</f>
        <v>0.3626863234143502</v>
      </c>
      <c r="Y33" s="588">
        <f ca="1">+X33*equityP</f>
        <v>0.21761179404861011</v>
      </c>
      <c r="Z33" s="588">
        <f ca="1">+Y33/(1-taxrate)</f>
        <v>0.27545796715013937</v>
      </c>
      <c r="AA33" s="588">
        <f>debtP*Debt_Rate</f>
        <v>1.5959999999999998E-2</v>
      </c>
      <c r="AB33" s="588">
        <f ca="1">+AA33+Z33</f>
        <v>0.29141796715013935</v>
      </c>
      <c r="AC33" s="588">
        <f ca="1">+AB33/(S33/100)</f>
        <v>4.3202668363489898E-2</v>
      </c>
      <c r="AD33" s="588">
        <f ca="1">1-AC33</f>
        <v>0.95679733163651015</v>
      </c>
      <c r="AE33" s="41">
        <f ca="1">expenses/(AD33)</f>
        <v>15855564.697529692</v>
      </c>
      <c r="AF33" s="42">
        <f ca="1">+AE33-Revenue</f>
        <v>1921830.6336455531</v>
      </c>
      <c r="AG33" s="4">
        <f ca="1">+AF33/$J$49</f>
        <v>2056236.4412450073</v>
      </c>
      <c r="AH33" s="4">
        <f ca="1">+AG33*$J$47</f>
        <v>46470.94357213717</v>
      </c>
      <c r="AI33" s="41">
        <f t="shared" ca="1" si="11"/>
        <v>15902035.641100001</v>
      </c>
    </row>
    <row r="34" spans="1:46" ht="15.75">
      <c r="A34" s="557"/>
      <c r="B34" s="557"/>
      <c r="C34" s="557"/>
      <c r="D34" s="557"/>
      <c r="E34" s="557"/>
      <c r="F34" s="589">
        <f t="shared" si="6"/>
        <v>28</v>
      </c>
      <c r="G34" s="568"/>
      <c r="H34" s="577" t="s">
        <v>55</v>
      </c>
      <c r="I34" s="577"/>
      <c r="J34" s="24">
        <f ca="1">+(M9-M11)/J26</f>
        <v>0.45401535340788168</v>
      </c>
      <c r="K34" s="24">
        <f ca="1">+M14/J26</f>
        <v>0.35867212919222657</v>
      </c>
      <c r="L34" s="568"/>
      <c r="M34" s="568"/>
      <c r="N34" s="568"/>
      <c r="O34" s="10"/>
      <c r="P34" s="557"/>
      <c r="R34" s="593">
        <v>4</v>
      </c>
      <c r="S34" s="40">
        <f ca="1">AI29/Investment*100</f>
        <v>674.31461778931305</v>
      </c>
      <c r="T34" s="1">
        <f ca="1">EXP(y_inter4-(slope*LN(S34)))</f>
        <v>3.4520936873244596</v>
      </c>
      <c r="U34" s="588">
        <f ca="1">(+S34*T34/100)/100</f>
        <v>0.23277972353410931</v>
      </c>
      <c r="V34" s="588">
        <f>regDebt_weighted</f>
        <v>3.5860000000000003E-2</v>
      </c>
      <c r="W34" s="588">
        <f ca="1">+U34-V34</f>
        <v>0.1969197235341093</v>
      </c>
      <c r="X34" s="588">
        <f ca="1">+((W34*(1-0.34))-Pfd_weighted)/Equity_percent</f>
        <v>0.35981691143172134</v>
      </c>
      <c r="Y34" s="588">
        <f ca="1">+X34*equityP</f>
        <v>0.21589014685903279</v>
      </c>
      <c r="Z34" s="588">
        <f ca="1">+Y34/(1-taxrate)</f>
        <v>0.27327866691016806</v>
      </c>
      <c r="AA34" s="588">
        <f>debtP*Debt_Rate</f>
        <v>1.5959999999999998E-2</v>
      </c>
      <c r="AB34" s="588">
        <f ca="1">+AA34+Z34</f>
        <v>0.28923866691016803</v>
      </c>
      <c r="AC34" s="588">
        <f ca="1">+AB34/(S34/100)</f>
        <v>4.2893726352605854E-2</v>
      </c>
      <c r="AD34" s="588">
        <f ca="1">1-AC34</f>
        <v>0.95710627364739409</v>
      </c>
      <c r="AE34" s="41">
        <f ca="1">expenses/(AD34)</f>
        <v>15850446.718287231</v>
      </c>
      <c r="AF34" s="42">
        <f ca="1">+AE34-Revenue</f>
        <v>1916712.6544030923</v>
      </c>
      <c r="AG34" s="4">
        <f ca="1">+AF34/$J$49</f>
        <v>2050760.5292475382</v>
      </c>
      <c r="AH34" s="4">
        <f ca="1">+AG34*$J$47</f>
        <v>46347.187960994364</v>
      </c>
      <c r="AI34" s="41">
        <f t="shared" ca="1" si="11"/>
        <v>15896793.90625</v>
      </c>
    </row>
    <row r="35" spans="1:46" ht="15.75">
      <c r="A35" s="557"/>
      <c r="B35" s="557"/>
      <c r="C35" s="557"/>
      <c r="D35" s="557"/>
      <c r="E35" s="557"/>
      <c r="F35" s="589">
        <f t="shared" si="6"/>
        <v>29</v>
      </c>
      <c r="G35" s="568"/>
      <c r="H35" s="631" t="s">
        <v>31</v>
      </c>
      <c r="I35" s="577"/>
      <c r="J35" s="24">
        <f ca="1">+K8/K7</f>
        <v>0.95711000000000002</v>
      </c>
      <c r="K35" s="24">
        <f ca="1">+M8/M7</f>
        <v>0.95723504249634128</v>
      </c>
      <c r="L35" s="568"/>
      <c r="M35" s="568"/>
      <c r="N35" s="568"/>
      <c r="O35" s="557"/>
      <c r="P35" s="557"/>
      <c r="R35" s="570" t="s">
        <v>84</v>
      </c>
      <c r="X35" s="6"/>
      <c r="Y35" s="7"/>
      <c r="Z35" s="3"/>
      <c r="AA35" s="6"/>
      <c r="AC35" s="6"/>
      <c r="AD35" s="6"/>
      <c r="AE35" s="3"/>
      <c r="AF35" s="2"/>
      <c r="AH35" s="3"/>
    </row>
    <row r="36" spans="1:46" ht="15.75">
      <c r="A36" s="557"/>
      <c r="B36" s="557"/>
      <c r="C36" s="557"/>
      <c r="D36" s="557"/>
      <c r="E36" s="557"/>
      <c r="F36" s="589">
        <f t="shared" si="6"/>
        <v>30</v>
      </c>
      <c r="G36" s="568"/>
      <c r="H36" s="577" t="s">
        <v>56</v>
      </c>
      <c r="I36" s="577"/>
      <c r="J36" s="24">
        <f ca="1">+K9/K7</f>
        <v>4.288999999999997E-2</v>
      </c>
      <c r="K36" s="24">
        <f ca="1">+J36</f>
        <v>4.288999999999997E-2</v>
      </c>
      <c r="L36" s="568"/>
      <c r="M36" s="568"/>
      <c r="N36" s="568"/>
      <c r="O36" s="557"/>
      <c r="P36" s="557"/>
      <c r="R36" s="695">
        <v>1</v>
      </c>
      <c r="S36" s="696">
        <f ca="1">AI31/Investment*100</f>
        <v>675.40097033107747</v>
      </c>
      <c r="T36" s="697">
        <f ca="1">EXP(y_inter1-(slope*LN(+S36)))</f>
        <v>3.5547344918710024</v>
      </c>
      <c r="U36" s="698">
        <f ca="1">(+S36*T36/100)/100</f>
        <v>0.24008711250790249</v>
      </c>
      <c r="V36" s="698">
        <f>regDebt_weighted</f>
        <v>3.5860000000000003E-2</v>
      </c>
      <c r="W36" s="698">
        <f ca="1">+U36-V36</f>
        <v>0.20422711250790249</v>
      </c>
      <c r="X36" s="698">
        <f ca="1">+((W36*(1-0.34))-Pfd_weighted)/Equity_percent</f>
        <v>0.37383690190469659</v>
      </c>
      <c r="Y36" s="698">
        <f ca="1">+X36*equityP</f>
        <v>0.22430214114281796</v>
      </c>
      <c r="Z36" s="698">
        <f ca="1">+Y36/(1-taxrate)</f>
        <v>0.28392676094027591</v>
      </c>
      <c r="AA36" s="698">
        <f>debtP*Debt_Rate</f>
        <v>1.5959999999999998E-2</v>
      </c>
      <c r="AB36" s="698">
        <f ca="1">+AA36+Z36</f>
        <v>0.29988676094027589</v>
      </c>
      <c r="AC36" s="698">
        <f ca="1">+AB36/(S36/100)</f>
        <v>4.4401292582282377E-2</v>
      </c>
      <c r="AD36" s="698">
        <f ca="1">1-AC36</f>
        <v>0.95559870741771757</v>
      </c>
      <c r="AE36" s="699">
        <f ca="1">expenses/(AD36)</f>
        <v>15875452.610417778</v>
      </c>
      <c r="AF36" s="700">
        <f ca="1">+AE36-Revenue</f>
        <v>1941718.5465336386</v>
      </c>
      <c r="AG36" s="701">
        <f ca="1">+AF36/$J$49</f>
        <v>2077515.2420429813</v>
      </c>
      <c r="AH36" s="701">
        <f ca="1">+AG36*$J$47</f>
        <v>46951.844470171382</v>
      </c>
      <c r="AI36" s="699">
        <f ca="1">ROUND(+AH36+AE36,5)</f>
        <v>15922404.45489</v>
      </c>
    </row>
    <row r="37" spans="1:46" ht="15.75">
      <c r="A37" s="557"/>
      <c r="B37" s="557"/>
      <c r="C37" s="557"/>
      <c r="D37" s="557"/>
      <c r="E37" s="557"/>
      <c r="F37" s="589">
        <f t="shared" si="6"/>
        <v>31</v>
      </c>
      <c r="G37" s="568"/>
      <c r="H37" s="577" t="s">
        <v>57</v>
      </c>
      <c r="I37" s="632"/>
      <c r="J37" s="27">
        <f ca="1">+S39/100</f>
        <v>6.7431461504188128</v>
      </c>
      <c r="K37" s="27">
        <f ca="1">+J37</f>
        <v>6.7431461504188128</v>
      </c>
      <c r="L37" s="568"/>
      <c r="M37" s="568"/>
      <c r="N37" s="568"/>
      <c r="O37" s="557"/>
      <c r="P37" s="557"/>
      <c r="R37" s="587">
        <v>2</v>
      </c>
      <c r="S37" s="40">
        <f ca="1">AI32/Investment*100</f>
        <v>674.88464004612229</v>
      </c>
      <c r="T37" s="595">
        <f ca="1">EXP(y_inter2-(slope*LN(+S37)))</f>
        <v>3.5059910239713368</v>
      </c>
      <c r="U37" s="588">
        <f ca="1">(+S37*T37/100)/100</f>
        <v>0.23661394902178312</v>
      </c>
      <c r="V37" s="588">
        <f>regDebt_weighted</f>
        <v>3.5860000000000003E-2</v>
      </c>
      <c r="W37" s="588">
        <f ca="1">+U37-V37</f>
        <v>0.20075394902178312</v>
      </c>
      <c r="X37" s="588">
        <f ca="1">+((W37*(1-0.34))-Pfd_weighted)/Equity_percent</f>
        <v>0.36717327428597923</v>
      </c>
      <c r="Y37" s="588">
        <f ca="1">+X37*equityP</f>
        <v>0.22030396457158755</v>
      </c>
      <c r="Z37" s="588">
        <f ca="1">+Y37/(1-taxrate)</f>
        <v>0.27886577793871842</v>
      </c>
      <c r="AA37" s="588">
        <f>debtP*Debt_Rate</f>
        <v>1.5959999999999998E-2</v>
      </c>
      <c r="AB37" s="588">
        <f ca="1">+AA37+Z37</f>
        <v>0.29482577793871839</v>
      </c>
      <c r="AC37" s="588">
        <f ca="1">+AB37/(S37/100)</f>
        <v>4.3685359014626515E-2</v>
      </c>
      <c r="AD37" s="588">
        <f ca="1">1-AC37</f>
        <v>0.95631464098537344</v>
      </c>
      <c r="AE37" s="41">
        <f ca="1">expenses/(AD37)</f>
        <v>15863567.641874563</v>
      </c>
      <c r="AF37" s="42">
        <f ca="1">+AE37-Revenue</f>
        <v>1929833.5779904239</v>
      </c>
      <c r="AG37" s="4">
        <f ca="1">+AF37/$J$49</f>
        <v>2064799.0822556585</v>
      </c>
      <c r="AH37" s="4">
        <f ca="1">+AG37*$J$47</f>
        <v>46664.459258977884</v>
      </c>
      <c r="AI37" s="41">
        <f t="shared" ref="AI37:AI39" ca="1" si="12">ROUND(+AH37+AE37,5)</f>
        <v>15910232.101129999</v>
      </c>
    </row>
    <row r="38" spans="1:46" ht="15.75">
      <c r="A38" s="557"/>
      <c r="B38" s="557"/>
      <c r="C38" s="557"/>
      <c r="D38" s="557"/>
      <c r="E38" s="557"/>
      <c r="F38" s="589">
        <f t="shared" si="6"/>
        <v>32</v>
      </c>
      <c r="G38" s="568"/>
      <c r="H38" s="577" t="s">
        <v>58</v>
      </c>
      <c r="I38" s="568"/>
      <c r="J38" s="24">
        <f>+C10</f>
        <v>0.21</v>
      </c>
      <c r="K38" s="24">
        <f>+J38</f>
        <v>0.21</v>
      </c>
      <c r="L38" s="568"/>
      <c r="M38" s="568"/>
      <c r="N38" s="568"/>
      <c r="O38" s="557"/>
      <c r="P38" s="557"/>
      <c r="Q38" s="633"/>
      <c r="R38" s="590">
        <v>3</v>
      </c>
      <c r="S38" s="40">
        <f ca="1">AI33/Investment*100</f>
        <v>674.5369604052529</v>
      </c>
      <c r="T38" s="3">
        <f ca="1">EXP(y_inter3-(slope*LN(S38)))</f>
        <v>3.4731276312154296</v>
      </c>
      <c r="U38" s="588">
        <f ca="1">(+S38*T38/100)/100</f>
        <v>0.23427529554595522</v>
      </c>
      <c r="V38" s="588">
        <f>regDebt_weighted</f>
        <v>3.5860000000000003E-2</v>
      </c>
      <c r="W38" s="588">
        <f ca="1">+U38-V38</f>
        <v>0.19841529554595522</v>
      </c>
      <c r="X38" s="588">
        <f ca="1">+((W38*(1-0.34))-Pfd_weighted)/Equity_percent</f>
        <v>0.36268632284979779</v>
      </c>
      <c r="Y38" s="588">
        <f ca="1">+X38*equityP</f>
        <v>0.21761179370987868</v>
      </c>
      <c r="Z38" s="588">
        <f ca="1">+Y38/(1-taxrate)</f>
        <v>0.27545796672136541</v>
      </c>
      <c r="AA38" s="588">
        <f>debtP*Debt_Rate</f>
        <v>1.5959999999999998E-2</v>
      </c>
      <c r="AB38" s="588">
        <f ca="1">+AA38+Z38</f>
        <v>0.29141796672136538</v>
      </c>
      <c r="AC38" s="588">
        <f ca="1">+AB38/(S38/100)</f>
        <v>4.3202668471463049E-2</v>
      </c>
      <c r="AD38" s="588">
        <f ca="1">1-AC38</f>
        <v>0.95679733152853697</v>
      </c>
      <c r="AE38" s="41">
        <f ca="1">expenses/(AD38)</f>
        <v>15855564.69931897</v>
      </c>
      <c r="AF38" s="42">
        <f ca="1">+AE38-Revenue</f>
        <v>1921830.6354348306</v>
      </c>
      <c r="AG38" s="4">
        <f ca="1">+AF38/$J$49</f>
        <v>2056236.4431594203</v>
      </c>
      <c r="AH38" s="4">
        <f ca="1">+AG38*$J$47</f>
        <v>46470.943615402903</v>
      </c>
      <c r="AI38" s="41">
        <f t="shared" ca="1" si="12"/>
        <v>15902035.642929999</v>
      </c>
    </row>
    <row r="39" spans="1:46" ht="15.75">
      <c r="A39" s="557"/>
      <c r="B39" s="557"/>
      <c r="C39" s="557"/>
      <c r="D39" s="557"/>
      <c r="E39" s="557"/>
      <c r="F39" s="589">
        <f t="shared" si="6"/>
        <v>33</v>
      </c>
      <c r="G39" s="568"/>
      <c r="H39" s="568"/>
      <c r="I39" s="568"/>
      <c r="J39" s="568"/>
      <c r="K39" s="568"/>
      <c r="L39" s="568"/>
      <c r="M39" s="568"/>
      <c r="N39" s="568"/>
      <c r="O39" s="557"/>
      <c r="P39" s="557"/>
      <c r="R39" s="593">
        <v>4</v>
      </c>
      <c r="S39" s="40">
        <f ca="1">AI34/Investment*100</f>
        <v>674.31461504188132</v>
      </c>
      <c r="T39" s="1">
        <f ca="1">EXP(y_inter4-(slope*LN(S39)))</f>
        <v>3.4520936969404374</v>
      </c>
      <c r="U39" s="588">
        <f ca="1">(+S39*T39/100)/100</f>
        <v>0.23277972323408958</v>
      </c>
      <c r="V39" s="588">
        <f>regDebt_weighted</f>
        <v>3.5860000000000003E-2</v>
      </c>
      <c r="W39" s="588">
        <f ca="1">+U39-V39</f>
        <v>0.19691972323408957</v>
      </c>
      <c r="X39" s="588">
        <f ca="1">+((W39*(1-0.34))-Pfd_weighted)/Equity_percent</f>
        <v>0.35981691085610212</v>
      </c>
      <c r="Y39" s="588">
        <f ca="1">+X39*equityP</f>
        <v>0.21589014651366126</v>
      </c>
      <c r="Z39" s="588">
        <f ca="1">+Y39/(1-taxrate)</f>
        <v>0.27327866647298893</v>
      </c>
      <c r="AA39" s="588">
        <f>debtP*Debt_Rate</f>
        <v>1.5959999999999998E-2</v>
      </c>
      <c r="AB39" s="588">
        <f ca="1">+AA39+Z39</f>
        <v>0.2892386664729889</v>
      </c>
      <c r="AC39" s="588">
        <f ca="1">+AB39/(S39/100)</f>
        <v>4.2893726462539222E-2</v>
      </c>
      <c r="AD39" s="588">
        <f ca="1">1-AC39</f>
        <v>0.95710627353746081</v>
      </c>
      <c r="AE39" s="41">
        <f ca="1">expenses/(AD39)</f>
        <v>15850446.720107816</v>
      </c>
      <c r="AF39" s="42">
        <f ca="1">+AE39-Revenue</f>
        <v>1916712.6562236771</v>
      </c>
      <c r="AG39" s="4">
        <f ca="1">+AF39/$J$49</f>
        <v>2050760.531195448</v>
      </c>
      <c r="AH39" s="4">
        <f ca="1">+AG39*$J$47</f>
        <v>46347.188005017131</v>
      </c>
      <c r="AI39" s="41">
        <f t="shared" ca="1" si="12"/>
        <v>15896793.90811</v>
      </c>
    </row>
    <row r="40" spans="1:46" ht="15.75">
      <c r="A40" s="557"/>
      <c r="B40" s="557"/>
      <c r="C40" s="557"/>
      <c r="D40" s="557"/>
      <c r="E40" s="557"/>
      <c r="F40" s="589">
        <f t="shared" si="6"/>
        <v>34</v>
      </c>
      <c r="G40" s="632"/>
      <c r="H40" s="568"/>
      <c r="I40" s="568"/>
      <c r="J40" s="568"/>
      <c r="K40" s="568"/>
      <c r="L40" s="568"/>
      <c r="M40" s="568"/>
      <c r="N40" s="568"/>
      <c r="O40" s="557"/>
      <c r="P40" s="557"/>
      <c r="X40" s="6"/>
      <c r="Y40" s="7"/>
      <c r="Z40" s="3"/>
      <c r="AA40" s="6"/>
      <c r="AC40" s="6"/>
      <c r="AD40" s="6"/>
      <c r="AE40" s="3"/>
      <c r="AF40" s="2"/>
      <c r="AH40" s="3"/>
    </row>
    <row r="41" spans="1:46" ht="15.75">
      <c r="A41" s="557"/>
      <c r="B41" s="557"/>
      <c r="C41" s="557"/>
      <c r="D41" s="557"/>
      <c r="E41" s="557"/>
      <c r="F41" s="589">
        <f t="shared" si="6"/>
        <v>35</v>
      </c>
      <c r="G41" s="568"/>
      <c r="H41" s="628" t="s">
        <v>61</v>
      </c>
      <c r="I41" s="634"/>
      <c r="J41" s="568"/>
      <c r="K41" s="568"/>
      <c r="L41" s="568"/>
      <c r="M41" s="568"/>
      <c r="N41" s="568"/>
      <c r="O41" s="557"/>
      <c r="P41" s="557"/>
      <c r="R41" s="705" t="s">
        <v>59</v>
      </c>
      <c r="S41" s="706"/>
      <c r="T41" s="707"/>
      <c r="U41" s="707"/>
      <c r="V41" s="708"/>
      <c r="X41" s="5"/>
      <c r="Y41" s="7"/>
      <c r="Z41" s="3"/>
      <c r="AA41" s="6"/>
      <c r="AC41" s="6"/>
      <c r="AD41" s="6"/>
      <c r="AE41" s="3"/>
      <c r="AF41" s="2"/>
      <c r="AH41" s="3"/>
    </row>
    <row r="42" spans="1:46" ht="15.75">
      <c r="A42" s="557"/>
      <c r="B42" s="557"/>
      <c r="C42" s="557"/>
      <c r="D42" s="557"/>
      <c r="E42" s="557"/>
      <c r="F42" s="589">
        <f t="shared" si="6"/>
        <v>36</v>
      </c>
      <c r="G42" s="568"/>
      <c r="H42" s="568"/>
      <c r="I42" s="568"/>
      <c r="J42" s="639" t="s">
        <v>48</v>
      </c>
      <c r="K42" s="640" t="s">
        <v>20</v>
      </c>
      <c r="L42" s="568"/>
      <c r="M42" s="568"/>
      <c r="N42" s="568"/>
      <c r="O42" s="557"/>
      <c r="P42" s="557"/>
      <c r="R42" s="641" t="s">
        <v>60</v>
      </c>
      <c r="S42" s="642"/>
      <c r="V42" s="643"/>
      <c r="X42" s="6"/>
      <c r="Y42" s="7"/>
      <c r="Z42" s="3"/>
      <c r="AA42" s="6"/>
      <c r="AC42" s="6"/>
      <c r="AD42" s="6"/>
      <c r="AE42" s="3"/>
      <c r="AH42" s="3"/>
    </row>
    <row r="43" spans="1:46" ht="15.75">
      <c r="A43" s="557"/>
      <c r="B43" s="557"/>
      <c r="C43" s="557"/>
      <c r="D43" s="557"/>
      <c r="E43" s="557"/>
      <c r="F43" s="589">
        <f t="shared" si="6"/>
        <v>37</v>
      </c>
      <c r="G43" s="568"/>
      <c r="H43" s="577" t="s">
        <v>62</v>
      </c>
      <c r="I43" s="644"/>
      <c r="J43" s="43">
        <f>IF($A$65=TRUE,C11,0)</f>
        <v>1.7500000000000002E-2</v>
      </c>
      <c r="K43" s="645">
        <f ca="1">+J43*($J$7/$J$49)</f>
        <v>35887.153789398079</v>
      </c>
      <c r="L43" s="568"/>
      <c r="M43" s="568"/>
      <c r="N43" s="568"/>
      <c r="O43" s="557"/>
      <c r="P43" s="557"/>
      <c r="R43" s="590">
        <v>0</v>
      </c>
      <c r="S43" s="646">
        <v>1</v>
      </c>
      <c r="U43" s="647" t="s">
        <v>56</v>
      </c>
      <c r="V43" s="8">
        <f ca="1">VLOOKUP(R49,R36:AE39,12)</f>
        <v>4.2893726462539222E-2</v>
      </c>
      <c r="AA43" s="6"/>
      <c r="AC43" s="6"/>
      <c r="AH43" s="3"/>
      <c r="AL43" s="6"/>
      <c r="AM43" s="6"/>
      <c r="AN43" s="6"/>
      <c r="AO43" s="6"/>
      <c r="AP43" s="6"/>
      <c r="AQ43" s="6"/>
      <c r="AR43" s="6"/>
      <c r="AS43" s="6"/>
      <c r="AT43" s="6"/>
    </row>
    <row r="44" spans="1:46" ht="15.75">
      <c r="A44" s="557"/>
      <c r="B44" s="557"/>
      <c r="C44" s="557"/>
      <c r="D44" s="557"/>
      <c r="E44" s="557"/>
      <c r="F44" s="589">
        <f t="shared" si="6"/>
        <v>38</v>
      </c>
      <c r="G44" s="568"/>
      <c r="H44" s="577" t="s">
        <v>63</v>
      </c>
      <c r="I44" s="644"/>
      <c r="J44" s="43">
        <f t="shared" ref="J44:J46" si="13">IF($A$65=TRUE,C12,0)</f>
        <v>5.1000000000000004E-3</v>
      </c>
      <c r="K44" s="645">
        <f ca="1">+J44*($J$7/$J$49)</f>
        <v>10458.541961481726</v>
      </c>
      <c r="L44" s="568"/>
      <c r="M44" s="568"/>
      <c r="N44" s="568"/>
      <c r="O44" s="557"/>
      <c r="P44" s="557"/>
      <c r="R44" s="590">
        <v>50</v>
      </c>
      <c r="S44" s="646">
        <v>2</v>
      </c>
      <c r="U44" s="647" t="s">
        <v>31</v>
      </c>
      <c r="V44" s="8">
        <f ca="1">ROUND(1-V43,5)</f>
        <v>0.95711000000000002</v>
      </c>
      <c r="Y44" s="16"/>
      <c r="Z44" s="570"/>
      <c r="AA44" s="570"/>
      <c r="AC44" s="6"/>
      <c r="AF44" s="2"/>
      <c r="AH44" s="3"/>
      <c r="AL44" s="6"/>
      <c r="AM44" s="6"/>
      <c r="AN44" s="6"/>
      <c r="AO44" s="6"/>
      <c r="AP44" s="6"/>
      <c r="AQ44" s="6"/>
      <c r="AR44" s="6"/>
      <c r="AS44" s="6"/>
      <c r="AT44" s="6"/>
    </row>
    <row r="45" spans="1:46" ht="15.75">
      <c r="A45" s="557"/>
      <c r="B45" s="557"/>
      <c r="C45" s="557"/>
      <c r="D45" s="557"/>
      <c r="E45" s="557"/>
      <c r="F45" s="589">
        <f t="shared" si="6"/>
        <v>39</v>
      </c>
      <c r="G45" s="568"/>
      <c r="H45" s="577" t="s">
        <v>66</v>
      </c>
      <c r="I45" s="644"/>
      <c r="J45" s="43">
        <f t="shared" si="13"/>
        <v>0</v>
      </c>
      <c r="K45" s="645">
        <f ca="1">+J45*($J$7/$J$49)</f>
        <v>0</v>
      </c>
      <c r="L45" s="568"/>
      <c r="M45" s="568"/>
      <c r="N45" s="568"/>
      <c r="O45" s="557"/>
      <c r="P45" s="557"/>
      <c r="R45" s="590">
        <v>125</v>
      </c>
      <c r="S45" s="646">
        <v>3</v>
      </c>
      <c r="U45" s="67" t="s">
        <v>107</v>
      </c>
      <c r="V45" s="57">
        <f ca="1">+M7/Revenue-1</f>
        <v>0.14088087443103903</v>
      </c>
      <c r="W45" s="4"/>
      <c r="X45" s="6"/>
      <c r="Y45" s="16"/>
      <c r="Z45" s="3"/>
      <c r="AA45" s="6"/>
      <c r="AC45" s="6"/>
      <c r="AD45" s="6"/>
      <c r="AE45" s="3"/>
      <c r="AF45" s="2"/>
      <c r="AH45" s="3"/>
      <c r="AL45" s="6"/>
      <c r="AM45" s="6"/>
      <c r="AN45" s="6"/>
      <c r="AO45" s="6"/>
      <c r="AP45" s="6"/>
      <c r="AQ45" s="6"/>
      <c r="AR45" s="6"/>
      <c r="AS45" s="6"/>
      <c r="AT45" s="6"/>
    </row>
    <row r="46" spans="1:46" ht="15.75">
      <c r="A46" s="557"/>
      <c r="B46" s="557"/>
      <c r="C46" s="557"/>
      <c r="D46" s="557"/>
      <c r="E46" s="557"/>
      <c r="F46" s="589">
        <f t="shared" si="6"/>
        <v>40</v>
      </c>
      <c r="G46" s="568"/>
      <c r="H46" s="577" t="s">
        <v>69</v>
      </c>
      <c r="I46" s="644"/>
      <c r="J46" s="43">
        <f t="shared" si="13"/>
        <v>0</v>
      </c>
      <c r="K46" s="645">
        <f ca="1">+J46*($J$7/$J$49)</f>
        <v>0</v>
      </c>
      <c r="L46" s="568"/>
      <c r="M46" s="568"/>
      <c r="N46" s="568"/>
      <c r="O46" s="557"/>
      <c r="P46" s="557"/>
      <c r="R46" s="593">
        <v>401</v>
      </c>
      <c r="S46" s="648">
        <v>4</v>
      </c>
      <c r="T46" s="649"/>
      <c r="U46" s="649"/>
      <c r="V46" s="650"/>
      <c r="X46" s="6"/>
      <c r="Y46" s="7"/>
      <c r="Z46" s="3"/>
      <c r="AA46" s="6"/>
      <c r="AC46" s="6"/>
      <c r="AD46" s="6"/>
      <c r="AE46" s="3"/>
      <c r="AF46" s="2"/>
      <c r="AH46" s="3"/>
      <c r="AL46" s="6"/>
      <c r="AM46" s="6"/>
      <c r="AN46" s="6"/>
      <c r="AO46" s="6"/>
      <c r="AP46" s="6"/>
      <c r="AQ46" s="6"/>
      <c r="AR46" s="6"/>
      <c r="AS46" s="6"/>
      <c r="AT46" s="6"/>
    </row>
    <row r="47" spans="1:46" ht="16.5" thickBot="1">
      <c r="A47" s="557"/>
      <c r="B47" s="557"/>
      <c r="C47" s="557"/>
      <c r="D47" s="557"/>
      <c r="E47" s="557"/>
      <c r="F47" s="589">
        <f t="shared" si="6"/>
        <v>41</v>
      </c>
      <c r="G47" s="568"/>
      <c r="H47" s="577" t="s">
        <v>71</v>
      </c>
      <c r="I47" s="632"/>
      <c r="J47" s="50">
        <f>SUM(J43:J46)</f>
        <v>2.2600000000000002E-2</v>
      </c>
      <c r="K47" s="49">
        <f ca="1">+K43+K44+K45+K46</f>
        <v>46345.695750879808</v>
      </c>
      <c r="L47" s="568"/>
      <c r="M47" s="568"/>
      <c r="N47" s="568"/>
      <c r="O47" s="557"/>
      <c r="P47" s="557"/>
      <c r="R47" s="590"/>
      <c r="S47" s="570"/>
      <c r="X47" s="6"/>
      <c r="Y47" s="7"/>
      <c r="Z47" s="3"/>
      <c r="AA47" s="6"/>
      <c r="AC47" s="6"/>
      <c r="AD47" s="6"/>
      <c r="AE47" s="3"/>
      <c r="AF47" s="2"/>
      <c r="AH47" s="3"/>
      <c r="AL47" s="6"/>
      <c r="AM47" s="6"/>
      <c r="AN47" s="6"/>
      <c r="AO47" s="6"/>
      <c r="AP47" s="6"/>
      <c r="AQ47" s="6"/>
      <c r="AR47" s="6"/>
      <c r="AS47" s="6"/>
      <c r="AT47" s="6"/>
    </row>
    <row r="48" spans="1:46" ht="16.5" thickTop="1">
      <c r="A48" s="557"/>
      <c r="B48" s="557"/>
      <c r="C48" s="557"/>
      <c r="D48" s="557"/>
      <c r="E48" s="557"/>
      <c r="F48" s="589">
        <f t="shared" si="6"/>
        <v>42</v>
      </c>
      <c r="G48" s="568"/>
      <c r="H48" s="577"/>
      <c r="I48" s="632"/>
      <c r="J48" s="43"/>
      <c r="K48" s="20"/>
      <c r="L48" s="568"/>
      <c r="M48" s="568"/>
      <c r="N48" s="568"/>
      <c r="O48" s="557"/>
      <c r="P48" s="557"/>
      <c r="R48" s="709">
        <f ca="1">VLOOKUP(R49,R36:S39,2)</f>
        <v>674.31461504188132</v>
      </c>
      <c r="S48" s="710" t="s">
        <v>64</v>
      </c>
      <c r="T48" s="708"/>
      <c r="V48" s="707"/>
      <c r="X48" s="67" t="s">
        <v>65</v>
      </c>
      <c r="AC48" s="6"/>
      <c r="AF48" s="2"/>
      <c r="AH48" s="3"/>
    </row>
    <row r="49" spans="1:46" ht="15.75">
      <c r="A49" s="557"/>
      <c r="B49" s="557"/>
      <c r="C49" s="557"/>
      <c r="D49" s="557"/>
      <c r="E49" s="557"/>
      <c r="F49" s="589">
        <f t="shared" si="6"/>
        <v>43</v>
      </c>
      <c r="G49" s="572"/>
      <c r="H49" s="577" t="s">
        <v>73</v>
      </c>
      <c r="I49" s="568"/>
      <c r="J49" s="24">
        <f ca="1">((K35)-J47)</f>
        <v>0.93463504249634133</v>
      </c>
      <c r="K49" s="568"/>
      <c r="L49" s="568"/>
      <c r="M49" s="568"/>
      <c r="N49" s="568"/>
      <c r="O49" s="557"/>
      <c r="P49" s="557"/>
      <c r="R49" s="590">
        <f ca="1">VLOOKUP(S36,R43:S46,2)</f>
        <v>4</v>
      </c>
      <c r="S49" s="653" t="s">
        <v>67</v>
      </c>
      <c r="T49" s="643"/>
      <c r="X49" s="67" t="s">
        <v>68</v>
      </c>
      <c r="AA49" s="570"/>
      <c r="AC49" s="6"/>
      <c r="AH49" s="3"/>
    </row>
    <row r="50" spans="1:46">
      <c r="A50" s="557"/>
      <c r="B50" s="557"/>
      <c r="C50" s="557"/>
      <c r="D50" s="557"/>
      <c r="E50" s="557"/>
      <c r="F50" s="557"/>
      <c r="G50" s="557"/>
      <c r="H50" s="557"/>
      <c r="I50" s="557"/>
      <c r="J50" s="557"/>
      <c r="K50" s="654"/>
      <c r="L50" s="557"/>
      <c r="M50" s="557"/>
      <c r="N50" s="11"/>
      <c r="O50" s="557"/>
      <c r="P50" s="557"/>
      <c r="R50" s="590"/>
      <c r="T50" s="643"/>
      <c r="X50" s="67" t="s">
        <v>70</v>
      </c>
      <c r="AA50" s="6"/>
      <c r="AC50" s="6"/>
      <c r="AD50" s="6"/>
      <c r="AE50" s="3"/>
      <c r="AH50" s="3"/>
    </row>
    <row r="51" spans="1:46">
      <c r="A51" s="557"/>
      <c r="B51" s="557"/>
      <c r="C51" s="557"/>
      <c r="D51" s="557"/>
      <c r="E51" s="557"/>
      <c r="F51" s="557"/>
      <c r="G51" s="557"/>
      <c r="H51" s="557"/>
      <c r="I51" s="557"/>
      <c r="J51" s="557"/>
      <c r="K51" s="654"/>
      <c r="L51" s="557"/>
      <c r="M51" s="557"/>
      <c r="N51" s="11"/>
      <c r="O51" s="557"/>
      <c r="P51" s="557"/>
      <c r="R51" s="655">
        <f ca="1">+V44</f>
        <v>0.95711000000000002</v>
      </c>
      <c r="S51" s="649" t="s">
        <v>31</v>
      </c>
      <c r="T51" s="656"/>
      <c r="X51" s="67" t="s">
        <v>72</v>
      </c>
      <c r="AA51" s="6"/>
      <c r="AC51" s="6"/>
      <c r="AD51" s="6"/>
      <c r="AE51" s="3"/>
      <c r="AF51" s="6"/>
      <c r="AH51" s="3"/>
      <c r="AL51" s="6"/>
      <c r="AM51" s="6"/>
      <c r="AN51" s="6"/>
      <c r="AO51" s="6"/>
      <c r="AP51" s="6"/>
      <c r="AQ51" s="6"/>
      <c r="AR51" s="6"/>
      <c r="AS51" s="6"/>
      <c r="AT51" s="6"/>
    </row>
    <row r="52" spans="1:46">
      <c r="A52" s="557"/>
      <c r="B52" s="557"/>
      <c r="C52" s="557"/>
      <c r="D52" s="557"/>
      <c r="E52" s="557"/>
      <c r="F52" s="557"/>
      <c r="G52" s="557"/>
      <c r="H52" s="557"/>
      <c r="I52" s="557"/>
      <c r="J52" s="557"/>
      <c r="K52" s="557"/>
      <c r="L52" s="557"/>
      <c r="M52" s="557"/>
      <c r="N52" s="557"/>
      <c r="O52" s="557"/>
      <c r="P52" s="557"/>
      <c r="Z52" s="3"/>
      <c r="AA52" s="6"/>
      <c r="AC52" s="6"/>
      <c r="AD52" s="6"/>
      <c r="AE52" s="3"/>
      <c r="AF52" s="2"/>
      <c r="AH52" s="3"/>
      <c r="AL52" s="6"/>
      <c r="AM52" s="6"/>
      <c r="AN52" s="6"/>
      <c r="AO52" s="6"/>
      <c r="AP52" s="6"/>
      <c r="AQ52" s="6"/>
      <c r="AR52" s="6"/>
      <c r="AS52" s="6"/>
      <c r="AT52" s="6"/>
    </row>
    <row r="53" spans="1:46">
      <c r="A53" s="557"/>
      <c r="B53" s="557"/>
      <c r="C53" s="557"/>
      <c r="D53" s="557"/>
      <c r="E53" s="557"/>
      <c r="F53" s="557"/>
      <c r="G53" s="557"/>
      <c r="H53" s="557"/>
      <c r="I53" s="557"/>
      <c r="J53" s="657"/>
      <c r="K53" s="657"/>
      <c r="L53" s="657"/>
      <c r="M53" s="657"/>
      <c r="N53" s="557"/>
      <c r="O53" s="557"/>
      <c r="P53" s="557"/>
      <c r="R53" s="67"/>
      <c r="Z53" s="3"/>
      <c r="AA53" s="6"/>
      <c r="AC53" s="6"/>
      <c r="AD53" s="6"/>
      <c r="AE53" s="3"/>
      <c r="AF53" s="2"/>
      <c r="AH53" s="3"/>
      <c r="AL53" s="6"/>
      <c r="AM53" s="6"/>
      <c r="AN53" s="6"/>
      <c r="AO53" s="6"/>
      <c r="AP53" s="6"/>
      <c r="AQ53" s="6"/>
      <c r="AR53" s="6"/>
      <c r="AS53" s="6"/>
      <c r="AT53" s="6"/>
    </row>
    <row r="54" spans="1:46" ht="15.75">
      <c r="A54" s="557"/>
      <c r="B54" s="557"/>
      <c r="C54" s="557"/>
      <c r="D54" s="557"/>
      <c r="E54" s="557"/>
      <c r="F54" s="557"/>
      <c r="G54" s="557"/>
      <c r="H54" s="557"/>
      <c r="I54" s="557"/>
      <c r="J54" s="557"/>
      <c r="K54" s="657"/>
      <c r="L54" s="657"/>
      <c r="M54" s="657"/>
      <c r="N54" s="557"/>
      <c r="O54" s="557"/>
      <c r="P54" s="557"/>
      <c r="R54" s="67"/>
      <c r="S54" s="67" t="s">
        <v>74</v>
      </c>
      <c r="T54" s="6"/>
      <c r="U54" s="9"/>
      <c r="W54" s="658" t="s">
        <v>75</v>
      </c>
      <c r="X54" s="659"/>
      <c r="Y54" s="659"/>
      <c r="Z54" s="659"/>
      <c r="AC54" s="6"/>
      <c r="AF54" s="2"/>
      <c r="AH54" s="3"/>
      <c r="AL54" s="6"/>
      <c r="AM54" s="6"/>
      <c r="AN54" s="6"/>
      <c r="AO54" s="6"/>
      <c r="AP54" s="6"/>
      <c r="AQ54" s="6"/>
      <c r="AR54" s="6"/>
      <c r="AS54" s="6"/>
      <c r="AT54" s="6"/>
    </row>
    <row r="55" spans="1:46">
      <c r="A55" s="557"/>
      <c r="B55" s="557"/>
      <c r="C55" s="557"/>
      <c r="D55" s="557"/>
      <c r="E55" s="557"/>
      <c r="F55" s="557"/>
      <c r="G55" s="557"/>
      <c r="H55" s="557"/>
      <c r="I55" s="557"/>
      <c r="J55" s="557"/>
      <c r="K55" s="557"/>
      <c r="L55" s="660"/>
      <c r="M55" s="660"/>
      <c r="N55" s="557"/>
      <c r="O55" s="557"/>
      <c r="P55" s="557"/>
      <c r="R55" s="711"/>
      <c r="S55" s="712" t="s">
        <v>46</v>
      </c>
      <c r="T55" s="712" t="s">
        <v>76</v>
      </c>
      <c r="U55" s="713" t="s">
        <v>49</v>
      </c>
      <c r="W55" s="714" t="s">
        <v>77</v>
      </c>
      <c r="X55" s="715">
        <v>5.7225999999999999</v>
      </c>
      <c r="Y55" s="716" t="s">
        <v>78</v>
      </c>
      <c r="Z55" s="717">
        <v>5.6985000000000001</v>
      </c>
      <c r="AA55" s="570"/>
      <c r="AC55" s="6"/>
      <c r="AH55" s="3"/>
    </row>
    <row r="56" spans="1:46">
      <c r="A56" s="557"/>
      <c r="B56" s="557"/>
      <c r="C56" s="557"/>
      <c r="D56" s="557"/>
      <c r="E56" s="557"/>
      <c r="F56" s="557"/>
      <c r="G56" s="557"/>
      <c r="H56" s="557"/>
      <c r="I56" s="557"/>
      <c r="J56" s="660"/>
      <c r="K56" s="557"/>
      <c r="L56" s="660"/>
      <c r="M56" s="660"/>
      <c r="N56" s="557"/>
      <c r="O56" s="557"/>
      <c r="P56" s="557"/>
      <c r="R56" s="563" t="s">
        <v>29</v>
      </c>
      <c r="S56" s="668">
        <v>0.56200000000000006</v>
      </c>
      <c r="T56" s="668">
        <v>6.3799999999999996E-2</v>
      </c>
      <c r="U56" s="8">
        <f>ROUND(+S56*T56,5)</f>
        <v>3.5860000000000003E-2</v>
      </c>
      <c r="W56" s="669" t="s">
        <v>79</v>
      </c>
      <c r="X56" s="670">
        <v>5.7082699999999997</v>
      </c>
      <c r="Y56" s="671" t="s">
        <v>80</v>
      </c>
      <c r="Z56" s="17">
        <v>5.6921999999999997</v>
      </c>
      <c r="AA56" s="6"/>
      <c r="AC56" s="6"/>
      <c r="AD56" s="6"/>
      <c r="AE56" s="3"/>
      <c r="AH56" s="3"/>
    </row>
    <row r="57" spans="1:46">
      <c r="A57" s="557"/>
      <c r="B57" s="557"/>
      <c r="C57" s="557"/>
      <c r="D57" s="557"/>
      <c r="E57" s="657"/>
      <c r="F57" s="557"/>
      <c r="G57" s="557"/>
      <c r="H57" s="557"/>
      <c r="I57" s="557"/>
      <c r="J57" s="660"/>
      <c r="K57" s="557"/>
      <c r="L57" s="660"/>
      <c r="M57" s="660"/>
      <c r="N57" s="557"/>
      <c r="O57" s="557"/>
      <c r="P57" s="557"/>
      <c r="R57" s="563" t="s">
        <v>81</v>
      </c>
      <c r="S57" s="668">
        <v>9.4E-2</v>
      </c>
      <c r="T57" s="668">
        <v>6.59E-2</v>
      </c>
      <c r="U57" s="8">
        <f>ROUND(+S57*T57,5)</f>
        <v>6.1900000000000002E-3</v>
      </c>
      <c r="W57" s="563"/>
      <c r="Y57" s="672"/>
      <c r="Z57" s="14"/>
      <c r="AA57" s="6"/>
      <c r="AC57" s="6"/>
      <c r="AD57" s="6"/>
      <c r="AE57" s="3"/>
      <c r="AF57" s="2"/>
      <c r="AH57" s="3"/>
      <c r="AL57" s="6"/>
    </row>
    <row r="58" spans="1:46" ht="15.75">
      <c r="A58" s="557"/>
      <c r="B58" s="557"/>
      <c r="C58" s="557"/>
      <c r="D58" s="557"/>
      <c r="E58" s="657"/>
      <c r="F58" s="657"/>
      <c r="G58" s="657"/>
      <c r="H58" s="673"/>
      <c r="I58" s="657"/>
      <c r="J58" s="660"/>
      <c r="K58" s="557"/>
      <c r="L58" s="557"/>
      <c r="M58" s="557"/>
      <c r="N58" s="557"/>
      <c r="O58" s="557"/>
      <c r="P58" s="557"/>
      <c r="R58" s="563" t="s">
        <v>27</v>
      </c>
      <c r="S58" s="56">
        <v>0.34399999999999997</v>
      </c>
      <c r="T58" s="674"/>
      <c r="U58" s="31"/>
      <c r="W58" s="675"/>
      <c r="X58" s="676" t="s">
        <v>82</v>
      </c>
      <c r="Y58" s="18">
        <v>0.68367</v>
      </c>
      <c r="Z58" s="15"/>
      <c r="AA58" s="6"/>
      <c r="AC58" s="6"/>
      <c r="AD58" s="6"/>
      <c r="AE58" s="3"/>
      <c r="AF58" s="2"/>
      <c r="AH58" s="3"/>
    </row>
    <row r="59" spans="1:46" ht="15.75">
      <c r="A59" s="557"/>
      <c r="B59" s="557"/>
      <c r="C59" s="557"/>
      <c r="D59" s="557"/>
      <c r="E59" s="557"/>
      <c r="F59" s="557"/>
      <c r="G59" s="557"/>
      <c r="H59" s="557"/>
      <c r="I59" s="557"/>
      <c r="J59" s="557"/>
      <c r="K59" s="557"/>
      <c r="L59" s="557"/>
      <c r="M59" s="557"/>
      <c r="N59" s="557"/>
      <c r="O59" s="557"/>
      <c r="P59" s="557"/>
      <c r="R59" s="675"/>
      <c r="S59" s="56">
        <f>SUM(S56:S58)</f>
        <v>1</v>
      </c>
      <c r="T59" s="32"/>
      <c r="U59" s="33"/>
      <c r="X59" s="6"/>
      <c r="Y59" s="7"/>
      <c r="Z59" s="3"/>
      <c r="AA59" s="6"/>
      <c r="AC59" s="6"/>
      <c r="AD59" s="6"/>
      <c r="AE59" s="3"/>
      <c r="AF59" s="2"/>
      <c r="AH59" s="3"/>
    </row>
    <row r="60" spans="1:46">
      <c r="A60" s="557"/>
      <c r="B60" s="557"/>
      <c r="C60" s="557"/>
      <c r="D60" s="557"/>
      <c r="E60" s="557"/>
      <c r="F60" s="557"/>
      <c r="G60" s="557"/>
      <c r="H60" s="557"/>
      <c r="I60" s="557"/>
      <c r="J60" s="557"/>
      <c r="K60" s="557"/>
      <c r="L60" s="557"/>
      <c r="M60" s="557"/>
      <c r="N60" s="557"/>
      <c r="O60" s="557"/>
      <c r="P60" s="557"/>
      <c r="X60" s="13"/>
      <c r="AC60" s="6"/>
      <c r="AF60" s="2"/>
      <c r="AH60" s="3"/>
      <c r="AL60" s="2"/>
      <c r="AM60" s="2"/>
      <c r="AN60" s="2"/>
      <c r="AO60" s="2"/>
      <c r="AP60" s="2"/>
      <c r="AQ60" s="2"/>
      <c r="AR60" s="2"/>
      <c r="AS60" s="2"/>
      <c r="AT60" s="2"/>
    </row>
    <row r="61" spans="1:46">
      <c r="A61" s="557"/>
      <c r="B61" s="557"/>
      <c r="C61" s="557"/>
      <c r="D61" s="557"/>
      <c r="E61" s="657"/>
      <c r="F61" s="557"/>
      <c r="G61" s="557"/>
      <c r="H61" s="557"/>
      <c r="I61" s="557"/>
      <c r="J61" s="557"/>
      <c r="K61" s="557"/>
      <c r="L61" s="557"/>
      <c r="M61" s="557"/>
      <c r="N61" s="557"/>
      <c r="O61" s="557"/>
      <c r="P61" s="557"/>
      <c r="W61" s="711" t="s">
        <v>51</v>
      </c>
      <c r="X61" s="718"/>
      <c r="Y61" s="707" t="s">
        <v>52</v>
      </c>
      <c r="Z61" s="708" t="s">
        <v>17</v>
      </c>
      <c r="AC61" s="6"/>
      <c r="AH61" s="3"/>
      <c r="AL61" s="2"/>
      <c r="AM61" s="2"/>
      <c r="AN61" s="2"/>
      <c r="AO61" s="2"/>
      <c r="AP61" s="2"/>
      <c r="AQ61" s="2"/>
      <c r="AR61" s="2"/>
      <c r="AS61" s="2"/>
      <c r="AT61" s="2"/>
    </row>
    <row r="62" spans="1:46">
      <c r="A62" s="557"/>
      <c r="B62" s="557"/>
      <c r="C62" s="557"/>
      <c r="D62" s="557"/>
      <c r="E62" s="557"/>
      <c r="F62" s="657"/>
      <c r="G62" s="657"/>
      <c r="H62" s="657"/>
      <c r="I62" s="657"/>
      <c r="J62" s="657"/>
      <c r="K62" s="657"/>
      <c r="L62" s="657"/>
      <c r="M62" s="657"/>
      <c r="N62" s="657"/>
      <c r="O62" s="557"/>
      <c r="P62" s="557"/>
      <c r="W62" s="678"/>
      <c r="X62" s="679"/>
      <c r="Y62" s="679"/>
      <c r="Z62" s="680"/>
      <c r="AC62" s="6"/>
      <c r="AD62" s="6"/>
      <c r="AE62" s="3"/>
      <c r="AH62" s="3"/>
      <c r="AL62" s="2"/>
      <c r="AM62" s="2"/>
      <c r="AN62" s="2"/>
      <c r="AO62" s="2"/>
      <c r="AP62" s="2"/>
      <c r="AQ62" s="2"/>
      <c r="AR62" s="2"/>
      <c r="AS62" s="2"/>
      <c r="AT62" s="2"/>
    </row>
    <row r="63" spans="1:46">
      <c r="A63" s="557"/>
      <c r="B63" s="557"/>
      <c r="C63" s="557"/>
      <c r="D63" s="557"/>
      <c r="E63" s="557"/>
      <c r="F63" s="557"/>
      <c r="G63" s="557"/>
      <c r="H63" s="557"/>
      <c r="I63" s="557"/>
      <c r="J63" s="557"/>
      <c r="K63" s="557"/>
      <c r="L63" s="557"/>
      <c r="M63" s="557"/>
      <c r="N63" s="557"/>
      <c r="O63" s="557"/>
      <c r="P63" s="557"/>
      <c r="W63" s="563" t="s">
        <v>54</v>
      </c>
      <c r="X63" s="679"/>
      <c r="Y63" s="8">
        <f t="shared" ref="Y63:Z68" ca="1" si="14">+J33</f>
        <v>0.28836921204472898</v>
      </c>
      <c r="Z63" s="8">
        <f ca="1">+K33</f>
        <v>0.23116327751533594</v>
      </c>
      <c r="AC63" s="6"/>
      <c r="AD63" s="6"/>
      <c r="AE63" s="3"/>
      <c r="AF63" s="2"/>
      <c r="AH63" s="3"/>
      <c r="AL63" s="2"/>
      <c r="AM63" s="2"/>
      <c r="AN63" s="2"/>
      <c r="AO63" s="2"/>
      <c r="AP63" s="2"/>
      <c r="AQ63" s="2"/>
      <c r="AR63" s="2"/>
      <c r="AS63" s="2"/>
      <c r="AT63" s="2"/>
    </row>
    <row r="64" spans="1:46">
      <c r="A64" s="557"/>
      <c r="B64" s="557"/>
      <c r="C64" s="557"/>
      <c r="D64" s="557"/>
      <c r="E64" s="557"/>
      <c r="F64" s="557"/>
      <c r="G64" s="557"/>
      <c r="H64" s="557"/>
      <c r="I64" s="557"/>
      <c r="J64" s="557"/>
      <c r="K64" s="557"/>
      <c r="L64" s="557"/>
      <c r="M64" s="557"/>
      <c r="N64" s="557"/>
      <c r="O64" s="557"/>
      <c r="P64" s="557"/>
      <c r="W64" s="563" t="s">
        <v>55</v>
      </c>
      <c r="X64" s="679"/>
      <c r="Y64" s="8">
        <f t="shared" ca="1" si="14"/>
        <v>0.45401535340788168</v>
      </c>
      <c r="Z64" s="8">
        <f t="shared" ca="1" si="14"/>
        <v>0.35867212919222657</v>
      </c>
      <c r="AC64" s="6"/>
      <c r="AD64" s="6"/>
      <c r="AE64" s="3"/>
      <c r="AF64" s="2"/>
      <c r="AH64" s="3"/>
    </row>
    <row r="65" spans="1:38">
      <c r="A65" s="67" t="b">
        <v>1</v>
      </c>
      <c r="F65" s="557"/>
      <c r="G65" s="557"/>
      <c r="H65" s="557"/>
      <c r="I65" s="557"/>
      <c r="J65" s="557"/>
      <c r="K65" s="557"/>
      <c r="L65" s="557"/>
      <c r="M65" s="557"/>
      <c r="N65" s="557"/>
      <c r="W65" s="563" t="s">
        <v>31</v>
      </c>
      <c r="X65" s="679"/>
      <c r="Y65" s="8">
        <f t="shared" ca="1" si="14"/>
        <v>0.95711000000000002</v>
      </c>
      <c r="Z65" s="8">
        <f t="shared" ca="1" si="14"/>
        <v>0.95723504249634128</v>
      </c>
      <c r="AC65" s="6"/>
      <c r="AD65" s="6"/>
      <c r="AE65" s="3"/>
      <c r="AF65" s="2"/>
      <c r="AH65" s="3"/>
    </row>
    <row r="66" spans="1:38">
      <c r="H66" s="2"/>
      <c r="I66" s="2"/>
      <c r="J66" s="2"/>
      <c r="K66" s="2"/>
      <c r="L66" s="2"/>
      <c r="M66" s="2"/>
      <c r="N66" s="2"/>
      <c r="O66" s="2"/>
      <c r="W66" s="563" t="s">
        <v>56</v>
      </c>
      <c r="X66" s="679"/>
      <c r="Y66" s="8">
        <f t="shared" ca="1" si="14"/>
        <v>4.288999999999997E-2</v>
      </c>
      <c r="Z66" s="8">
        <f t="shared" ca="1" si="14"/>
        <v>4.288999999999997E-2</v>
      </c>
      <c r="AC66" s="6"/>
      <c r="AF66" s="2"/>
      <c r="AH66" s="3"/>
      <c r="AL66" s="2"/>
    </row>
    <row r="67" spans="1:38">
      <c r="H67" s="2"/>
      <c r="I67" s="2"/>
      <c r="J67" s="2"/>
      <c r="K67" s="2"/>
      <c r="L67" s="2"/>
      <c r="M67" s="2"/>
      <c r="N67" s="2"/>
      <c r="O67" s="2"/>
      <c r="W67" s="563" t="s">
        <v>57</v>
      </c>
      <c r="X67" s="682"/>
      <c r="Y67" s="8">
        <f t="shared" ca="1" si="14"/>
        <v>6.7431461504188128</v>
      </c>
      <c r="Z67" s="8">
        <f t="shared" ca="1" si="14"/>
        <v>6.7431461504188128</v>
      </c>
      <c r="AC67" s="6"/>
      <c r="AH67" s="3"/>
    </row>
    <row r="68" spans="1:38">
      <c r="O68" s="2"/>
      <c r="W68" s="563" t="s">
        <v>58</v>
      </c>
      <c r="X68" s="579"/>
      <c r="Y68" s="8">
        <f t="shared" si="14"/>
        <v>0.21</v>
      </c>
      <c r="Z68" s="8">
        <f t="shared" si="14"/>
        <v>0.21</v>
      </c>
      <c r="AC68" s="6"/>
      <c r="AD68" s="6"/>
      <c r="AE68" s="3"/>
      <c r="AH68" s="3"/>
    </row>
    <row r="69" spans="1:38" ht="15.75">
      <c r="O69" s="2"/>
      <c r="W69" s="563"/>
      <c r="Y69" s="674"/>
      <c r="Z69" s="52"/>
      <c r="AC69" s="6"/>
      <c r="AD69" s="6"/>
      <c r="AE69" s="3"/>
      <c r="AF69" s="2"/>
      <c r="AH69" s="3"/>
    </row>
    <row r="70" spans="1:38">
      <c r="O70" s="2"/>
      <c r="W70" s="675"/>
      <c r="X70" s="53"/>
      <c r="Y70" s="54"/>
      <c r="Z70" s="55"/>
      <c r="AA70" s="6"/>
      <c r="AC70" s="6"/>
      <c r="AD70" s="6"/>
      <c r="AE70" s="3"/>
      <c r="AF70" s="2"/>
      <c r="AH70" s="3"/>
    </row>
    <row r="71" spans="1:38">
      <c r="X71" s="6"/>
      <c r="Y71" s="7"/>
      <c r="Z71" s="3"/>
      <c r="AA71" s="6"/>
      <c r="AC71" s="6"/>
      <c r="AD71" s="6"/>
      <c r="AE71" s="3"/>
      <c r="AF71" s="2"/>
      <c r="AH71" s="3"/>
    </row>
    <row r="72" spans="1:38">
      <c r="AC72" s="6"/>
      <c r="AF72" s="2"/>
      <c r="AH72" s="3"/>
    </row>
    <row r="73" spans="1:38">
      <c r="Y73" s="570"/>
      <c r="Z73" s="570"/>
      <c r="AA73" s="570"/>
      <c r="AC73" s="6"/>
      <c r="AH73" s="3"/>
    </row>
    <row r="74" spans="1:38">
      <c r="X74" s="6"/>
      <c r="Y74" s="7"/>
      <c r="Z74" s="3"/>
      <c r="AA74" s="6"/>
      <c r="AC74" s="6"/>
      <c r="AD74" s="6"/>
      <c r="AE74" s="3"/>
      <c r="AH74" s="3"/>
    </row>
    <row r="75" spans="1:38">
      <c r="X75" s="6"/>
      <c r="Y75" s="7"/>
      <c r="Z75" s="3"/>
      <c r="AA75" s="6"/>
      <c r="AC75" s="6"/>
      <c r="AD75" s="6"/>
      <c r="AE75" s="3"/>
      <c r="AF75" s="2"/>
      <c r="AH75" s="3"/>
    </row>
    <row r="76" spans="1:38">
      <c r="X76" s="6"/>
      <c r="Y76" s="7"/>
      <c r="Z76" s="3"/>
      <c r="AA76" s="6"/>
      <c r="AC76" s="6"/>
      <c r="AD76" s="6"/>
      <c r="AE76" s="3"/>
      <c r="AF76" s="2"/>
      <c r="AH76" s="3"/>
    </row>
    <row r="77" spans="1:38">
      <c r="X77" s="6"/>
      <c r="Y77" s="7"/>
      <c r="Z77" s="3"/>
      <c r="AA77" s="6"/>
      <c r="AC77" s="6"/>
      <c r="AD77" s="6"/>
      <c r="AE77" s="3"/>
      <c r="AF77" s="2"/>
      <c r="AH77" s="3"/>
    </row>
    <row r="78" spans="1:38">
      <c r="AC78" s="6"/>
      <c r="AF78" s="2"/>
      <c r="AH78" s="3"/>
    </row>
    <row r="80" spans="1:38">
      <c r="X80" s="6"/>
      <c r="Y80" s="7"/>
      <c r="Z80" s="3"/>
      <c r="AA80" s="6"/>
      <c r="AD80" s="6"/>
      <c r="AE80" s="3"/>
    </row>
    <row r="81" spans="24:32">
      <c r="X81" s="6"/>
      <c r="Y81" s="7"/>
      <c r="Z81" s="3"/>
      <c r="AA81" s="6"/>
      <c r="AD81" s="6"/>
      <c r="AE81" s="3"/>
      <c r="AF81" s="2"/>
    </row>
    <row r="82" spans="24:32">
      <c r="X82" s="6"/>
      <c r="Y82" s="7"/>
      <c r="Z82" s="3"/>
      <c r="AA82" s="6"/>
      <c r="AD82" s="6"/>
      <c r="AE82" s="3"/>
      <c r="AF82" s="2"/>
    </row>
    <row r="83" spans="24:32">
      <c r="X83" s="6"/>
      <c r="Y83" s="7"/>
      <c r="Z83" s="3"/>
      <c r="AA83" s="6"/>
      <c r="AD83" s="6"/>
      <c r="AE83" s="3"/>
      <c r="AF83" s="2"/>
    </row>
    <row r="84" spans="24:32">
      <c r="AF84" s="2"/>
    </row>
    <row r="86" spans="24:32">
      <c r="X86" s="6"/>
      <c r="Y86" s="7"/>
      <c r="Z86" s="3"/>
      <c r="AA86" s="6"/>
      <c r="AD86" s="6"/>
      <c r="AE86" s="3"/>
    </row>
    <row r="87" spans="24:32">
      <c r="X87" s="6"/>
      <c r="Y87" s="7"/>
      <c r="Z87" s="3"/>
      <c r="AA87" s="6"/>
      <c r="AD87" s="6"/>
      <c r="AE87" s="3"/>
      <c r="AF87" s="2"/>
    </row>
    <row r="88" spans="24:32">
      <c r="X88" s="6"/>
      <c r="Y88" s="7"/>
      <c r="Z88" s="3"/>
      <c r="AA88" s="6"/>
      <c r="AD88" s="6"/>
      <c r="AE88" s="3"/>
      <c r="AF88" s="2"/>
    </row>
    <row r="89" spans="24:32">
      <c r="X89" s="6"/>
      <c r="Y89" s="7"/>
      <c r="Z89" s="3"/>
      <c r="AA89" s="6"/>
      <c r="AD89" s="6"/>
      <c r="AE89" s="3"/>
      <c r="AF89" s="2"/>
    </row>
    <row r="90" spans="24:32">
      <c r="AF90" s="2"/>
    </row>
    <row r="92" spans="24:32">
      <c r="X92" s="6"/>
      <c r="Y92" s="7"/>
      <c r="Z92" s="3"/>
      <c r="AA92" s="6"/>
      <c r="AD92" s="6"/>
      <c r="AE92" s="3"/>
    </row>
    <row r="93" spans="24:32">
      <c r="X93" s="6"/>
      <c r="Y93" s="7"/>
      <c r="Z93" s="3"/>
      <c r="AA93" s="6"/>
      <c r="AD93" s="6"/>
      <c r="AE93" s="3"/>
      <c r="AF93" s="2"/>
    </row>
    <row r="94" spans="24:32">
      <c r="X94" s="6"/>
      <c r="Y94" s="7"/>
      <c r="Z94" s="3"/>
      <c r="AA94" s="6"/>
      <c r="AD94" s="6"/>
      <c r="AE94" s="3"/>
      <c r="AF94" s="2"/>
    </row>
    <row r="95" spans="24:32">
      <c r="X95" s="6"/>
      <c r="Y95" s="7"/>
      <c r="Z95" s="3"/>
      <c r="AA95" s="6"/>
      <c r="AD95" s="6"/>
      <c r="AE95" s="3"/>
      <c r="AF95" s="2"/>
    </row>
    <row r="96" spans="24:32">
      <c r="AF96" s="2"/>
    </row>
    <row r="98" spans="24:32">
      <c r="X98" s="6"/>
      <c r="Y98" s="7"/>
      <c r="Z98" s="3"/>
      <c r="AA98" s="6"/>
      <c r="AD98" s="6"/>
      <c r="AE98" s="3"/>
    </row>
    <row r="99" spans="24:32">
      <c r="X99" s="6"/>
      <c r="Y99" s="7"/>
      <c r="Z99" s="3"/>
      <c r="AA99" s="6"/>
      <c r="AD99" s="6"/>
      <c r="AE99" s="3"/>
      <c r="AF99" s="2"/>
    </row>
    <row r="100" spans="24:32">
      <c r="X100" s="6"/>
      <c r="Y100" s="7"/>
      <c r="Z100" s="3"/>
      <c r="AA100" s="6"/>
      <c r="AD100" s="6"/>
      <c r="AE100" s="3"/>
      <c r="AF100" s="2"/>
    </row>
    <row r="101" spans="24:32">
      <c r="X101" s="6"/>
      <c r="Y101" s="7"/>
      <c r="Z101" s="3"/>
      <c r="AA101" s="6"/>
      <c r="AD101" s="6"/>
      <c r="AE101" s="3"/>
      <c r="AF101" s="2"/>
    </row>
    <row r="102" spans="24:32">
      <c r="AF102" s="2"/>
    </row>
    <row r="104" spans="24:32">
      <c r="X104" s="6"/>
      <c r="Y104" s="7"/>
      <c r="Z104" s="3"/>
      <c r="AA104" s="6"/>
      <c r="AD104" s="6"/>
      <c r="AE104" s="3"/>
    </row>
    <row r="105" spans="24:32">
      <c r="X105" s="6"/>
      <c r="Y105" s="7"/>
      <c r="Z105" s="3"/>
      <c r="AA105" s="6"/>
      <c r="AD105" s="6"/>
      <c r="AE105" s="3"/>
      <c r="AF105" s="2"/>
    </row>
    <row r="106" spans="24:32">
      <c r="X106" s="6"/>
      <c r="Y106" s="7"/>
      <c r="Z106" s="3"/>
      <c r="AA106" s="6"/>
      <c r="AD106" s="6"/>
      <c r="AE106" s="3"/>
      <c r="AF106" s="2"/>
    </row>
    <row r="107" spans="24:32">
      <c r="X107" s="6"/>
      <c r="Y107" s="7"/>
      <c r="Z107" s="3"/>
      <c r="AA107" s="6"/>
      <c r="AD107" s="6"/>
      <c r="AE107" s="3"/>
      <c r="AF107" s="2"/>
    </row>
    <row r="108" spans="24:32">
      <c r="AF108" s="2"/>
    </row>
    <row r="110" spans="24:32">
      <c r="X110" s="6"/>
      <c r="Y110" s="7"/>
      <c r="Z110" s="3"/>
      <c r="AA110" s="6"/>
      <c r="AD110" s="6"/>
      <c r="AE110" s="3"/>
    </row>
    <row r="111" spans="24:32">
      <c r="X111" s="6"/>
      <c r="Y111" s="7"/>
      <c r="Z111" s="3"/>
      <c r="AA111" s="6"/>
      <c r="AD111" s="6"/>
      <c r="AE111" s="3"/>
    </row>
    <row r="112" spans="24:32">
      <c r="X112" s="6"/>
      <c r="Y112" s="7"/>
      <c r="Z112" s="3"/>
      <c r="AA112" s="6"/>
      <c r="AD112" s="6"/>
      <c r="AE112" s="3"/>
    </row>
    <row r="113" spans="24:31">
      <c r="X113" s="6"/>
      <c r="Y113" s="7"/>
      <c r="Z113" s="3"/>
      <c r="AA113" s="6"/>
      <c r="AD113" s="6"/>
      <c r="AE113" s="3"/>
    </row>
  </sheetData>
  <mergeCells count="6">
    <mergeCell ref="B18:C18"/>
    <mergeCell ref="B2:C2"/>
    <mergeCell ref="AF2:AI2"/>
    <mergeCell ref="B15:C15"/>
    <mergeCell ref="C16:D16"/>
    <mergeCell ref="B17:C17"/>
  </mergeCells>
  <pageMargins left="0.25" right="0.25" top="0.3" bottom="0.44" header="0.23" footer="0.21"/>
  <pageSetup scale="74" orientation="landscape" r:id="rId1"/>
  <headerFooter alignWithMargins="0">
    <oddFooter>&amp;L&amp;D  &amp;T&amp;R&amp;A</oddFooter>
  </headerFooter>
  <drawing r:id="rId2"/>
  <legacyDrawing r:id="rId3"/>
  <controls>
    <mc:AlternateContent xmlns:mc="http://schemas.openxmlformats.org/markup-compatibility/2006">
      <mc:Choice Requires="x14">
        <control shapeId="109569" r:id="rId4" name="CheckBox1">
          <controlPr defaultSize="0" autoFill="0" autoLine="0" linkedCell="A65" r:id="rId5">
            <anchor moveWithCells="1">
              <from>
                <xdr:col>2</xdr:col>
                <xdr:colOff>95250</xdr:colOff>
                <xdr:row>14</xdr:row>
                <xdr:rowOff>171450</xdr:rowOff>
              </from>
              <to>
                <xdr:col>2</xdr:col>
                <xdr:colOff>361950</xdr:colOff>
                <xdr:row>16</xdr:row>
                <xdr:rowOff>28575</xdr:rowOff>
              </to>
            </anchor>
          </controlPr>
        </control>
      </mc:Choice>
      <mc:Fallback>
        <control shapeId="109569" r:id="rId4" name="CheckBox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6D1D-F82F-46E4-919A-2471A928483C}">
  <sheetPr codeName="Sheet24"/>
  <dimension ref="A1:L90"/>
  <sheetViews>
    <sheetView topLeftCell="A13" workbookViewId="0">
      <selection activeCell="D27" sqref="D27"/>
    </sheetView>
  </sheetViews>
  <sheetFormatPr defaultRowHeight="15"/>
  <cols>
    <col min="1" max="1" width="39.5546875" customWidth="1"/>
    <col min="2" max="2" width="9.5546875" bestFit="1" customWidth="1"/>
    <col min="3" max="3" width="11" bestFit="1" customWidth="1"/>
    <col min="4" max="4" width="10" bestFit="1" customWidth="1"/>
  </cols>
  <sheetData>
    <row r="1" spans="1:12" ht="21">
      <c r="A1" s="849" t="s">
        <v>957</v>
      </c>
      <c r="B1" s="849"/>
      <c r="C1" s="849"/>
      <c r="D1" s="849"/>
      <c r="E1" s="68"/>
      <c r="F1" s="68"/>
      <c r="G1" s="66"/>
      <c r="H1" s="66"/>
      <c r="I1" s="66"/>
      <c r="J1" s="66"/>
      <c r="K1" s="66"/>
      <c r="L1" s="66"/>
    </row>
    <row r="2" spans="1:12" ht="21">
      <c r="A2" s="849">
        <v>2020</v>
      </c>
      <c r="B2" s="849"/>
      <c r="C2" s="849"/>
      <c r="D2" s="849"/>
      <c r="E2" s="68"/>
      <c r="F2" s="68"/>
      <c r="G2" s="66"/>
      <c r="H2" s="66"/>
      <c r="I2" s="66"/>
      <c r="J2" s="66"/>
      <c r="K2" s="66"/>
      <c r="L2" s="66"/>
    </row>
    <row r="3" spans="1:12">
      <c r="A3" s="850" t="s">
        <v>958</v>
      </c>
      <c r="B3" s="851"/>
      <c r="C3" s="851"/>
      <c r="D3" s="851"/>
      <c r="E3" s="68"/>
      <c r="F3" s="68"/>
      <c r="G3" s="66"/>
      <c r="H3" s="66"/>
      <c r="I3" s="66"/>
      <c r="J3" s="66"/>
      <c r="K3" s="66"/>
      <c r="L3" s="66"/>
    </row>
    <row r="4" spans="1:12">
      <c r="A4" s="851"/>
      <c r="B4" s="851"/>
      <c r="C4" s="851"/>
      <c r="D4" s="851"/>
      <c r="E4" s="68"/>
      <c r="F4" s="68"/>
      <c r="G4" s="66"/>
      <c r="H4" s="66"/>
      <c r="I4" s="66"/>
      <c r="J4" s="66"/>
      <c r="K4" s="66"/>
      <c r="L4" s="66"/>
    </row>
    <row r="5" spans="1:12" ht="15.75">
      <c r="A5" s="473"/>
      <c r="B5" s="473"/>
      <c r="C5" s="473"/>
      <c r="D5" s="473"/>
      <c r="E5" s="68"/>
      <c r="F5" s="68"/>
      <c r="G5" s="66"/>
      <c r="H5" s="66"/>
      <c r="I5" s="66"/>
      <c r="J5" s="66"/>
      <c r="K5" s="66"/>
      <c r="L5" s="66"/>
    </row>
    <row r="6" spans="1:12" ht="15.75">
      <c r="A6" s="474" t="s">
        <v>764</v>
      </c>
      <c r="B6" s="474" t="s">
        <v>959</v>
      </c>
      <c r="C6" s="474" t="s">
        <v>960</v>
      </c>
      <c r="D6" s="475">
        <v>0.1</v>
      </c>
      <c r="E6" s="68"/>
      <c r="F6" s="68"/>
      <c r="G6" s="66"/>
      <c r="H6" s="66"/>
      <c r="I6" s="66"/>
      <c r="J6" s="66"/>
      <c r="K6" s="66"/>
      <c r="L6" s="66"/>
    </row>
    <row r="7" spans="1:12" ht="15.75">
      <c r="A7" s="476" t="s">
        <v>961</v>
      </c>
      <c r="B7" s="476" t="s">
        <v>962</v>
      </c>
      <c r="C7" s="237">
        <v>284315.76000000007</v>
      </c>
      <c r="D7" s="237">
        <v>28431.576000000008</v>
      </c>
      <c r="E7" s="68"/>
      <c r="F7" s="68"/>
      <c r="G7" s="66"/>
      <c r="H7" s="66"/>
      <c r="I7" s="66"/>
      <c r="J7" s="66"/>
      <c r="K7" s="66"/>
      <c r="L7" s="66"/>
    </row>
    <row r="8" spans="1:12" ht="15.75">
      <c r="A8" s="476" t="s">
        <v>963</v>
      </c>
      <c r="B8" s="476" t="s">
        <v>964</v>
      </c>
      <c r="C8" s="237">
        <v>43493.410000000011</v>
      </c>
      <c r="D8" s="237">
        <v>4349.3410000000013</v>
      </c>
      <c r="E8" s="68"/>
      <c r="F8" s="68"/>
      <c r="G8" s="66"/>
      <c r="H8" s="66"/>
      <c r="I8" s="66"/>
      <c r="J8" s="66"/>
      <c r="K8" s="66"/>
      <c r="L8" s="66"/>
    </row>
    <row r="9" spans="1:12" ht="15.75">
      <c r="A9" s="476" t="s">
        <v>965</v>
      </c>
      <c r="B9" s="476" t="s">
        <v>966</v>
      </c>
      <c r="C9" s="237">
        <v>47764.800000000003</v>
      </c>
      <c r="D9" s="237">
        <v>4776.4800000000005</v>
      </c>
      <c r="E9" s="68"/>
      <c r="F9" s="68"/>
      <c r="G9" s="66"/>
      <c r="H9" s="66"/>
      <c r="I9" s="66"/>
      <c r="J9" s="66"/>
      <c r="K9" s="66"/>
      <c r="L9" s="66"/>
    </row>
    <row r="10" spans="1:12" ht="15.75">
      <c r="A10" s="476" t="s">
        <v>967</v>
      </c>
      <c r="B10" s="476" t="s">
        <v>968</v>
      </c>
      <c r="C10" s="237">
        <v>42765.600000000006</v>
      </c>
      <c r="D10" s="237">
        <v>4276.5600000000004</v>
      </c>
      <c r="E10" s="68"/>
      <c r="F10" s="68"/>
      <c r="G10" s="66"/>
      <c r="H10" s="66"/>
      <c r="I10" s="66"/>
      <c r="J10" s="66"/>
      <c r="K10" s="66"/>
      <c r="L10" s="66"/>
    </row>
    <row r="11" spans="1:12" ht="15.75">
      <c r="A11" s="476" t="s">
        <v>969</v>
      </c>
      <c r="B11" s="476" t="s">
        <v>970</v>
      </c>
      <c r="C11" s="237">
        <v>45330.48</v>
      </c>
      <c r="D11" s="237">
        <v>4533.0480000000007</v>
      </c>
      <c r="E11" s="68"/>
      <c r="F11" s="68"/>
      <c r="G11" s="66"/>
      <c r="H11" s="66"/>
      <c r="I11" s="66"/>
      <c r="J11" s="66"/>
      <c r="K11" s="66"/>
      <c r="L11" s="66"/>
    </row>
    <row r="12" spans="1:12" ht="15.75">
      <c r="A12" s="476" t="s">
        <v>971</v>
      </c>
      <c r="B12" s="476" t="s">
        <v>972</v>
      </c>
      <c r="C12" s="237">
        <v>118099.20000000001</v>
      </c>
      <c r="D12" s="237">
        <v>11809.920000000002</v>
      </c>
      <c r="E12" s="68"/>
      <c r="F12" s="68"/>
      <c r="G12" s="66"/>
      <c r="H12" s="66"/>
      <c r="I12" s="66"/>
      <c r="J12" s="66"/>
      <c r="K12" s="66"/>
      <c r="L12" s="66"/>
    </row>
    <row r="13" spans="1:12" ht="15.75">
      <c r="A13" s="476" t="s">
        <v>973</v>
      </c>
      <c r="B13" s="476" t="s">
        <v>974</v>
      </c>
      <c r="C13" s="237">
        <v>108309.20000000001</v>
      </c>
      <c r="D13" s="237">
        <v>10830.920000000002</v>
      </c>
      <c r="E13" s="68"/>
      <c r="F13" s="68"/>
      <c r="G13" s="66"/>
      <c r="H13" s="66"/>
      <c r="I13" s="66"/>
      <c r="J13" s="66"/>
      <c r="K13" s="66"/>
      <c r="L13" s="66"/>
    </row>
    <row r="14" spans="1:12" ht="15.75">
      <c r="A14" s="476" t="s">
        <v>975</v>
      </c>
      <c r="B14" s="476" t="s">
        <v>976</v>
      </c>
      <c r="C14" s="477">
        <v>68709.540000000008</v>
      </c>
      <c r="D14" s="478">
        <v>6870.9540000000015</v>
      </c>
      <c r="E14" s="68"/>
      <c r="F14" s="68"/>
      <c r="G14" s="66"/>
      <c r="H14" s="66"/>
      <c r="I14" s="66"/>
      <c r="J14" s="66"/>
      <c r="K14" s="66"/>
      <c r="L14" s="66"/>
    </row>
    <row r="15" spans="1:12" ht="15.75">
      <c r="A15" s="476"/>
      <c r="B15" s="476"/>
      <c r="C15" s="476"/>
      <c r="D15" s="476"/>
      <c r="E15" s="68"/>
      <c r="F15" s="68"/>
      <c r="G15" s="66"/>
      <c r="H15" s="66"/>
      <c r="I15" s="66"/>
      <c r="J15" s="66"/>
      <c r="K15" s="66"/>
      <c r="L15" s="66"/>
    </row>
    <row r="16" spans="1:12" ht="15.75">
      <c r="A16" s="476"/>
      <c r="B16" s="476"/>
      <c r="C16" s="237"/>
      <c r="D16" s="237">
        <v>0</v>
      </c>
      <c r="E16" s="68"/>
      <c r="F16" s="68"/>
      <c r="G16" s="66"/>
      <c r="H16" s="66"/>
      <c r="I16" s="66"/>
      <c r="J16" s="66"/>
      <c r="K16" s="66"/>
      <c r="L16" s="66"/>
    </row>
    <row r="17" spans="1:12" ht="15.75">
      <c r="A17" s="476"/>
      <c r="B17" s="476"/>
      <c r="C17" s="237"/>
      <c r="D17" s="237">
        <v>0</v>
      </c>
      <c r="E17" s="68"/>
      <c r="F17" s="68"/>
      <c r="G17" s="66"/>
      <c r="H17" s="66"/>
      <c r="I17" s="66"/>
      <c r="J17" s="66"/>
      <c r="K17" s="66"/>
      <c r="L17" s="66"/>
    </row>
    <row r="18" spans="1:12" ht="15.75">
      <c r="A18" s="476"/>
      <c r="B18" s="476"/>
      <c r="C18" s="237"/>
      <c r="D18" s="237">
        <v>0</v>
      </c>
      <c r="E18" s="68"/>
      <c r="F18" s="68"/>
      <c r="G18" s="66"/>
      <c r="H18" s="66"/>
      <c r="I18" s="66"/>
      <c r="J18" s="66"/>
      <c r="K18" s="66"/>
      <c r="L18" s="66"/>
    </row>
    <row r="19" spans="1:12" ht="15.75">
      <c r="A19" s="476"/>
      <c r="B19" s="476"/>
      <c r="C19" s="237"/>
      <c r="D19" s="237">
        <v>0</v>
      </c>
      <c r="E19" s="68"/>
      <c r="F19" s="68"/>
      <c r="G19" s="66"/>
      <c r="H19" s="66"/>
      <c r="I19" s="66"/>
      <c r="J19" s="66"/>
      <c r="K19" s="66"/>
      <c r="L19" s="66"/>
    </row>
    <row r="20" spans="1:12" ht="15.75">
      <c r="A20" s="476"/>
      <c r="B20" s="476"/>
      <c r="C20" s="237"/>
      <c r="D20" s="237">
        <v>0</v>
      </c>
      <c r="E20" s="68"/>
      <c r="F20" s="68"/>
      <c r="G20" s="66"/>
      <c r="H20" s="66"/>
      <c r="I20" s="66"/>
      <c r="J20" s="66"/>
      <c r="K20" s="66"/>
      <c r="L20" s="66"/>
    </row>
    <row r="21" spans="1:12" ht="15.75">
      <c r="A21" s="476"/>
      <c r="B21" s="476"/>
      <c r="C21" s="237"/>
      <c r="D21" s="237">
        <v>0</v>
      </c>
      <c r="E21" s="68"/>
      <c r="F21" s="68"/>
      <c r="G21" s="66"/>
      <c r="H21" s="66"/>
      <c r="I21" s="66"/>
      <c r="J21" s="66"/>
      <c r="K21" s="66"/>
      <c r="L21" s="66"/>
    </row>
    <row r="22" spans="1:12" ht="15.75">
      <c r="A22" s="476"/>
      <c r="B22" s="476"/>
      <c r="C22" s="237"/>
      <c r="D22" s="237">
        <v>0</v>
      </c>
      <c r="E22" s="68"/>
      <c r="F22" s="68"/>
      <c r="G22" s="66"/>
      <c r="H22" s="66"/>
      <c r="I22" s="66"/>
      <c r="J22" s="66"/>
      <c r="K22" s="66"/>
      <c r="L22" s="66"/>
    </row>
    <row r="23" spans="1:12" ht="15.75">
      <c r="A23" s="476"/>
      <c r="B23" s="476"/>
      <c r="C23" s="237"/>
      <c r="D23" s="237">
        <v>0</v>
      </c>
      <c r="E23" s="68"/>
      <c r="F23" s="68"/>
      <c r="G23" s="66"/>
      <c r="H23" s="66"/>
      <c r="I23" s="66"/>
      <c r="J23" s="66"/>
      <c r="K23" s="66"/>
      <c r="L23" s="66"/>
    </row>
    <row r="24" spans="1:12" ht="15.75">
      <c r="A24" s="476"/>
      <c r="B24" s="476"/>
      <c r="C24" s="237"/>
      <c r="D24" s="237">
        <v>0</v>
      </c>
      <c r="E24" s="68"/>
      <c r="F24" s="68"/>
      <c r="G24" s="66"/>
      <c r="H24" s="66"/>
      <c r="I24" s="66"/>
      <c r="J24" s="66"/>
      <c r="K24" s="66"/>
      <c r="L24" s="66"/>
    </row>
    <row r="25" spans="1:12" ht="15.75">
      <c r="A25" s="479" t="s">
        <v>103</v>
      </c>
      <c r="B25" s="479"/>
      <c r="C25" s="480">
        <v>758787.99</v>
      </c>
      <c r="D25" s="237">
        <v>75878.799000000014</v>
      </c>
      <c r="E25" s="68"/>
      <c r="F25" s="68"/>
      <c r="G25" s="66"/>
      <c r="H25" s="66"/>
      <c r="I25" s="66"/>
      <c r="J25" s="66"/>
      <c r="K25" s="66"/>
      <c r="L25" s="66"/>
    </row>
    <row r="26" spans="1:12" ht="15.75">
      <c r="A26" s="68"/>
      <c r="B26" s="68"/>
      <c r="C26" s="190"/>
      <c r="D26" s="485"/>
      <c r="E26" s="68"/>
      <c r="F26" s="68"/>
      <c r="G26" s="66"/>
      <c r="H26" s="66"/>
      <c r="I26" s="66"/>
      <c r="J26" s="66"/>
      <c r="K26" s="66"/>
      <c r="L26" s="66"/>
    </row>
    <row r="27" spans="1:12" ht="15.75">
      <c r="A27" s="290" t="s">
        <v>130</v>
      </c>
      <c r="B27" s="290"/>
      <c r="C27" s="380"/>
      <c r="D27" s="487">
        <v>76363.66</v>
      </c>
      <c r="E27" s="68"/>
      <c r="F27" s="68"/>
      <c r="G27" s="66"/>
      <c r="H27" s="66"/>
      <c r="I27" s="66"/>
      <c r="J27" s="66"/>
      <c r="K27" s="66"/>
      <c r="L27" s="66"/>
    </row>
    <row r="28" spans="1:12" ht="15.75">
      <c r="A28" s="290" t="s">
        <v>1496</v>
      </c>
      <c r="B28" s="290"/>
      <c r="C28" s="380"/>
      <c r="D28" s="486">
        <f>+D25-D27</f>
        <v>-484.86099999998987</v>
      </c>
      <c r="E28" s="68"/>
      <c r="F28" s="68"/>
      <c r="G28" s="66"/>
      <c r="H28" s="66"/>
      <c r="I28" s="66"/>
      <c r="J28" s="66"/>
      <c r="K28" s="66"/>
      <c r="L28" s="66"/>
    </row>
    <row r="29" spans="1:12" ht="15.75">
      <c r="A29" s="290"/>
      <c r="B29" s="290"/>
      <c r="C29" s="380"/>
      <c r="D29" s="486"/>
      <c r="E29" s="68"/>
      <c r="F29" s="68"/>
      <c r="G29" s="66"/>
      <c r="H29" s="66"/>
      <c r="I29" s="66"/>
      <c r="J29" s="66"/>
      <c r="K29" s="66"/>
      <c r="L29" s="66"/>
    </row>
    <row r="30" spans="1:12" ht="15.75">
      <c r="A30" s="481" t="s">
        <v>977</v>
      </c>
      <c r="B30" s="68"/>
      <c r="C30" s="190"/>
      <c r="D30" s="190"/>
      <c r="E30" s="68"/>
      <c r="F30" s="68"/>
      <c r="G30" s="66"/>
      <c r="H30" s="66"/>
      <c r="I30" s="66"/>
      <c r="J30" s="66"/>
      <c r="K30" s="66"/>
      <c r="L30" s="66"/>
    </row>
    <row r="31" spans="1:12" ht="75">
      <c r="A31" s="482" t="s">
        <v>978</v>
      </c>
      <c r="B31" s="483"/>
      <c r="C31" s="484"/>
      <c r="D31" s="484"/>
      <c r="E31" s="68"/>
      <c r="F31" s="68"/>
      <c r="G31" s="66"/>
      <c r="H31" s="66"/>
      <c r="I31" s="66"/>
      <c r="J31" s="66"/>
      <c r="K31" s="66"/>
      <c r="L31" s="66"/>
    </row>
    <row r="32" spans="1:12" ht="75">
      <c r="A32" s="482" t="s">
        <v>979</v>
      </c>
      <c r="B32" s="483"/>
      <c r="C32" s="484"/>
      <c r="D32" s="484"/>
      <c r="E32" s="68"/>
      <c r="F32" s="68"/>
      <c r="G32" s="66"/>
      <c r="H32" s="66"/>
      <c r="I32" s="66"/>
      <c r="J32" s="66"/>
      <c r="K32" s="66"/>
      <c r="L32" s="66"/>
    </row>
    <row r="33" spans="1:12" ht="18.75">
      <c r="A33" s="483" t="s">
        <v>980</v>
      </c>
      <c r="B33" s="483"/>
      <c r="C33" s="484"/>
      <c r="D33" s="484"/>
      <c r="E33" s="68"/>
      <c r="F33" s="68"/>
      <c r="G33" s="66"/>
      <c r="H33" s="66"/>
      <c r="I33" s="66"/>
      <c r="J33" s="66"/>
      <c r="K33" s="66"/>
      <c r="L33" s="66"/>
    </row>
    <row r="34" spans="1:12" ht="15.75">
      <c r="A34" s="68"/>
      <c r="B34" s="68"/>
      <c r="C34" s="190"/>
      <c r="D34" s="190"/>
      <c r="E34" s="68"/>
      <c r="F34" s="68"/>
      <c r="G34" s="66"/>
      <c r="H34" s="66"/>
      <c r="I34" s="66"/>
      <c r="J34" s="66"/>
      <c r="K34" s="66"/>
      <c r="L34" s="66"/>
    </row>
    <row r="35" spans="1:12" ht="18.75">
      <c r="A35" s="483" t="s">
        <v>981</v>
      </c>
      <c r="B35" s="68"/>
      <c r="C35" s="190">
        <f>SUM(D25,I25,N25)</f>
        <v>75878.799000000014</v>
      </c>
      <c r="D35" s="190"/>
      <c r="E35" s="68"/>
      <c r="F35" s="68"/>
      <c r="G35" s="66"/>
      <c r="H35" s="66"/>
      <c r="I35" s="66"/>
      <c r="J35" s="66"/>
      <c r="K35" s="66"/>
      <c r="L35" s="66"/>
    </row>
    <row r="36" spans="1:12" ht="15.75">
      <c r="A36" s="68" t="s">
        <v>982</v>
      </c>
      <c r="B36" s="68"/>
      <c r="C36" s="190"/>
      <c r="D36" s="190"/>
      <c r="E36" s="68"/>
      <c r="F36" s="68"/>
      <c r="G36" s="66"/>
      <c r="H36" s="66"/>
      <c r="I36" s="66"/>
      <c r="J36" s="66"/>
      <c r="K36" s="66"/>
      <c r="L36" s="66"/>
    </row>
    <row r="37" spans="1:12" ht="18.75">
      <c r="A37" s="483" t="s">
        <v>983</v>
      </c>
      <c r="B37" s="68"/>
      <c r="C37" s="190">
        <f>SUM(C35-C36)</f>
        <v>75878.799000000014</v>
      </c>
      <c r="D37" s="190"/>
      <c r="E37" s="68"/>
      <c r="F37" s="68"/>
      <c r="G37" s="66"/>
      <c r="H37" s="66"/>
      <c r="I37" s="66"/>
      <c r="J37" s="66"/>
      <c r="K37" s="66"/>
      <c r="L37" s="66"/>
    </row>
    <row r="38" spans="1:12">
      <c r="A38" s="68"/>
      <c r="B38" s="68"/>
      <c r="C38" s="68"/>
      <c r="D38" s="68"/>
      <c r="E38" s="68"/>
      <c r="F38" s="68"/>
      <c r="G38" s="66"/>
      <c r="H38" s="66"/>
      <c r="I38" s="66"/>
      <c r="J38" s="66"/>
      <c r="K38" s="66"/>
      <c r="L38" s="66"/>
    </row>
    <row r="39" spans="1:12">
      <c r="A39" s="68"/>
      <c r="B39" s="68"/>
      <c r="C39" s="68"/>
      <c r="D39" s="68"/>
      <c r="E39" s="68"/>
      <c r="F39" s="68"/>
      <c r="G39" s="66"/>
      <c r="H39" s="66"/>
      <c r="I39" s="66"/>
      <c r="J39" s="66"/>
      <c r="K39" s="66"/>
      <c r="L39" s="66"/>
    </row>
    <row r="40" spans="1:12">
      <c r="A40" s="68"/>
      <c r="B40" s="68"/>
      <c r="C40" s="68"/>
      <c r="D40" s="68"/>
      <c r="E40" s="68"/>
      <c r="F40" s="68"/>
      <c r="G40" s="66"/>
      <c r="H40" s="66"/>
      <c r="I40" s="66"/>
      <c r="J40" s="66"/>
      <c r="K40" s="66"/>
      <c r="L40" s="66"/>
    </row>
    <row r="41" spans="1:12">
      <c r="A41" s="68"/>
      <c r="B41" s="68"/>
      <c r="C41" s="68"/>
      <c r="D41" s="68"/>
      <c r="E41" s="68"/>
      <c r="F41" s="68"/>
      <c r="G41" s="66"/>
      <c r="H41" s="66"/>
      <c r="I41" s="66"/>
      <c r="J41" s="66"/>
      <c r="K41" s="66"/>
      <c r="L41" s="66"/>
    </row>
    <row r="42" spans="1:12">
      <c r="A42" s="68"/>
      <c r="B42" s="68"/>
      <c r="C42" s="68"/>
      <c r="D42" s="68"/>
      <c r="E42" s="68"/>
      <c r="F42" s="68"/>
      <c r="G42" s="66"/>
      <c r="H42" s="66"/>
      <c r="I42" s="66"/>
      <c r="J42" s="66"/>
      <c r="K42" s="66"/>
      <c r="L42" s="66"/>
    </row>
    <row r="43" spans="1:12">
      <c r="A43" s="68"/>
      <c r="B43" s="68"/>
      <c r="C43" s="68"/>
      <c r="D43" s="68"/>
      <c r="E43" s="68"/>
      <c r="F43" s="68"/>
      <c r="G43" s="66"/>
      <c r="H43" s="66"/>
      <c r="I43" s="66"/>
      <c r="J43" s="66"/>
      <c r="K43" s="66"/>
      <c r="L43" s="66"/>
    </row>
    <row r="44" spans="1:12">
      <c r="A44" s="66"/>
      <c r="B44" s="66"/>
      <c r="C44" s="66"/>
      <c r="D44" s="66"/>
      <c r="E44" s="66"/>
      <c r="F44" s="66"/>
      <c r="G44" s="66"/>
      <c r="H44" s="66"/>
      <c r="I44" s="66"/>
      <c r="J44" s="66"/>
      <c r="K44" s="66"/>
      <c r="L44" s="66"/>
    </row>
    <row r="45" spans="1:12">
      <c r="A45" s="66"/>
      <c r="B45" s="66"/>
      <c r="C45" s="66"/>
      <c r="D45" s="66"/>
      <c r="E45" s="66"/>
      <c r="F45" s="66"/>
      <c r="G45" s="66"/>
      <c r="H45" s="66"/>
      <c r="I45" s="66"/>
      <c r="J45" s="66"/>
      <c r="K45" s="66"/>
      <c r="L45" s="66"/>
    </row>
    <row r="46" spans="1:12">
      <c r="A46" s="66"/>
      <c r="B46" s="66"/>
      <c r="C46" s="66"/>
      <c r="D46" s="66"/>
      <c r="E46" s="66"/>
      <c r="F46" s="66"/>
      <c r="G46" s="66"/>
      <c r="H46" s="66"/>
      <c r="I46" s="66"/>
      <c r="J46" s="66"/>
      <c r="K46" s="66"/>
      <c r="L46" s="66"/>
    </row>
    <row r="47" spans="1:12">
      <c r="A47" s="66"/>
      <c r="B47" s="66"/>
      <c r="C47" s="66"/>
      <c r="D47" s="66"/>
      <c r="E47" s="66"/>
      <c r="F47" s="66"/>
      <c r="G47" s="66"/>
      <c r="H47" s="66"/>
      <c r="I47" s="66"/>
      <c r="J47" s="66"/>
      <c r="K47" s="66"/>
      <c r="L47" s="66"/>
    </row>
    <row r="48" spans="1:12">
      <c r="A48" s="66"/>
      <c r="B48" s="66"/>
      <c r="C48" s="66"/>
      <c r="D48" s="66"/>
      <c r="E48" s="66"/>
      <c r="F48" s="66"/>
      <c r="G48" s="66"/>
      <c r="H48" s="66"/>
      <c r="I48" s="66"/>
      <c r="J48" s="66"/>
      <c r="K48" s="66"/>
      <c r="L48" s="66"/>
    </row>
    <row r="49" spans="1:12">
      <c r="A49" s="66"/>
      <c r="B49" s="66"/>
      <c r="C49" s="66"/>
      <c r="D49" s="66"/>
      <c r="E49" s="66"/>
      <c r="F49" s="66"/>
      <c r="G49" s="66"/>
      <c r="H49" s="66"/>
      <c r="I49" s="66"/>
      <c r="J49" s="66"/>
      <c r="K49" s="66"/>
      <c r="L49" s="66"/>
    </row>
    <row r="50" spans="1:12">
      <c r="A50" s="66"/>
      <c r="B50" s="66"/>
      <c r="C50" s="66"/>
      <c r="D50" s="66"/>
      <c r="E50" s="66"/>
      <c r="F50" s="66"/>
      <c r="G50" s="66"/>
      <c r="H50" s="66"/>
      <c r="I50" s="66"/>
      <c r="J50" s="66"/>
      <c r="K50" s="66"/>
      <c r="L50" s="66"/>
    </row>
    <row r="51" spans="1:12">
      <c r="A51" s="66"/>
      <c r="B51" s="66"/>
      <c r="C51" s="66"/>
      <c r="D51" s="66"/>
      <c r="E51" s="66"/>
      <c r="F51" s="66"/>
      <c r="G51" s="66"/>
      <c r="H51" s="66"/>
      <c r="I51" s="66"/>
      <c r="J51" s="66"/>
      <c r="K51" s="66"/>
      <c r="L51" s="66"/>
    </row>
    <row r="52" spans="1:12">
      <c r="A52" s="66"/>
      <c r="B52" s="66"/>
      <c r="C52" s="66"/>
      <c r="D52" s="66"/>
      <c r="E52" s="66"/>
      <c r="F52" s="66"/>
      <c r="G52" s="66"/>
      <c r="H52" s="66"/>
      <c r="I52" s="66"/>
      <c r="J52" s="66"/>
      <c r="K52" s="66"/>
      <c r="L52" s="66"/>
    </row>
    <row r="53" spans="1:12">
      <c r="A53" s="66"/>
      <c r="B53" s="66"/>
      <c r="C53" s="66"/>
      <c r="D53" s="66"/>
      <c r="E53" s="66"/>
      <c r="F53" s="66"/>
      <c r="G53" s="66"/>
      <c r="H53" s="66"/>
      <c r="I53" s="66"/>
      <c r="J53" s="66"/>
      <c r="K53" s="66"/>
      <c r="L53" s="66"/>
    </row>
    <row r="54" spans="1:12">
      <c r="A54" s="66"/>
      <c r="B54" s="66"/>
      <c r="C54" s="66"/>
      <c r="D54" s="66"/>
      <c r="E54" s="66"/>
      <c r="F54" s="66"/>
      <c r="G54" s="66"/>
      <c r="H54" s="66"/>
      <c r="I54" s="66"/>
      <c r="J54" s="66"/>
      <c r="K54" s="66"/>
      <c r="L54" s="66"/>
    </row>
    <row r="55" spans="1:12">
      <c r="A55" s="66"/>
      <c r="B55" s="66"/>
      <c r="C55" s="66"/>
      <c r="D55" s="66"/>
      <c r="E55" s="66"/>
      <c r="F55" s="66"/>
      <c r="G55" s="66"/>
      <c r="H55" s="66"/>
      <c r="I55" s="66"/>
      <c r="J55" s="66"/>
      <c r="K55" s="66"/>
      <c r="L55" s="66"/>
    </row>
    <row r="56" spans="1:12">
      <c r="A56" s="66"/>
      <c r="B56" s="66"/>
      <c r="C56" s="66"/>
      <c r="D56" s="66"/>
      <c r="E56" s="66"/>
      <c r="F56" s="66"/>
      <c r="G56" s="66"/>
      <c r="H56" s="66"/>
      <c r="I56" s="66"/>
      <c r="J56" s="66"/>
      <c r="K56" s="66"/>
      <c r="L56" s="66"/>
    </row>
    <row r="57" spans="1:12">
      <c r="A57" s="66"/>
      <c r="B57" s="66"/>
      <c r="C57" s="66"/>
      <c r="D57" s="66"/>
      <c r="E57" s="66"/>
      <c r="F57" s="66"/>
      <c r="G57" s="66"/>
      <c r="H57" s="66"/>
      <c r="I57" s="66"/>
      <c r="J57" s="66"/>
      <c r="K57" s="66"/>
      <c r="L57" s="66"/>
    </row>
    <row r="58" spans="1:12">
      <c r="A58" s="66"/>
      <c r="B58" s="66"/>
      <c r="C58" s="66"/>
      <c r="D58" s="66"/>
      <c r="E58" s="66"/>
      <c r="F58" s="66"/>
      <c r="G58" s="66"/>
      <c r="H58" s="66"/>
      <c r="I58" s="66"/>
      <c r="J58" s="66"/>
      <c r="K58" s="66"/>
      <c r="L58" s="66"/>
    </row>
    <row r="59" spans="1:12">
      <c r="A59" s="66"/>
      <c r="B59" s="66"/>
      <c r="C59" s="66"/>
      <c r="D59" s="66"/>
      <c r="E59" s="66"/>
      <c r="F59" s="66"/>
      <c r="G59" s="66"/>
      <c r="H59" s="66"/>
      <c r="I59" s="66"/>
      <c r="J59" s="66"/>
      <c r="K59" s="66"/>
      <c r="L59" s="66"/>
    </row>
    <row r="60" spans="1:12">
      <c r="A60" s="66"/>
      <c r="B60" s="66"/>
      <c r="C60" s="66"/>
      <c r="D60" s="66"/>
      <c r="E60" s="66"/>
      <c r="F60" s="66"/>
      <c r="G60" s="66"/>
      <c r="H60" s="66"/>
      <c r="I60" s="66"/>
      <c r="J60" s="66"/>
      <c r="K60" s="66"/>
      <c r="L60" s="66"/>
    </row>
    <row r="61" spans="1:12">
      <c r="A61" s="66"/>
      <c r="B61" s="66"/>
      <c r="C61" s="66"/>
      <c r="D61" s="66"/>
      <c r="E61" s="66"/>
      <c r="F61" s="66"/>
      <c r="G61" s="66"/>
      <c r="H61" s="66"/>
      <c r="I61" s="66"/>
      <c r="J61" s="66"/>
      <c r="K61" s="66"/>
      <c r="L61" s="66"/>
    </row>
    <row r="62" spans="1:12">
      <c r="A62" s="66"/>
      <c r="B62" s="66"/>
      <c r="C62" s="66"/>
      <c r="D62" s="66"/>
      <c r="E62" s="66"/>
      <c r="F62" s="66"/>
      <c r="G62" s="66"/>
      <c r="H62" s="66"/>
      <c r="I62" s="66"/>
      <c r="J62" s="66"/>
      <c r="K62" s="66"/>
      <c r="L62" s="66"/>
    </row>
    <row r="63" spans="1:12">
      <c r="A63" s="66"/>
      <c r="B63" s="66"/>
      <c r="C63" s="66"/>
      <c r="D63" s="66"/>
      <c r="E63" s="66"/>
      <c r="F63" s="66"/>
      <c r="G63" s="66"/>
      <c r="H63" s="66"/>
      <c r="I63" s="66"/>
      <c r="J63" s="66"/>
      <c r="K63" s="66"/>
      <c r="L63" s="66"/>
    </row>
    <row r="64" spans="1:12">
      <c r="A64" s="66"/>
      <c r="B64" s="66"/>
      <c r="C64" s="66"/>
      <c r="D64" s="66"/>
      <c r="E64" s="66"/>
      <c r="F64" s="66"/>
      <c r="G64" s="66"/>
      <c r="H64" s="66"/>
      <c r="I64" s="66"/>
      <c r="J64" s="66"/>
      <c r="K64" s="66"/>
      <c r="L64" s="66"/>
    </row>
    <row r="65" spans="1:12">
      <c r="A65" s="66"/>
      <c r="B65" s="66"/>
      <c r="C65" s="66"/>
      <c r="D65" s="66"/>
      <c r="E65" s="66"/>
      <c r="F65" s="66"/>
      <c r="G65" s="66"/>
      <c r="H65" s="66"/>
      <c r="I65" s="66"/>
      <c r="J65" s="66"/>
      <c r="K65" s="66"/>
      <c r="L65" s="66"/>
    </row>
    <row r="66" spans="1:12">
      <c r="A66" s="66"/>
      <c r="B66" s="66"/>
      <c r="C66" s="66"/>
      <c r="D66" s="66"/>
      <c r="E66" s="66"/>
      <c r="F66" s="66"/>
      <c r="G66" s="66"/>
      <c r="H66" s="66"/>
      <c r="I66" s="66"/>
      <c r="J66" s="66"/>
      <c r="K66" s="66"/>
      <c r="L66" s="66"/>
    </row>
    <row r="67" spans="1:12">
      <c r="A67" s="66"/>
      <c r="B67" s="66"/>
      <c r="C67" s="66"/>
      <c r="D67" s="66"/>
      <c r="E67" s="66"/>
      <c r="F67" s="66"/>
      <c r="G67" s="66"/>
      <c r="H67" s="66"/>
      <c r="I67" s="66"/>
      <c r="J67" s="66"/>
      <c r="K67" s="66"/>
      <c r="L67" s="66"/>
    </row>
    <row r="68" spans="1:12">
      <c r="A68" s="66"/>
      <c r="B68" s="66"/>
      <c r="C68" s="66"/>
      <c r="D68" s="66"/>
      <c r="E68" s="66"/>
      <c r="F68" s="66"/>
      <c r="G68" s="66"/>
      <c r="H68" s="66"/>
      <c r="I68" s="66"/>
      <c r="J68" s="66"/>
      <c r="K68" s="66"/>
      <c r="L68" s="66"/>
    </row>
    <row r="69" spans="1:12">
      <c r="A69" s="66"/>
      <c r="B69" s="66"/>
      <c r="C69" s="66"/>
      <c r="D69" s="66"/>
      <c r="E69" s="66"/>
      <c r="F69" s="66"/>
      <c r="G69" s="66"/>
      <c r="H69" s="66"/>
      <c r="I69" s="66"/>
      <c r="J69" s="66"/>
      <c r="K69" s="66"/>
      <c r="L69" s="66"/>
    </row>
    <row r="70" spans="1:12">
      <c r="A70" s="66"/>
      <c r="B70" s="66"/>
      <c r="C70" s="66"/>
      <c r="D70" s="66"/>
      <c r="E70" s="66"/>
      <c r="F70" s="66"/>
      <c r="G70" s="66"/>
      <c r="H70" s="66"/>
      <c r="I70" s="66"/>
      <c r="J70" s="66"/>
      <c r="K70" s="66"/>
      <c r="L70" s="66"/>
    </row>
    <row r="71" spans="1:12">
      <c r="A71" s="66"/>
      <c r="B71" s="66"/>
      <c r="C71" s="66"/>
      <c r="D71" s="66"/>
      <c r="E71" s="66"/>
      <c r="F71" s="66"/>
      <c r="G71" s="66"/>
      <c r="H71" s="66"/>
      <c r="I71" s="66"/>
      <c r="J71" s="66"/>
      <c r="K71" s="66"/>
      <c r="L71" s="66"/>
    </row>
    <row r="72" spans="1:12">
      <c r="A72" s="66"/>
      <c r="B72" s="66"/>
      <c r="C72" s="66"/>
      <c r="D72" s="66"/>
      <c r="E72" s="66"/>
      <c r="F72" s="66"/>
      <c r="G72" s="66"/>
      <c r="H72" s="66"/>
      <c r="I72" s="66"/>
      <c r="J72" s="66"/>
      <c r="K72" s="66"/>
      <c r="L72" s="66"/>
    </row>
    <row r="73" spans="1:12">
      <c r="A73" s="66"/>
      <c r="B73" s="66"/>
      <c r="C73" s="66"/>
      <c r="D73" s="66"/>
      <c r="E73" s="66"/>
      <c r="F73" s="66"/>
      <c r="G73" s="66"/>
      <c r="H73" s="66"/>
      <c r="I73" s="66"/>
      <c r="J73" s="66"/>
      <c r="K73" s="66"/>
      <c r="L73" s="66"/>
    </row>
    <row r="74" spans="1:12">
      <c r="A74" s="66"/>
      <c r="B74" s="66"/>
      <c r="C74" s="66"/>
      <c r="D74" s="66"/>
      <c r="E74" s="66"/>
      <c r="F74" s="66"/>
      <c r="G74" s="66"/>
      <c r="H74" s="66"/>
      <c r="I74" s="66"/>
      <c r="J74" s="66"/>
      <c r="K74" s="66"/>
      <c r="L74" s="66"/>
    </row>
    <row r="75" spans="1:12">
      <c r="A75" s="66"/>
      <c r="B75" s="66"/>
      <c r="C75" s="66"/>
      <c r="D75" s="66"/>
      <c r="E75" s="66"/>
      <c r="F75" s="66"/>
      <c r="G75" s="66"/>
      <c r="H75" s="66"/>
      <c r="I75" s="66"/>
      <c r="J75" s="66"/>
      <c r="K75" s="66"/>
      <c r="L75" s="66"/>
    </row>
    <row r="76" spans="1:12">
      <c r="A76" s="66"/>
      <c r="B76" s="66"/>
      <c r="C76" s="66"/>
      <c r="D76" s="66"/>
      <c r="E76" s="66"/>
      <c r="F76" s="66"/>
      <c r="G76" s="66"/>
      <c r="H76" s="66"/>
      <c r="I76" s="66"/>
      <c r="J76" s="66"/>
      <c r="K76" s="66"/>
      <c r="L76" s="66"/>
    </row>
    <row r="77" spans="1:12">
      <c r="A77" s="66"/>
      <c r="B77" s="66"/>
      <c r="C77" s="66"/>
      <c r="D77" s="66"/>
      <c r="E77" s="66"/>
      <c r="F77" s="66"/>
      <c r="G77" s="66"/>
      <c r="H77" s="66"/>
      <c r="I77" s="66"/>
      <c r="J77" s="66"/>
      <c r="K77" s="66"/>
      <c r="L77" s="66"/>
    </row>
    <row r="78" spans="1:12">
      <c r="A78" s="66"/>
      <c r="B78" s="66"/>
      <c r="C78" s="66"/>
      <c r="D78" s="66"/>
      <c r="E78" s="66"/>
      <c r="F78" s="66"/>
      <c r="G78" s="66"/>
      <c r="H78" s="66"/>
      <c r="I78" s="66"/>
      <c r="J78" s="66"/>
      <c r="K78" s="66"/>
      <c r="L78" s="66"/>
    </row>
    <row r="79" spans="1:12">
      <c r="A79" s="66"/>
      <c r="B79" s="66"/>
      <c r="C79" s="66"/>
      <c r="D79" s="66"/>
      <c r="E79" s="66"/>
      <c r="F79" s="66"/>
      <c r="G79" s="66"/>
      <c r="H79" s="66"/>
      <c r="I79" s="66"/>
      <c r="J79" s="66"/>
      <c r="K79" s="66"/>
      <c r="L79" s="66"/>
    </row>
    <row r="80" spans="1:12">
      <c r="A80" s="66"/>
      <c r="B80" s="66"/>
      <c r="C80" s="66"/>
      <c r="D80" s="66"/>
      <c r="E80" s="66"/>
      <c r="F80" s="66"/>
      <c r="G80" s="66"/>
      <c r="H80" s="66"/>
      <c r="I80" s="66"/>
      <c r="J80" s="66"/>
      <c r="K80" s="66"/>
      <c r="L80" s="66"/>
    </row>
    <row r="81" spans="1:12">
      <c r="A81" s="66"/>
      <c r="B81" s="66"/>
      <c r="C81" s="66"/>
      <c r="D81" s="66"/>
      <c r="E81" s="66"/>
      <c r="F81" s="66"/>
      <c r="G81" s="66"/>
      <c r="H81" s="66"/>
      <c r="I81" s="66"/>
      <c r="J81" s="66"/>
      <c r="K81" s="66"/>
      <c r="L81" s="66"/>
    </row>
    <row r="82" spans="1:12">
      <c r="A82" s="66"/>
      <c r="B82" s="66"/>
      <c r="C82" s="66"/>
      <c r="D82" s="66"/>
      <c r="E82" s="66"/>
      <c r="F82" s="66"/>
      <c r="G82" s="66"/>
      <c r="H82" s="66"/>
      <c r="I82" s="66"/>
      <c r="J82" s="66"/>
      <c r="K82" s="66"/>
      <c r="L82" s="66"/>
    </row>
    <row r="83" spans="1:12">
      <c r="A83" s="66"/>
      <c r="B83" s="66"/>
      <c r="C83" s="66"/>
      <c r="D83" s="66"/>
      <c r="E83" s="66"/>
      <c r="F83" s="66"/>
      <c r="G83" s="66"/>
      <c r="H83" s="66"/>
      <c r="I83" s="66"/>
      <c r="J83" s="66"/>
      <c r="K83" s="66"/>
      <c r="L83" s="66"/>
    </row>
    <row r="84" spans="1:12">
      <c r="A84" s="66"/>
      <c r="B84" s="66"/>
      <c r="C84" s="66"/>
      <c r="D84" s="66"/>
      <c r="E84" s="66"/>
      <c r="F84" s="66"/>
      <c r="G84" s="66"/>
      <c r="H84" s="66"/>
      <c r="I84" s="66"/>
      <c r="J84" s="66"/>
      <c r="K84" s="66"/>
      <c r="L84" s="66"/>
    </row>
    <row r="85" spans="1:12">
      <c r="A85" s="66"/>
      <c r="B85" s="66"/>
      <c r="C85" s="66"/>
      <c r="D85" s="66"/>
      <c r="E85" s="66"/>
      <c r="F85" s="66"/>
      <c r="G85" s="66"/>
      <c r="H85" s="66"/>
      <c r="I85" s="66"/>
      <c r="J85" s="66"/>
      <c r="K85" s="66"/>
      <c r="L85" s="66"/>
    </row>
    <row r="86" spans="1:12">
      <c r="A86" s="66"/>
      <c r="B86" s="66"/>
      <c r="C86" s="66"/>
      <c r="D86" s="66"/>
      <c r="E86" s="66"/>
      <c r="F86" s="66"/>
      <c r="G86" s="66"/>
      <c r="H86" s="66"/>
      <c r="I86" s="66"/>
      <c r="J86" s="66"/>
      <c r="K86" s="66"/>
      <c r="L86" s="66"/>
    </row>
    <row r="87" spans="1:12">
      <c r="A87" s="66"/>
      <c r="B87" s="66"/>
      <c r="C87" s="66"/>
      <c r="D87" s="66"/>
      <c r="E87" s="66"/>
      <c r="F87" s="66"/>
      <c r="G87" s="66"/>
      <c r="H87" s="66"/>
      <c r="I87" s="66"/>
      <c r="J87" s="66"/>
      <c r="K87" s="66"/>
      <c r="L87" s="66"/>
    </row>
    <row r="88" spans="1:12">
      <c r="A88" s="66"/>
      <c r="B88" s="66"/>
      <c r="C88" s="66"/>
      <c r="D88" s="66"/>
      <c r="E88" s="66"/>
      <c r="F88" s="66"/>
      <c r="G88" s="66"/>
      <c r="H88" s="66"/>
      <c r="I88" s="66"/>
      <c r="J88" s="66"/>
      <c r="K88" s="66"/>
      <c r="L88" s="66"/>
    </row>
    <row r="89" spans="1:12">
      <c r="A89" s="66"/>
      <c r="B89" s="66"/>
      <c r="C89" s="66"/>
      <c r="D89" s="66"/>
      <c r="E89" s="66"/>
      <c r="F89" s="66"/>
      <c r="G89" s="66"/>
      <c r="H89" s="66"/>
      <c r="I89" s="66"/>
      <c r="J89" s="66"/>
      <c r="K89" s="66"/>
      <c r="L89" s="66"/>
    </row>
    <row r="90" spans="1:12">
      <c r="A90" s="66"/>
      <c r="B90" s="66"/>
      <c r="C90" s="66"/>
      <c r="D90" s="66"/>
      <c r="E90" s="66"/>
      <c r="F90" s="66"/>
      <c r="G90" s="66"/>
      <c r="H90" s="66"/>
      <c r="I90" s="66"/>
      <c r="J90" s="66"/>
      <c r="K90" s="66"/>
      <c r="L90" s="66"/>
    </row>
  </sheetData>
  <mergeCells count="3">
    <mergeCell ref="A1:D1"/>
    <mergeCell ref="A2:D2"/>
    <mergeCell ref="A3:D4"/>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8751-4E4F-4835-BC46-EF1789EF5146}">
  <sheetPr codeName="Sheet25"/>
  <dimension ref="A1:AC149"/>
  <sheetViews>
    <sheetView topLeftCell="A75" workbookViewId="0">
      <selection activeCell="A83" sqref="A83"/>
    </sheetView>
  </sheetViews>
  <sheetFormatPr defaultRowHeight="15"/>
  <cols>
    <col min="1" max="2" width="2.33203125" customWidth="1"/>
    <col min="3" max="3" width="20.77734375" customWidth="1"/>
    <col min="4" max="5" width="1.77734375" customWidth="1"/>
    <col min="6" max="6" width="7.33203125" bestFit="1" customWidth="1"/>
    <col min="7" max="7" width="1.77734375" customWidth="1"/>
    <col min="8" max="8" width="9.88671875" bestFit="1" customWidth="1"/>
    <col min="9" max="9" width="1.77734375" customWidth="1"/>
    <col min="10" max="10" width="9.5546875" bestFit="1" customWidth="1"/>
    <col min="11" max="11" width="1.77734375" customWidth="1"/>
    <col min="12" max="12" width="17.33203125" bestFit="1" customWidth="1"/>
    <col min="13" max="13" width="1.77734375" customWidth="1"/>
    <col min="14" max="14" width="8.21875" bestFit="1" customWidth="1"/>
    <col min="15" max="15" width="1.77734375" customWidth="1"/>
    <col min="16" max="16" width="14.33203125" customWidth="1"/>
    <col min="17" max="17" width="1.77734375" customWidth="1"/>
    <col min="18" max="18" width="8.44140625" customWidth="1"/>
    <col min="19" max="19" width="1.77734375" customWidth="1"/>
    <col min="20" max="20" width="15.88671875" bestFit="1" customWidth="1"/>
    <col min="21" max="21" width="1.77734375" customWidth="1"/>
    <col min="22" max="22" width="9.88671875" bestFit="1" customWidth="1"/>
    <col min="23" max="23" width="1.77734375" customWidth="1"/>
    <col min="24" max="24" width="8.21875" bestFit="1" customWidth="1"/>
    <col min="25" max="25" width="1.77734375" customWidth="1"/>
    <col min="26" max="26" width="9.88671875" bestFit="1" customWidth="1"/>
  </cols>
  <sheetData>
    <row r="1" spans="1:28" ht="15.75" thickBot="1">
      <c r="A1" s="166"/>
      <c r="B1" s="166"/>
      <c r="C1" s="166"/>
      <c r="D1" s="166"/>
      <c r="E1" s="166"/>
      <c r="F1" s="167" t="s">
        <v>45</v>
      </c>
      <c r="G1" s="166"/>
      <c r="H1" s="167" t="s">
        <v>762</v>
      </c>
      <c r="I1" s="166"/>
      <c r="J1" s="167" t="s">
        <v>763</v>
      </c>
      <c r="K1" s="166"/>
      <c r="L1" s="167" t="s">
        <v>764</v>
      </c>
      <c r="M1" s="166"/>
      <c r="N1" s="167" t="s">
        <v>765</v>
      </c>
      <c r="O1" s="166"/>
      <c r="P1" s="167" t="s">
        <v>766</v>
      </c>
      <c r="Q1" s="166"/>
      <c r="R1" s="167" t="s">
        <v>767</v>
      </c>
      <c r="S1" s="166"/>
      <c r="T1" s="167" t="s">
        <v>768</v>
      </c>
      <c r="U1" s="166"/>
      <c r="V1" s="167" t="s">
        <v>769</v>
      </c>
      <c r="W1" s="166"/>
      <c r="X1" s="167" t="s">
        <v>770</v>
      </c>
      <c r="Y1" s="166"/>
      <c r="Z1" s="167" t="s">
        <v>771</v>
      </c>
      <c r="AA1" s="168"/>
      <c r="AB1" s="66"/>
    </row>
    <row r="2" spans="1:28" ht="15.75" thickTop="1">
      <c r="A2" s="169"/>
      <c r="B2" s="169" t="s">
        <v>468</v>
      </c>
      <c r="C2" s="169"/>
      <c r="D2" s="169"/>
      <c r="E2" s="169"/>
      <c r="F2" s="169"/>
      <c r="G2" s="169"/>
      <c r="H2" s="170"/>
      <c r="I2" s="169"/>
      <c r="J2" s="169"/>
      <c r="K2" s="169"/>
      <c r="L2" s="169"/>
      <c r="M2" s="169"/>
      <c r="N2" s="169"/>
      <c r="O2" s="169"/>
      <c r="P2" s="169"/>
      <c r="Q2" s="169"/>
      <c r="R2" s="169"/>
      <c r="S2" s="169"/>
      <c r="T2" s="169"/>
      <c r="U2" s="169"/>
      <c r="V2" s="171"/>
      <c r="W2" s="169"/>
      <c r="X2" s="171"/>
      <c r="Y2" s="169"/>
      <c r="Z2" s="171"/>
      <c r="AA2" s="172"/>
      <c r="AB2" s="66"/>
    </row>
    <row r="3" spans="1:28">
      <c r="A3" s="169"/>
      <c r="B3" s="169"/>
      <c r="C3" s="169" t="s">
        <v>469</v>
      </c>
      <c r="D3" s="169"/>
      <c r="E3" s="169"/>
      <c r="F3" s="169" t="s">
        <v>772</v>
      </c>
      <c r="G3" s="169"/>
      <c r="H3" s="170">
        <v>43922</v>
      </c>
      <c r="I3" s="169"/>
      <c r="J3" s="169"/>
      <c r="K3" s="169"/>
      <c r="L3" s="169" t="s">
        <v>773</v>
      </c>
      <c r="M3" s="169"/>
      <c r="N3" s="169" t="s">
        <v>774</v>
      </c>
      <c r="O3" s="169"/>
      <c r="P3" s="169" t="s">
        <v>675</v>
      </c>
      <c r="Q3" s="169"/>
      <c r="R3" s="173"/>
      <c r="S3" s="169"/>
      <c r="T3" s="169" t="s">
        <v>775</v>
      </c>
      <c r="U3" s="169"/>
      <c r="V3" s="171">
        <v>1868.52</v>
      </c>
      <c r="W3" s="169"/>
      <c r="X3" s="171"/>
      <c r="Y3" s="169"/>
      <c r="Z3" s="171">
        <v>7041.52</v>
      </c>
      <c r="AA3" s="172"/>
      <c r="AB3" s="66"/>
    </row>
    <row r="4" spans="1:28">
      <c r="A4" s="169"/>
      <c r="B4" s="169"/>
      <c r="C4" s="169"/>
      <c r="D4" s="169"/>
      <c r="E4" s="169"/>
      <c r="F4" s="169" t="s">
        <v>772</v>
      </c>
      <c r="G4" s="169"/>
      <c r="H4" s="170">
        <v>43922</v>
      </c>
      <c r="I4" s="169"/>
      <c r="J4" s="169"/>
      <c r="K4" s="169"/>
      <c r="L4" s="169" t="s">
        <v>773</v>
      </c>
      <c r="M4" s="169"/>
      <c r="N4" s="169" t="s">
        <v>774</v>
      </c>
      <c r="O4" s="169"/>
      <c r="P4" s="169" t="s">
        <v>519</v>
      </c>
      <c r="Q4" s="169"/>
      <c r="R4" s="173"/>
      <c r="S4" s="169"/>
      <c r="T4" s="169" t="s">
        <v>775</v>
      </c>
      <c r="U4" s="169"/>
      <c r="V4" s="171">
        <v>13702.48</v>
      </c>
      <c r="W4" s="169"/>
      <c r="X4" s="171"/>
      <c r="Y4" s="169"/>
      <c r="Z4" s="171">
        <v>20744</v>
      </c>
      <c r="AA4" s="172"/>
      <c r="AB4" s="66"/>
    </row>
    <row r="5" spans="1:28">
      <c r="A5" s="169"/>
      <c r="B5" s="169"/>
      <c r="C5" s="169"/>
      <c r="D5" s="169"/>
      <c r="E5" s="169"/>
      <c r="F5" s="169" t="s">
        <v>772</v>
      </c>
      <c r="G5" s="169"/>
      <c r="H5" s="170">
        <v>43955</v>
      </c>
      <c r="I5" s="169"/>
      <c r="J5" s="169"/>
      <c r="K5" s="169"/>
      <c r="L5" s="169" t="s">
        <v>773</v>
      </c>
      <c r="M5" s="169"/>
      <c r="N5" s="169" t="s">
        <v>774</v>
      </c>
      <c r="O5" s="169"/>
      <c r="P5" s="169" t="s">
        <v>675</v>
      </c>
      <c r="Q5" s="169"/>
      <c r="R5" s="173"/>
      <c r="S5" s="169"/>
      <c r="T5" s="169" t="s">
        <v>775</v>
      </c>
      <c r="U5" s="169"/>
      <c r="V5" s="171">
        <v>1868.52</v>
      </c>
      <c r="W5" s="169"/>
      <c r="X5" s="171"/>
      <c r="Y5" s="169"/>
      <c r="Z5" s="171">
        <v>28370.98</v>
      </c>
      <c r="AA5" s="172"/>
      <c r="AB5" s="66"/>
    </row>
    <row r="6" spans="1:28">
      <c r="A6" s="169"/>
      <c r="B6" s="169"/>
      <c r="C6" s="169"/>
      <c r="D6" s="169"/>
      <c r="E6" s="169"/>
      <c r="F6" s="169" t="s">
        <v>772</v>
      </c>
      <c r="G6" s="169"/>
      <c r="H6" s="170">
        <v>43955</v>
      </c>
      <c r="I6" s="169"/>
      <c r="J6" s="169"/>
      <c r="K6" s="169"/>
      <c r="L6" s="169" t="s">
        <v>773</v>
      </c>
      <c r="M6" s="169"/>
      <c r="N6" s="169" t="s">
        <v>774</v>
      </c>
      <c r="O6" s="169"/>
      <c r="P6" s="169" t="s">
        <v>519</v>
      </c>
      <c r="Q6" s="169"/>
      <c r="R6" s="173"/>
      <c r="S6" s="169"/>
      <c r="T6" s="169" t="s">
        <v>775</v>
      </c>
      <c r="U6" s="169"/>
      <c r="V6" s="171">
        <v>13702.48</v>
      </c>
      <c r="W6" s="169"/>
      <c r="X6" s="171"/>
      <c r="Y6" s="169"/>
      <c r="Z6" s="171">
        <v>42073.46</v>
      </c>
      <c r="AA6" s="172"/>
      <c r="AB6" s="66"/>
    </row>
    <row r="7" spans="1:28">
      <c r="A7" s="169"/>
      <c r="B7" s="169"/>
      <c r="C7" s="169"/>
      <c r="D7" s="169"/>
      <c r="E7" s="169"/>
      <c r="F7" s="169" t="s">
        <v>772</v>
      </c>
      <c r="G7" s="169"/>
      <c r="H7" s="170">
        <v>43983</v>
      </c>
      <c r="I7" s="169"/>
      <c r="J7" s="169"/>
      <c r="K7" s="169"/>
      <c r="L7" s="169" t="s">
        <v>773</v>
      </c>
      <c r="M7" s="169"/>
      <c r="N7" s="169" t="s">
        <v>774</v>
      </c>
      <c r="O7" s="169"/>
      <c r="P7" s="169" t="s">
        <v>675</v>
      </c>
      <c r="Q7" s="169"/>
      <c r="R7" s="173"/>
      <c r="S7" s="169"/>
      <c r="T7" s="169" t="s">
        <v>775</v>
      </c>
      <c r="U7" s="169"/>
      <c r="V7" s="171">
        <v>1868.52</v>
      </c>
      <c r="W7" s="169"/>
      <c r="X7" s="171"/>
      <c r="Y7" s="169"/>
      <c r="Z7" s="171">
        <v>49700.44</v>
      </c>
      <c r="AA7" s="172"/>
      <c r="AB7" s="66"/>
    </row>
    <row r="8" spans="1:28">
      <c r="A8" s="169"/>
      <c r="B8" s="169"/>
      <c r="C8" s="169"/>
      <c r="D8" s="169"/>
      <c r="E8" s="169"/>
      <c r="F8" s="169" t="s">
        <v>772</v>
      </c>
      <c r="G8" s="169"/>
      <c r="H8" s="170">
        <v>43983</v>
      </c>
      <c r="I8" s="169"/>
      <c r="J8" s="169"/>
      <c r="K8" s="169"/>
      <c r="L8" s="169" t="s">
        <v>773</v>
      </c>
      <c r="M8" s="169"/>
      <c r="N8" s="169" t="s">
        <v>774</v>
      </c>
      <c r="O8" s="169"/>
      <c r="P8" s="169" t="s">
        <v>519</v>
      </c>
      <c r="Q8" s="169"/>
      <c r="R8" s="173"/>
      <c r="S8" s="169"/>
      <c r="T8" s="169" t="s">
        <v>775</v>
      </c>
      <c r="U8" s="169"/>
      <c r="V8" s="171">
        <v>13702.48</v>
      </c>
      <c r="W8" s="169"/>
      <c r="X8" s="171"/>
      <c r="Y8" s="169"/>
      <c r="Z8" s="171">
        <v>63402.92</v>
      </c>
      <c r="AA8" s="172"/>
      <c r="AB8" s="66"/>
    </row>
    <row r="9" spans="1:28">
      <c r="A9" s="169"/>
      <c r="B9" s="169"/>
      <c r="C9" s="169"/>
      <c r="D9" s="169"/>
      <c r="E9" s="169"/>
      <c r="F9" s="169" t="s">
        <v>772</v>
      </c>
      <c r="G9" s="169"/>
      <c r="H9" s="170">
        <v>44013</v>
      </c>
      <c r="I9" s="169"/>
      <c r="J9" s="169"/>
      <c r="K9" s="169"/>
      <c r="L9" s="169" t="s">
        <v>773</v>
      </c>
      <c r="M9" s="169"/>
      <c r="N9" s="169" t="s">
        <v>774</v>
      </c>
      <c r="O9" s="169"/>
      <c r="P9" s="169" t="s">
        <v>675</v>
      </c>
      <c r="Q9" s="169"/>
      <c r="R9" s="173"/>
      <c r="S9" s="169"/>
      <c r="T9" s="169" t="s">
        <v>775</v>
      </c>
      <c r="U9" s="169"/>
      <c r="V9" s="171">
        <v>1868.52</v>
      </c>
      <c r="W9" s="169"/>
      <c r="X9" s="171"/>
      <c r="Y9" s="169"/>
      <c r="Z9" s="171">
        <v>71029.899999999994</v>
      </c>
      <c r="AA9" s="172"/>
      <c r="AB9" s="66"/>
    </row>
    <row r="10" spans="1:28">
      <c r="A10" s="169"/>
      <c r="B10" s="169"/>
      <c r="C10" s="169"/>
      <c r="D10" s="169"/>
      <c r="E10" s="169"/>
      <c r="F10" s="169" t="s">
        <v>772</v>
      </c>
      <c r="G10" s="169"/>
      <c r="H10" s="170">
        <v>44013</v>
      </c>
      <c r="I10" s="169"/>
      <c r="J10" s="169"/>
      <c r="K10" s="169"/>
      <c r="L10" s="169" t="s">
        <v>773</v>
      </c>
      <c r="M10" s="169"/>
      <c r="N10" s="169" t="s">
        <v>774</v>
      </c>
      <c r="O10" s="169"/>
      <c r="P10" s="169" t="s">
        <v>519</v>
      </c>
      <c r="Q10" s="169"/>
      <c r="R10" s="173"/>
      <c r="S10" s="169"/>
      <c r="T10" s="169" t="s">
        <v>775</v>
      </c>
      <c r="U10" s="169"/>
      <c r="V10" s="171">
        <v>13702.48</v>
      </c>
      <c r="W10" s="169"/>
      <c r="X10" s="171"/>
      <c r="Y10" s="169"/>
      <c r="Z10" s="171">
        <v>84732.38</v>
      </c>
      <c r="AA10" s="172"/>
      <c r="AB10" s="66"/>
    </row>
    <row r="11" spans="1:28">
      <c r="A11" s="169"/>
      <c r="B11" s="169"/>
      <c r="C11" s="169"/>
      <c r="D11" s="169"/>
      <c r="E11" s="169"/>
      <c r="F11" s="169" t="s">
        <v>772</v>
      </c>
      <c r="G11" s="169"/>
      <c r="H11" s="170">
        <v>44044</v>
      </c>
      <c r="I11" s="169"/>
      <c r="J11" s="169"/>
      <c r="K11" s="169"/>
      <c r="L11" s="169" t="s">
        <v>773</v>
      </c>
      <c r="M11" s="169"/>
      <c r="N11" s="169" t="s">
        <v>774</v>
      </c>
      <c r="O11" s="169"/>
      <c r="P11" s="169" t="s">
        <v>675</v>
      </c>
      <c r="Q11" s="169"/>
      <c r="R11" s="173"/>
      <c r="S11" s="169"/>
      <c r="T11" s="169" t="s">
        <v>775</v>
      </c>
      <c r="U11" s="169"/>
      <c r="V11" s="171">
        <v>1868.52</v>
      </c>
      <c r="W11" s="169"/>
      <c r="X11" s="171"/>
      <c r="Y11" s="169"/>
      <c r="Z11" s="171">
        <v>87186.36</v>
      </c>
      <c r="AA11" s="172"/>
      <c r="AB11" s="66"/>
    </row>
    <row r="12" spans="1:28">
      <c r="A12" s="169"/>
      <c r="B12" s="169"/>
      <c r="C12" s="169"/>
      <c r="D12" s="169"/>
      <c r="E12" s="169"/>
      <c r="F12" s="169" t="s">
        <v>772</v>
      </c>
      <c r="G12" s="169"/>
      <c r="H12" s="170">
        <v>44044</v>
      </c>
      <c r="I12" s="169"/>
      <c r="J12" s="169"/>
      <c r="K12" s="169"/>
      <c r="L12" s="169" t="s">
        <v>773</v>
      </c>
      <c r="M12" s="169"/>
      <c r="N12" s="169" t="s">
        <v>774</v>
      </c>
      <c r="O12" s="169"/>
      <c r="P12" s="169" t="s">
        <v>519</v>
      </c>
      <c r="Q12" s="169"/>
      <c r="R12" s="173"/>
      <c r="S12" s="169"/>
      <c r="T12" s="169" t="s">
        <v>775</v>
      </c>
      <c r="U12" s="169"/>
      <c r="V12" s="171">
        <v>13702.48</v>
      </c>
      <c r="W12" s="169"/>
      <c r="X12" s="171"/>
      <c r="Y12" s="169"/>
      <c r="Z12" s="171">
        <v>100888.84</v>
      </c>
      <c r="AA12" s="172"/>
      <c r="AB12" s="66"/>
    </row>
    <row r="13" spans="1:28">
      <c r="A13" s="169"/>
      <c r="B13" s="169"/>
      <c r="C13" s="169"/>
      <c r="D13" s="169"/>
      <c r="E13" s="169"/>
      <c r="F13" s="169" t="s">
        <v>772</v>
      </c>
      <c r="G13" s="169"/>
      <c r="H13" s="170">
        <v>44075</v>
      </c>
      <c r="I13" s="169"/>
      <c r="J13" s="169"/>
      <c r="K13" s="169"/>
      <c r="L13" s="169" t="s">
        <v>773</v>
      </c>
      <c r="M13" s="169"/>
      <c r="N13" s="169" t="s">
        <v>774</v>
      </c>
      <c r="O13" s="169"/>
      <c r="P13" s="169" t="s">
        <v>675</v>
      </c>
      <c r="Q13" s="169"/>
      <c r="R13" s="173"/>
      <c r="S13" s="169"/>
      <c r="T13" s="169" t="s">
        <v>775</v>
      </c>
      <c r="U13" s="169"/>
      <c r="V13" s="171">
        <v>1868.52</v>
      </c>
      <c r="W13" s="169"/>
      <c r="X13" s="171"/>
      <c r="Y13" s="169"/>
      <c r="Z13" s="171">
        <v>108515.82</v>
      </c>
      <c r="AA13" s="172"/>
      <c r="AB13" s="66"/>
    </row>
    <row r="14" spans="1:28">
      <c r="A14" s="169"/>
      <c r="B14" s="169"/>
      <c r="C14" s="169"/>
      <c r="D14" s="169"/>
      <c r="E14" s="169"/>
      <c r="F14" s="169" t="s">
        <v>772</v>
      </c>
      <c r="G14" s="169"/>
      <c r="H14" s="170">
        <v>44075</v>
      </c>
      <c r="I14" s="169"/>
      <c r="J14" s="169"/>
      <c r="K14" s="169"/>
      <c r="L14" s="169" t="s">
        <v>773</v>
      </c>
      <c r="M14" s="169"/>
      <c r="N14" s="169" t="s">
        <v>774</v>
      </c>
      <c r="O14" s="169"/>
      <c r="P14" s="169" t="s">
        <v>519</v>
      </c>
      <c r="Q14" s="169"/>
      <c r="R14" s="173"/>
      <c r="S14" s="169"/>
      <c r="T14" s="169" t="s">
        <v>775</v>
      </c>
      <c r="U14" s="169"/>
      <c r="V14" s="171">
        <v>13702.48</v>
      </c>
      <c r="W14" s="169"/>
      <c r="X14" s="171"/>
      <c r="Y14" s="169"/>
      <c r="Z14" s="171">
        <v>122218.3</v>
      </c>
      <c r="AA14" s="172"/>
      <c r="AB14" s="66"/>
    </row>
    <row r="15" spans="1:28">
      <c r="A15" s="169"/>
      <c r="B15" s="169"/>
      <c r="C15" s="169"/>
      <c r="D15" s="169"/>
      <c r="E15" s="169"/>
      <c r="F15" s="169" t="s">
        <v>772</v>
      </c>
      <c r="G15" s="169"/>
      <c r="H15" s="170">
        <v>44105</v>
      </c>
      <c r="I15" s="169"/>
      <c r="J15" s="169"/>
      <c r="K15" s="169"/>
      <c r="L15" s="169" t="s">
        <v>773</v>
      </c>
      <c r="M15" s="169"/>
      <c r="N15" s="169" t="s">
        <v>774</v>
      </c>
      <c r="O15" s="169"/>
      <c r="P15" s="169" t="s">
        <v>675</v>
      </c>
      <c r="Q15" s="169"/>
      <c r="R15" s="173"/>
      <c r="S15" s="169"/>
      <c r="T15" s="169" t="s">
        <v>775</v>
      </c>
      <c r="U15" s="169"/>
      <c r="V15" s="171">
        <v>1868.52</v>
      </c>
      <c r="W15" s="169"/>
      <c r="X15" s="171"/>
      <c r="Y15" s="169"/>
      <c r="Z15" s="171">
        <v>129845.28</v>
      </c>
      <c r="AA15" s="172"/>
      <c r="AB15" s="66"/>
    </row>
    <row r="16" spans="1:28">
      <c r="A16" s="169"/>
      <c r="B16" s="169"/>
      <c r="C16" s="169"/>
      <c r="D16" s="169"/>
      <c r="E16" s="169"/>
      <c r="F16" s="169" t="s">
        <v>772</v>
      </c>
      <c r="G16" s="169"/>
      <c r="H16" s="170">
        <v>44105</v>
      </c>
      <c r="I16" s="169"/>
      <c r="J16" s="169"/>
      <c r="K16" s="169"/>
      <c r="L16" s="169" t="s">
        <v>773</v>
      </c>
      <c r="M16" s="169"/>
      <c r="N16" s="169" t="s">
        <v>774</v>
      </c>
      <c r="O16" s="169"/>
      <c r="P16" s="169" t="s">
        <v>519</v>
      </c>
      <c r="Q16" s="169"/>
      <c r="R16" s="173"/>
      <c r="S16" s="169"/>
      <c r="T16" s="169" t="s">
        <v>775</v>
      </c>
      <c r="U16" s="169"/>
      <c r="V16" s="171">
        <v>13702.48</v>
      </c>
      <c r="W16" s="169"/>
      <c r="X16" s="171"/>
      <c r="Y16" s="169"/>
      <c r="Z16" s="171">
        <v>143547.76</v>
      </c>
      <c r="AA16" s="172"/>
      <c r="AB16" s="66"/>
    </row>
    <row r="17" spans="1:28">
      <c r="A17" s="169"/>
      <c r="B17" s="169"/>
      <c r="C17" s="169"/>
      <c r="D17" s="169"/>
      <c r="E17" s="169"/>
      <c r="F17" s="169" t="s">
        <v>772</v>
      </c>
      <c r="G17" s="169"/>
      <c r="H17" s="170">
        <v>44136</v>
      </c>
      <c r="I17" s="169"/>
      <c r="J17" s="169"/>
      <c r="K17" s="169"/>
      <c r="L17" s="169" t="s">
        <v>773</v>
      </c>
      <c r="M17" s="169"/>
      <c r="N17" s="169" t="s">
        <v>774</v>
      </c>
      <c r="O17" s="169"/>
      <c r="P17" s="169" t="s">
        <v>675</v>
      </c>
      <c r="Q17" s="169"/>
      <c r="R17" s="173"/>
      <c r="S17" s="169"/>
      <c r="T17" s="169" t="s">
        <v>775</v>
      </c>
      <c r="U17" s="169"/>
      <c r="V17" s="171">
        <v>1868.52</v>
      </c>
      <c r="W17" s="169"/>
      <c r="X17" s="171"/>
      <c r="Y17" s="169"/>
      <c r="Z17" s="171">
        <v>151174.74</v>
      </c>
      <c r="AA17" s="172"/>
      <c r="AB17" s="66"/>
    </row>
    <row r="18" spans="1:28">
      <c r="A18" s="169"/>
      <c r="B18" s="169"/>
      <c r="C18" s="169"/>
      <c r="D18" s="169"/>
      <c r="E18" s="169"/>
      <c r="F18" s="169" t="s">
        <v>772</v>
      </c>
      <c r="G18" s="169"/>
      <c r="H18" s="170">
        <v>44136</v>
      </c>
      <c r="I18" s="169"/>
      <c r="J18" s="169"/>
      <c r="K18" s="169"/>
      <c r="L18" s="169" t="s">
        <v>773</v>
      </c>
      <c r="M18" s="169"/>
      <c r="N18" s="169" t="s">
        <v>774</v>
      </c>
      <c r="O18" s="169"/>
      <c r="P18" s="169" t="s">
        <v>519</v>
      </c>
      <c r="Q18" s="169"/>
      <c r="R18" s="173"/>
      <c r="S18" s="169"/>
      <c r="T18" s="169" t="s">
        <v>775</v>
      </c>
      <c r="U18" s="169"/>
      <c r="V18" s="171">
        <v>13702.48</v>
      </c>
      <c r="W18" s="169"/>
      <c r="X18" s="171"/>
      <c r="Y18" s="169"/>
      <c r="Z18" s="171">
        <v>164877.22</v>
      </c>
      <c r="AA18" s="172"/>
      <c r="AB18" s="66"/>
    </row>
    <row r="19" spans="1:28">
      <c r="A19" s="169"/>
      <c r="B19" s="169"/>
      <c r="C19" s="169"/>
      <c r="D19" s="169"/>
      <c r="E19" s="169"/>
      <c r="F19" s="169" t="s">
        <v>772</v>
      </c>
      <c r="G19" s="169"/>
      <c r="H19" s="170">
        <v>44166</v>
      </c>
      <c r="I19" s="169"/>
      <c r="J19" s="169"/>
      <c r="K19" s="169"/>
      <c r="L19" s="169" t="s">
        <v>773</v>
      </c>
      <c r="M19" s="169"/>
      <c r="N19" s="169" t="s">
        <v>774</v>
      </c>
      <c r="O19" s="169"/>
      <c r="P19" s="169" t="s">
        <v>675</v>
      </c>
      <c r="Q19" s="169"/>
      <c r="R19" s="173"/>
      <c r="S19" s="169"/>
      <c r="T19" s="169" t="s">
        <v>775</v>
      </c>
      <c r="U19" s="169"/>
      <c r="V19" s="171">
        <v>1868.52</v>
      </c>
      <c r="W19" s="169"/>
      <c r="X19" s="171"/>
      <c r="Y19" s="169"/>
      <c r="Z19" s="171">
        <v>172504.2</v>
      </c>
      <c r="AA19" s="172"/>
      <c r="AB19" s="66"/>
    </row>
    <row r="20" spans="1:28">
      <c r="A20" s="169"/>
      <c r="B20" s="169"/>
      <c r="C20" s="169"/>
      <c r="D20" s="169"/>
      <c r="E20" s="169"/>
      <c r="F20" s="169" t="s">
        <v>772</v>
      </c>
      <c r="G20" s="169"/>
      <c r="H20" s="170">
        <v>44166</v>
      </c>
      <c r="I20" s="169"/>
      <c r="J20" s="169"/>
      <c r="K20" s="169"/>
      <c r="L20" s="169" t="s">
        <v>773</v>
      </c>
      <c r="M20" s="169"/>
      <c r="N20" s="169" t="s">
        <v>774</v>
      </c>
      <c r="O20" s="169"/>
      <c r="P20" s="169" t="s">
        <v>519</v>
      </c>
      <c r="Q20" s="169"/>
      <c r="R20" s="173"/>
      <c r="S20" s="169"/>
      <c r="T20" s="169" t="s">
        <v>775</v>
      </c>
      <c r="U20" s="169"/>
      <c r="V20" s="171">
        <v>13702.48</v>
      </c>
      <c r="W20" s="169"/>
      <c r="X20" s="171"/>
      <c r="Y20" s="169"/>
      <c r="Z20" s="171">
        <v>186206.68</v>
      </c>
      <c r="AA20" s="172"/>
      <c r="AB20" s="66"/>
    </row>
    <row r="21" spans="1:28">
      <c r="A21" s="169"/>
      <c r="B21" s="169"/>
      <c r="C21" s="169"/>
      <c r="D21" s="169"/>
      <c r="E21" s="169"/>
      <c r="F21" s="169" t="s">
        <v>772</v>
      </c>
      <c r="G21" s="169"/>
      <c r="H21" s="170">
        <v>44197</v>
      </c>
      <c r="I21" s="169"/>
      <c r="J21" s="169"/>
      <c r="K21" s="169"/>
      <c r="L21" s="169" t="s">
        <v>773</v>
      </c>
      <c r="M21" s="169"/>
      <c r="N21" s="169" t="s">
        <v>774</v>
      </c>
      <c r="O21" s="169"/>
      <c r="P21" s="169" t="s">
        <v>675</v>
      </c>
      <c r="Q21" s="169"/>
      <c r="R21" s="173"/>
      <c r="S21" s="169"/>
      <c r="T21" s="169" t="s">
        <v>775</v>
      </c>
      <c r="U21" s="169"/>
      <c r="V21" s="171">
        <v>1868.52</v>
      </c>
      <c r="W21" s="169"/>
      <c r="X21" s="171"/>
      <c r="Y21" s="169"/>
      <c r="Z21" s="171">
        <v>193833.66</v>
      </c>
      <c r="AA21" s="172"/>
      <c r="AB21" s="66"/>
    </row>
    <row r="22" spans="1:28">
      <c r="A22" s="169"/>
      <c r="B22" s="169"/>
      <c r="C22" s="169"/>
      <c r="D22" s="169"/>
      <c r="E22" s="169"/>
      <c r="F22" s="169" t="s">
        <v>772</v>
      </c>
      <c r="G22" s="169"/>
      <c r="H22" s="170">
        <v>44197</v>
      </c>
      <c r="I22" s="169"/>
      <c r="J22" s="169"/>
      <c r="K22" s="169"/>
      <c r="L22" s="169" t="s">
        <v>773</v>
      </c>
      <c r="M22" s="169"/>
      <c r="N22" s="169" t="s">
        <v>774</v>
      </c>
      <c r="O22" s="169"/>
      <c r="P22" s="169" t="s">
        <v>519</v>
      </c>
      <c r="Q22" s="169"/>
      <c r="R22" s="173"/>
      <c r="S22" s="169"/>
      <c r="T22" s="169" t="s">
        <v>775</v>
      </c>
      <c r="U22" s="169"/>
      <c r="V22" s="171">
        <v>13702.48</v>
      </c>
      <c r="W22" s="169"/>
      <c r="X22" s="171"/>
      <c r="Y22" s="169"/>
      <c r="Z22" s="171">
        <v>207536.14</v>
      </c>
      <c r="AA22" s="172"/>
      <c r="AB22" s="66"/>
    </row>
    <row r="23" spans="1:28">
      <c r="A23" s="169"/>
      <c r="B23" s="169"/>
      <c r="C23" s="169"/>
      <c r="D23" s="169"/>
      <c r="E23" s="169"/>
      <c r="F23" s="169" t="s">
        <v>772</v>
      </c>
      <c r="G23" s="169"/>
      <c r="H23" s="170">
        <v>44228</v>
      </c>
      <c r="I23" s="169"/>
      <c r="J23" s="169"/>
      <c r="K23" s="169"/>
      <c r="L23" s="169" t="s">
        <v>773</v>
      </c>
      <c r="M23" s="169"/>
      <c r="N23" s="169" t="s">
        <v>774</v>
      </c>
      <c r="O23" s="169"/>
      <c r="P23" s="169" t="s">
        <v>675</v>
      </c>
      <c r="Q23" s="169"/>
      <c r="R23" s="173"/>
      <c r="S23" s="169"/>
      <c r="T23" s="169" t="s">
        <v>775</v>
      </c>
      <c r="U23" s="169"/>
      <c r="V23" s="171">
        <v>1868.52</v>
      </c>
      <c r="W23" s="169"/>
      <c r="X23" s="171"/>
      <c r="Y23" s="169"/>
      <c r="Z23" s="171">
        <v>220336.12</v>
      </c>
      <c r="AA23" s="172"/>
      <c r="AB23" s="66"/>
    </row>
    <row r="24" spans="1:28">
      <c r="A24" s="169"/>
      <c r="B24" s="169"/>
      <c r="C24" s="169"/>
      <c r="D24" s="169"/>
      <c r="E24" s="169"/>
      <c r="F24" s="169" t="s">
        <v>772</v>
      </c>
      <c r="G24" s="169"/>
      <c r="H24" s="170">
        <v>44228</v>
      </c>
      <c r="I24" s="169"/>
      <c r="J24" s="169"/>
      <c r="K24" s="169"/>
      <c r="L24" s="169" t="s">
        <v>773</v>
      </c>
      <c r="M24" s="169"/>
      <c r="N24" s="169" t="s">
        <v>774</v>
      </c>
      <c r="O24" s="169"/>
      <c r="P24" s="169" t="s">
        <v>519</v>
      </c>
      <c r="Q24" s="169"/>
      <c r="R24" s="173"/>
      <c r="S24" s="169"/>
      <c r="T24" s="169" t="s">
        <v>775</v>
      </c>
      <c r="U24" s="169"/>
      <c r="V24" s="171">
        <v>13702.48</v>
      </c>
      <c r="W24" s="169"/>
      <c r="X24" s="171"/>
      <c r="Y24" s="169"/>
      <c r="Z24" s="171">
        <v>234038.6</v>
      </c>
      <c r="AA24" s="172"/>
      <c r="AB24" s="66"/>
    </row>
    <row r="25" spans="1:28">
      <c r="A25" s="169"/>
      <c r="B25" s="169"/>
      <c r="C25" s="169"/>
      <c r="D25" s="169"/>
      <c r="E25" s="169"/>
      <c r="F25" s="169" t="s">
        <v>772</v>
      </c>
      <c r="G25" s="169"/>
      <c r="H25" s="170">
        <v>44256</v>
      </c>
      <c r="I25" s="169"/>
      <c r="J25" s="169"/>
      <c r="K25" s="169"/>
      <c r="L25" s="169" t="s">
        <v>773</v>
      </c>
      <c r="M25" s="169"/>
      <c r="N25" s="169" t="s">
        <v>774</v>
      </c>
      <c r="O25" s="169"/>
      <c r="P25" s="169" t="s">
        <v>675</v>
      </c>
      <c r="Q25" s="169"/>
      <c r="R25" s="173"/>
      <c r="S25" s="169"/>
      <c r="T25" s="169" t="s">
        <v>775</v>
      </c>
      <c r="U25" s="169"/>
      <c r="V25" s="171">
        <v>1868.52</v>
      </c>
      <c r="W25" s="169"/>
      <c r="X25" s="171"/>
      <c r="Y25" s="169"/>
      <c r="Z25" s="171">
        <v>241665.58</v>
      </c>
      <c r="AA25" s="172"/>
      <c r="AB25" s="66"/>
    </row>
    <row r="26" spans="1:28">
      <c r="A26" s="169"/>
      <c r="B26" s="169"/>
      <c r="C26" s="169"/>
      <c r="D26" s="169"/>
      <c r="E26" s="169"/>
      <c r="F26" s="169" t="s">
        <v>772</v>
      </c>
      <c r="G26" s="169"/>
      <c r="H26" s="170">
        <v>44256</v>
      </c>
      <c r="I26" s="169"/>
      <c r="J26" s="169"/>
      <c r="K26" s="169"/>
      <c r="L26" s="169" t="s">
        <v>773</v>
      </c>
      <c r="M26" s="169"/>
      <c r="N26" s="169" t="s">
        <v>774</v>
      </c>
      <c r="O26" s="169"/>
      <c r="P26" s="169" t="s">
        <v>519</v>
      </c>
      <c r="Q26" s="169"/>
      <c r="R26" s="173"/>
      <c r="S26" s="169"/>
      <c r="T26" s="169" t="s">
        <v>775</v>
      </c>
      <c r="U26" s="169"/>
      <c r="V26" s="171">
        <v>13702.48</v>
      </c>
      <c r="W26" s="169"/>
      <c r="X26" s="171"/>
      <c r="Y26" s="169"/>
      <c r="Z26" s="171">
        <v>255368.06</v>
      </c>
      <c r="AA26" s="172"/>
      <c r="AB26" s="66"/>
    </row>
    <row r="27" spans="1:28">
      <c r="A27" s="169"/>
      <c r="B27" s="169"/>
      <c r="C27" s="169"/>
      <c r="D27" s="169"/>
      <c r="E27" s="169"/>
      <c r="F27" s="169" t="s">
        <v>772</v>
      </c>
      <c r="G27" s="169"/>
      <c r="H27" s="170">
        <v>43922</v>
      </c>
      <c r="I27" s="169"/>
      <c r="J27" s="169"/>
      <c r="K27" s="169"/>
      <c r="L27" s="169" t="s">
        <v>776</v>
      </c>
      <c r="M27" s="169"/>
      <c r="N27" s="169"/>
      <c r="O27" s="169"/>
      <c r="P27" s="169" t="s">
        <v>675</v>
      </c>
      <c r="Q27" s="169"/>
      <c r="R27" s="173"/>
      <c r="S27" s="169"/>
      <c r="T27" s="169" t="s">
        <v>775</v>
      </c>
      <c r="U27" s="169"/>
      <c r="V27" s="171">
        <v>620.76</v>
      </c>
      <c r="W27" s="169"/>
      <c r="X27" s="171"/>
      <c r="Y27" s="169"/>
      <c r="Z27" s="171">
        <v>620.76</v>
      </c>
      <c r="AA27" s="172"/>
      <c r="AB27" s="66"/>
    </row>
    <row r="28" spans="1:28">
      <c r="A28" s="169"/>
      <c r="B28" s="169"/>
      <c r="C28" s="169"/>
      <c r="D28" s="169"/>
      <c r="E28" s="169"/>
      <c r="F28" s="169" t="s">
        <v>772</v>
      </c>
      <c r="G28" s="169"/>
      <c r="H28" s="170">
        <v>43922</v>
      </c>
      <c r="I28" s="169"/>
      <c r="J28" s="169"/>
      <c r="K28" s="169"/>
      <c r="L28" s="169" t="s">
        <v>776</v>
      </c>
      <c r="M28" s="169"/>
      <c r="N28" s="169"/>
      <c r="O28" s="169"/>
      <c r="P28" s="169" t="s">
        <v>519</v>
      </c>
      <c r="Q28" s="169"/>
      <c r="R28" s="173"/>
      <c r="S28" s="169"/>
      <c r="T28" s="169" t="s">
        <v>775</v>
      </c>
      <c r="U28" s="169"/>
      <c r="V28" s="171">
        <v>4552.24</v>
      </c>
      <c r="W28" s="169"/>
      <c r="X28" s="171"/>
      <c r="Y28" s="169"/>
      <c r="Z28" s="171">
        <v>5173</v>
      </c>
      <c r="AA28" s="172"/>
      <c r="AB28" s="66"/>
    </row>
    <row r="29" spans="1:28">
      <c r="A29" s="169"/>
      <c r="B29" s="169"/>
      <c r="C29" s="169"/>
      <c r="D29" s="169"/>
      <c r="E29" s="169"/>
      <c r="F29" s="169" t="s">
        <v>772</v>
      </c>
      <c r="G29" s="169"/>
      <c r="H29" s="170">
        <v>43952</v>
      </c>
      <c r="I29" s="169"/>
      <c r="J29" s="169"/>
      <c r="K29" s="169"/>
      <c r="L29" s="169" t="s">
        <v>776</v>
      </c>
      <c r="M29" s="169"/>
      <c r="N29" s="169"/>
      <c r="O29" s="169"/>
      <c r="P29" s="169" t="s">
        <v>675</v>
      </c>
      <c r="Q29" s="169"/>
      <c r="R29" s="173"/>
      <c r="S29" s="169"/>
      <c r="T29" s="169" t="s">
        <v>775</v>
      </c>
      <c r="U29" s="169"/>
      <c r="V29" s="171">
        <v>620.76</v>
      </c>
      <c r="W29" s="169"/>
      <c r="X29" s="171"/>
      <c r="Y29" s="169"/>
      <c r="Z29" s="171">
        <v>21950.22</v>
      </c>
      <c r="AA29" s="172"/>
      <c r="AB29" s="66"/>
    </row>
    <row r="30" spans="1:28">
      <c r="A30" s="169"/>
      <c r="B30" s="169"/>
      <c r="C30" s="169"/>
      <c r="D30" s="169"/>
      <c r="E30" s="169"/>
      <c r="F30" s="169" t="s">
        <v>772</v>
      </c>
      <c r="G30" s="169"/>
      <c r="H30" s="170">
        <v>43952</v>
      </c>
      <c r="I30" s="169"/>
      <c r="J30" s="169"/>
      <c r="K30" s="169"/>
      <c r="L30" s="169" t="s">
        <v>776</v>
      </c>
      <c r="M30" s="169"/>
      <c r="N30" s="169"/>
      <c r="O30" s="169"/>
      <c r="P30" s="169" t="s">
        <v>519</v>
      </c>
      <c r="Q30" s="169"/>
      <c r="R30" s="173"/>
      <c r="S30" s="169"/>
      <c r="T30" s="169" t="s">
        <v>775</v>
      </c>
      <c r="U30" s="169"/>
      <c r="V30" s="171">
        <v>4552.24</v>
      </c>
      <c r="W30" s="169"/>
      <c r="X30" s="171"/>
      <c r="Y30" s="169"/>
      <c r="Z30" s="171">
        <v>26502.46</v>
      </c>
      <c r="AA30" s="172"/>
      <c r="AB30" s="66"/>
    </row>
    <row r="31" spans="1:28">
      <c r="A31" s="169"/>
      <c r="B31" s="169"/>
      <c r="C31" s="169"/>
      <c r="D31" s="169"/>
      <c r="E31" s="169"/>
      <c r="F31" s="169" t="s">
        <v>772</v>
      </c>
      <c r="G31" s="169"/>
      <c r="H31" s="170">
        <v>43983</v>
      </c>
      <c r="I31" s="169"/>
      <c r="J31" s="169"/>
      <c r="K31" s="169"/>
      <c r="L31" s="169" t="s">
        <v>776</v>
      </c>
      <c r="M31" s="169"/>
      <c r="N31" s="169"/>
      <c r="O31" s="169"/>
      <c r="P31" s="169" t="s">
        <v>675</v>
      </c>
      <c r="Q31" s="169"/>
      <c r="R31" s="173"/>
      <c r="S31" s="169"/>
      <c r="T31" s="169" t="s">
        <v>775</v>
      </c>
      <c r="U31" s="169"/>
      <c r="V31" s="171">
        <v>620.76</v>
      </c>
      <c r="W31" s="169"/>
      <c r="X31" s="171"/>
      <c r="Y31" s="169"/>
      <c r="Z31" s="171">
        <v>43279.68</v>
      </c>
      <c r="AA31" s="172"/>
      <c r="AB31" s="66"/>
    </row>
    <row r="32" spans="1:28">
      <c r="A32" s="169"/>
      <c r="B32" s="169"/>
      <c r="C32" s="169"/>
      <c r="D32" s="169"/>
      <c r="E32" s="169"/>
      <c r="F32" s="169" t="s">
        <v>772</v>
      </c>
      <c r="G32" s="169"/>
      <c r="H32" s="170">
        <v>43983</v>
      </c>
      <c r="I32" s="169"/>
      <c r="J32" s="169"/>
      <c r="K32" s="169"/>
      <c r="L32" s="169" t="s">
        <v>776</v>
      </c>
      <c r="M32" s="169"/>
      <c r="N32" s="169"/>
      <c r="O32" s="169"/>
      <c r="P32" s="169" t="s">
        <v>519</v>
      </c>
      <c r="Q32" s="169"/>
      <c r="R32" s="173"/>
      <c r="S32" s="169"/>
      <c r="T32" s="169" t="s">
        <v>775</v>
      </c>
      <c r="U32" s="169"/>
      <c r="V32" s="171">
        <v>4552.24</v>
      </c>
      <c r="W32" s="169"/>
      <c r="X32" s="171"/>
      <c r="Y32" s="169"/>
      <c r="Z32" s="171">
        <v>47831.92</v>
      </c>
      <c r="AA32" s="172"/>
      <c r="AB32" s="66"/>
    </row>
    <row r="33" spans="1:28">
      <c r="A33" s="169"/>
      <c r="B33" s="169"/>
      <c r="C33" s="169"/>
      <c r="D33" s="169"/>
      <c r="E33" s="169"/>
      <c r="F33" s="169" t="s">
        <v>772</v>
      </c>
      <c r="G33" s="169"/>
      <c r="H33" s="170">
        <v>44013</v>
      </c>
      <c r="I33" s="169"/>
      <c r="J33" s="169"/>
      <c r="K33" s="169"/>
      <c r="L33" s="169" t="s">
        <v>776</v>
      </c>
      <c r="M33" s="169"/>
      <c r="N33" s="169"/>
      <c r="O33" s="169"/>
      <c r="P33" s="169" t="s">
        <v>675</v>
      </c>
      <c r="Q33" s="169"/>
      <c r="R33" s="173"/>
      <c r="S33" s="169"/>
      <c r="T33" s="169" t="s">
        <v>775</v>
      </c>
      <c r="U33" s="169"/>
      <c r="V33" s="171">
        <v>620.76</v>
      </c>
      <c r="W33" s="169"/>
      <c r="X33" s="171"/>
      <c r="Y33" s="169"/>
      <c r="Z33" s="171">
        <v>64609.14</v>
      </c>
      <c r="AA33" s="172"/>
      <c r="AB33" s="66"/>
    </row>
    <row r="34" spans="1:28">
      <c r="A34" s="169"/>
      <c r="B34" s="169"/>
      <c r="C34" s="169"/>
      <c r="D34" s="169"/>
      <c r="E34" s="169"/>
      <c r="F34" s="169" t="s">
        <v>772</v>
      </c>
      <c r="G34" s="169"/>
      <c r="H34" s="170">
        <v>44013</v>
      </c>
      <c r="I34" s="169"/>
      <c r="J34" s="169"/>
      <c r="K34" s="169"/>
      <c r="L34" s="169" t="s">
        <v>776</v>
      </c>
      <c r="M34" s="169"/>
      <c r="N34" s="169"/>
      <c r="O34" s="169"/>
      <c r="P34" s="169" t="s">
        <v>519</v>
      </c>
      <c r="Q34" s="169"/>
      <c r="R34" s="173"/>
      <c r="S34" s="169"/>
      <c r="T34" s="169" t="s">
        <v>775</v>
      </c>
      <c r="U34" s="169"/>
      <c r="V34" s="171">
        <v>4552.24</v>
      </c>
      <c r="W34" s="169"/>
      <c r="X34" s="171"/>
      <c r="Y34" s="169"/>
      <c r="Z34" s="171">
        <v>69161.38</v>
      </c>
      <c r="AA34" s="172"/>
      <c r="AB34" s="66"/>
    </row>
    <row r="35" spans="1:28">
      <c r="A35" s="169"/>
      <c r="B35" s="169"/>
      <c r="C35" s="169"/>
      <c r="D35" s="169"/>
      <c r="E35" s="169"/>
      <c r="F35" s="169" t="s">
        <v>772</v>
      </c>
      <c r="G35" s="169"/>
      <c r="H35" s="170">
        <v>44044</v>
      </c>
      <c r="I35" s="169"/>
      <c r="J35" s="169"/>
      <c r="K35" s="169"/>
      <c r="L35" s="169" t="s">
        <v>776</v>
      </c>
      <c r="M35" s="169"/>
      <c r="N35" s="169"/>
      <c r="O35" s="169"/>
      <c r="P35" s="169" t="s">
        <v>675</v>
      </c>
      <c r="Q35" s="169"/>
      <c r="R35" s="173"/>
      <c r="S35" s="169"/>
      <c r="T35" s="169" t="s">
        <v>775</v>
      </c>
      <c r="U35" s="169"/>
      <c r="V35" s="171">
        <v>620.76</v>
      </c>
      <c r="W35" s="169"/>
      <c r="X35" s="171"/>
      <c r="Y35" s="169"/>
      <c r="Z35" s="171">
        <v>101509.6</v>
      </c>
      <c r="AA35" s="172"/>
      <c r="AB35" s="66"/>
    </row>
    <row r="36" spans="1:28">
      <c r="A36" s="169"/>
      <c r="B36" s="169"/>
      <c r="C36" s="169"/>
      <c r="D36" s="169"/>
      <c r="E36" s="169"/>
      <c r="F36" s="169" t="s">
        <v>772</v>
      </c>
      <c r="G36" s="169"/>
      <c r="H36" s="170">
        <v>44044</v>
      </c>
      <c r="I36" s="169"/>
      <c r="J36" s="169"/>
      <c r="K36" s="169"/>
      <c r="L36" s="169" t="s">
        <v>776</v>
      </c>
      <c r="M36" s="169"/>
      <c r="N36" s="169"/>
      <c r="O36" s="169"/>
      <c r="P36" s="169" t="s">
        <v>519</v>
      </c>
      <c r="Q36" s="169"/>
      <c r="R36" s="173"/>
      <c r="S36" s="169"/>
      <c r="T36" s="169" t="s">
        <v>775</v>
      </c>
      <c r="U36" s="169"/>
      <c r="V36" s="171">
        <v>4552.24</v>
      </c>
      <c r="W36" s="169"/>
      <c r="X36" s="171"/>
      <c r="Y36" s="169"/>
      <c r="Z36" s="171">
        <v>106061.84</v>
      </c>
      <c r="AA36" s="172"/>
      <c r="AB36" s="66"/>
    </row>
    <row r="37" spans="1:28">
      <c r="A37" s="169"/>
      <c r="B37" s="169"/>
      <c r="C37" s="169"/>
      <c r="D37" s="169"/>
      <c r="E37" s="169"/>
      <c r="F37" s="169" t="s">
        <v>772</v>
      </c>
      <c r="G37" s="169"/>
      <c r="H37" s="170">
        <v>44075</v>
      </c>
      <c r="I37" s="169"/>
      <c r="J37" s="169"/>
      <c r="K37" s="169"/>
      <c r="L37" s="169" t="s">
        <v>776</v>
      </c>
      <c r="M37" s="169"/>
      <c r="N37" s="169"/>
      <c r="O37" s="169"/>
      <c r="P37" s="169" t="s">
        <v>675</v>
      </c>
      <c r="Q37" s="169"/>
      <c r="R37" s="173"/>
      <c r="S37" s="169"/>
      <c r="T37" s="169" t="s">
        <v>775</v>
      </c>
      <c r="U37" s="169"/>
      <c r="V37" s="171">
        <v>620.76</v>
      </c>
      <c r="W37" s="169"/>
      <c r="X37" s="171"/>
      <c r="Y37" s="169"/>
      <c r="Z37" s="171">
        <v>122839.06</v>
      </c>
      <c r="AA37" s="172"/>
      <c r="AB37" s="66"/>
    </row>
    <row r="38" spans="1:28">
      <c r="A38" s="169"/>
      <c r="B38" s="169"/>
      <c r="C38" s="169"/>
      <c r="D38" s="169"/>
      <c r="E38" s="169"/>
      <c r="F38" s="169" t="s">
        <v>772</v>
      </c>
      <c r="G38" s="169"/>
      <c r="H38" s="170">
        <v>44075</v>
      </c>
      <c r="I38" s="169"/>
      <c r="J38" s="169"/>
      <c r="K38" s="169"/>
      <c r="L38" s="169" t="s">
        <v>776</v>
      </c>
      <c r="M38" s="169"/>
      <c r="N38" s="169"/>
      <c r="O38" s="169"/>
      <c r="P38" s="169" t="s">
        <v>519</v>
      </c>
      <c r="Q38" s="169"/>
      <c r="R38" s="173"/>
      <c r="S38" s="169"/>
      <c r="T38" s="169" t="s">
        <v>775</v>
      </c>
      <c r="U38" s="169"/>
      <c r="V38" s="171">
        <v>4552.24</v>
      </c>
      <c r="W38" s="169"/>
      <c r="X38" s="171"/>
      <c r="Y38" s="169"/>
      <c r="Z38" s="171">
        <v>127391.3</v>
      </c>
      <c r="AA38" s="172"/>
      <c r="AB38" s="66"/>
    </row>
    <row r="39" spans="1:28">
      <c r="A39" s="169"/>
      <c r="B39" s="169"/>
      <c r="C39" s="169"/>
      <c r="D39" s="169"/>
      <c r="E39" s="169"/>
      <c r="F39" s="169" t="s">
        <v>772</v>
      </c>
      <c r="G39" s="169"/>
      <c r="H39" s="170">
        <v>44105</v>
      </c>
      <c r="I39" s="169"/>
      <c r="J39" s="169"/>
      <c r="K39" s="169"/>
      <c r="L39" s="169" t="s">
        <v>776</v>
      </c>
      <c r="M39" s="169"/>
      <c r="N39" s="169"/>
      <c r="O39" s="169"/>
      <c r="P39" s="169" t="s">
        <v>675</v>
      </c>
      <c r="Q39" s="169"/>
      <c r="R39" s="173"/>
      <c r="S39" s="169"/>
      <c r="T39" s="169" t="s">
        <v>775</v>
      </c>
      <c r="U39" s="169"/>
      <c r="V39" s="171">
        <v>620.76</v>
      </c>
      <c r="W39" s="169"/>
      <c r="X39" s="171"/>
      <c r="Y39" s="169"/>
      <c r="Z39" s="171">
        <v>144168.51999999999</v>
      </c>
      <c r="AA39" s="172"/>
      <c r="AB39" s="66"/>
    </row>
    <row r="40" spans="1:28">
      <c r="A40" s="169"/>
      <c r="B40" s="169"/>
      <c r="C40" s="169"/>
      <c r="D40" s="169"/>
      <c r="E40" s="169"/>
      <c r="F40" s="169" t="s">
        <v>772</v>
      </c>
      <c r="G40" s="169"/>
      <c r="H40" s="170">
        <v>44105</v>
      </c>
      <c r="I40" s="169"/>
      <c r="J40" s="169"/>
      <c r="K40" s="169"/>
      <c r="L40" s="169" t="s">
        <v>776</v>
      </c>
      <c r="M40" s="169"/>
      <c r="N40" s="169"/>
      <c r="O40" s="169"/>
      <c r="P40" s="169" t="s">
        <v>519</v>
      </c>
      <c r="Q40" s="169"/>
      <c r="R40" s="173"/>
      <c r="S40" s="169"/>
      <c r="T40" s="169" t="s">
        <v>775</v>
      </c>
      <c r="U40" s="169"/>
      <c r="V40" s="171">
        <v>4552.24</v>
      </c>
      <c r="W40" s="169"/>
      <c r="X40" s="171"/>
      <c r="Y40" s="169"/>
      <c r="Z40" s="171">
        <v>148720.76</v>
      </c>
      <c r="AA40" s="172"/>
      <c r="AB40" s="66"/>
    </row>
    <row r="41" spans="1:28">
      <c r="A41" s="169"/>
      <c r="B41" s="169"/>
      <c r="C41" s="169"/>
      <c r="D41" s="169"/>
      <c r="E41" s="169"/>
      <c r="F41" s="169" t="s">
        <v>772</v>
      </c>
      <c r="G41" s="169"/>
      <c r="H41" s="170">
        <v>44136</v>
      </c>
      <c r="I41" s="169"/>
      <c r="J41" s="169"/>
      <c r="K41" s="169"/>
      <c r="L41" s="169" t="s">
        <v>776</v>
      </c>
      <c r="M41" s="169"/>
      <c r="N41" s="169"/>
      <c r="O41" s="169"/>
      <c r="P41" s="169" t="s">
        <v>675</v>
      </c>
      <c r="Q41" s="169"/>
      <c r="R41" s="173"/>
      <c r="S41" s="169"/>
      <c r="T41" s="169" t="s">
        <v>775</v>
      </c>
      <c r="U41" s="169"/>
      <c r="V41" s="171">
        <v>620.76</v>
      </c>
      <c r="W41" s="169"/>
      <c r="X41" s="171"/>
      <c r="Y41" s="169"/>
      <c r="Z41" s="171">
        <v>165497.98000000001</v>
      </c>
      <c r="AA41" s="172"/>
      <c r="AB41" s="66"/>
    </row>
    <row r="42" spans="1:28">
      <c r="A42" s="169"/>
      <c r="B42" s="169"/>
      <c r="C42" s="169"/>
      <c r="D42" s="169"/>
      <c r="E42" s="169"/>
      <c r="F42" s="169" t="s">
        <v>772</v>
      </c>
      <c r="G42" s="169"/>
      <c r="H42" s="170">
        <v>44136</v>
      </c>
      <c r="I42" s="169"/>
      <c r="J42" s="169"/>
      <c r="K42" s="169"/>
      <c r="L42" s="169" t="s">
        <v>776</v>
      </c>
      <c r="M42" s="169"/>
      <c r="N42" s="169"/>
      <c r="O42" s="169"/>
      <c r="P42" s="169" t="s">
        <v>519</v>
      </c>
      <c r="Q42" s="169"/>
      <c r="R42" s="173"/>
      <c r="S42" s="169"/>
      <c r="T42" s="169" t="s">
        <v>775</v>
      </c>
      <c r="U42" s="169"/>
      <c r="V42" s="171">
        <v>4552.24</v>
      </c>
      <c r="W42" s="169"/>
      <c r="X42" s="171"/>
      <c r="Y42" s="169"/>
      <c r="Z42" s="171">
        <v>170050.22</v>
      </c>
      <c r="AA42" s="172"/>
      <c r="AB42" s="66"/>
    </row>
    <row r="43" spans="1:28">
      <c r="A43" s="169"/>
      <c r="B43" s="169"/>
      <c r="C43" s="169"/>
      <c r="D43" s="169"/>
      <c r="E43" s="169"/>
      <c r="F43" s="169" t="s">
        <v>772</v>
      </c>
      <c r="G43" s="169"/>
      <c r="H43" s="170">
        <v>44166</v>
      </c>
      <c r="I43" s="169"/>
      <c r="J43" s="169"/>
      <c r="K43" s="169"/>
      <c r="L43" s="169" t="s">
        <v>776</v>
      </c>
      <c r="M43" s="169"/>
      <c r="N43" s="169"/>
      <c r="O43" s="169"/>
      <c r="P43" s="169" t="s">
        <v>675</v>
      </c>
      <c r="Q43" s="169"/>
      <c r="R43" s="173"/>
      <c r="S43" s="169"/>
      <c r="T43" s="169" t="s">
        <v>775</v>
      </c>
      <c r="U43" s="169"/>
      <c r="V43" s="171">
        <v>620.76</v>
      </c>
      <c r="W43" s="169"/>
      <c r="X43" s="171"/>
      <c r="Y43" s="169"/>
      <c r="Z43" s="171">
        <v>186827.44</v>
      </c>
      <c r="AA43" s="172"/>
      <c r="AB43" s="66"/>
    </row>
    <row r="44" spans="1:28">
      <c r="A44" s="169"/>
      <c r="B44" s="169"/>
      <c r="C44" s="169"/>
      <c r="D44" s="169"/>
      <c r="E44" s="169"/>
      <c r="F44" s="169" t="s">
        <v>772</v>
      </c>
      <c r="G44" s="169"/>
      <c r="H44" s="170">
        <v>44166</v>
      </c>
      <c r="I44" s="169"/>
      <c r="J44" s="169"/>
      <c r="K44" s="169"/>
      <c r="L44" s="169" t="s">
        <v>776</v>
      </c>
      <c r="M44" s="169"/>
      <c r="N44" s="169"/>
      <c r="O44" s="169"/>
      <c r="P44" s="169" t="s">
        <v>519</v>
      </c>
      <c r="Q44" s="169"/>
      <c r="R44" s="173"/>
      <c r="S44" s="169"/>
      <c r="T44" s="169" t="s">
        <v>775</v>
      </c>
      <c r="U44" s="169"/>
      <c r="V44" s="171">
        <v>4552.24</v>
      </c>
      <c r="W44" s="169"/>
      <c r="X44" s="171"/>
      <c r="Y44" s="169"/>
      <c r="Z44" s="171">
        <v>191379.68</v>
      </c>
      <c r="AA44" s="172"/>
      <c r="AB44" s="66"/>
    </row>
    <row r="45" spans="1:28">
      <c r="A45" s="169"/>
      <c r="B45" s="169"/>
      <c r="C45" s="169"/>
      <c r="D45" s="169"/>
      <c r="E45" s="169"/>
      <c r="F45" s="169" t="s">
        <v>772</v>
      </c>
      <c r="G45" s="169"/>
      <c r="H45" s="170">
        <v>44197</v>
      </c>
      <c r="I45" s="169"/>
      <c r="J45" s="169"/>
      <c r="K45" s="169"/>
      <c r="L45" s="169" t="s">
        <v>776</v>
      </c>
      <c r="M45" s="169"/>
      <c r="N45" s="169" t="s">
        <v>777</v>
      </c>
      <c r="O45" s="169"/>
      <c r="P45" s="169" t="s">
        <v>675</v>
      </c>
      <c r="Q45" s="169"/>
      <c r="R45" s="173"/>
      <c r="S45" s="169"/>
      <c r="T45" s="169" t="s">
        <v>775</v>
      </c>
      <c r="U45" s="169"/>
      <c r="V45" s="171">
        <v>620.76</v>
      </c>
      <c r="W45" s="169"/>
      <c r="X45" s="171"/>
      <c r="Y45" s="169"/>
      <c r="Z45" s="171">
        <v>208156.9</v>
      </c>
      <c r="AA45" s="172"/>
      <c r="AB45" s="66"/>
    </row>
    <row r="46" spans="1:28">
      <c r="A46" s="169"/>
      <c r="B46" s="169"/>
      <c r="C46" s="169"/>
      <c r="D46" s="169"/>
      <c r="E46" s="169"/>
      <c r="F46" s="169" t="s">
        <v>772</v>
      </c>
      <c r="G46" s="169"/>
      <c r="H46" s="170">
        <v>44197</v>
      </c>
      <c r="I46" s="169"/>
      <c r="J46" s="169"/>
      <c r="K46" s="169"/>
      <c r="L46" s="169" t="s">
        <v>776</v>
      </c>
      <c r="M46" s="169"/>
      <c r="N46" s="169" t="s">
        <v>777</v>
      </c>
      <c r="O46" s="169"/>
      <c r="P46" s="169" t="s">
        <v>519</v>
      </c>
      <c r="Q46" s="169"/>
      <c r="R46" s="173"/>
      <c r="S46" s="169"/>
      <c r="T46" s="169" t="s">
        <v>775</v>
      </c>
      <c r="U46" s="169"/>
      <c r="V46" s="171">
        <v>4552.24</v>
      </c>
      <c r="W46" s="169"/>
      <c r="X46" s="171"/>
      <c r="Y46" s="169"/>
      <c r="Z46" s="171">
        <v>212709.14</v>
      </c>
      <c r="AA46" s="172"/>
      <c r="AB46" s="66"/>
    </row>
    <row r="47" spans="1:28">
      <c r="A47" s="169"/>
      <c r="B47" s="169"/>
      <c r="C47" s="169"/>
      <c r="D47" s="169"/>
      <c r="E47" s="169"/>
      <c r="F47" s="169" t="s">
        <v>772</v>
      </c>
      <c r="G47" s="169"/>
      <c r="H47" s="170">
        <v>44227</v>
      </c>
      <c r="I47" s="169"/>
      <c r="J47" s="169"/>
      <c r="K47" s="169"/>
      <c r="L47" s="169" t="s">
        <v>776</v>
      </c>
      <c r="M47" s="169"/>
      <c r="N47" s="169"/>
      <c r="O47" s="169"/>
      <c r="P47" s="169" t="s">
        <v>675</v>
      </c>
      <c r="Q47" s="169"/>
      <c r="R47" s="173"/>
      <c r="S47" s="169"/>
      <c r="T47" s="169" t="s">
        <v>775</v>
      </c>
      <c r="U47" s="169"/>
      <c r="V47" s="171">
        <v>620.76</v>
      </c>
      <c r="W47" s="169"/>
      <c r="X47" s="171"/>
      <c r="Y47" s="169"/>
      <c r="Z47" s="171">
        <v>213915.36</v>
      </c>
      <c r="AA47" s="172"/>
      <c r="AB47" s="66"/>
    </row>
    <row r="48" spans="1:28">
      <c r="A48" s="169"/>
      <c r="B48" s="169"/>
      <c r="C48" s="169"/>
      <c r="D48" s="169"/>
      <c r="E48" s="169"/>
      <c r="F48" s="169" t="s">
        <v>772</v>
      </c>
      <c r="G48" s="169"/>
      <c r="H48" s="170">
        <v>44227</v>
      </c>
      <c r="I48" s="169"/>
      <c r="J48" s="169"/>
      <c r="K48" s="169"/>
      <c r="L48" s="169" t="s">
        <v>776</v>
      </c>
      <c r="M48" s="169"/>
      <c r="N48" s="169"/>
      <c r="O48" s="169"/>
      <c r="P48" s="169" t="s">
        <v>519</v>
      </c>
      <c r="Q48" s="169"/>
      <c r="R48" s="173"/>
      <c r="S48" s="169"/>
      <c r="T48" s="169" t="s">
        <v>775</v>
      </c>
      <c r="U48" s="169"/>
      <c r="V48" s="171">
        <v>4552.24</v>
      </c>
      <c r="W48" s="169"/>
      <c r="X48" s="171"/>
      <c r="Y48" s="169"/>
      <c r="Z48" s="171">
        <v>218467.6</v>
      </c>
      <c r="AA48" s="172"/>
      <c r="AB48" s="66"/>
    </row>
    <row r="49" spans="1:28">
      <c r="A49" s="169"/>
      <c r="B49" s="169"/>
      <c r="C49" s="169"/>
      <c r="D49" s="169"/>
      <c r="E49" s="169"/>
      <c r="F49" s="169" t="s">
        <v>772</v>
      </c>
      <c r="G49" s="169"/>
      <c r="H49" s="170">
        <v>44255</v>
      </c>
      <c r="I49" s="169"/>
      <c r="J49" s="169"/>
      <c r="K49" s="169"/>
      <c r="L49" s="169" t="s">
        <v>776</v>
      </c>
      <c r="M49" s="169"/>
      <c r="N49" s="169"/>
      <c r="O49" s="169"/>
      <c r="P49" s="169" t="s">
        <v>675</v>
      </c>
      <c r="Q49" s="169"/>
      <c r="R49" s="173"/>
      <c r="S49" s="169"/>
      <c r="T49" s="169" t="s">
        <v>775</v>
      </c>
      <c r="U49" s="169"/>
      <c r="V49" s="171">
        <v>620.76</v>
      </c>
      <c r="W49" s="169"/>
      <c r="X49" s="171"/>
      <c r="Y49" s="169"/>
      <c r="Z49" s="171">
        <v>235244.82</v>
      </c>
      <c r="AA49" s="172"/>
      <c r="AB49" s="66"/>
    </row>
    <row r="50" spans="1:28">
      <c r="A50" s="169"/>
      <c r="B50" s="169"/>
      <c r="C50" s="169"/>
      <c r="D50" s="169"/>
      <c r="E50" s="169"/>
      <c r="F50" s="169" t="s">
        <v>772</v>
      </c>
      <c r="G50" s="169"/>
      <c r="H50" s="170">
        <v>44255</v>
      </c>
      <c r="I50" s="169"/>
      <c r="J50" s="169"/>
      <c r="K50" s="169"/>
      <c r="L50" s="169" t="s">
        <v>776</v>
      </c>
      <c r="M50" s="169"/>
      <c r="N50" s="169"/>
      <c r="O50" s="169"/>
      <c r="P50" s="169" t="s">
        <v>519</v>
      </c>
      <c r="Q50" s="169"/>
      <c r="R50" s="173"/>
      <c r="S50" s="169"/>
      <c r="T50" s="169" t="s">
        <v>775</v>
      </c>
      <c r="U50" s="169"/>
      <c r="V50" s="171">
        <v>4552.24</v>
      </c>
      <c r="W50" s="169"/>
      <c r="X50" s="171"/>
      <c r="Y50" s="169"/>
      <c r="Z50" s="171">
        <v>239797.06</v>
      </c>
      <c r="AA50" s="172"/>
      <c r="AB50" s="66"/>
    </row>
    <row r="51" spans="1:28">
      <c r="A51" s="169"/>
      <c r="B51" s="169"/>
      <c r="C51" s="169"/>
      <c r="D51" s="169"/>
      <c r="E51" s="169"/>
      <c r="F51" s="169" t="s">
        <v>772</v>
      </c>
      <c r="G51" s="169"/>
      <c r="H51" s="170">
        <v>44286</v>
      </c>
      <c r="I51" s="169"/>
      <c r="J51" s="169"/>
      <c r="K51" s="169"/>
      <c r="L51" s="169" t="s">
        <v>776</v>
      </c>
      <c r="M51" s="169"/>
      <c r="N51" s="169"/>
      <c r="O51" s="169"/>
      <c r="P51" s="169" t="s">
        <v>675</v>
      </c>
      <c r="Q51" s="169"/>
      <c r="R51" s="173"/>
      <c r="S51" s="169"/>
      <c r="T51" s="169" t="s">
        <v>775</v>
      </c>
      <c r="U51" s="169"/>
      <c r="V51" s="171">
        <v>620.76</v>
      </c>
      <c r="W51" s="169"/>
      <c r="X51" s="171"/>
      <c r="Y51" s="169"/>
      <c r="Z51" s="171">
        <v>256574.28</v>
      </c>
      <c r="AA51" s="172"/>
      <c r="AB51" s="66"/>
    </row>
    <row r="52" spans="1:28">
      <c r="A52" s="169"/>
      <c r="B52" s="169"/>
      <c r="C52" s="169"/>
      <c r="D52" s="169"/>
      <c r="E52" s="169"/>
      <c r="F52" s="169" t="s">
        <v>772</v>
      </c>
      <c r="G52" s="169"/>
      <c r="H52" s="170">
        <v>44286</v>
      </c>
      <c r="I52" s="169"/>
      <c r="J52" s="169"/>
      <c r="K52" s="169"/>
      <c r="L52" s="169" t="s">
        <v>776</v>
      </c>
      <c r="M52" s="169"/>
      <c r="N52" s="169"/>
      <c r="O52" s="169"/>
      <c r="P52" s="169" t="s">
        <v>519</v>
      </c>
      <c r="Q52" s="169"/>
      <c r="R52" s="173"/>
      <c r="S52" s="169"/>
      <c r="T52" s="169" t="s">
        <v>775</v>
      </c>
      <c r="U52" s="169"/>
      <c r="V52" s="171">
        <v>4552.24</v>
      </c>
      <c r="W52" s="169"/>
      <c r="X52" s="171"/>
      <c r="Y52" s="169"/>
      <c r="Z52" s="171">
        <v>261126.52</v>
      </c>
      <c r="AA52" s="172"/>
      <c r="AB52" s="66"/>
    </row>
    <row r="53" spans="1:28">
      <c r="A53" s="169"/>
      <c r="B53" s="169"/>
      <c r="C53" s="169"/>
      <c r="D53" s="169"/>
      <c r="E53" s="169"/>
      <c r="F53" s="169" t="s">
        <v>772</v>
      </c>
      <c r="G53" s="169"/>
      <c r="H53" s="170">
        <v>43949</v>
      </c>
      <c r="I53" s="169"/>
      <c r="J53" s="169" t="s">
        <v>778</v>
      </c>
      <c r="K53" s="169"/>
      <c r="L53" s="169" t="s">
        <v>779</v>
      </c>
      <c r="M53" s="169"/>
      <c r="N53" s="169"/>
      <c r="O53" s="169"/>
      <c r="P53" s="169" t="s">
        <v>675</v>
      </c>
      <c r="Q53" s="169"/>
      <c r="R53" s="173"/>
      <c r="S53" s="169"/>
      <c r="T53" s="169" t="s">
        <v>775</v>
      </c>
      <c r="U53" s="169"/>
      <c r="V53" s="171">
        <v>70.260000000000005</v>
      </c>
      <c r="W53" s="169"/>
      <c r="X53" s="171"/>
      <c r="Y53" s="169"/>
      <c r="Z53" s="171">
        <v>20814.259999999998</v>
      </c>
      <c r="AA53" s="172"/>
      <c r="AB53" s="66"/>
    </row>
    <row r="54" spans="1:28">
      <c r="A54" s="169"/>
      <c r="B54" s="169"/>
      <c r="C54" s="169"/>
      <c r="D54" s="169"/>
      <c r="E54" s="169"/>
      <c r="F54" s="169" t="s">
        <v>772</v>
      </c>
      <c r="G54" s="169"/>
      <c r="H54" s="170">
        <v>43949</v>
      </c>
      <c r="I54" s="169"/>
      <c r="J54" s="169" t="s">
        <v>778</v>
      </c>
      <c r="K54" s="169"/>
      <c r="L54" s="169" t="s">
        <v>779</v>
      </c>
      <c r="M54" s="169"/>
      <c r="N54" s="169"/>
      <c r="O54" s="169"/>
      <c r="P54" s="169" t="s">
        <v>519</v>
      </c>
      <c r="Q54" s="169"/>
      <c r="R54" s="173"/>
      <c r="S54" s="169"/>
      <c r="T54" s="169" t="s">
        <v>775</v>
      </c>
      <c r="U54" s="169"/>
      <c r="V54" s="171">
        <v>515.20000000000005</v>
      </c>
      <c r="W54" s="169"/>
      <c r="X54" s="171"/>
      <c r="Y54" s="169"/>
      <c r="Z54" s="171">
        <v>21329.46</v>
      </c>
      <c r="AA54" s="172"/>
      <c r="AB54" s="66"/>
    </row>
    <row r="55" spans="1:28">
      <c r="A55" s="169"/>
      <c r="B55" s="169"/>
      <c r="C55" s="169"/>
      <c r="D55" s="169"/>
      <c r="E55" s="169"/>
      <c r="F55" s="169" t="s">
        <v>772</v>
      </c>
      <c r="G55" s="169"/>
      <c r="H55" s="170">
        <v>43973</v>
      </c>
      <c r="I55" s="169"/>
      <c r="J55" s="169" t="s">
        <v>780</v>
      </c>
      <c r="K55" s="169"/>
      <c r="L55" s="169" t="s">
        <v>779</v>
      </c>
      <c r="M55" s="169"/>
      <c r="N55" s="169"/>
      <c r="O55" s="169"/>
      <c r="P55" s="169" t="s">
        <v>675</v>
      </c>
      <c r="Q55" s="169"/>
      <c r="R55" s="173"/>
      <c r="S55" s="169"/>
      <c r="T55" s="169" t="s">
        <v>775</v>
      </c>
      <c r="U55" s="169"/>
      <c r="V55" s="171">
        <v>70.260000000000005</v>
      </c>
      <c r="W55" s="169"/>
      <c r="X55" s="171"/>
      <c r="Y55" s="169"/>
      <c r="Z55" s="171">
        <v>42143.72</v>
      </c>
      <c r="AA55" s="172"/>
      <c r="AB55" s="66"/>
    </row>
    <row r="56" spans="1:28">
      <c r="A56" s="169"/>
      <c r="B56" s="169"/>
      <c r="C56" s="169"/>
      <c r="D56" s="169"/>
      <c r="E56" s="169"/>
      <c r="F56" s="169" t="s">
        <v>772</v>
      </c>
      <c r="G56" s="169"/>
      <c r="H56" s="170">
        <v>43973</v>
      </c>
      <c r="I56" s="169"/>
      <c r="J56" s="169" t="s">
        <v>780</v>
      </c>
      <c r="K56" s="169"/>
      <c r="L56" s="169" t="s">
        <v>779</v>
      </c>
      <c r="M56" s="169"/>
      <c r="N56" s="169"/>
      <c r="O56" s="169"/>
      <c r="P56" s="169" t="s">
        <v>519</v>
      </c>
      <c r="Q56" s="169"/>
      <c r="R56" s="173"/>
      <c r="S56" s="169"/>
      <c r="T56" s="169" t="s">
        <v>775</v>
      </c>
      <c r="U56" s="169"/>
      <c r="V56" s="171">
        <v>515.20000000000005</v>
      </c>
      <c r="W56" s="169"/>
      <c r="X56" s="171"/>
      <c r="Y56" s="169"/>
      <c r="Z56" s="171">
        <v>42658.92</v>
      </c>
      <c r="AA56" s="172"/>
      <c r="AB56" s="66"/>
    </row>
    <row r="57" spans="1:28">
      <c r="A57" s="169"/>
      <c r="B57" s="169"/>
      <c r="C57" s="169"/>
      <c r="D57" s="169"/>
      <c r="E57" s="169"/>
      <c r="F57" s="169" t="s">
        <v>772</v>
      </c>
      <c r="G57" s="169"/>
      <c r="H57" s="170">
        <v>44006</v>
      </c>
      <c r="I57" s="169"/>
      <c r="J57" s="169" t="s">
        <v>781</v>
      </c>
      <c r="K57" s="169"/>
      <c r="L57" s="169" t="s">
        <v>779</v>
      </c>
      <c r="M57" s="169"/>
      <c r="N57" s="169"/>
      <c r="O57" s="169"/>
      <c r="P57" s="169" t="s">
        <v>675</v>
      </c>
      <c r="Q57" s="169"/>
      <c r="R57" s="173"/>
      <c r="S57" s="169"/>
      <c r="T57" s="169" t="s">
        <v>775</v>
      </c>
      <c r="U57" s="169"/>
      <c r="V57" s="171">
        <v>70.260000000000005</v>
      </c>
      <c r="W57" s="169"/>
      <c r="X57" s="171"/>
      <c r="Y57" s="169"/>
      <c r="Z57" s="171">
        <v>63473.18</v>
      </c>
      <c r="AA57" s="172"/>
      <c r="AB57" s="66"/>
    </row>
    <row r="58" spans="1:28">
      <c r="A58" s="169"/>
      <c r="B58" s="169"/>
      <c r="C58" s="169"/>
      <c r="D58" s="169"/>
      <c r="E58" s="169"/>
      <c r="F58" s="169" t="s">
        <v>772</v>
      </c>
      <c r="G58" s="169"/>
      <c r="H58" s="170">
        <v>44006</v>
      </c>
      <c r="I58" s="169"/>
      <c r="J58" s="169" t="s">
        <v>781</v>
      </c>
      <c r="K58" s="169"/>
      <c r="L58" s="169" t="s">
        <v>779</v>
      </c>
      <c r="M58" s="169"/>
      <c r="N58" s="169"/>
      <c r="O58" s="169"/>
      <c r="P58" s="169" t="s">
        <v>519</v>
      </c>
      <c r="Q58" s="169"/>
      <c r="R58" s="173"/>
      <c r="S58" s="169"/>
      <c r="T58" s="169" t="s">
        <v>775</v>
      </c>
      <c r="U58" s="169"/>
      <c r="V58" s="171">
        <v>515.20000000000005</v>
      </c>
      <c r="W58" s="169"/>
      <c r="X58" s="171"/>
      <c r="Y58" s="169"/>
      <c r="Z58" s="171">
        <v>63988.38</v>
      </c>
      <c r="AA58" s="172"/>
      <c r="AB58" s="66"/>
    </row>
    <row r="59" spans="1:28">
      <c r="A59" s="169"/>
      <c r="B59" s="169"/>
      <c r="C59" s="169"/>
      <c r="D59" s="169"/>
      <c r="E59" s="169"/>
      <c r="F59" s="169" t="s">
        <v>772</v>
      </c>
      <c r="G59" s="169"/>
      <c r="H59" s="170">
        <v>44013</v>
      </c>
      <c r="I59" s="169"/>
      <c r="J59" s="169" t="s">
        <v>782</v>
      </c>
      <c r="K59" s="169"/>
      <c r="L59" s="169" t="s">
        <v>779</v>
      </c>
      <c r="M59" s="169"/>
      <c r="N59" s="169"/>
      <c r="O59" s="169"/>
      <c r="P59" s="169" t="s">
        <v>675</v>
      </c>
      <c r="Q59" s="169"/>
      <c r="R59" s="173"/>
      <c r="S59" s="169"/>
      <c r="T59" s="169" t="s">
        <v>775</v>
      </c>
      <c r="U59" s="169"/>
      <c r="V59" s="171">
        <v>70.260000000000005</v>
      </c>
      <c r="W59" s="169"/>
      <c r="X59" s="171"/>
      <c r="Y59" s="169"/>
      <c r="Z59" s="171">
        <v>84802.64</v>
      </c>
      <c r="AA59" s="172"/>
      <c r="AB59" s="66"/>
    </row>
    <row r="60" spans="1:28">
      <c r="A60" s="169"/>
      <c r="B60" s="169"/>
      <c r="C60" s="169"/>
      <c r="D60" s="169"/>
      <c r="E60" s="169"/>
      <c r="F60" s="169" t="s">
        <v>772</v>
      </c>
      <c r="G60" s="169"/>
      <c r="H60" s="170">
        <v>44013</v>
      </c>
      <c r="I60" s="169"/>
      <c r="J60" s="169" t="s">
        <v>782</v>
      </c>
      <c r="K60" s="169"/>
      <c r="L60" s="169" t="s">
        <v>779</v>
      </c>
      <c r="M60" s="169"/>
      <c r="N60" s="169"/>
      <c r="O60" s="169"/>
      <c r="P60" s="169" t="s">
        <v>519</v>
      </c>
      <c r="Q60" s="169"/>
      <c r="R60" s="173"/>
      <c r="S60" s="169"/>
      <c r="T60" s="169" t="s">
        <v>775</v>
      </c>
      <c r="U60" s="169"/>
      <c r="V60" s="171">
        <v>515.20000000000005</v>
      </c>
      <c r="W60" s="169"/>
      <c r="X60" s="171"/>
      <c r="Y60" s="169"/>
      <c r="Z60" s="171">
        <v>85317.84</v>
      </c>
      <c r="AA60" s="172"/>
      <c r="AB60" s="66"/>
    </row>
    <row r="61" spans="1:28">
      <c r="A61" s="169"/>
      <c r="B61" s="169"/>
      <c r="C61" s="169"/>
      <c r="D61" s="169"/>
      <c r="E61" s="169"/>
      <c r="F61" s="169" t="s">
        <v>772</v>
      </c>
      <c r="G61" s="169"/>
      <c r="H61" s="170">
        <v>44068</v>
      </c>
      <c r="I61" s="169"/>
      <c r="J61" s="169" t="s">
        <v>783</v>
      </c>
      <c r="K61" s="169"/>
      <c r="L61" s="169" t="s">
        <v>779</v>
      </c>
      <c r="M61" s="169"/>
      <c r="N61" s="169"/>
      <c r="O61" s="169"/>
      <c r="P61" s="169" t="s">
        <v>675</v>
      </c>
      <c r="Q61" s="169"/>
      <c r="R61" s="173"/>
      <c r="S61" s="169"/>
      <c r="T61" s="169" t="s">
        <v>775</v>
      </c>
      <c r="U61" s="169"/>
      <c r="V61" s="171">
        <v>70.260000000000005</v>
      </c>
      <c r="W61" s="169"/>
      <c r="X61" s="171"/>
      <c r="Y61" s="169"/>
      <c r="Z61" s="171">
        <v>106132.1</v>
      </c>
      <c r="AA61" s="172"/>
      <c r="AB61" s="66"/>
    </row>
    <row r="62" spans="1:28">
      <c r="A62" s="169"/>
      <c r="B62" s="169"/>
      <c r="C62" s="169"/>
      <c r="D62" s="169"/>
      <c r="E62" s="169"/>
      <c r="F62" s="169" t="s">
        <v>772</v>
      </c>
      <c r="G62" s="169"/>
      <c r="H62" s="170">
        <v>44068</v>
      </c>
      <c r="I62" s="169"/>
      <c r="J62" s="169" t="s">
        <v>783</v>
      </c>
      <c r="K62" s="169"/>
      <c r="L62" s="169" t="s">
        <v>779</v>
      </c>
      <c r="M62" s="169"/>
      <c r="N62" s="169"/>
      <c r="O62" s="169"/>
      <c r="P62" s="169" t="s">
        <v>519</v>
      </c>
      <c r="Q62" s="169"/>
      <c r="R62" s="173"/>
      <c r="S62" s="169"/>
      <c r="T62" s="169" t="s">
        <v>775</v>
      </c>
      <c r="U62" s="169"/>
      <c r="V62" s="171">
        <v>515.20000000000005</v>
      </c>
      <c r="W62" s="169"/>
      <c r="X62" s="171"/>
      <c r="Y62" s="169"/>
      <c r="Z62" s="171">
        <v>106647.3</v>
      </c>
      <c r="AA62" s="172"/>
      <c r="AB62" s="66"/>
    </row>
    <row r="63" spans="1:28">
      <c r="A63" s="169"/>
      <c r="B63" s="169"/>
      <c r="C63" s="169"/>
      <c r="D63" s="169"/>
      <c r="E63" s="169"/>
      <c r="F63" s="169" t="s">
        <v>772</v>
      </c>
      <c r="G63" s="169"/>
      <c r="H63" s="170">
        <v>44075</v>
      </c>
      <c r="I63" s="169"/>
      <c r="J63" s="169" t="s">
        <v>784</v>
      </c>
      <c r="K63" s="169"/>
      <c r="L63" s="169" t="s">
        <v>779</v>
      </c>
      <c r="M63" s="169"/>
      <c r="N63" s="169"/>
      <c r="O63" s="169"/>
      <c r="P63" s="169" t="s">
        <v>675</v>
      </c>
      <c r="Q63" s="169"/>
      <c r="R63" s="173"/>
      <c r="S63" s="169"/>
      <c r="T63" s="169" t="s">
        <v>775</v>
      </c>
      <c r="U63" s="169"/>
      <c r="V63" s="171">
        <v>70.260000000000005</v>
      </c>
      <c r="W63" s="169"/>
      <c r="X63" s="171"/>
      <c r="Y63" s="169"/>
      <c r="Z63" s="171">
        <v>127461.56</v>
      </c>
      <c r="AA63" s="172"/>
      <c r="AB63" s="66"/>
    </row>
    <row r="64" spans="1:28">
      <c r="A64" s="169"/>
      <c r="B64" s="169"/>
      <c r="C64" s="169"/>
      <c r="D64" s="169"/>
      <c r="E64" s="169"/>
      <c r="F64" s="169" t="s">
        <v>772</v>
      </c>
      <c r="G64" s="169"/>
      <c r="H64" s="170">
        <v>44075</v>
      </c>
      <c r="I64" s="169"/>
      <c r="J64" s="169" t="s">
        <v>784</v>
      </c>
      <c r="K64" s="169"/>
      <c r="L64" s="169" t="s">
        <v>779</v>
      </c>
      <c r="M64" s="169"/>
      <c r="N64" s="169"/>
      <c r="O64" s="169"/>
      <c r="P64" s="169" t="s">
        <v>519</v>
      </c>
      <c r="Q64" s="169"/>
      <c r="R64" s="173"/>
      <c r="S64" s="169"/>
      <c r="T64" s="169" t="s">
        <v>775</v>
      </c>
      <c r="U64" s="169"/>
      <c r="V64" s="171">
        <v>515.20000000000005</v>
      </c>
      <c r="W64" s="169"/>
      <c r="X64" s="171"/>
      <c r="Y64" s="169"/>
      <c r="Z64" s="171">
        <v>127976.76</v>
      </c>
      <c r="AA64" s="172"/>
      <c r="AB64" s="66"/>
    </row>
    <row r="65" spans="1:28">
      <c r="A65" s="169"/>
      <c r="B65" s="169"/>
      <c r="C65" s="169"/>
      <c r="D65" s="169"/>
      <c r="E65" s="169"/>
      <c r="F65" s="169" t="s">
        <v>772</v>
      </c>
      <c r="G65" s="169"/>
      <c r="H65" s="170">
        <v>44136</v>
      </c>
      <c r="I65" s="169"/>
      <c r="J65" s="169" t="s">
        <v>785</v>
      </c>
      <c r="K65" s="169"/>
      <c r="L65" s="169" t="s">
        <v>779</v>
      </c>
      <c r="M65" s="169"/>
      <c r="N65" s="169"/>
      <c r="O65" s="169"/>
      <c r="P65" s="169" t="s">
        <v>675</v>
      </c>
      <c r="Q65" s="169"/>
      <c r="R65" s="173"/>
      <c r="S65" s="169"/>
      <c r="T65" s="169" t="s">
        <v>775</v>
      </c>
      <c r="U65" s="169"/>
      <c r="V65" s="171">
        <v>70.260000000000005</v>
      </c>
      <c r="W65" s="169"/>
      <c r="X65" s="171"/>
      <c r="Y65" s="169"/>
      <c r="Z65" s="171">
        <v>148791.01999999999</v>
      </c>
      <c r="AA65" s="172"/>
      <c r="AB65" s="66"/>
    </row>
    <row r="66" spans="1:28">
      <c r="A66" s="169"/>
      <c r="B66" s="169"/>
      <c r="C66" s="169"/>
      <c r="D66" s="169"/>
      <c r="E66" s="169"/>
      <c r="F66" s="169" t="s">
        <v>772</v>
      </c>
      <c r="G66" s="169"/>
      <c r="H66" s="170">
        <v>44136</v>
      </c>
      <c r="I66" s="169"/>
      <c r="J66" s="169" t="s">
        <v>785</v>
      </c>
      <c r="K66" s="169"/>
      <c r="L66" s="169" t="s">
        <v>779</v>
      </c>
      <c r="M66" s="169"/>
      <c r="N66" s="169"/>
      <c r="O66" s="169"/>
      <c r="P66" s="169" t="s">
        <v>519</v>
      </c>
      <c r="Q66" s="169"/>
      <c r="R66" s="173"/>
      <c r="S66" s="169"/>
      <c r="T66" s="169" t="s">
        <v>775</v>
      </c>
      <c r="U66" s="169"/>
      <c r="V66" s="171">
        <v>515.20000000000005</v>
      </c>
      <c r="W66" s="169"/>
      <c r="X66" s="171"/>
      <c r="Y66" s="169"/>
      <c r="Z66" s="171">
        <v>149306.22</v>
      </c>
      <c r="AA66" s="172"/>
      <c r="AB66" s="66"/>
    </row>
    <row r="67" spans="1:28">
      <c r="A67" s="169"/>
      <c r="B67" s="169"/>
      <c r="C67" s="169"/>
      <c r="D67" s="169"/>
      <c r="E67" s="169"/>
      <c r="F67" s="169" t="s">
        <v>772</v>
      </c>
      <c r="G67" s="169"/>
      <c r="H67" s="170">
        <v>44158</v>
      </c>
      <c r="I67" s="169"/>
      <c r="J67" s="169" t="s">
        <v>786</v>
      </c>
      <c r="K67" s="169"/>
      <c r="L67" s="169" t="s">
        <v>779</v>
      </c>
      <c r="M67" s="169"/>
      <c r="N67" s="169"/>
      <c r="O67" s="169"/>
      <c r="P67" s="169" t="s">
        <v>675</v>
      </c>
      <c r="Q67" s="169"/>
      <c r="R67" s="173"/>
      <c r="S67" s="169"/>
      <c r="T67" s="169" t="s">
        <v>775</v>
      </c>
      <c r="U67" s="169"/>
      <c r="V67" s="171">
        <v>70.260000000000005</v>
      </c>
      <c r="W67" s="169"/>
      <c r="X67" s="171"/>
      <c r="Y67" s="169"/>
      <c r="Z67" s="171">
        <v>170120.48</v>
      </c>
      <c r="AA67" s="172"/>
      <c r="AB67" s="66"/>
    </row>
    <row r="68" spans="1:28">
      <c r="A68" s="169"/>
      <c r="B68" s="169"/>
      <c r="C68" s="169"/>
      <c r="D68" s="169"/>
      <c r="E68" s="169"/>
      <c r="F68" s="169" t="s">
        <v>772</v>
      </c>
      <c r="G68" s="169"/>
      <c r="H68" s="170">
        <v>44158</v>
      </c>
      <c r="I68" s="169"/>
      <c r="J68" s="169" t="s">
        <v>786</v>
      </c>
      <c r="K68" s="169"/>
      <c r="L68" s="169" t="s">
        <v>779</v>
      </c>
      <c r="M68" s="169"/>
      <c r="N68" s="169"/>
      <c r="O68" s="169"/>
      <c r="P68" s="169" t="s">
        <v>519</v>
      </c>
      <c r="Q68" s="169"/>
      <c r="R68" s="173"/>
      <c r="S68" s="169"/>
      <c r="T68" s="169" t="s">
        <v>775</v>
      </c>
      <c r="U68" s="169"/>
      <c r="V68" s="171">
        <v>515.20000000000005</v>
      </c>
      <c r="W68" s="169"/>
      <c r="X68" s="171"/>
      <c r="Y68" s="169"/>
      <c r="Z68" s="171">
        <v>170635.68</v>
      </c>
      <c r="AA68" s="172"/>
      <c r="AB68" s="66"/>
    </row>
    <row r="69" spans="1:28">
      <c r="A69" s="169"/>
      <c r="B69" s="169"/>
      <c r="C69" s="169"/>
      <c r="D69" s="169"/>
      <c r="E69" s="169"/>
      <c r="F69" s="169" t="s">
        <v>772</v>
      </c>
      <c r="G69" s="169"/>
      <c r="H69" s="170">
        <v>44166</v>
      </c>
      <c r="I69" s="169"/>
      <c r="J69" s="169" t="s">
        <v>787</v>
      </c>
      <c r="K69" s="169"/>
      <c r="L69" s="169" t="s">
        <v>779</v>
      </c>
      <c r="M69" s="169"/>
      <c r="N69" s="169"/>
      <c r="O69" s="169"/>
      <c r="P69" s="169" t="s">
        <v>675</v>
      </c>
      <c r="Q69" s="169"/>
      <c r="R69" s="173"/>
      <c r="S69" s="169"/>
      <c r="T69" s="169" t="s">
        <v>775</v>
      </c>
      <c r="U69" s="169"/>
      <c r="V69" s="171">
        <v>70.260000000000005</v>
      </c>
      <c r="W69" s="169"/>
      <c r="X69" s="171"/>
      <c r="Y69" s="169"/>
      <c r="Z69" s="171">
        <v>191449.94</v>
      </c>
      <c r="AA69" s="172"/>
      <c r="AB69" s="66"/>
    </row>
    <row r="70" spans="1:28">
      <c r="A70" s="169"/>
      <c r="B70" s="169"/>
      <c r="C70" s="169"/>
      <c r="D70" s="169"/>
      <c r="E70" s="169"/>
      <c r="F70" s="169" t="s">
        <v>772</v>
      </c>
      <c r="G70" s="169"/>
      <c r="H70" s="170">
        <v>44166</v>
      </c>
      <c r="I70" s="169"/>
      <c r="J70" s="169" t="s">
        <v>787</v>
      </c>
      <c r="K70" s="169"/>
      <c r="L70" s="169" t="s">
        <v>779</v>
      </c>
      <c r="M70" s="169"/>
      <c r="N70" s="169"/>
      <c r="O70" s="169"/>
      <c r="P70" s="169" t="s">
        <v>519</v>
      </c>
      <c r="Q70" s="169"/>
      <c r="R70" s="173"/>
      <c r="S70" s="169"/>
      <c r="T70" s="169" t="s">
        <v>775</v>
      </c>
      <c r="U70" s="169"/>
      <c r="V70" s="171">
        <v>515.20000000000005</v>
      </c>
      <c r="W70" s="169"/>
      <c r="X70" s="171"/>
      <c r="Y70" s="169"/>
      <c r="Z70" s="171">
        <v>191965.14</v>
      </c>
      <c r="AA70" s="172"/>
      <c r="AB70" s="66"/>
    </row>
    <row r="71" spans="1:28">
      <c r="A71" s="169"/>
      <c r="B71" s="169"/>
      <c r="C71" s="169"/>
      <c r="D71" s="169"/>
      <c r="E71" s="169"/>
      <c r="F71" s="169" t="s">
        <v>772</v>
      </c>
      <c r="G71" s="169"/>
      <c r="H71" s="170">
        <v>44197</v>
      </c>
      <c r="I71" s="169"/>
      <c r="J71" s="169" t="s">
        <v>788</v>
      </c>
      <c r="K71" s="169"/>
      <c r="L71" s="169" t="s">
        <v>779</v>
      </c>
      <c r="M71" s="169"/>
      <c r="N71" s="169"/>
      <c r="O71" s="169"/>
      <c r="P71" s="169" t="s">
        <v>675</v>
      </c>
      <c r="Q71" s="169"/>
      <c r="R71" s="173"/>
      <c r="S71" s="169"/>
      <c r="T71" s="169" t="s">
        <v>775</v>
      </c>
      <c r="U71" s="169"/>
      <c r="V71" s="171">
        <v>70.260000000000005</v>
      </c>
      <c r="W71" s="169"/>
      <c r="X71" s="171"/>
      <c r="Y71" s="169"/>
      <c r="Z71" s="171">
        <v>212779.4</v>
      </c>
      <c r="AA71" s="172"/>
      <c r="AB71" s="66"/>
    </row>
    <row r="72" spans="1:28">
      <c r="A72" s="169"/>
      <c r="B72" s="169"/>
      <c r="C72" s="169"/>
      <c r="D72" s="169"/>
      <c r="E72" s="169"/>
      <c r="F72" s="169" t="s">
        <v>772</v>
      </c>
      <c r="G72" s="169"/>
      <c r="H72" s="170">
        <v>44197</v>
      </c>
      <c r="I72" s="169"/>
      <c r="J72" s="169" t="s">
        <v>788</v>
      </c>
      <c r="K72" s="169"/>
      <c r="L72" s="169" t="s">
        <v>779</v>
      </c>
      <c r="M72" s="169"/>
      <c r="N72" s="169"/>
      <c r="O72" s="169"/>
      <c r="P72" s="169" t="s">
        <v>519</v>
      </c>
      <c r="Q72" s="169"/>
      <c r="R72" s="173"/>
      <c r="S72" s="169"/>
      <c r="T72" s="169" t="s">
        <v>775</v>
      </c>
      <c r="U72" s="169"/>
      <c r="V72" s="171">
        <v>515.20000000000005</v>
      </c>
      <c r="W72" s="169"/>
      <c r="X72" s="171"/>
      <c r="Y72" s="169"/>
      <c r="Z72" s="171">
        <v>213294.6</v>
      </c>
      <c r="AA72" s="172"/>
      <c r="AB72" s="66"/>
    </row>
    <row r="73" spans="1:28">
      <c r="A73" s="169"/>
      <c r="B73" s="169"/>
      <c r="C73" s="169"/>
      <c r="D73" s="169"/>
      <c r="E73" s="169"/>
      <c r="F73" s="169" t="s">
        <v>772</v>
      </c>
      <c r="G73" s="169"/>
      <c r="H73" s="170">
        <v>44251</v>
      </c>
      <c r="I73" s="169"/>
      <c r="J73" s="169" t="s">
        <v>789</v>
      </c>
      <c r="K73" s="169"/>
      <c r="L73" s="169" t="s">
        <v>779</v>
      </c>
      <c r="M73" s="169"/>
      <c r="N73" s="169"/>
      <c r="O73" s="169"/>
      <c r="P73" s="169" t="s">
        <v>675</v>
      </c>
      <c r="Q73" s="169"/>
      <c r="R73" s="173"/>
      <c r="S73" s="169"/>
      <c r="T73" s="169" t="s">
        <v>775</v>
      </c>
      <c r="U73" s="169"/>
      <c r="V73" s="171">
        <v>70.260000000000005</v>
      </c>
      <c r="W73" s="169"/>
      <c r="X73" s="171"/>
      <c r="Y73" s="169"/>
      <c r="Z73" s="171">
        <v>234108.86</v>
      </c>
      <c r="AA73" s="172"/>
      <c r="AB73" s="66"/>
    </row>
    <row r="74" spans="1:28">
      <c r="A74" s="169"/>
      <c r="B74" s="169"/>
      <c r="C74" s="169"/>
      <c r="D74" s="169"/>
      <c r="E74" s="169"/>
      <c r="F74" s="169" t="s">
        <v>772</v>
      </c>
      <c r="G74" s="169"/>
      <c r="H74" s="170">
        <v>44251</v>
      </c>
      <c r="I74" s="169"/>
      <c r="J74" s="169" t="s">
        <v>789</v>
      </c>
      <c r="K74" s="169"/>
      <c r="L74" s="169" t="s">
        <v>779</v>
      </c>
      <c r="M74" s="169"/>
      <c r="N74" s="169"/>
      <c r="O74" s="169"/>
      <c r="P74" s="169" t="s">
        <v>519</v>
      </c>
      <c r="Q74" s="169"/>
      <c r="R74" s="173"/>
      <c r="S74" s="169"/>
      <c r="T74" s="169" t="s">
        <v>775</v>
      </c>
      <c r="U74" s="169"/>
      <c r="V74" s="171">
        <v>515.20000000000005</v>
      </c>
      <c r="W74" s="169"/>
      <c r="X74" s="171"/>
      <c r="Y74" s="169"/>
      <c r="Z74" s="171">
        <v>234624.06</v>
      </c>
      <c r="AA74" s="172"/>
      <c r="AB74" s="66"/>
    </row>
    <row r="75" spans="1:28">
      <c r="A75" s="169"/>
      <c r="B75" s="169"/>
      <c r="C75" s="169"/>
      <c r="D75" s="169"/>
      <c r="E75" s="169"/>
      <c r="F75" s="169" t="s">
        <v>772</v>
      </c>
      <c r="G75" s="169"/>
      <c r="H75" s="170">
        <v>44256</v>
      </c>
      <c r="I75" s="169"/>
      <c r="J75" s="169" t="s">
        <v>790</v>
      </c>
      <c r="K75" s="169"/>
      <c r="L75" s="169" t="s">
        <v>779</v>
      </c>
      <c r="M75" s="169"/>
      <c r="N75" s="169"/>
      <c r="O75" s="169"/>
      <c r="P75" s="169" t="s">
        <v>675</v>
      </c>
      <c r="Q75" s="169"/>
      <c r="R75" s="173"/>
      <c r="S75" s="169"/>
      <c r="T75" s="169" t="s">
        <v>775</v>
      </c>
      <c r="U75" s="169"/>
      <c r="V75" s="171">
        <v>70.260000000000005</v>
      </c>
      <c r="W75" s="169"/>
      <c r="X75" s="171"/>
      <c r="Y75" s="169"/>
      <c r="Z75" s="171">
        <v>255438.32</v>
      </c>
      <c r="AA75" s="172"/>
      <c r="AB75" s="66"/>
    </row>
    <row r="76" spans="1:28">
      <c r="A76" s="169"/>
      <c r="B76" s="169"/>
      <c r="C76" s="169"/>
      <c r="D76" s="169"/>
      <c r="E76" s="169"/>
      <c r="F76" s="169" t="s">
        <v>772</v>
      </c>
      <c r="G76" s="169"/>
      <c r="H76" s="170">
        <v>44256</v>
      </c>
      <c r="I76" s="169"/>
      <c r="J76" s="169" t="s">
        <v>790</v>
      </c>
      <c r="K76" s="169"/>
      <c r="L76" s="169" t="s">
        <v>779</v>
      </c>
      <c r="M76" s="169"/>
      <c r="N76" s="169"/>
      <c r="O76" s="169"/>
      <c r="P76" s="169" t="s">
        <v>519</v>
      </c>
      <c r="Q76" s="169"/>
      <c r="R76" s="173"/>
      <c r="S76" s="169"/>
      <c r="T76" s="169" t="s">
        <v>775</v>
      </c>
      <c r="U76" s="169"/>
      <c r="V76" s="171">
        <v>515.20000000000005</v>
      </c>
      <c r="W76" s="169"/>
      <c r="X76" s="171"/>
      <c r="Y76" s="169"/>
      <c r="Z76" s="171">
        <v>255953.52</v>
      </c>
      <c r="AA76" s="172"/>
      <c r="AB76" s="66"/>
    </row>
    <row r="77" spans="1:28" ht="15.75" thickBot="1">
      <c r="A77" s="169"/>
      <c r="B77" s="169"/>
      <c r="C77" s="169"/>
      <c r="D77" s="169"/>
      <c r="E77" s="169"/>
      <c r="F77" s="169"/>
      <c r="G77" s="169"/>
      <c r="H77" s="170"/>
      <c r="I77" s="169"/>
      <c r="J77" s="169"/>
      <c r="K77" s="169"/>
      <c r="L77" s="169"/>
      <c r="M77" s="169"/>
      <c r="N77" s="169"/>
      <c r="O77" s="169"/>
      <c r="P77" s="169"/>
      <c r="Q77" s="169"/>
      <c r="R77" s="169"/>
      <c r="S77" s="169"/>
      <c r="T77" s="169"/>
      <c r="U77" s="169"/>
      <c r="V77" s="171"/>
      <c r="W77" s="169"/>
      <c r="X77" s="171"/>
      <c r="Y77" s="169"/>
      <c r="Z77" s="171"/>
      <c r="AA77" s="172"/>
      <c r="AB77" s="66"/>
    </row>
    <row r="78" spans="1:28" ht="15.75" thickBot="1">
      <c r="A78" s="169"/>
      <c r="B78" s="169"/>
      <c r="C78" s="169" t="s">
        <v>791</v>
      </c>
      <c r="D78" s="169"/>
      <c r="E78" s="169"/>
      <c r="F78" s="169"/>
      <c r="G78" s="169"/>
      <c r="H78" s="170"/>
      <c r="I78" s="169"/>
      <c r="J78" s="169"/>
      <c r="K78" s="169"/>
      <c r="L78" s="169"/>
      <c r="M78" s="169"/>
      <c r="N78" s="169"/>
      <c r="O78" s="169"/>
      <c r="P78" s="169"/>
      <c r="Q78" s="169"/>
      <c r="R78" s="169"/>
      <c r="S78" s="169"/>
      <c r="T78" s="169"/>
      <c r="U78" s="169"/>
      <c r="V78" s="174">
        <f>ROUND(SUM(V3:V77),5)</f>
        <v>261126.52</v>
      </c>
      <c r="W78" s="169"/>
      <c r="X78" s="174">
        <f>ROUND(SUM(X3:X77),5)</f>
        <v>0</v>
      </c>
      <c r="Y78" s="169"/>
      <c r="Z78" s="174">
        <v>261126.52</v>
      </c>
      <c r="AA78" s="172"/>
      <c r="AB78" s="66"/>
    </row>
    <row r="79" spans="1:28">
      <c r="A79" s="169"/>
      <c r="B79" s="169" t="s">
        <v>472</v>
      </c>
      <c r="C79" s="169"/>
      <c r="D79" s="169"/>
      <c r="E79" s="169"/>
      <c r="F79" s="169"/>
      <c r="G79" s="169"/>
      <c r="H79" s="170"/>
      <c r="I79" s="169"/>
      <c r="J79" s="169"/>
      <c r="K79" s="169"/>
      <c r="L79" s="169"/>
      <c r="M79" s="169"/>
      <c r="N79" s="169"/>
      <c r="O79" s="169"/>
      <c r="P79" s="169"/>
      <c r="Q79" s="169"/>
      <c r="R79" s="169"/>
      <c r="S79" s="169"/>
      <c r="T79" s="169"/>
      <c r="U79" s="169"/>
      <c r="V79" s="175">
        <f>V78</f>
        <v>261126.52</v>
      </c>
      <c r="W79" s="176"/>
      <c r="X79" s="175">
        <f>X78</f>
        <v>0</v>
      </c>
      <c r="Y79" s="176"/>
      <c r="Z79" s="175">
        <f>Z78</f>
        <v>261126.52</v>
      </c>
      <c r="AA79" s="172"/>
      <c r="AB79" s="66"/>
    </row>
    <row r="80" spans="1:28">
      <c r="A80" s="169" t="s">
        <v>215</v>
      </c>
      <c r="B80" s="169"/>
      <c r="C80" s="169"/>
      <c r="D80" s="169"/>
      <c r="E80" s="169"/>
      <c r="F80" s="169"/>
      <c r="G80" s="169"/>
      <c r="H80" s="170"/>
      <c r="I80" s="169"/>
      <c r="J80" s="169"/>
      <c r="K80" s="169"/>
      <c r="L80" s="169"/>
      <c r="M80" s="169"/>
      <c r="N80" s="169"/>
      <c r="O80" s="169"/>
      <c r="P80" s="169"/>
      <c r="Q80" s="169"/>
      <c r="R80" s="169"/>
      <c r="S80" s="169"/>
      <c r="T80" s="169"/>
      <c r="U80" s="169"/>
      <c r="V80" s="177">
        <f>V79</f>
        <v>261126.52</v>
      </c>
      <c r="W80" s="178"/>
      <c r="X80" s="177">
        <f>X79</f>
        <v>0</v>
      </c>
      <c r="Y80" s="178"/>
      <c r="Z80" s="177">
        <f>Z79</f>
        <v>261126.52</v>
      </c>
      <c r="AA80" s="179"/>
      <c r="AB80" s="66"/>
    </row>
    <row r="81" spans="1:28">
      <c r="A81" s="172" t="s">
        <v>812</v>
      </c>
      <c r="B81" s="172"/>
      <c r="C81" s="172"/>
      <c r="D81" s="172"/>
      <c r="E81" s="172"/>
      <c r="F81" s="172"/>
      <c r="G81" s="172"/>
      <c r="H81" s="172"/>
      <c r="I81" s="172"/>
      <c r="J81" s="172"/>
      <c r="K81" s="172"/>
      <c r="L81" s="172"/>
      <c r="M81" s="172"/>
      <c r="N81" s="172"/>
      <c r="O81" s="172"/>
      <c r="P81" s="172"/>
      <c r="Q81" s="172"/>
      <c r="R81" s="172"/>
      <c r="S81" s="172"/>
      <c r="T81" s="172"/>
      <c r="U81" s="172"/>
      <c r="V81" s="180">
        <v>-5173</v>
      </c>
      <c r="W81" s="180"/>
      <c r="X81" s="180"/>
      <c r="Y81" s="180"/>
      <c r="Z81" s="180">
        <v>-5173</v>
      </c>
      <c r="AA81" s="172"/>
      <c r="AB81" s="66"/>
    </row>
    <row r="82" spans="1:28">
      <c r="A82" s="172" t="s">
        <v>813</v>
      </c>
      <c r="B82" s="172"/>
      <c r="C82" s="172"/>
      <c r="D82" s="172"/>
      <c r="E82" s="172"/>
      <c r="F82" s="172"/>
      <c r="G82" s="172"/>
      <c r="H82" s="172"/>
      <c r="I82" s="172"/>
      <c r="J82" s="172"/>
      <c r="K82" s="172"/>
      <c r="L82" s="172"/>
      <c r="M82" s="172"/>
      <c r="N82" s="172"/>
      <c r="O82" s="172"/>
      <c r="P82" s="172"/>
      <c r="Q82" s="172"/>
      <c r="R82" s="172"/>
      <c r="S82" s="172"/>
      <c r="T82" s="172"/>
      <c r="U82" s="172"/>
      <c r="V82" s="181">
        <f>SUM(V80:V81)</f>
        <v>255953.52</v>
      </c>
      <c r="W82" s="181"/>
      <c r="X82" s="181"/>
      <c r="Y82" s="181"/>
      <c r="Z82" s="181">
        <f>SUM(Z80:Z81)</f>
        <v>255953.52</v>
      </c>
      <c r="AA82" s="172"/>
      <c r="AB82" s="66"/>
    </row>
    <row r="83" spans="1:28">
      <c r="A83" s="172"/>
      <c r="B83" s="172"/>
      <c r="C83" s="172"/>
      <c r="D83" s="172"/>
      <c r="E83" s="172"/>
      <c r="F83" s="172"/>
      <c r="G83" s="172"/>
      <c r="H83" s="172"/>
      <c r="I83" s="172"/>
      <c r="J83" s="172"/>
      <c r="K83" s="172"/>
      <c r="L83" s="172"/>
      <c r="M83" s="172"/>
      <c r="N83" s="172"/>
      <c r="O83" s="172"/>
      <c r="P83" s="172"/>
      <c r="Q83" s="172"/>
      <c r="R83" s="172"/>
      <c r="S83" s="172"/>
      <c r="T83" s="172"/>
      <c r="U83" s="172"/>
      <c r="V83" s="181"/>
      <c r="W83" s="181"/>
      <c r="X83" s="181"/>
      <c r="Y83" s="181"/>
      <c r="Z83" s="181"/>
      <c r="AA83" s="172"/>
      <c r="AB83" s="66"/>
    </row>
    <row r="84" spans="1:28">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66"/>
    </row>
    <row r="85" spans="1:28">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66"/>
    </row>
    <row r="86" spans="1:28">
      <c r="A86" s="172"/>
      <c r="B86" s="172"/>
      <c r="C86" s="92"/>
      <c r="D86" s="92"/>
      <c r="E86" s="92"/>
      <c r="F86" s="92"/>
      <c r="G86" s="92"/>
      <c r="H86" s="92"/>
      <c r="I86" s="92"/>
      <c r="J86" s="182" t="s">
        <v>792</v>
      </c>
      <c r="K86" s="182"/>
      <c r="L86" s="182" t="s">
        <v>1297</v>
      </c>
      <c r="M86" s="182"/>
      <c r="N86" s="370"/>
      <c r="O86" s="370"/>
      <c r="P86" s="370"/>
      <c r="Q86" s="172"/>
      <c r="R86" s="172"/>
      <c r="S86" s="172"/>
      <c r="T86" s="172"/>
      <c r="U86" s="172"/>
      <c r="V86" s="172"/>
      <c r="W86" s="172"/>
      <c r="X86" s="172"/>
      <c r="Y86" s="172"/>
      <c r="Z86" s="172"/>
      <c r="AA86" s="172"/>
      <c r="AB86" s="66"/>
    </row>
    <row r="87" spans="1:28">
      <c r="A87" s="172"/>
      <c r="B87" s="172"/>
      <c r="C87" s="92"/>
      <c r="D87" s="92"/>
      <c r="E87" s="172"/>
      <c r="F87" s="172"/>
      <c r="G87" s="172"/>
      <c r="H87" s="183" t="s">
        <v>793</v>
      </c>
      <c r="I87" s="66"/>
      <c r="J87" s="172"/>
      <c r="K87" s="172"/>
      <c r="L87" s="183" t="s">
        <v>794</v>
      </c>
      <c r="M87" s="172"/>
      <c r="N87" s="183" t="s">
        <v>795</v>
      </c>
      <c r="O87" s="172"/>
      <c r="P87" s="183" t="s">
        <v>796</v>
      </c>
      <c r="Q87" s="172"/>
      <c r="R87" s="183" t="s">
        <v>797</v>
      </c>
      <c r="S87" s="172"/>
      <c r="T87" s="183" t="s">
        <v>798</v>
      </c>
      <c r="U87" s="172"/>
      <c r="V87" s="183" t="s">
        <v>799</v>
      </c>
      <c r="W87" s="172"/>
      <c r="X87" s="183" t="s">
        <v>798</v>
      </c>
      <c r="Y87" s="172"/>
      <c r="Z87" s="183" t="s">
        <v>799</v>
      </c>
      <c r="AA87" s="172"/>
      <c r="AB87" s="66"/>
    </row>
    <row r="88" spans="1:28">
      <c r="A88" s="172"/>
      <c r="B88" s="172"/>
      <c r="C88" s="92" t="s">
        <v>800</v>
      </c>
      <c r="D88" s="92"/>
      <c r="E88" s="172"/>
      <c r="F88" s="172"/>
      <c r="G88" s="172"/>
      <c r="H88" s="92" t="s">
        <v>773</v>
      </c>
      <c r="I88" s="66"/>
      <c r="J88" s="184">
        <v>43101</v>
      </c>
      <c r="K88" s="172"/>
      <c r="L88" s="183" t="s">
        <v>801</v>
      </c>
      <c r="M88" s="172"/>
      <c r="N88" s="184">
        <v>43101</v>
      </c>
      <c r="O88" s="172"/>
      <c r="P88" s="184" t="s">
        <v>802</v>
      </c>
      <c r="Q88" s="172"/>
      <c r="R88" s="92" t="s">
        <v>803</v>
      </c>
      <c r="S88" s="172"/>
      <c r="T88" s="185">
        <v>5825</v>
      </c>
      <c r="U88" s="172"/>
      <c r="V88" s="185">
        <f>+T88*12</f>
        <v>69900</v>
      </c>
      <c r="W88" s="172"/>
      <c r="X88" s="185">
        <v>5825</v>
      </c>
      <c r="Y88" s="172"/>
      <c r="Z88" s="185">
        <f>+X88*12</f>
        <v>69900</v>
      </c>
      <c r="AA88" s="172"/>
      <c r="AB88" s="66"/>
    </row>
    <row r="89" spans="1:28">
      <c r="A89" s="172"/>
      <c r="B89" s="172"/>
      <c r="C89" s="92"/>
      <c r="D89" s="92"/>
      <c r="E89" s="172"/>
      <c r="F89" s="172"/>
      <c r="G89" s="172"/>
      <c r="H89" s="92"/>
      <c r="I89" s="66"/>
      <c r="J89" s="92"/>
      <c r="K89" s="172"/>
      <c r="L89" s="183"/>
      <c r="M89" s="172"/>
      <c r="N89" s="92"/>
      <c r="O89" s="172"/>
      <c r="P89" s="92"/>
      <c r="Q89" s="172"/>
      <c r="R89" s="92"/>
      <c r="S89" s="172"/>
      <c r="T89" s="185"/>
      <c r="U89" s="172"/>
      <c r="V89" s="185"/>
      <c r="W89" s="172"/>
      <c r="X89" s="185"/>
      <c r="Y89" s="172"/>
      <c r="Z89" s="185"/>
      <c r="AA89" s="172"/>
      <c r="AB89" s="66"/>
    </row>
    <row r="90" spans="1:28">
      <c r="A90" s="172"/>
      <c r="B90" s="172"/>
      <c r="C90" s="92" t="s">
        <v>804</v>
      </c>
      <c r="D90" s="92"/>
      <c r="E90" s="172"/>
      <c r="F90" s="172"/>
      <c r="G90" s="172"/>
      <c r="H90" s="92" t="s">
        <v>773</v>
      </c>
      <c r="I90" s="66"/>
      <c r="J90" s="184">
        <v>43101</v>
      </c>
      <c r="K90" s="172"/>
      <c r="L90" s="183" t="s">
        <v>801</v>
      </c>
      <c r="M90" s="172"/>
      <c r="N90" s="184">
        <v>43101</v>
      </c>
      <c r="O90" s="172"/>
      <c r="P90" s="184" t="s">
        <v>802</v>
      </c>
      <c r="Q90" s="172"/>
      <c r="R90" s="92" t="s">
        <v>805</v>
      </c>
      <c r="S90" s="172"/>
      <c r="T90" s="185">
        <v>6020</v>
      </c>
      <c r="U90" s="172"/>
      <c r="V90" s="185">
        <f>+T90*12</f>
        <v>72240</v>
      </c>
      <c r="W90" s="172"/>
      <c r="X90" s="185">
        <f>6020+350</f>
        <v>6370</v>
      </c>
      <c r="Y90" s="172"/>
      <c r="Z90" s="185">
        <f>+X90*12</f>
        <v>76440</v>
      </c>
      <c r="AA90" s="172"/>
      <c r="AB90" s="66"/>
    </row>
    <row r="91" spans="1:28">
      <c r="A91" s="172"/>
      <c r="B91" s="172"/>
      <c r="C91" s="92"/>
      <c r="D91" s="92"/>
      <c r="E91" s="172"/>
      <c r="F91" s="172"/>
      <c r="G91" s="172"/>
      <c r="H91" s="92"/>
      <c r="I91" s="66"/>
      <c r="J91" s="92"/>
      <c r="K91" s="172"/>
      <c r="L91" s="183"/>
      <c r="M91" s="172"/>
      <c r="N91" s="92"/>
      <c r="O91" s="172"/>
      <c r="P91" s="92"/>
      <c r="Q91" s="172"/>
      <c r="R91" s="92"/>
      <c r="S91" s="172"/>
      <c r="T91" s="185"/>
      <c r="U91" s="172"/>
      <c r="V91" s="185"/>
      <c r="W91" s="172"/>
      <c r="X91" s="185"/>
      <c r="Y91" s="172"/>
      <c r="Z91" s="185"/>
      <c r="AA91" s="172"/>
      <c r="AB91" s="66"/>
    </row>
    <row r="92" spans="1:28">
      <c r="A92" s="172"/>
      <c r="B92" s="172"/>
      <c r="C92" s="92" t="s">
        <v>806</v>
      </c>
      <c r="D92" s="92"/>
      <c r="E92" s="172"/>
      <c r="F92" s="172"/>
      <c r="G92" s="172"/>
      <c r="H92" s="92" t="s">
        <v>773</v>
      </c>
      <c r="I92" s="66"/>
      <c r="J92" s="184">
        <v>43101</v>
      </c>
      <c r="K92" s="172"/>
      <c r="L92" s="183" t="s">
        <v>801</v>
      </c>
      <c r="M92" s="172"/>
      <c r="N92" s="184">
        <v>43101</v>
      </c>
      <c r="O92" s="172"/>
      <c r="P92" s="184" t="s">
        <v>802</v>
      </c>
      <c r="Q92" s="172"/>
      <c r="R92" s="92" t="s">
        <v>807</v>
      </c>
      <c r="S92" s="172"/>
      <c r="T92" s="186">
        <v>3375.92</v>
      </c>
      <c r="U92" s="172"/>
      <c r="V92" s="186">
        <f>+T92*12</f>
        <v>40511.040000000001</v>
      </c>
      <c r="W92" s="172"/>
      <c r="X92" s="186">
        <v>3376</v>
      </c>
      <c r="Y92" s="172"/>
      <c r="Z92" s="186">
        <f>+X92*12</f>
        <v>40512</v>
      </c>
      <c r="AA92" s="172"/>
      <c r="AB92" s="66"/>
    </row>
    <row r="93" spans="1:28">
      <c r="A93" s="172"/>
      <c r="B93" s="172"/>
      <c r="C93" s="92"/>
      <c r="D93" s="92"/>
      <c r="E93" s="172"/>
      <c r="F93" s="172"/>
      <c r="G93" s="172"/>
      <c r="H93" s="92"/>
      <c r="I93" s="66"/>
      <c r="J93" s="184"/>
      <c r="K93" s="172"/>
      <c r="L93" s="183"/>
      <c r="M93" s="172"/>
      <c r="N93" s="184"/>
      <c r="O93" s="172"/>
      <c r="P93" s="184"/>
      <c r="Q93" s="172"/>
      <c r="R93" s="92"/>
      <c r="S93" s="172"/>
      <c r="T93" s="185">
        <f>SUM(T88:T92)</f>
        <v>15220.92</v>
      </c>
      <c r="U93" s="172"/>
      <c r="V93" s="185">
        <f>SUM(V88:V92)</f>
        <v>182651.04</v>
      </c>
      <c r="W93" s="172"/>
      <c r="X93" s="185">
        <f>SUM(X88:X92)</f>
        <v>15571</v>
      </c>
      <c r="Y93" s="172"/>
      <c r="Z93" s="185">
        <f>+X93*12</f>
        <v>186852</v>
      </c>
      <c r="AA93" s="172"/>
      <c r="AB93" s="66"/>
    </row>
    <row r="94" spans="1:28">
      <c r="A94" s="172"/>
      <c r="B94" s="172"/>
      <c r="C94" s="92"/>
      <c r="D94" s="92"/>
      <c r="E94" s="172"/>
      <c r="F94" s="172"/>
      <c r="G94" s="172"/>
      <c r="H94" s="92"/>
      <c r="I94" s="66"/>
      <c r="J94" s="92"/>
      <c r="K94" s="172"/>
      <c r="L94" s="183"/>
      <c r="M94" s="172"/>
      <c r="N94" s="92"/>
      <c r="O94" s="172"/>
      <c r="P94" s="92"/>
      <c r="Q94" s="172"/>
      <c r="R94" s="92"/>
      <c r="S94" s="172"/>
      <c r="T94" s="185"/>
      <c r="U94" s="172"/>
      <c r="V94" s="185"/>
      <c r="W94" s="172"/>
      <c r="X94" s="185"/>
      <c r="Y94" s="172"/>
      <c r="Z94" s="185"/>
      <c r="AA94" s="172"/>
      <c r="AB94" s="66"/>
    </row>
    <row r="95" spans="1:28">
      <c r="A95" s="172"/>
      <c r="B95" s="172"/>
      <c r="C95" s="92" t="s">
        <v>808</v>
      </c>
      <c r="D95" s="92"/>
      <c r="E95" s="172"/>
      <c r="F95" s="172"/>
      <c r="G95" s="172"/>
      <c r="H95" s="92" t="s">
        <v>809</v>
      </c>
      <c r="I95" s="66"/>
      <c r="J95" s="184">
        <v>43101</v>
      </c>
      <c r="K95" s="172"/>
      <c r="L95" s="183" t="s">
        <v>801</v>
      </c>
      <c r="M95" s="172"/>
      <c r="N95" s="184">
        <v>43101</v>
      </c>
      <c r="O95" s="172"/>
      <c r="P95" s="184" t="s">
        <v>802</v>
      </c>
      <c r="Q95" s="172"/>
      <c r="R95" s="92" t="s">
        <v>807</v>
      </c>
      <c r="S95" s="172"/>
      <c r="T95" s="185">
        <v>5172.75</v>
      </c>
      <c r="U95" s="172"/>
      <c r="V95" s="185">
        <f>+T95*12</f>
        <v>62073</v>
      </c>
      <c r="W95" s="172"/>
      <c r="X95" s="185">
        <f>4552.24+620.76</f>
        <v>5173</v>
      </c>
      <c r="Y95" s="172"/>
      <c r="Z95" s="185">
        <f>+X95*12</f>
        <v>62076</v>
      </c>
      <c r="AA95" s="172"/>
      <c r="AB95" s="66"/>
    </row>
    <row r="96" spans="1:28">
      <c r="A96" s="172"/>
      <c r="B96" s="172"/>
      <c r="C96" s="92"/>
      <c r="D96" s="92"/>
      <c r="E96" s="92"/>
      <c r="F96" s="172"/>
      <c r="G96" s="172"/>
      <c r="H96" s="172"/>
      <c r="I96" s="172"/>
      <c r="J96" s="92"/>
      <c r="K96" s="172"/>
      <c r="L96" s="183"/>
      <c r="M96" s="172"/>
      <c r="N96" s="92"/>
      <c r="O96" s="172"/>
      <c r="P96" s="92"/>
      <c r="Q96" s="172"/>
      <c r="R96" s="92"/>
      <c r="S96" s="172"/>
      <c r="T96" s="185"/>
      <c r="U96" s="172"/>
      <c r="V96" s="185"/>
      <c r="W96" s="172"/>
      <c r="X96" s="185"/>
      <c r="Y96" s="172"/>
      <c r="Z96" s="185"/>
      <c r="AA96" s="172"/>
      <c r="AB96" s="66"/>
    </row>
    <row r="97" spans="1:29">
      <c r="A97" s="172"/>
      <c r="B97" s="172"/>
      <c r="C97" s="92" t="s">
        <v>810</v>
      </c>
      <c r="D97" s="92"/>
      <c r="E97" s="92"/>
      <c r="F97" s="172"/>
      <c r="G97" s="172"/>
      <c r="H97" s="172"/>
      <c r="I97" s="172"/>
      <c r="J97" s="184">
        <v>40787</v>
      </c>
      <c r="K97" s="172"/>
      <c r="L97" s="183" t="s">
        <v>811</v>
      </c>
      <c r="M97" s="172"/>
      <c r="N97" s="184">
        <v>40787</v>
      </c>
      <c r="O97" s="172"/>
      <c r="P97" s="184" t="s">
        <v>802</v>
      </c>
      <c r="Q97" s="172"/>
      <c r="R97" s="92" t="s">
        <v>807</v>
      </c>
      <c r="S97" s="172"/>
      <c r="T97" s="185">
        <v>526.02</v>
      </c>
      <c r="U97" s="172"/>
      <c r="V97" s="185">
        <f>+T97*12</f>
        <v>6312.24</v>
      </c>
      <c r="W97" s="172"/>
      <c r="X97" s="185">
        <f>515.2+70.26</f>
        <v>585.46</v>
      </c>
      <c r="Y97" s="172"/>
      <c r="Z97" s="186">
        <f>+X97*12</f>
        <v>7025.52</v>
      </c>
      <c r="AA97" s="172"/>
      <c r="AB97" s="66"/>
    </row>
    <row r="98" spans="1:29">
      <c r="A98" s="172"/>
      <c r="B98" s="172"/>
      <c r="C98" s="92"/>
      <c r="D98" s="92"/>
      <c r="E98" s="92"/>
      <c r="F98" s="92"/>
      <c r="G98" s="92"/>
      <c r="H98" s="92"/>
      <c r="I98" s="92"/>
      <c r="J98" s="185"/>
      <c r="K98" s="185"/>
      <c r="L98" s="185"/>
      <c r="M98" s="172"/>
      <c r="N98" s="172"/>
      <c r="O98" s="172"/>
      <c r="P98" s="172"/>
      <c r="Q98" s="172"/>
      <c r="R98" s="172"/>
      <c r="S98" s="172"/>
      <c r="T98" s="172"/>
      <c r="U98" s="172"/>
      <c r="V98" s="172"/>
      <c r="W98" s="172"/>
      <c r="X98" s="172"/>
      <c r="Y98" s="172"/>
      <c r="Z98" s="185">
        <f>SUM(Z93:Z97)</f>
        <v>255953.52</v>
      </c>
      <c r="AA98" s="172"/>
      <c r="AB98" s="66"/>
    </row>
    <row r="99" spans="1:29">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66"/>
    </row>
    <row r="100" spans="1:29">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66"/>
    </row>
    <row r="101" spans="1:29">
      <c r="A101" s="187"/>
      <c r="B101" s="187"/>
      <c r="C101" s="187"/>
      <c r="D101" s="187"/>
      <c r="E101" s="187"/>
      <c r="F101" s="187"/>
      <c r="G101" s="187"/>
      <c r="H101" s="187"/>
      <c r="I101" s="187"/>
      <c r="J101" s="187"/>
      <c r="K101" s="187"/>
      <c r="L101" s="187"/>
      <c r="M101" s="187"/>
      <c r="N101" s="187"/>
      <c r="O101" s="187"/>
      <c r="P101" s="187"/>
      <c r="Q101" s="187"/>
      <c r="R101" s="187"/>
      <c r="S101" s="187"/>
      <c r="T101" s="66"/>
      <c r="U101" s="66"/>
      <c r="V101" s="66"/>
      <c r="W101" s="373" t="s">
        <v>1298</v>
      </c>
      <c r="X101" s="371"/>
      <c r="Y101" s="371"/>
      <c r="Z101" s="187"/>
      <c r="AA101" s="187"/>
      <c r="AB101" s="187"/>
      <c r="AC101" s="187"/>
    </row>
    <row r="102" spans="1:29" ht="15.75">
      <c r="A102" s="188"/>
      <c r="B102" s="188"/>
      <c r="C102" s="92"/>
      <c r="D102" s="92"/>
      <c r="E102" s="172"/>
      <c r="F102" s="172"/>
      <c r="G102" s="172"/>
      <c r="H102" s="183" t="s">
        <v>793</v>
      </c>
      <c r="I102" s="66"/>
      <c r="J102" s="172"/>
      <c r="K102" s="172"/>
      <c r="L102" s="183" t="s">
        <v>794</v>
      </c>
      <c r="M102" s="188"/>
      <c r="N102" s="188"/>
      <c r="O102" s="188"/>
      <c r="P102" s="187" t="s">
        <v>797</v>
      </c>
      <c r="Q102" s="188"/>
      <c r="R102" s="188"/>
      <c r="S102" s="188"/>
      <c r="T102" s="66"/>
      <c r="U102" s="372"/>
      <c r="V102" s="372" t="s">
        <v>538</v>
      </c>
      <c r="W102" s="188"/>
      <c r="X102" s="188"/>
      <c r="Y102" s="188"/>
      <c r="Z102" s="372" t="s">
        <v>1184</v>
      </c>
      <c r="AA102" s="188"/>
      <c r="AB102" s="66"/>
    </row>
    <row r="103" spans="1:29">
      <c r="A103" s="66"/>
      <c r="B103" s="66"/>
      <c r="C103" s="92" t="s">
        <v>800</v>
      </c>
      <c r="D103" s="92"/>
      <c r="E103" s="172"/>
      <c r="F103" s="172"/>
      <c r="G103" s="172"/>
      <c r="H103" s="92" t="s">
        <v>773</v>
      </c>
      <c r="I103" s="66"/>
      <c r="J103" s="184"/>
      <c r="K103" s="172"/>
      <c r="L103" s="183" t="s">
        <v>801</v>
      </c>
      <c r="M103" s="66"/>
      <c r="N103" s="66"/>
      <c r="O103" s="66"/>
      <c r="P103" s="66"/>
      <c r="Q103" s="66"/>
      <c r="R103" s="66"/>
      <c r="S103" s="66"/>
      <c r="T103" s="66"/>
      <c r="U103" s="208"/>
      <c r="V103" s="208">
        <v>6990</v>
      </c>
      <c r="W103" s="66"/>
      <c r="X103" s="66"/>
      <c r="Y103" s="66"/>
      <c r="Z103" s="208">
        <f>+V103*12</f>
        <v>83880</v>
      </c>
      <c r="AA103" s="66"/>
      <c r="AB103" s="66"/>
    </row>
    <row r="104" spans="1:29">
      <c r="A104" s="66"/>
      <c r="B104" s="66"/>
      <c r="C104" s="92"/>
      <c r="D104" s="92"/>
      <c r="E104" s="172"/>
      <c r="F104" s="172"/>
      <c r="G104" s="172"/>
      <c r="H104" s="92"/>
      <c r="I104" s="66"/>
      <c r="J104" s="92"/>
      <c r="K104" s="172"/>
      <c r="L104" s="183"/>
      <c r="M104" s="66"/>
      <c r="N104" s="66"/>
      <c r="O104" s="66"/>
      <c r="P104" s="66"/>
      <c r="Q104" s="66"/>
      <c r="R104" s="66"/>
      <c r="S104" s="66"/>
      <c r="T104" s="66"/>
      <c r="U104" s="208"/>
      <c r="V104" s="208"/>
      <c r="W104" s="66"/>
      <c r="X104" s="66"/>
      <c r="Y104" s="66"/>
      <c r="Z104" s="208"/>
      <c r="AA104" s="66"/>
      <c r="AB104" s="66"/>
    </row>
    <row r="105" spans="1:29">
      <c r="A105" s="66"/>
      <c r="B105" s="66"/>
      <c r="C105" s="92" t="s">
        <v>804</v>
      </c>
      <c r="D105" s="92"/>
      <c r="E105" s="172"/>
      <c r="F105" s="172"/>
      <c r="G105" s="172"/>
      <c r="H105" s="92" t="s">
        <v>773</v>
      </c>
      <c r="I105" s="66"/>
      <c r="J105" s="184"/>
      <c r="K105" s="172"/>
      <c r="L105" s="183" t="s">
        <v>801</v>
      </c>
      <c r="M105" s="66"/>
      <c r="N105" s="66"/>
      <c r="O105" s="66"/>
      <c r="P105" s="66"/>
      <c r="Q105" s="66"/>
      <c r="R105" s="66"/>
      <c r="S105" s="66"/>
      <c r="T105" s="66"/>
      <c r="U105" s="208"/>
      <c r="V105" s="208">
        <v>7705</v>
      </c>
      <c r="W105" s="66"/>
      <c r="X105" s="66"/>
      <c r="Y105" s="66"/>
      <c r="Z105" s="208">
        <f>+V105*12</f>
        <v>92460</v>
      </c>
      <c r="AA105" s="66"/>
      <c r="AB105" s="66"/>
    </row>
    <row r="106" spans="1:29">
      <c r="A106" s="66"/>
      <c r="B106" s="66"/>
      <c r="C106" s="92"/>
      <c r="D106" s="92"/>
      <c r="E106" s="172"/>
      <c r="F106" s="172"/>
      <c r="G106" s="172"/>
      <c r="H106" s="92"/>
      <c r="I106" s="66"/>
      <c r="J106" s="92"/>
      <c r="K106" s="172"/>
      <c r="L106" s="183"/>
      <c r="M106" s="66"/>
      <c r="N106" s="66"/>
      <c r="O106" s="66"/>
      <c r="P106" s="66"/>
      <c r="Q106" s="66"/>
      <c r="R106" s="66"/>
      <c r="S106" s="66"/>
      <c r="T106" s="66"/>
      <c r="U106" s="208"/>
      <c r="V106" s="208"/>
      <c r="W106" s="66"/>
      <c r="X106" s="66"/>
      <c r="Y106" s="66"/>
      <c r="Z106" s="208"/>
      <c r="AA106" s="66"/>
      <c r="AB106" s="66"/>
    </row>
    <row r="107" spans="1:29">
      <c r="A107" s="66"/>
      <c r="B107" s="66"/>
      <c r="C107" s="92" t="s">
        <v>1299</v>
      </c>
      <c r="D107" s="92"/>
      <c r="E107" s="172"/>
      <c r="F107" s="172"/>
      <c r="G107" s="172"/>
      <c r="H107" s="92" t="s">
        <v>773</v>
      </c>
      <c r="I107" s="66"/>
      <c r="J107" s="184"/>
      <c r="K107" s="172"/>
      <c r="L107" s="183" t="s">
        <v>801</v>
      </c>
      <c r="M107" s="66"/>
      <c r="N107" s="66"/>
      <c r="O107" s="66"/>
      <c r="P107" s="66"/>
      <c r="Q107" s="66"/>
      <c r="R107" s="66"/>
      <c r="S107" s="66"/>
      <c r="T107" s="66"/>
      <c r="U107" s="208"/>
      <c r="V107" s="208">
        <v>4051</v>
      </c>
      <c r="W107" s="66"/>
      <c r="X107" s="66"/>
      <c r="Y107" s="66"/>
      <c r="Z107" s="208">
        <f>+V107*12</f>
        <v>48612</v>
      </c>
      <c r="AA107" s="66"/>
      <c r="AB107" s="66"/>
    </row>
    <row r="108" spans="1:29">
      <c r="A108" s="66"/>
      <c r="B108" s="66"/>
      <c r="C108" s="92"/>
      <c r="D108" s="92"/>
      <c r="E108" s="172"/>
      <c r="F108" s="172"/>
      <c r="G108" s="172"/>
      <c r="H108" s="92"/>
      <c r="I108" s="66"/>
      <c r="J108" s="184"/>
      <c r="K108" s="172"/>
      <c r="L108" s="183"/>
      <c r="M108" s="66"/>
      <c r="N108" s="66"/>
      <c r="O108" s="66"/>
      <c r="P108" s="66"/>
      <c r="Q108" s="66"/>
      <c r="R108" s="66"/>
      <c r="S108" s="66"/>
      <c r="T108" s="66"/>
      <c r="U108" s="208"/>
      <c r="V108" s="208"/>
      <c r="W108" s="66"/>
      <c r="X108" s="66"/>
      <c r="Y108" s="66"/>
      <c r="Z108" s="208"/>
      <c r="AA108" s="66"/>
      <c r="AB108" s="66"/>
    </row>
    <row r="109" spans="1:29">
      <c r="A109" s="66"/>
      <c r="B109" s="66"/>
      <c r="C109" s="92"/>
      <c r="D109" s="92"/>
      <c r="E109" s="172"/>
      <c r="F109" s="172"/>
      <c r="G109" s="172"/>
      <c r="H109" s="92"/>
      <c r="I109" s="66"/>
      <c r="J109" s="92"/>
      <c r="K109" s="172"/>
      <c r="L109" s="183"/>
      <c r="M109" s="66"/>
      <c r="N109" s="66"/>
      <c r="O109" s="66"/>
      <c r="P109" s="66"/>
      <c r="Q109" s="66"/>
      <c r="R109" s="66"/>
      <c r="S109" s="66"/>
      <c r="T109" s="66"/>
      <c r="U109" s="208"/>
      <c r="V109" s="208"/>
      <c r="W109" s="66"/>
      <c r="X109" s="66"/>
      <c r="Y109" s="66"/>
      <c r="Z109" s="208"/>
      <c r="AA109" s="66"/>
      <c r="AB109" s="66"/>
    </row>
    <row r="110" spans="1:29">
      <c r="A110" s="66"/>
      <c r="B110" s="66"/>
      <c r="C110" s="92" t="s">
        <v>1300</v>
      </c>
      <c r="D110" s="92"/>
      <c r="E110" s="172"/>
      <c r="F110" s="172"/>
      <c r="G110" s="172"/>
      <c r="H110" s="92" t="s">
        <v>809</v>
      </c>
      <c r="I110" s="66"/>
      <c r="J110" s="184"/>
      <c r="K110" s="172"/>
      <c r="L110" s="183" t="s">
        <v>801</v>
      </c>
      <c r="M110" s="66"/>
      <c r="N110" s="66"/>
      <c r="O110" s="66"/>
      <c r="P110" s="66"/>
      <c r="Q110" s="66"/>
      <c r="R110" s="66"/>
      <c r="S110" s="66"/>
      <c r="T110" s="66"/>
      <c r="U110" s="208"/>
      <c r="V110" s="208">
        <v>6207</v>
      </c>
      <c r="W110" s="66"/>
      <c r="X110" s="66"/>
      <c r="Y110" s="66"/>
      <c r="Z110" s="208">
        <f>+V110*12</f>
        <v>74484</v>
      </c>
      <c r="AA110" s="66"/>
      <c r="AB110" s="66"/>
    </row>
    <row r="111" spans="1:29">
      <c r="A111" s="66"/>
      <c r="B111" s="66"/>
      <c r="C111" s="92"/>
      <c r="D111" s="92"/>
      <c r="E111" s="92"/>
      <c r="F111" s="172"/>
      <c r="G111" s="172"/>
      <c r="H111" s="172"/>
      <c r="I111" s="172"/>
      <c r="J111" s="92"/>
      <c r="K111" s="172"/>
      <c r="L111" s="183"/>
      <c r="M111" s="66"/>
      <c r="N111" s="66"/>
      <c r="O111" s="66"/>
      <c r="P111" s="66"/>
      <c r="Q111" s="66"/>
      <c r="R111" s="66"/>
      <c r="S111" s="66"/>
      <c r="T111" s="66"/>
      <c r="U111" s="208"/>
      <c r="V111" s="208"/>
      <c r="W111" s="66"/>
      <c r="X111" s="66"/>
      <c r="Y111" s="66"/>
      <c r="Z111" s="208"/>
      <c r="AA111" s="66"/>
      <c r="AB111" s="66"/>
    </row>
    <row r="112" spans="1:29">
      <c r="A112" s="66"/>
      <c r="B112" s="66"/>
      <c r="C112" s="92" t="s">
        <v>810</v>
      </c>
      <c r="D112" s="92"/>
      <c r="E112" s="92"/>
      <c r="F112" s="172"/>
      <c r="G112" s="172"/>
      <c r="H112" s="172"/>
      <c r="I112" s="172"/>
      <c r="J112" s="184"/>
      <c r="K112" s="172"/>
      <c r="L112" s="183" t="s">
        <v>811</v>
      </c>
      <c r="M112" s="66"/>
      <c r="N112" s="66"/>
      <c r="O112" s="66"/>
      <c r="P112" s="66"/>
      <c r="Q112" s="66"/>
      <c r="R112" s="66"/>
      <c r="S112" s="66"/>
      <c r="T112" s="66"/>
      <c r="U112" s="208"/>
      <c r="V112" s="208">
        <v>585.46</v>
      </c>
      <c r="W112" s="66"/>
      <c r="X112" s="66"/>
      <c r="Y112" s="66"/>
      <c r="Z112" s="221">
        <f>+V112*12</f>
        <v>7025.52</v>
      </c>
      <c r="AA112" s="66"/>
      <c r="AB112" s="66"/>
    </row>
    <row r="113" spans="1:28">
      <c r="A113" s="66"/>
      <c r="B113" s="66"/>
      <c r="C113" s="92"/>
      <c r="D113" s="92"/>
      <c r="E113" s="92"/>
      <c r="F113" s="92"/>
      <c r="G113" s="92"/>
      <c r="H113" s="92"/>
      <c r="I113" s="92"/>
      <c r="J113" s="185"/>
      <c r="K113" s="185"/>
      <c r="L113" s="185"/>
      <c r="M113" s="66"/>
      <c r="N113" s="66"/>
      <c r="O113" s="66"/>
      <c r="P113" s="66"/>
      <c r="Q113" s="66"/>
      <c r="R113" s="66"/>
      <c r="S113" s="66"/>
      <c r="T113" s="208"/>
      <c r="U113" s="208"/>
      <c r="V113" s="208"/>
      <c r="W113" s="66"/>
      <c r="X113" s="66"/>
      <c r="Y113" s="66"/>
      <c r="Z113" s="208">
        <f>SUM(Z103:Z112)</f>
        <v>306461.52</v>
      </c>
      <c r="AA113" s="66"/>
      <c r="AB113" s="66"/>
    </row>
    <row r="114" spans="1:28" ht="15.75">
      <c r="A114" s="66"/>
      <c r="B114" s="66"/>
      <c r="C114" s="66"/>
      <c r="D114" s="66"/>
      <c r="E114" s="66"/>
      <c r="F114" s="66"/>
      <c r="G114" s="66"/>
      <c r="H114" s="66"/>
      <c r="I114" s="66"/>
      <c r="J114" s="66"/>
      <c r="K114" s="66"/>
      <c r="L114" s="66"/>
      <c r="M114" s="66"/>
      <c r="N114" s="66"/>
      <c r="O114" s="66"/>
      <c r="P114" s="66"/>
      <c r="Q114" s="66"/>
      <c r="R114" s="66"/>
      <c r="S114" s="66"/>
      <c r="T114" s="208"/>
      <c r="U114" s="208"/>
      <c r="V114" s="208"/>
      <c r="W114" s="66"/>
      <c r="X114" s="66"/>
      <c r="Y114" s="66"/>
      <c r="Z114" s="272"/>
      <c r="AA114" s="66"/>
      <c r="AB114" s="66"/>
    </row>
    <row r="115" spans="1:28">
      <c r="A115" s="66"/>
      <c r="B115" s="66"/>
      <c r="C115" s="66"/>
      <c r="D115" s="66"/>
      <c r="E115" s="66"/>
      <c r="F115" s="66"/>
      <c r="G115" s="66"/>
      <c r="H115" s="66"/>
      <c r="I115" s="66"/>
      <c r="J115" s="66"/>
      <c r="K115" s="66"/>
      <c r="L115" s="66"/>
      <c r="M115" s="66"/>
      <c r="N115" s="66"/>
      <c r="O115" s="66"/>
      <c r="P115" s="66"/>
      <c r="Q115" s="66"/>
      <c r="R115" s="66"/>
      <c r="S115" s="66"/>
      <c r="T115" s="208" t="s">
        <v>949</v>
      </c>
      <c r="U115" s="208"/>
      <c r="V115" s="208"/>
      <c r="W115" s="66"/>
      <c r="X115" s="66"/>
      <c r="Y115" s="66"/>
      <c r="Z115" s="208">
        <f>+Z113-Z98</f>
        <v>50508.000000000029</v>
      </c>
      <c r="AA115" s="66"/>
      <c r="AB115" s="66"/>
    </row>
    <row r="116" spans="1:28" ht="15.75">
      <c r="A116" s="66"/>
      <c r="B116" s="66"/>
      <c r="C116" s="66"/>
      <c r="D116" s="66"/>
      <c r="E116" s="66"/>
      <c r="F116" s="66"/>
      <c r="G116" s="66"/>
      <c r="H116" s="66"/>
      <c r="I116" s="66"/>
      <c r="J116" s="66"/>
      <c r="K116" s="66"/>
      <c r="L116" s="66"/>
      <c r="M116" s="66"/>
      <c r="N116" s="66"/>
      <c r="O116" s="66"/>
      <c r="P116" s="66"/>
      <c r="Q116" s="66"/>
      <c r="R116" s="66"/>
      <c r="S116" s="66"/>
      <c r="T116" s="208"/>
      <c r="U116" s="208"/>
      <c r="V116" s="208"/>
      <c r="W116" s="66"/>
      <c r="X116" s="66"/>
      <c r="Y116" s="66"/>
      <c r="Z116" s="272"/>
      <c r="AA116" s="66"/>
      <c r="AB116" s="66"/>
    </row>
    <row r="117" spans="1:28" ht="15.75">
      <c r="A117" s="66"/>
      <c r="B117" s="66"/>
      <c r="C117" s="66"/>
      <c r="D117" s="66"/>
      <c r="E117" s="66"/>
      <c r="F117" s="66"/>
      <c r="G117" s="66"/>
      <c r="H117" s="66"/>
      <c r="I117" s="66"/>
      <c r="J117" s="66"/>
      <c r="K117" s="66"/>
      <c r="L117" s="66"/>
      <c r="M117" s="66"/>
      <c r="N117" s="66"/>
      <c r="O117" s="66"/>
      <c r="P117" s="66"/>
      <c r="Q117" s="66"/>
      <c r="R117" s="66"/>
      <c r="S117" s="66"/>
      <c r="T117" s="208"/>
      <c r="U117" s="208"/>
      <c r="V117" s="208"/>
      <c r="W117" s="66"/>
      <c r="X117" s="66"/>
      <c r="Y117" s="66"/>
      <c r="Z117" s="272"/>
      <c r="AA117" s="66"/>
      <c r="AB117" s="66"/>
    </row>
    <row r="118" spans="1:28" ht="15.75">
      <c r="A118" s="66"/>
      <c r="B118" s="66"/>
      <c r="C118" s="66"/>
      <c r="D118" s="66"/>
      <c r="E118" s="66"/>
      <c r="F118" s="66"/>
      <c r="G118" s="66"/>
      <c r="H118" s="66"/>
      <c r="I118" s="66"/>
      <c r="J118" s="66"/>
      <c r="K118" s="66"/>
      <c r="L118" s="66"/>
      <c r="M118" s="66"/>
      <c r="N118" s="66"/>
      <c r="O118" s="66"/>
      <c r="P118" s="66"/>
      <c r="Q118" s="66"/>
      <c r="R118" s="66"/>
      <c r="S118" s="66"/>
      <c r="T118" s="208"/>
      <c r="U118" s="208"/>
      <c r="V118" s="208"/>
      <c r="W118" s="66"/>
      <c r="X118" s="66"/>
      <c r="Y118" s="66"/>
      <c r="Z118" s="272"/>
      <c r="AA118" s="66"/>
      <c r="AB118" s="66"/>
    </row>
    <row r="119" spans="1:28" ht="15.75">
      <c r="A119" s="66"/>
      <c r="B119" s="66"/>
      <c r="C119" s="66"/>
      <c r="D119" s="66"/>
      <c r="E119" s="66"/>
      <c r="F119" s="66"/>
      <c r="G119" s="66"/>
      <c r="H119" s="66"/>
      <c r="I119" s="66"/>
      <c r="J119" s="66"/>
      <c r="K119" s="66"/>
      <c r="L119" s="66"/>
      <c r="M119" s="66"/>
      <c r="N119" s="66"/>
      <c r="O119" s="66"/>
      <c r="P119" s="66"/>
      <c r="Q119" s="66"/>
      <c r="R119" s="66"/>
      <c r="S119" s="66"/>
      <c r="T119" s="208"/>
      <c r="U119" s="208"/>
      <c r="V119" s="208"/>
      <c r="W119" s="66"/>
      <c r="X119" s="66"/>
      <c r="Y119" s="66"/>
      <c r="Z119" s="272"/>
      <c r="AA119" s="66"/>
      <c r="AB119" s="66"/>
    </row>
    <row r="120" spans="1:28" ht="15.75">
      <c r="A120" s="66"/>
      <c r="B120" s="66"/>
      <c r="C120" s="66"/>
      <c r="D120" s="66"/>
      <c r="E120" s="66"/>
      <c r="F120" s="66"/>
      <c r="G120" s="66"/>
      <c r="H120" s="66"/>
      <c r="I120" s="66"/>
      <c r="J120" s="66"/>
      <c r="K120" s="66"/>
      <c r="L120" s="66"/>
      <c r="M120" s="66"/>
      <c r="N120" s="66"/>
      <c r="O120" s="66"/>
      <c r="P120" s="66"/>
      <c r="Q120" s="66"/>
      <c r="R120" s="66"/>
      <c r="S120" s="66"/>
      <c r="T120" s="208"/>
      <c r="U120" s="208"/>
      <c r="V120" s="208"/>
      <c r="W120" s="66"/>
      <c r="X120" s="66"/>
      <c r="Y120" s="66"/>
      <c r="Z120" s="272"/>
      <c r="AA120" s="66"/>
      <c r="AB120" s="66"/>
    </row>
    <row r="121" spans="1:28" ht="15.75">
      <c r="A121" s="66"/>
      <c r="B121" s="66"/>
      <c r="C121" s="66"/>
      <c r="D121" s="66"/>
      <c r="E121" s="66"/>
      <c r="F121" s="66"/>
      <c r="G121" s="66"/>
      <c r="H121" s="66"/>
      <c r="I121" s="66"/>
      <c r="J121" s="66"/>
      <c r="K121" s="66"/>
      <c r="L121" s="66"/>
      <c r="M121" s="66"/>
      <c r="N121" s="66"/>
      <c r="O121" s="66"/>
      <c r="P121" s="66"/>
      <c r="Q121" s="66"/>
      <c r="R121" s="66"/>
      <c r="S121" s="66"/>
      <c r="T121" s="208"/>
      <c r="U121" s="208"/>
      <c r="V121" s="208"/>
      <c r="W121" s="66"/>
      <c r="X121" s="66"/>
      <c r="Y121" s="66"/>
      <c r="Z121" s="272"/>
      <c r="AA121" s="66"/>
      <c r="AB121" s="66"/>
    </row>
    <row r="122" spans="1:28" ht="15.75">
      <c r="A122" s="66"/>
      <c r="B122" s="66"/>
      <c r="C122" s="66"/>
      <c r="D122" s="66"/>
      <c r="E122" s="66"/>
      <c r="F122" s="66"/>
      <c r="G122" s="66"/>
      <c r="H122" s="66"/>
      <c r="I122" s="66"/>
      <c r="J122" s="66"/>
      <c r="K122" s="66"/>
      <c r="L122" s="66"/>
      <c r="M122" s="66"/>
      <c r="N122" s="66"/>
      <c r="O122" s="66"/>
      <c r="P122" s="66"/>
      <c r="Q122" s="66"/>
      <c r="R122" s="66"/>
      <c r="S122" s="66"/>
      <c r="T122" s="208"/>
      <c r="U122" s="208"/>
      <c r="V122" s="208"/>
      <c r="W122" s="66"/>
      <c r="X122" s="66"/>
      <c r="Y122" s="66"/>
      <c r="Z122" s="272"/>
      <c r="AA122" s="66"/>
      <c r="AB122" s="66"/>
    </row>
    <row r="123" spans="1:28" ht="15.75">
      <c r="A123" s="66"/>
      <c r="B123" s="66"/>
      <c r="C123" s="66"/>
      <c r="D123" s="66"/>
      <c r="E123" s="66"/>
      <c r="F123" s="66"/>
      <c r="G123" s="66"/>
      <c r="H123" s="66"/>
      <c r="I123" s="66"/>
      <c r="J123" s="66"/>
      <c r="K123" s="66"/>
      <c r="L123" s="66"/>
      <c r="M123" s="66"/>
      <c r="N123" s="66"/>
      <c r="O123" s="66"/>
      <c r="P123" s="66"/>
      <c r="Q123" s="66"/>
      <c r="R123" s="66"/>
      <c r="S123" s="66"/>
      <c r="T123" s="208"/>
      <c r="U123" s="208"/>
      <c r="V123" s="208"/>
      <c r="W123" s="66"/>
      <c r="X123" s="66"/>
      <c r="Y123" s="66"/>
      <c r="Z123" s="272"/>
      <c r="AA123" s="66"/>
      <c r="AB123" s="66"/>
    </row>
    <row r="124" spans="1:28" ht="15.75">
      <c r="A124" s="66"/>
      <c r="B124" s="66"/>
      <c r="C124" s="66"/>
      <c r="D124" s="66"/>
      <c r="E124" s="66"/>
      <c r="F124" s="66"/>
      <c r="G124" s="66"/>
      <c r="H124" s="66"/>
      <c r="I124" s="66"/>
      <c r="J124" s="66"/>
      <c r="K124" s="66"/>
      <c r="L124" s="66"/>
      <c r="M124" s="66"/>
      <c r="N124" s="66"/>
      <c r="O124" s="66"/>
      <c r="P124" s="66"/>
      <c r="Q124" s="66"/>
      <c r="R124" s="66"/>
      <c r="S124" s="66"/>
      <c r="T124" s="208"/>
      <c r="U124" s="208"/>
      <c r="V124" s="208"/>
      <c r="W124" s="66"/>
      <c r="X124" s="66"/>
      <c r="Y124" s="66"/>
      <c r="Z124" s="272"/>
      <c r="AA124" s="66"/>
      <c r="AB124" s="66"/>
    </row>
    <row r="125" spans="1:28" ht="15.75">
      <c r="A125" s="66"/>
      <c r="B125" s="66"/>
      <c r="C125" s="66"/>
      <c r="D125" s="66"/>
      <c r="E125" s="66"/>
      <c r="F125" s="66"/>
      <c r="G125" s="66"/>
      <c r="H125" s="66"/>
      <c r="I125" s="66"/>
      <c r="J125" s="66"/>
      <c r="K125" s="66"/>
      <c r="L125" s="66"/>
      <c r="M125" s="66"/>
      <c r="N125" s="66"/>
      <c r="O125" s="66"/>
      <c r="P125" s="66"/>
      <c r="Q125" s="66"/>
      <c r="R125" s="66"/>
      <c r="S125" s="66"/>
      <c r="T125" s="208"/>
      <c r="U125" s="208"/>
      <c r="V125" s="208"/>
      <c r="W125" s="66"/>
      <c r="X125" s="66"/>
      <c r="Y125" s="66"/>
      <c r="Z125" s="272"/>
      <c r="AA125" s="66"/>
      <c r="AB125" s="66"/>
    </row>
    <row r="126" spans="1:28" ht="15.75">
      <c r="A126" s="66"/>
      <c r="B126" s="66"/>
      <c r="C126" s="66"/>
      <c r="D126" s="66"/>
      <c r="E126" s="66"/>
      <c r="F126" s="66"/>
      <c r="G126" s="66"/>
      <c r="H126" s="66"/>
      <c r="I126" s="66"/>
      <c r="J126" s="66"/>
      <c r="K126" s="66"/>
      <c r="L126" s="66"/>
      <c r="M126" s="66"/>
      <c r="N126" s="66"/>
      <c r="O126" s="66"/>
      <c r="P126" s="66"/>
      <c r="Q126" s="66"/>
      <c r="R126" s="66"/>
      <c r="S126" s="66"/>
      <c r="T126" s="208"/>
      <c r="U126" s="208"/>
      <c r="V126" s="208"/>
      <c r="W126" s="66"/>
      <c r="X126" s="66"/>
      <c r="Y126" s="66"/>
      <c r="Z126" s="272"/>
      <c r="AA126" s="66"/>
      <c r="AB126" s="66"/>
    </row>
    <row r="127" spans="1:28" ht="15.75">
      <c r="A127" s="66"/>
      <c r="B127" s="66"/>
      <c r="C127" s="66"/>
      <c r="D127" s="66"/>
      <c r="E127" s="66"/>
      <c r="F127" s="66"/>
      <c r="G127" s="66"/>
      <c r="H127" s="66"/>
      <c r="I127" s="66"/>
      <c r="J127" s="66"/>
      <c r="K127" s="66"/>
      <c r="L127" s="66"/>
      <c r="M127" s="66"/>
      <c r="N127" s="66"/>
      <c r="O127" s="66"/>
      <c r="P127" s="66"/>
      <c r="Q127" s="66"/>
      <c r="R127" s="66"/>
      <c r="S127" s="66"/>
      <c r="T127" s="208"/>
      <c r="U127" s="208"/>
      <c r="V127" s="208"/>
      <c r="W127" s="66"/>
      <c r="X127" s="66"/>
      <c r="Y127" s="66"/>
      <c r="Z127" s="272"/>
      <c r="AA127" s="66"/>
      <c r="AB127" s="66"/>
    </row>
    <row r="128" spans="1:28" ht="15.7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272"/>
      <c r="AA128" s="66"/>
      <c r="AB128" s="66"/>
    </row>
    <row r="129" spans="1:28" ht="15.7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272"/>
      <c r="AA129" s="66"/>
      <c r="AB129" s="66"/>
    </row>
    <row r="130" spans="1:28" ht="15.7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272"/>
      <c r="AA130" s="66"/>
      <c r="AB130" s="66"/>
    </row>
    <row r="131" spans="1:28" ht="15.7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272"/>
      <c r="AA131" s="66"/>
      <c r="AB131" s="66"/>
    </row>
    <row r="132" spans="1:28" ht="15.7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272"/>
      <c r="AA132" s="66"/>
      <c r="AB132" s="66"/>
    </row>
    <row r="133" spans="1:28" ht="15.7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272"/>
      <c r="AA133" s="66"/>
      <c r="AB133" s="66"/>
    </row>
    <row r="134" spans="1:28" ht="15.7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272"/>
      <c r="AA134" s="66"/>
      <c r="AB134" s="66"/>
    </row>
    <row r="135" spans="1:28" ht="15.7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272"/>
      <c r="AA135" s="66"/>
      <c r="AB135" s="66"/>
    </row>
    <row r="136" spans="1:28" ht="15.7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272"/>
      <c r="AA136" s="66"/>
      <c r="AB136" s="66"/>
    </row>
    <row r="137" spans="1:28" ht="15.7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272"/>
      <c r="AA137" s="66"/>
      <c r="AB137" s="66"/>
    </row>
    <row r="138" spans="1:28" ht="15.7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272"/>
      <c r="AA138" s="66"/>
      <c r="AB138" s="66"/>
    </row>
    <row r="139" spans="1:28" ht="15.7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272"/>
      <c r="AA139" s="66"/>
      <c r="AB139" s="66"/>
    </row>
    <row r="140" spans="1:28" ht="15.7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272"/>
      <c r="AA140" s="66"/>
      <c r="AB140" s="66"/>
    </row>
    <row r="141" spans="1:28" ht="15.7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272"/>
      <c r="AA141" s="66"/>
      <c r="AB141" s="66"/>
    </row>
    <row r="142" spans="1:28" ht="15.7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272"/>
      <c r="AA142" s="66"/>
      <c r="AB142" s="66"/>
    </row>
    <row r="143" spans="1:28" ht="15.7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272"/>
      <c r="AA143" s="66"/>
      <c r="AB143" s="66"/>
    </row>
    <row r="144" spans="1:28" ht="15.7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272"/>
      <c r="AA144" s="66"/>
      <c r="AB144" s="66"/>
    </row>
    <row r="145" spans="1:28" ht="15.7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272"/>
      <c r="AA145" s="66"/>
      <c r="AB145" s="66"/>
    </row>
    <row r="146" spans="1:28">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row>
    <row r="147" spans="1:28">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row>
    <row r="148" spans="1:28">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row>
    <row r="149" spans="1:28">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405F-1586-4C3D-A919-22ED8F34733B}">
  <sheetPr codeName="Sheet26"/>
  <dimension ref="A1:AK62"/>
  <sheetViews>
    <sheetView topLeftCell="A28" workbookViewId="0">
      <selection activeCell="Y44" sqref="Y44"/>
    </sheetView>
  </sheetViews>
  <sheetFormatPr defaultRowHeight="15"/>
  <cols>
    <col min="1" max="2" width="2.33203125" customWidth="1"/>
    <col min="3" max="3" width="5.6640625" customWidth="1"/>
    <col min="4" max="5" width="1.77734375" customWidth="1"/>
    <col min="6" max="6" width="11.109375" bestFit="1" customWidth="1"/>
    <col min="7" max="7" width="1.77734375" customWidth="1"/>
    <col min="8" max="8" width="8.21875" bestFit="1" customWidth="1"/>
    <col min="9" max="9" width="1.77734375" customWidth="1"/>
    <col min="10" max="10" width="7.88671875" bestFit="1" customWidth="1"/>
    <col min="11" max="11" width="1.77734375" customWidth="1"/>
    <col min="12" max="12" width="25.77734375" bestFit="1" customWidth="1"/>
    <col min="13" max="13" width="1.77734375" customWidth="1"/>
    <col min="14" max="14" width="21.44140625" bestFit="1" customWidth="1"/>
    <col min="15" max="15" width="1.77734375" customWidth="1"/>
    <col min="16" max="19" width="0" hidden="1" customWidth="1"/>
    <col min="20" max="20" width="18" bestFit="1" customWidth="1"/>
    <col min="21" max="21" width="1.77734375" customWidth="1"/>
    <col min="22" max="22" width="10.6640625" bestFit="1" customWidth="1"/>
    <col min="23" max="23" width="1.77734375" customWidth="1"/>
    <col min="24" max="24" width="8.21875" bestFit="1" customWidth="1"/>
    <col min="25" max="25" width="1.77734375" customWidth="1"/>
    <col min="26" max="26" width="9.109375" bestFit="1" customWidth="1"/>
  </cols>
  <sheetData>
    <row r="1" spans="1:37" ht="16.5" thickBot="1">
      <c r="A1" s="374"/>
      <c r="B1" s="374"/>
      <c r="C1" s="374"/>
      <c r="D1" s="374"/>
      <c r="E1" s="374"/>
      <c r="F1" s="194" t="s">
        <v>45</v>
      </c>
      <c r="G1" s="374"/>
      <c r="H1" s="194" t="s">
        <v>762</v>
      </c>
      <c r="I1" s="374"/>
      <c r="J1" s="194" t="s">
        <v>763</v>
      </c>
      <c r="K1" s="374"/>
      <c r="L1" s="194" t="s">
        <v>764</v>
      </c>
      <c r="M1" s="374"/>
      <c r="N1" s="194" t="s">
        <v>765</v>
      </c>
      <c r="O1" s="374"/>
      <c r="P1" s="194" t="s">
        <v>766</v>
      </c>
      <c r="Q1" s="374"/>
      <c r="R1" s="194" t="s">
        <v>767</v>
      </c>
      <c r="S1" s="374"/>
      <c r="T1" s="194" t="s">
        <v>768</v>
      </c>
      <c r="U1" s="374"/>
      <c r="V1" s="194" t="s">
        <v>769</v>
      </c>
      <c r="W1" s="374"/>
      <c r="X1" s="194" t="s">
        <v>770</v>
      </c>
      <c r="Y1" s="374"/>
      <c r="Z1" s="194" t="s">
        <v>771</v>
      </c>
      <c r="AA1" s="375"/>
      <c r="AB1" s="290"/>
      <c r="AC1" s="290"/>
      <c r="AD1" s="68"/>
      <c r="AE1" s="68"/>
      <c r="AF1" s="68"/>
      <c r="AG1" s="68"/>
      <c r="AH1" s="68"/>
      <c r="AI1" s="68"/>
      <c r="AJ1" s="68"/>
      <c r="AK1" s="68"/>
    </row>
    <row r="2" spans="1:37" ht="16.5" thickTop="1">
      <c r="A2" s="195"/>
      <c r="B2" s="195" t="s">
        <v>355</v>
      </c>
      <c r="C2" s="195"/>
      <c r="D2" s="195"/>
      <c r="E2" s="195"/>
      <c r="F2" s="195"/>
      <c r="G2" s="195"/>
      <c r="H2" s="196"/>
      <c r="I2" s="195"/>
      <c r="J2" s="195"/>
      <c r="K2" s="195"/>
      <c r="L2" s="195"/>
      <c r="M2" s="195"/>
      <c r="N2" s="195"/>
      <c r="O2" s="195"/>
      <c r="P2" s="195"/>
      <c r="Q2" s="195"/>
      <c r="R2" s="195"/>
      <c r="S2" s="195"/>
      <c r="T2" s="195"/>
      <c r="U2" s="195"/>
      <c r="V2" s="197"/>
      <c r="W2" s="195"/>
      <c r="X2" s="197"/>
      <c r="Y2" s="195"/>
      <c r="Z2" s="197"/>
      <c r="AA2" s="205"/>
      <c r="AB2" s="290"/>
      <c r="AC2" s="290"/>
      <c r="AD2" s="68"/>
      <c r="AE2" s="68"/>
      <c r="AF2" s="68"/>
      <c r="AG2" s="68"/>
      <c r="AH2" s="68"/>
      <c r="AI2" s="68"/>
      <c r="AJ2" s="68"/>
      <c r="AK2" s="68"/>
    </row>
    <row r="3" spans="1:37" ht="15.75">
      <c r="A3" s="195"/>
      <c r="B3" s="195"/>
      <c r="C3" s="195" t="s">
        <v>367</v>
      </c>
      <c r="D3" s="195"/>
      <c r="E3" s="195"/>
      <c r="F3" s="195"/>
      <c r="G3" s="195"/>
      <c r="H3" s="196"/>
      <c r="I3" s="195"/>
      <c r="J3" s="195"/>
      <c r="K3" s="195"/>
      <c r="L3" s="195"/>
      <c r="M3" s="195"/>
      <c r="N3" s="195"/>
      <c r="O3" s="195"/>
      <c r="P3" s="195"/>
      <c r="Q3" s="195"/>
      <c r="R3" s="195"/>
      <c r="S3" s="195"/>
      <c r="T3" s="195"/>
      <c r="U3" s="195"/>
      <c r="V3" s="197"/>
      <c r="W3" s="195"/>
      <c r="X3" s="197"/>
      <c r="Y3" s="195"/>
      <c r="Z3" s="197"/>
      <c r="AA3" s="205"/>
      <c r="AB3" s="290"/>
      <c r="AC3" s="290"/>
      <c r="AD3" s="68"/>
      <c r="AE3" s="68"/>
      <c r="AF3" s="68"/>
      <c r="AG3" s="68"/>
      <c r="AH3" s="68"/>
      <c r="AI3" s="68"/>
      <c r="AJ3" s="68"/>
      <c r="AK3" s="68"/>
    </row>
    <row r="4" spans="1:37" ht="15.75">
      <c r="A4" s="198"/>
      <c r="B4" s="198"/>
      <c r="C4" s="198"/>
      <c r="D4" s="198"/>
      <c r="E4" s="198"/>
      <c r="F4" s="198" t="s">
        <v>772</v>
      </c>
      <c r="G4" s="198"/>
      <c r="H4" s="199">
        <v>44200</v>
      </c>
      <c r="I4" s="198"/>
      <c r="J4" s="198" t="s">
        <v>814</v>
      </c>
      <c r="K4" s="198"/>
      <c r="L4" s="198" t="s">
        <v>815</v>
      </c>
      <c r="M4" s="198"/>
      <c r="N4" s="198"/>
      <c r="O4" s="198"/>
      <c r="P4" s="198" t="s">
        <v>675</v>
      </c>
      <c r="Q4" s="198"/>
      <c r="R4" s="200"/>
      <c r="S4" s="198"/>
      <c r="T4" s="198" t="s">
        <v>775</v>
      </c>
      <c r="U4" s="198"/>
      <c r="V4" s="201">
        <v>81.599999999999994</v>
      </c>
      <c r="W4" s="198"/>
      <c r="X4" s="201"/>
      <c r="Y4" s="198"/>
      <c r="Z4" s="201">
        <v>27089.599999999999</v>
      </c>
      <c r="AA4" s="205"/>
      <c r="AB4" s="290"/>
      <c r="AC4" s="290"/>
      <c r="AD4" s="68"/>
      <c r="AE4" s="68"/>
      <c r="AF4" s="68"/>
      <c r="AG4" s="68"/>
      <c r="AH4" s="68"/>
      <c r="AI4" s="68"/>
      <c r="AJ4" s="68"/>
      <c r="AK4" s="68"/>
    </row>
    <row r="5" spans="1:37" ht="15.75">
      <c r="A5" s="198"/>
      <c r="B5" s="198"/>
      <c r="C5" s="198"/>
      <c r="D5" s="198"/>
      <c r="E5" s="198"/>
      <c r="F5" s="198" t="s">
        <v>772</v>
      </c>
      <c r="G5" s="198"/>
      <c r="H5" s="199">
        <v>44200</v>
      </c>
      <c r="I5" s="198"/>
      <c r="J5" s="198" t="s">
        <v>814</v>
      </c>
      <c r="K5" s="198"/>
      <c r="L5" s="198" t="s">
        <v>815</v>
      </c>
      <c r="M5" s="198"/>
      <c r="N5" s="198"/>
      <c r="O5" s="198"/>
      <c r="P5" s="198" t="s">
        <v>519</v>
      </c>
      <c r="Q5" s="198"/>
      <c r="R5" s="200"/>
      <c r="S5" s="198"/>
      <c r="T5" s="198" t="s">
        <v>775</v>
      </c>
      <c r="U5" s="198"/>
      <c r="V5" s="201">
        <v>598.4</v>
      </c>
      <c r="W5" s="198"/>
      <c r="X5" s="201"/>
      <c r="Y5" s="198"/>
      <c r="Z5" s="201">
        <v>27688</v>
      </c>
      <c r="AA5" s="205"/>
      <c r="AB5" s="290"/>
      <c r="AC5" s="290"/>
      <c r="AD5" s="68"/>
      <c r="AE5" s="68"/>
      <c r="AF5" s="68"/>
      <c r="AG5" s="68"/>
      <c r="AH5" s="68"/>
      <c r="AI5" s="68"/>
      <c r="AJ5" s="68"/>
      <c r="AK5" s="68"/>
    </row>
    <row r="6" spans="1:37" ht="15.75">
      <c r="A6" s="198"/>
      <c r="B6" s="198"/>
      <c r="C6" s="198"/>
      <c r="D6" s="198"/>
      <c r="E6" s="198"/>
      <c r="F6" s="198" t="s">
        <v>772</v>
      </c>
      <c r="G6" s="198"/>
      <c r="H6" s="199">
        <v>44105</v>
      </c>
      <c r="I6" s="198"/>
      <c r="J6" s="198" t="s">
        <v>816</v>
      </c>
      <c r="K6" s="198"/>
      <c r="L6" s="198" t="s">
        <v>817</v>
      </c>
      <c r="M6" s="198"/>
      <c r="N6" s="198" t="s">
        <v>818</v>
      </c>
      <c r="O6" s="198"/>
      <c r="P6" s="198" t="s">
        <v>675</v>
      </c>
      <c r="Q6" s="198"/>
      <c r="R6" s="200"/>
      <c r="S6" s="198"/>
      <c r="T6" s="198" t="s">
        <v>775</v>
      </c>
      <c r="U6" s="198"/>
      <c r="V6" s="201">
        <v>72</v>
      </c>
      <c r="W6" s="198"/>
      <c r="X6" s="201"/>
      <c r="Y6" s="198"/>
      <c r="Z6" s="201">
        <v>18282</v>
      </c>
      <c r="AA6" s="205"/>
      <c r="AB6" s="290"/>
      <c r="AC6" s="290"/>
      <c r="AD6" s="68"/>
      <c r="AE6" s="68"/>
      <c r="AF6" s="68"/>
      <c r="AG6" s="68"/>
      <c r="AH6" s="68"/>
      <c r="AI6" s="68"/>
      <c r="AJ6" s="68"/>
      <c r="AK6" s="68"/>
    </row>
    <row r="7" spans="1:37" ht="15.75">
      <c r="A7" s="198"/>
      <c r="B7" s="198"/>
      <c r="C7" s="198"/>
      <c r="D7" s="198"/>
      <c r="E7" s="198"/>
      <c r="F7" s="198" t="s">
        <v>772</v>
      </c>
      <c r="G7" s="198"/>
      <c r="H7" s="199">
        <v>44105</v>
      </c>
      <c r="I7" s="198"/>
      <c r="J7" s="198" t="s">
        <v>816</v>
      </c>
      <c r="K7" s="198"/>
      <c r="L7" s="198" t="s">
        <v>817</v>
      </c>
      <c r="M7" s="198"/>
      <c r="N7" s="198" t="s">
        <v>818</v>
      </c>
      <c r="O7" s="198"/>
      <c r="P7" s="198" t="s">
        <v>519</v>
      </c>
      <c r="Q7" s="198"/>
      <c r="R7" s="200"/>
      <c r="S7" s="198"/>
      <c r="T7" s="198" t="s">
        <v>775</v>
      </c>
      <c r="U7" s="198"/>
      <c r="V7" s="201">
        <v>528</v>
      </c>
      <c r="W7" s="198"/>
      <c r="X7" s="201"/>
      <c r="Y7" s="198"/>
      <c r="Z7" s="201">
        <v>18810</v>
      </c>
      <c r="AA7" s="205"/>
      <c r="AB7" s="290"/>
      <c r="AC7" s="290"/>
      <c r="AD7" s="68"/>
      <c r="AE7" s="68"/>
      <c r="AF7" s="68"/>
      <c r="AG7" s="68"/>
      <c r="AH7" s="68"/>
      <c r="AI7" s="68"/>
      <c r="AJ7" s="68"/>
      <c r="AK7" s="68"/>
    </row>
    <row r="8" spans="1:37" ht="15.75">
      <c r="A8" s="198"/>
      <c r="B8" s="198"/>
      <c r="C8" s="198"/>
      <c r="D8" s="198"/>
      <c r="E8" s="198"/>
      <c r="F8" s="198" t="s">
        <v>772</v>
      </c>
      <c r="G8" s="198"/>
      <c r="H8" s="199">
        <v>44124</v>
      </c>
      <c r="I8" s="198"/>
      <c r="J8" s="198" t="s">
        <v>814</v>
      </c>
      <c r="K8" s="198"/>
      <c r="L8" s="198" t="s">
        <v>819</v>
      </c>
      <c r="M8" s="198"/>
      <c r="N8" s="198"/>
      <c r="O8" s="198"/>
      <c r="P8" s="198" t="s">
        <v>675</v>
      </c>
      <c r="Q8" s="198"/>
      <c r="R8" s="200"/>
      <c r="S8" s="198"/>
      <c r="T8" s="198" t="s">
        <v>775</v>
      </c>
      <c r="U8" s="198"/>
      <c r="V8" s="201">
        <v>50.16</v>
      </c>
      <c r="W8" s="198"/>
      <c r="X8" s="201"/>
      <c r="Y8" s="198"/>
      <c r="Z8" s="201">
        <v>18860.16</v>
      </c>
      <c r="AA8" s="205"/>
      <c r="AB8" s="290"/>
      <c r="AC8" s="290"/>
      <c r="AD8" s="68"/>
      <c r="AE8" s="68"/>
      <c r="AF8" s="68"/>
      <c r="AG8" s="68"/>
      <c r="AH8" s="68"/>
      <c r="AI8" s="68"/>
      <c r="AJ8" s="68"/>
      <c r="AK8" s="68"/>
    </row>
    <row r="9" spans="1:37" ht="15.75">
      <c r="A9" s="198"/>
      <c r="B9" s="198"/>
      <c r="C9" s="198"/>
      <c r="D9" s="198"/>
      <c r="E9" s="198"/>
      <c r="F9" s="198" t="s">
        <v>772</v>
      </c>
      <c r="G9" s="198"/>
      <c r="H9" s="199">
        <v>44124</v>
      </c>
      <c r="I9" s="198"/>
      <c r="J9" s="198" t="s">
        <v>814</v>
      </c>
      <c r="K9" s="198"/>
      <c r="L9" s="198" t="s">
        <v>819</v>
      </c>
      <c r="M9" s="198"/>
      <c r="N9" s="198"/>
      <c r="O9" s="198"/>
      <c r="P9" s="198" t="s">
        <v>519</v>
      </c>
      <c r="Q9" s="198"/>
      <c r="R9" s="200"/>
      <c r="S9" s="198"/>
      <c r="T9" s="198" t="s">
        <v>775</v>
      </c>
      <c r="U9" s="198"/>
      <c r="V9" s="201">
        <v>367.84</v>
      </c>
      <c r="W9" s="198"/>
      <c r="X9" s="201"/>
      <c r="Y9" s="198"/>
      <c r="Z9" s="201">
        <v>19228</v>
      </c>
      <c r="AA9" s="205"/>
      <c r="AB9" s="290"/>
      <c r="AC9" s="290"/>
      <c r="AD9" s="68"/>
      <c r="AE9" s="68"/>
      <c r="AF9" s="68"/>
      <c r="AG9" s="68"/>
      <c r="AH9" s="68"/>
      <c r="AI9" s="68"/>
      <c r="AJ9" s="68"/>
      <c r="AK9" s="68"/>
    </row>
    <row r="10" spans="1:37" ht="15.75">
      <c r="A10" s="198"/>
      <c r="B10" s="198"/>
      <c r="C10" s="198"/>
      <c r="D10" s="198"/>
      <c r="E10" s="198"/>
      <c r="F10" s="198" t="s">
        <v>772</v>
      </c>
      <c r="G10" s="198"/>
      <c r="H10" s="199">
        <v>43994</v>
      </c>
      <c r="I10" s="198"/>
      <c r="J10" s="198" t="s">
        <v>820</v>
      </c>
      <c r="K10" s="198"/>
      <c r="L10" s="198" t="s">
        <v>821</v>
      </c>
      <c r="M10" s="198"/>
      <c r="N10" s="198"/>
      <c r="O10" s="198"/>
      <c r="P10" s="198" t="s">
        <v>675</v>
      </c>
      <c r="Q10" s="198"/>
      <c r="R10" s="200"/>
      <c r="S10" s="198"/>
      <c r="T10" s="198" t="s">
        <v>775</v>
      </c>
      <c r="U10" s="198"/>
      <c r="V10" s="201">
        <v>60</v>
      </c>
      <c r="W10" s="198"/>
      <c r="X10" s="201"/>
      <c r="Y10" s="198"/>
      <c r="Z10" s="201">
        <v>7650</v>
      </c>
      <c r="AA10" s="205"/>
      <c r="AB10" s="290"/>
      <c r="AC10" s="290"/>
      <c r="AD10" s="68"/>
      <c r="AE10" s="68"/>
      <c r="AF10" s="68"/>
      <c r="AG10" s="68"/>
      <c r="AH10" s="68"/>
      <c r="AI10" s="68"/>
      <c r="AJ10" s="68"/>
      <c r="AK10" s="68"/>
    </row>
    <row r="11" spans="1:37" ht="15.75">
      <c r="A11" s="198"/>
      <c r="B11" s="198"/>
      <c r="C11" s="198"/>
      <c r="D11" s="198"/>
      <c r="E11" s="198"/>
      <c r="F11" s="198" t="s">
        <v>772</v>
      </c>
      <c r="G11" s="198"/>
      <c r="H11" s="199">
        <v>43994</v>
      </c>
      <c r="I11" s="198"/>
      <c r="J11" s="198" t="s">
        <v>820</v>
      </c>
      <c r="K11" s="198"/>
      <c r="L11" s="198" t="s">
        <v>821</v>
      </c>
      <c r="M11" s="198"/>
      <c r="N11" s="198"/>
      <c r="O11" s="198"/>
      <c r="P11" s="198" t="s">
        <v>519</v>
      </c>
      <c r="Q11" s="198"/>
      <c r="R11" s="200"/>
      <c r="S11" s="198"/>
      <c r="T11" s="198" t="s">
        <v>775</v>
      </c>
      <c r="U11" s="198"/>
      <c r="V11" s="201">
        <v>440</v>
      </c>
      <c r="W11" s="198"/>
      <c r="X11" s="201"/>
      <c r="Y11" s="198"/>
      <c r="Z11" s="201">
        <v>8090</v>
      </c>
      <c r="AA11" s="205"/>
      <c r="AB11" s="290"/>
      <c r="AC11" s="290"/>
      <c r="AD11" s="68"/>
      <c r="AE11" s="68"/>
      <c r="AF11" s="68"/>
      <c r="AG11" s="68"/>
      <c r="AH11" s="68"/>
      <c r="AI11" s="68"/>
      <c r="AJ11" s="68"/>
      <c r="AK11" s="68"/>
    </row>
    <row r="12" spans="1:37" ht="15.75">
      <c r="A12" s="198"/>
      <c r="B12" s="198"/>
      <c r="C12" s="198"/>
      <c r="D12" s="198"/>
      <c r="E12" s="198"/>
      <c r="F12" s="198" t="s">
        <v>772</v>
      </c>
      <c r="G12" s="198"/>
      <c r="H12" s="199">
        <v>43922</v>
      </c>
      <c r="I12" s="198"/>
      <c r="J12" s="198" t="s">
        <v>822</v>
      </c>
      <c r="K12" s="198"/>
      <c r="L12" s="198" t="s">
        <v>823</v>
      </c>
      <c r="M12" s="198"/>
      <c r="N12" s="198"/>
      <c r="O12" s="198"/>
      <c r="P12" s="198" t="s">
        <v>675</v>
      </c>
      <c r="Q12" s="198"/>
      <c r="R12" s="200"/>
      <c r="S12" s="198"/>
      <c r="T12" s="198" t="s">
        <v>775</v>
      </c>
      <c r="U12" s="198"/>
      <c r="V12" s="201">
        <v>303.60000000000002</v>
      </c>
      <c r="W12" s="198"/>
      <c r="X12" s="201"/>
      <c r="Y12" s="198"/>
      <c r="Z12" s="201">
        <v>303.60000000000002</v>
      </c>
      <c r="AA12" s="205"/>
      <c r="AB12" s="290"/>
      <c r="AC12" s="290"/>
      <c r="AD12" s="68"/>
      <c r="AE12" s="68"/>
      <c r="AF12" s="68"/>
      <c r="AG12" s="68"/>
      <c r="AH12" s="68"/>
      <c r="AI12" s="68"/>
      <c r="AJ12" s="68"/>
      <c r="AK12" s="68"/>
    </row>
    <row r="13" spans="1:37" ht="15.75">
      <c r="A13" s="198"/>
      <c r="B13" s="198"/>
      <c r="C13" s="198"/>
      <c r="D13" s="198"/>
      <c r="E13" s="198"/>
      <c r="F13" s="198" t="s">
        <v>772</v>
      </c>
      <c r="G13" s="198"/>
      <c r="H13" s="199">
        <v>43922</v>
      </c>
      <c r="I13" s="198"/>
      <c r="J13" s="198" t="s">
        <v>822</v>
      </c>
      <c r="K13" s="198"/>
      <c r="L13" s="198" t="s">
        <v>823</v>
      </c>
      <c r="M13" s="198"/>
      <c r="N13" s="198"/>
      <c r="O13" s="198"/>
      <c r="P13" s="198" t="s">
        <v>519</v>
      </c>
      <c r="Q13" s="198"/>
      <c r="R13" s="200"/>
      <c r="S13" s="198"/>
      <c r="T13" s="198" t="s">
        <v>775</v>
      </c>
      <c r="U13" s="198"/>
      <c r="V13" s="201">
        <v>2226.4</v>
      </c>
      <c r="W13" s="198"/>
      <c r="X13" s="201"/>
      <c r="Y13" s="198"/>
      <c r="Z13" s="201">
        <v>2530</v>
      </c>
      <c r="AA13" s="205"/>
      <c r="AB13" s="290"/>
      <c r="AC13" s="290"/>
      <c r="AD13" s="68"/>
      <c r="AE13" s="68"/>
      <c r="AF13" s="68"/>
      <c r="AG13" s="68"/>
      <c r="AH13" s="68"/>
      <c r="AI13" s="68"/>
      <c r="AJ13" s="68"/>
      <c r="AK13" s="68"/>
    </row>
    <row r="14" spans="1:37" ht="15.75">
      <c r="A14" s="198"/>
      <c r="B14" s="198"/>
      <c r="C14" s="198"/>
      <c r="D14" s="198"/>
      <c r="E14" s="198"/>
      <c r="F14" s="198" t="s">
        <v>772</v>
      </c>
      <c r="G14" s="198"/>
      <c r="H14" s="199">
        <v>43952</v>
      </c>
      <c r="I14" s="198"/>
      <c r="J14" s="198" t="s">
        <v>824</v>
      </c>
      <c r="K14" s="198"/>
      <c r="L14" s="198" t="s">
        <v>823</v>
      </c>
      <c r="M14" s="198"/>
      <c r="N14" s="198"/>
      <c r="O14" s="198"/>
      <c r="P14" s="198" t="s">
        <v>675</v>
      </c>
      <c r="Q14" s="198"/>
      <c r="R14" s="200"/>
      <c r="S14" s="198"/>
      <c r="T14" s="198" t="s">
        <v>775</v>
      </c>
      <c r="U14" s="198"/>
      <c r="V14" s="201">
        <v>303.60000000000002</v>
      </c>
      <c r="W14" s="198"/>
      <c r="X14" s="201"/>
      <c r="Y14" s="198"/>
      <c r="Z14" s="201">
        <v>2833.6</v>
      </c>
      <c r="AA14" s="205"/>
      <c r="AB14" s="290"/>
      <c r="AC14" s="290"/>
      <c r="AD14" s="68"/>
      <c r="AE14" s="68"/>
      <c r="AF14" s="68"/>
      <c r="AG14" s="68"/>
      <c r="AH14" s="68"/>
      <c r="AI14" s="68"/>
      <c r="AJ14" s="68"/>
      <c r="AK14" s="68"/>
    </row>
    <row r="15" spans="1:37" ht="15.75">
      <c r="A15" s="198"/>
      <c r="B15" s="198"/>
      <c r="C15" s="198"/>
      <c r="D15" s="198"/>
      <c r="E15" s="198"/>
      <c r="F15" s="198" t="s">
        <v>772</v>
      </c>
      <c r="G15" s="198"/>
      <c r="H15" s="199">
        <v>43952</v>
      </c>
      <c r="I15" s="198"/>
      <c r="J15" s="198" t="s">
        <v>824</v>
      </c>
      <c r="K15" s="198"/>
      <c r="L15" s="198" t="s">
        <v>823</v>
      </c>
      <c r="M15" s="198"/>
      <c r="N15" s="198"/>
      <c r="O15" s="198"/>
      <c r="P15" s="198" t="s">
        <v>519</v>
      </c>
      <c r="Q15" s="198"/>
      <c r="R15" s="200"/>
      <c r="S15" s="198"/>
      <c r="T15" s="198" t="s">
        <v>775</v>
      </c>
      <c r="U15" s="198"/>
      <c r="V15" s="201">
        <v>2226.4</v>
      </c>
      <c r="W15" s="198"/>
      <c r="X15" s="201"/>
      <c r="Y15" s="198"/>
      <c r="Z15" s="201">
        <v>5060</v>
      </c>
      <c r="AA15" s="205"/>
      <c r="AB15" s="290"/>
      <c r="AC15" s="290"/>
      <c r="AD15" s="68"/>
      <c r="AE15" s="68"/>
      <c r="AF15" s="68"/>
      <c r="AG15" s="68"/>
      <c r="AH15" s="68"/>
      <c r="AI15" s="68"/>
      <c r="AJ15" s="68"/>
      <c r="AK15" s="68"/>
    </row>
    <row r="16" spans="1:37" ht="15.75">
      <c r="A16" s="198"/>
      <c r="B16" s="198"/>
      <c r="C16" s="198"/>
      <c r="D16" s="198"/>
      <c r="E16" s="198"/>
      <c r="F16" s="198" t="s">
        <v>772</v>
      </c>
      <c r="G16" s="198"/>
      <c r="H16" s="199">
        <v>43983</v>
      </c>
      <c r="I16" s="198"/>
      <c r="J16" s="198" t="s">
        <v>825</v>
      </c>
      <c r="K16" s="198"/>
      <c r="L16" s="198" t="s">
        <v>823</v>
      </c>
      <c r="M16" s="198"/>
      <c r="N16" s="198"/>
      <c r="O16" s="198"/>
      <c r="P16" s="198" t="s">
        <v>675</v>
      </c>
      <c r="Q16" s="198"/>
      <c r="R16" s="200"/>
      <c r="S16" s="198"/>
      <c r="T16" s="198" t="s">
        <v>775</v>
      </c>
      <c r="U16" s="198"/>
      <c r="V16" s="201">
        <v>303.60000000000002</v>
      </c>
      <c r="W16" s="198"/>
      <c r="X16" s="201"/>
      <c r="Y16" s="198"/>
      <c r="Z16" s="201">
        <v>5363.6</v>
      </c>
      <c r="AA16" s="205"/>
      <c r="AB16" s="290"/>
      <c r="AC16" s="290"/>
      <c r="AD16" s="68"/>
      <c r="AE16" s="68"/>
      <c r="AF16" s="68"/>
      <c r="AG16" s="68"/>
      <c r="AH16" s="68"/>
      <c r="AI16" s="68"/>
      <c r="AJ16" s="68"/>
      <c r="AK16" s="68"/>
    </row>
    <row r="17" spans="1:37" ht="15.75">
      <c r="A17" s="198"/>
      <c r="B17" s="198"/>
      <c r="C17" s="198"/>
      <c r="D17" s="198"/>
      <c r="E17" s="198"/>
      <c r="F17" s="198" t="s">
        <v>772</v>
      </c>
      <c r="G17" s="198"/>
      <c r="H17" s="199">
        <v>43983</v>
      </c>
      <c r="I17" s="198"/>
      <c r="J17" s="198" t="s">
        <v>825</v>
      </c>
      <c r="K17" s="198"/>
      <c r="L17" s="198" t="s">
        <v>823</v>
      </c>
      <c r="M17" s="198"/>
      <c r="N17" s="198"/>
      <c r="O17" s="198"/>
      <c r="P17" s="198" t="s">
        <v>519</v>
      </c>
      <c r="Q17" s="198"/>
      <c r="R17" s="200"/>
      <c r="S17" s="198"/>
      <c r="T17" s="198" t="s">
        <v>775</v>
      </c>
      <c r="U17" s="198"/>
      <c r="V17" s="201">
        <v>2226.4</v>
      </c>
      <c r="W17" s="198"/>
      <c r="X17" s="201"/>
      <c r="Y17" s="198"/>
      <c r="Z17" s="201">
        <v>7590</v>
      </c>
      <c r="AA17" s="205"/>
      <c r="AB17" s="290"/>
      <c r="AC17" s="290"/>
      <c r="AD17" s="68"/>
      <c r="AE17" s="68"/>
      <c r="AF17" s="68"/>
      <c r="AG17" s="68"/>
      <c r="AH17" s="68"/>
      <c r="AI17" s="68"/>
      <c r="AJ17" s="68"/>
      <c r="AK17" s="68"/>
    </row>
    <row r="18" spans="1:37" ht="15.75">
      <c r="A18" s="198"/>
      <c r="B18" s="198"/>
      <c r="C18" s="198"/>
      <c r="D18" s="198"/>
      <c r="E18" s="198"/>
      <c r="F18" s="198" t="s">
        <v>772</v>
      </c>
      <c r="G18" s="198"/>
      <c r="H18" s="199">
        <v>44013</v>
      </c>
      <c r="I18" s="198"/>
      <c r="J18" s="198" t="s">
        <v>826</v>
      </c>
      <c r="K18" s="198"/>
      <c r="L18" s="198" t="s">
        <v>823</v>
      </c>
      <c r="M18" s="198"/>
      <c r="N18" s="198"/>
      <c r="O18" s="198"/>
      <c r="P18" s="198" t="s">
        <v>675</v>
      </c>
      <c r="Q18" s="198"/>
      <c r="R18" s="200"/>
      <c r="S18" s="198"/>
      <c r="T18" s="198" t="s">
        <v>775</v>
      </c>
      <c r="U18" s="198"/>
      <c r="V18" s="201">
        <v>303.60000000000002</v>
      </c>
      <c r="W18" s="198"/>
      <c r="X18" s="201"/>
      <c r="Y18" s="198"/>
      <c r="Z18" s="201">
        <v>8393.6</v>
      </c>
      <c r="AA18" s="205"/>
      <c r="AB18" s="290"/>
      <c r="AC18" s="290"/>
      <c r="AD18" s="68"/>
      <c r="AE18" s="68"/>
      <c r="AF18" s="68"/>
      <c r="AG18" s="68"/>
      <c r="AH18" s="68"/>
      <c r="AI18" s="68"/>
      <c r="AJ18" s="68"/>
      <c r="AK18" s="68"/>
    </row>
    <row r="19" spans="1:37" ht="15.75">
      <c r="A19" s="198"/>
      <c r="B19" s="198"/>
      <c r="C19" s="198"/>
      <c r="D19" s="198"/>
      <c r="E19" s="198"/>
      <c r="F19" s="198" t="s">
        <v>772</v>
      </c>
      <c r="G19" s="198"/>
      <c r="H19" s="199">
        <v>44013</v>
      </c>
      <c r="I19" s="198"/>
      <c r="J19" s="198" t="s">
        <v>826</v>
      </c>
      <c r="K19" s="198"/>
      <c r="L19" s="198" t="s">
        <v>823</v>
      </c>
      <c r="M19" s="198"/>
      <c r="N19" s="198"/>
      <c r="O19" s="198"/>
      <c r="P19" s="198" t="s">
        <v>519</v>
      </c>
      <c r="Q19" s="198"/>
      <c r="R19" s="200"/>
      <c r="S19" s="198"/>
      <c r="T19" s="198" t="s">
        <v>775</v>
      </c>
      <c r="U19" s="198"/>
      <c r="V19" s="201">
        <v>2226.4</v>
      </c>
      <c r="W19" s="198"/>
      <c r="X19" s="201"/>
      <c r="Y19" s="198"/>
      <c r="Z19" s="201">
        <v>10620</v>
      </c>
      <c r="AA19" s="205"/>
      <c r="AB19" s="290"/>
      <c r="AC19" s="290"/>
      <c r="AD19" s="68"/>
      <c r="AE19" s="68"/>
      <c r="AF19" s="68"/>
      <c r="AG19" s="68"/>
      <c r="AH19" s="68"/>
      <c r="AI19" s="68"/>
      <c r="AJ19" s="68"/>
      <c r="AK19" s="68"/>
    </row>
    <row r="20" spans="1:37" ht="15.75">
      <c r="A20" s="198"/>
      <c r="B20" s="198"/>
      <c r="C20" s="198"/>
      <c r="D20" s="198"/>
      <c r="E20" s="198"/>
      <c r="F20" s="198" t="s">
        <v>772</v>
      </c>
      <c r="G20" s="198"/>
      <c r="H20" s="199">
        <v>44044</v>
      </c>
      <c r="I20" s="198"/>
      <c r="J20" s="198" t="s">
        <v>827</v>
      </c>
      <c r="K20" s="198"/>
      <c r="L20" s="198" t="s">
        <v>823</v>
      </c>
      <c r="M20" s="198"/>
      <c r="N20" s="198"/>
      <c r="O20" s="198"/>
      <c r="P20" s="198" t="s">
        <v>675</v>
      </c>
      <c r="Q20" s="198"/>
      <c r="R20" s="200"/>
      <c r="S20" s="198"/>
      <c r="T20" s="198" t="s">
        <v>775</v>
      </c>
      <c r="U20" s="198"/>
      <c r="V20" s="201">
        <v>303.60000000000002</v>
      </c>
      <c r="W20" s="198"/>
      <c r="X20" s="201"/>
      <c r="Y20" s="198"/>
      <c r="Z20" s="201">
        <v>10923.6</v>
      </c>
      <c r="AA20" s="205"/>
      <c r="AB20" s="290"/>
      <c r="AC20" s="290"/>
      <c r="AD20" s="68"/>
      <c r="AE20" s="68"/>
      <c r="AF20" s="68"/>
      <c r="AG20" s="68"/>
      <c r="AH20" s="68"/>
      <c r="AI20" s="68"/>
      <c r="AJ20" s="68"/>
      <c r="AK20" s="68"/>
    </row>
    <row r="21" spans="1:37" ht="15.75">
      <c r="A21" s="198"/>
      <c r="B21" s="198"/>
      <c r="C21" s="198"/>
      <c r="D21" s="198"/>
      <c r="E21" s="198"/>
      <c r="F21" s="198" t="s">
        <v>772</v>
      </c>
      <c r="G21" s="198"/>
      <c r="H21" s="199">
        <v>44044</v>
      </c>
      <c r="I21" s="198"/>
      <c r="J21" s="198" t="s">
        <v>827</v>
      </c>
      <c r="K21" s="198"/>
      <c r="L21" s="198" t="s">
        <v>823</v>
      </c>
      <c r="M21" s="198"/>
      <c r="N21" s="198"/>
      <c r="O21" s="198"/>
      <c r="P21" s="198" t="s">
        <v>519</v>
      </c>
      <c r="Q21" s="198"/>
      <c r="R21" s="200"/>
      <c r="S21" s="198"/>
      <c r="T21" s="198" t="s">
        <v>775</v>
      </c>
      <c r="U21" s="198"/>
      <c r="V21" s="201">
        <v>2226.4</v>
      </c>
      <c r="W21" s="198"/>
      <c r="X21" s="201"/>
      <c r="Y21" s="198"/>
      <c r="Z21" s="201">
        <v>13150</v>
      </c>
      <c r="AA21" s="205"/>
      <c r="AB21" s="290"/>
      <c r="AC21" s="290"/>
      <c r="AD21" s="68"/>
      <c r="AE21" s="68"/>
      <c r="AF21" s="68"/>
      <c r="AG21" s="68"/>
      <c r="AH21" s="68"/>
      <c r="AI21" s="68"/>
      <c r="AJ21" s="68"/>
      <c r="AK21" s="68"/>
    </row>
    <row r="22" spans="1:37" ht="15.75">
      <c r="A22" s="198"/>
      <c r="B22" s="198"/>
      <c r="C22" s="198"/>
      <c r="D22" s="198"/>
      <c r="E22" s="198"/>
      <c r="F22" s="198" t="s">
        <v>772</v>
      </c>
      <c r="G22" s="198"/>
      <c r="H22" s="199">
        <v>44075</v>
      </c>
      <c r="I22" s="198"/>
      <c r="J22" s="198" t="s">
        <v>828</v>
      </c>
      <c r="K22" s="198"/>
      <c r="L22" s="198" t="s">
        <v>823</v>
      </c>
      <c r="M22" s="198"/>
      <c r="N22" s="198"/>
      <c r="O22" s="198"/>
      <c r="P22" s="198" t="s">
        <v>675</v>
      </c>
      <c r="Q22" s="198"/>
      <c r="R22" s="200"/>
      <c r="S22" s="198"/>
      <c r="T22" s="198" t="s">
        <v>775</v>
      </c>
      <c r="U22" s="198"/>
      <c r="V22" s="201">
        <v>303.60000000000002</v>
      </c>
      <c r="W22" s="198"/>
      <c r="X22" s="201"/>
      <c r="Y22" s="198"/>
      <c r="Z22" s="201">
        <v>13453.6</v>
      </c>
      <c r="AA22" s="205"/>
      <c r="AB22" s="290"/>
      <c r="AC22" s="290"/>
      <c r="AD22" s="68"/>
      <c r="AE22" s="68"/>
      <c r="AF22" s="68"/>
      <c r="AG22" s="68"/>
      <c r="AH22" s="68"/>
      <c r="AI22" s="68"/>
      <c r="AJ22" s="68"/>
      <c r="AK22" s="68"/>
    </row>
    <row r="23" spans="1:37" ht="15.75">
      <c r="A23" s="198"/>
      <c r="B23" s="198"/>
      <c r="C23" s="198"/>
      <c r="D23" s="198"/>
      <c r="E23" s="198"/>
      <c r="F23" s="198" t="s">
        <v>772</v>
      </c>
      <c r="G23" s="198"/>
      <c r="H23" s="199">
        <v>44075</v>
      </c>
      <c r="I23" s="198"/>
      <c r="J23" s="198" t="s">
        <v>828</v>
      </c>
      <c r="K23" s="198"/>
      <c r="L23" s="198" t="s">
        <v>823</v>
      </c>
      <c r="M23" s="198"/>
      <c r="N23" s="198"/>
      <c r="O23" s="198"/>
      <c r="P23" s="198" t="s">
        <v>519</v>
      </c>
      <c r="Q23" s="198"/>
      <c r="R23" s="200"/>
      <c r="S23" s="198"/>
      <c r="T23" s="198" t="s">
        <v>775</v>
      </c>
      <c r="U23" s="198"/>
      <c r="V23" s="201">
        <v>2226.4</v>
      </c>
      <c r="W23" s="198"/>
      <c r="X23" s="201"/>
      <c r="Y23" s="198"/>
      <c r="Z23" s="201">
        <v>15680</v>
      </c>
      <c r="AA23" s="205"/>
      <c r="AB23" s="290"/>
      <c r="AC23" s="290"/>
      <c r="AD23" s="68"/>
      <c r="AE23" s="68"/>
      <c r="AF23" s="68"/>
      <c r="AG23" s="68"/>
      <c r="AH23" s="68"/>
      <c r="AI23" s="68"/>
      <c r="AJ23" s="68"/>
      <c r="AK23" s="68"/>
    </row>
    <row r="24" spans="1:37" ht="15.75">
      <c r="A24" s="198"/>
      <c r="B24" s="198"/>
      <c r="C24" s="198"/>
      <c r="D24" s="198"/>
      <c r="E24" s="198"/>
      <c r="F24" s="198" t="s">
        <v>772</v>
      </c>
      <c r="G24" s="198"/>
      <c r="H24" s="199">
        <v>44105</v>
      </c>
      <c r="I24" s="198"/>
      <c r="J24" s="198" t="s">
        <v>829</v>
      </c>
      <c r="K24" s="198"/>
      <c r="L24" s="198" t="s">
        <v>823</v>
      </c>
      <c r="M24" s="198"/>
      <c r="N24" s="198"/>
      <c r="O24" s="198"/>
      <c r="P24" s="198" t="s">
        <v>675</v>
      </c>
      <c r="Q24" s="198"/>
      <c r="R24" s="200"/>
      <c r="S24" s="198"/>
      <c r="T24" s="198" t="s">
        <v>775</v>
      </c>
      <c r="U24" s="198"/>
      <c r="V24" s="201">
        <v>303.60000000000002</v>
      </c>
      <c r="W24" s="198"/>
      <c r="X24" s="201"/>
      <c r="Y24" s="198"/>
      <c r="Z24" s="201">
        <v>15983.6</v>
      </c>
      <c r="AA24" s="205"/>
      <c r="AB24" s="290"/>
      <c r="AC24" s="290"/>
      <c r="AD24" s="68"/>
      <c r="AE24" s="68"/>
      <c r="AF24" s="68"/>
      <c r="AG24" s="68"/>
      <c r="AH24" s="68"/>
      <c r="AI24" s="68"/>
      <c r="AJ24" s="68"/>
      <c r="AK24" s="68"/>
    </row>
    <row r="25" spans="1:37" ht="15.75">
      <c r="A25" s="198"/>
      <c r="B25" s="198"/>
      <c r="C25" s="198"/>
      <c r="D25" s="198"/>
      <c r="E25" s="198"/>
      <c r="F25" s="198" t="s">
        <v>772</v>
      </c>
      <c r="G25" s="198"/>
      <c r="H25" s="199">
        <v>44105</v>
      </c>
      <c r="I25" s="198"/>
      <c r="J25" s="198" t="s">
        <v>829</v>
      </c>
      <c r="K25" s="198"/>
      <c r="L25" s="198" t="s">
        <v>823</v>
      </c>
      <c r="M25" s="198"/>
      <c r="N25" s="198"/>
      <c r="O25" s="198"/>
      <c r="P25" s="198" t="s">
        <v>519</v>
      </c>
      <c r="Q25" s="198"/>
      <c r="R25" s="200"/>
      <c r="S25" s="198"/>
      <c r="T25" s="198" t="s">
        <v>775</v>
      </c>
      <c r="U25" s="198"/>
      <c r="V25" s="201">
        <v>2226.4</v>
      </c>
      <c r="W25" s="198"/>
      <c r="X25" s="201"/>
      <c r="Y25" s="198"/>
      <c r="Z25" s="201">
        <v>18210</v>
      </c>
      <c r="AA25" s="205"/>
      <c r="AB25" s="290"/>
      <c r="AC25" s="290"/>
      <c r="AD25" s="68"/>
      <c r="AE25" s="68"/>
      <c r="AF25" s="68"/>
      <c r="AG25" s="68"/>
      <c r="AH25" s="68"/>
      <c r="AI25" s="68"/>
      <c r="AJ25" s="68"/>
      <c r="AK25" s="68"/>
    </row>
    <row r="26" spans="1:37" ht="15.75">
      <c r="A26" s="198"/>
      <c r="B26" s="198"/>
      <c r="C26" s="198"/>
      <c r="D26" s="198"/>
      <c r="E26" s="198"/>
      <c r="F26" s="198" t="s">
        <v>772</v>
      </c>
      <c r="G26" s="198"/>
      <c r="H26" s="199">
        <v>44136</v>
      </c>
      <c r="I26" s="198"/>
      <c r="J26" s="198" t="s">
        <v>830</v>
      </c>
      <c r="K26" s="198"/>
      <c r="L26" s="198" t="s">
        <v>823</v>
      </c>
      <c r="M26" s="198"/>
      <c r="N26" s="198"/>
      <c r="O26" s="198"/>
      <c r="P26" s="198" t="s">
        <v>675</v>
      </c>
      <c r="Q26" s="198"/>
      <c r="R26" s="200"/>
      <c r="S26" s="198"/>
      <c r="T26" s="198" t="s">
        <v>775</v>
      </c>
      <c r="U26" s="198"/>
      <c r="V26" s="201">
        <v>303.60000000000002</v>
      </c>
      <c r="W26" s="198"/>
      <c r="X26" s="201"/>
      <c r="Y26" s="198"/>
      <c r="Z26" s="201">
        <v>19531.599999999999</v>
      </c>
      <c r="AA26" s="205"/>
      <c r="AB26" s="290"/>
      <c r="AC26" s="290"/>
      <c r="AD26" s="68"/>
      <c r="AE26" s="68"/>
      <c r="AF26" s="68"/>
      <c r="AG26" s="68"/>
      <c r="AH26" s="68"/>
      <c r="AI26" s="68"/>
      <c r="AJ26" s="68"/>
      <c r="AK26" s="68"/>
    </row>
    <row r="27" spans="1:37" ht="15.75">
      <c r="A27" s="198"/>
      <c r="B27" s="198"/>
      <c r="C27" s="198"/>
      <c r="D27" s="198"/>
      <c r="E27" s="198"/>
      <c r="F27" s="198" t="s">
        <v>772</v>
      </c>
      <c r="G27" s="198"/>
      <c r="H27" s="199">
        <v>44136</v>
      </c>
      <c r="I27" s="198"/>
      <c r="J27" s="198" t="s">
        <v>830</v>
      </c>
      <c r="K27" s="198"/>
      <c r="L27" s="198" t="s">
        <v>823</v>
      </c>
      <c r="M27" s="198"/>
      <c r="N27" s="198"/>
      <c r="O27" s="198"/>
      <c r="P27" s="198" t="s">
        <v>519</v>
      </c>
      <c r="Q27" s="198"/>
      <c r="R27" s="200"/>
      <c r="S27" s="198"/>
      <c r="T27" s="198" t="s">
        <v>775</v>
      </c>
      <c r="U27" s="198"/>
      <c r="V27" s="201">
        <v>2226.4</v>
      </c>
      <c r="W27" s="198"/>
      <c r="X27" s="201"/>
      <c r="Y27" s="198"/>
      <c r="Z27" s="201">
        <v>21758</v>
      </c>
      <c r="AA27" s="205"/>
      <c r="AB27" s="290"/>
      <c r="AC27" s="290"/>
      <c r="AD27" s="68"/>
      <c r="AE27" s="68"/>
      <c r="AF27" s="68"/>
      <c r="AG27" s="68"/>
      <c r="AH27" s="68"/>
      <c r="AI27" s="68"/>
      <c r="AJ27" s="68"/>
      <c r="AK27" s="68"/>
    </row>
    <row r="28" spans="1:37" ht="15.75">
      <c r="A28" s="198"/>
      <c r="B28" s="198"/>
      <c r="C28" s="198"/>
      <c r="D28" s="198"/>
      <c r="E28" s="198"/>
      <c r="F28" s="198" t="s">
        <v>772</v>
      </c>
      <c r="G28" s="198"/>
      <c r="H28" s="199">
        <v>44166</v>
      </c>
      <c r="I28" s="198"/>
      <c r="J28" s="198" t="s">
        <v>831</v>
      </c>
      <c r="K28" s="198"/>
      <c r="L28" s="198" t="s">
        <v>823</v>
      </c>
      <c r="M28" s="198"/>
      <c r="N28" s="198"/>
      <c r="O28" s="198"/>
      <c r="P28" s="198" t="s">
        <v>675</v>
      </c>
      <c r="Q28" s="198"/>
      <c r="R28" s="200"/>
      <c r="S28" s="198"/>
      <c r="T28" s="198" t="s">
        <v>775</v>
      </c>
      <c r="U28" s="198"/>
      <c r="V28" s="201">
        <v>303.60000000000002</v>
      </c>
      <c r="W28" s="198"/>
      <c r="X28" s="201"/>
      <c r="Y28" s="198"/>
      <c r="Z28" s="201">
        <v>22061.599999999999</v>
      </c>
      <c r="AA28" s="205"/>
      <c r="AB28" s="290"/>
      <c r="AC28" s="290"/>
      <c r="AD28" s="68"/>
      <c r="AE28" s="68"/>
      <c r="AF28" s="68"/>
      <c r="AG28" s="68"/>
      <c r="AH28" s="68"/>
      <c r="AI28" s="68"/>
      <c r="AJ28" s="68"/>
      <c r="AK28" s="68"/>
    </row>
    <row r="29" spans="1:37" ht="15.75">
      <c r="A29" s="198"/>
      <c r="B29" s="198"/>
      <c r="C29" s="198"/>
      <c r="D29" s="198"/>
      <c r="E29" s="198"/>
      <c r="F29" s="198" t="s">
        <v>772</v>
      </c>
      <c r="G29" s="198"/>
      <c r="H29" s="199">
        <v>44166</v>
      </c>
      <c r="I29" s="198"/>
      <c r="J29" s="198" t="s">
        <v>831</v>
      </c>
      <c r="K29" s="198"/>
      <c r="L29" s="198" t="s">
        <v>823</v>
      </c>
      <c r="M29" s="198"/>
      <c r="N29" s="198"/>
      <c r="O29" s="198"/>
      <c r="P29" s="198" t="s">
        <v>519</v>
      </c>
      <c r="Q29" s="198"/>
      <c r="R29" s="200"/>
      <c r="S29" s="198"/>
      <c r="T29" s="198" t="s">
        <v>775</v>
      </c>
      <c r="U29" s="198"/>
      <c r="V29" s="201">
        <v>2226.4</v>
      </c>
      <c r="W29" s="198"/>
      <c r="X29" s="201"/>
      <c r="Y29" s="198"/>
      <c r="Z29" s="201">
        <v>24288</v>
      </c>
      <c r="AA29" s="205"/>
      <c r="AB29" s="290"/>
      <c r="AC29" s="290"/>
      <c r="AD29" s="68"/>
      <c r="AE29" s="68"/>
      <c r="AF29" s="68"/>
      <c r="AG29" s="68"/>
      <c r="AH29" s="68"/>
      <c r="AI29" s="68"/>
      <c r="AJ29" s="68"/>
      <c r="AK29" s="68"/>
    </row>
    <row r="30" spans="1:37" ht="15.75">
      <c r="A30" s="198"/>
      <c r="B30" s="198"/>
      <c r="C30" s="198"/>
      <c r="D30" s="198"/>
      <c r="E30" s="198"/>
      <c r="F30" s="198" t="s">
        <v>772</v>
      </c>
      <c r="G30" s="198"/>
      <c r="H30" s="199">
        <v>44197</v>
      </c>
      <c r="I30" s="198"/>
      <c r="J30" s="198" t="s">
        <v>832</v>
      </c>
      <c r="K30" s="198"/>
      <c r="L30" s="198" t="s">
        <v>823</v>
      </c>
      <c r="M30" s="198"/>
      <c r="N30" s="198"/>
      <c r="O30" s="198"/>
      <c r="P30" s="198" t="s">
        <v>675</v>
      </c>
      <c r="Q30" s="198"/>
      <c r="R30" s="200"/>
      <c r="S30" s="198"/>
      <c r="T30" s="198" t="s">
        <v>775</v>
      </c>
      <c r="U30" s="198"/>
      <c r="V30" s="201">
        <v>326.39999999999998</v>
      </c>
      <c r="W30" s="198"/>
      <c r="X30" s="201"/>
      <c r="Y30" s="198"/>
      <c r="Z30" s="201">
        <v>24614.400000000001</v>
      </c>
      <c r="AA30" s="205"/>
      <c r="AB30" s="290"/>
      <c r="AC30" s="290"/>
      <c r="AD30" s="68"/>
      <c r="AE30" s="68"/>
      <c r="AF30" s="68"/>
      <c r="AG30" s="68"/>
      <c r="AH30" s="68"/>
      <c r="AI30" s="68"/>
      <c r="AJ30" s="68"/>
      <c r="AK30" s="68"/>
    </row>
    <row r="31" spans="1:37" ht="15.75">
      <c r="A31" s="198"/>
      <c r="B31" s="198"/>
      <c r="C31" s="198"/>
      <c r="D31" s="198"/>
      <c r="E31" s="198"/>
      <c r="F31" s="198" t="s">
        <v>772</v>
      </c>
      <c r="G31" s="198"/>
      <c r="H31" s="199">
        <v>44197</v>
      </c>
      <c r="I31" s="198"/>
      <c r="J31" s="198" t="s">
        <v>832</v>
      </c>
      <c r="K31" s="198"/>
      <c r="L31" s="198" t="s">
        <v>823</v>
      </c>
      <c r="M31" s="198"/>
      <c r="N31" s="198"/>
      <c r="O31" s="198"/>
      <c r="P31" s="198" t="s">
        <v>519</v>
      </c>
      <c r="Q31" s="198"/>
      <c r="R31" s="200"/>
      <c r="S31" s="198"/>
      <c r="T31" s="198" t="s">
        <v>775</v>
      </c>
      <c r="U31" s="198"/>
      <c r="V31" s="201">
        <v>2393.6</v>
      </c>
      <c r="W31" s="198"/>
      <c r="X31" s="201"/>
      <c r="Y31" s="198"/>
      <c r="Z31" s="201">
        <v>27008</v>
      </c>
      <c r="AA31" s="205"/>
      <c r="AB31" s="290"/>
      <c r="AC31" s="290"/>
      <c r="AD31" s="68"/>
      <c r="AE31" s="68"/>
      <c r="AF31" s="68"/>
      <c r="AG31" s="68"/>
      <c r="AH31" s="68"/>
      <c r="AI31" s="68"/>
      <c r="AJ31" s="68"/>
      <c r="AK31" s="68"/>
    </row>
    <row r="32" spans="1:37" ht="15.75">
      <c r="A32" s="198"/>
      <c r="B32" s="198"/>
      <c r="C32" s="198"/>
      <c r="D32" s="198"/>
      <c r="E32" s="198"/>
      <c r="F32" s="198" t="s">
        <v>772</v>
      </c>
      <c r="G32" s="198"/>
      <c r="H32" s="199">
        <v>44229</v>
      </c>
      <c r="I32" s="198"/>
      <c r="J32" s="198" t="s">
        <v>833</v>
      </c>
      <c r="K32" s="198"/>
      <c r="L32" s="198" t="s">
        <v>823</v>
      </c>
      <c r="M32" s="198"/>
      <c r="N32" s="198"/>
      <c r="O32" s="198"/>
      <c r="P32" s="198" t="s">
        <v>675</v>
      </c>
      <c r="Q32" s="198"/>
      <c r="R32" s="200"/>
      <c r="S32" s="198"/>
      <c r="T32" s="198" t="s">
        <v>775</v>
      </c>
      <c r="U32" s="198"/>
      <c r="V32" s="201">
        <v>326.39999999999998</v>
      </c>
      <c r="W32" s="198"/>
      <c r="X32" s="201"/>
      <c r="Y32" s="198"/>
      <c r="Z32" s="201">
        <v>28044.400000000001</v>
      </c>
      <c r="AA32" s="205"/>
      <c r="AB32" s="290"/>
      <c r="AC32" s="290"/>
      <c r="AD32" s="68"/>
      <c r="AE32" s="68"/>
      <c r="AF32" s="68"/>
      <c r="AG32" s="68"/>
      <c r="AH32" s="68"/>
      <c r="AI32" s="68"/>
      <c r="AJ32" s="68"/>
      <c r="AK32" s="68"/>
    </row>
    <row r="33" spans="1:37" ht="15.75">
      <c r="A33" s="198"/>
      <c r="B33" s="198"/>
      <c r="C33" s="198"/>
      <c r="D33" s="198"/>
      <c r="E33" s="198"/>
      <c r="F33" s="198" t="s">
        <v>772</v>
      </c>
      <c r="G33" s="198"/>
      <c r="H33" s="199">
        <v>44229</v>
      </c>
      <c r="I33" s="198"/>
      <c r="J33" s="198" t="s">
        <v>833</v>
      </c>
      <c r="K33" s="198"/>
      <c r="L33" s="198" t="s">
        <v>823</v>
      </c>
      <c r="M33" s="198"/>
      <c r="N33" s="198"/>
      <c r="O33" s="198"/>
      <c r="P33" s="198" t="s">
        <v>519</v>
      </c>
      <c r="Q33" s="198"/>
      <c r="R33" s="200"/>
      <c r="S33" s="198"/>
      <c r="T33" s="198" t="s">
        <v>775</v>
      </c>
      <c r="U33" s="198"/>
      <c r="V33" s="201">
        <v>2393.6</v>
      </c>
      <c r="W33" s="198"/>
      <c r="X33" s="201"/>
      <c r="Y33" s="198"/>
      <c r="Z33" s="201">
        <v>30438</v>
      </c>
      <c r="AA33" s="205"/>
      <c r="AB33" s="290"/>
      <c r="AC33" s="290"/>
      <c r="AD33" s="68"/>
      <c r="AE33" s="68"/>
      <c r="AF33" s="68"/>
      <c r="AG33" s="68"/>
      <c r="AH33" s="68"/>
      <c r="AI33" s="68"/>
      <c r="AJ33" s="68"/>
      <c r="AK33" s="68"/>
    </row>
    <row r="34" spans="1:37" ht="15.75">
      <c r="A34" s="198"/>
      <c r="B34" s="198"/>
      <c r="C34" s="198"/>
      <c r="D34" s="198"/>
      <c r="E34" s="198"/>
      <c r="F34" s="198" t="s">
        <v>772</v>
      </c>
      <c r="G34" s="198"/>
      <c r="H34" s="199">
        <v>44256</v>
      </c>
      <c r="I34" s="198"/>
      <c r="J34" s="198" t="s">
        <v>834</v>
      </c>
      <c r="K34" s="198"/>
      <c r="L34" s="198" t="s">
        <v>823</v>
      </c>
      <c r="M34" s="198"/>
      <c r="N34" s="198"/>
      <c r="O34" s="198"/>
      <c r="P34" s="198" t="s">
        <v>675</v>
      </c>
      <c r="Q34" s="198"/>
      <c r="R34" s="200"/>
      <c r="S34" s="198"/>
      <c r="T34" s="198" t="s">
        <v>775</v>
      </c>
      <c r="U34" s="198"/>
      <c r="V34" s="201">
        <v>326.39999999999998</v>
      </c>
      <c r="W34" s="198"/>
      <c r="X34" s="201"/>
      <c r="Y34" s="198"/>
      <c r="Z34" s="201">
        <v>30764.400000000001</v>
      </c>
      <c r="AA34" s="205"/>
      <c r="AB34" s="290"/>
      <c r="AC34" s="290"/>
      <c r="AD34" s="68"/>
      <c r="AE34" s="68"/>
      <c r="AF34" s="68"/>
      <c r="AG34" s="68"/>
      <c r="AH34" s="68"/>
      <c r="AI34" s="68"/>
      <c r="AJ34" s="68"/>
      <c r="AK34" s="68"/>
    </row>
    <row r="35" spans="1:37" ht="16.5" thickBot="1">
      <c r="A35" s="198"/>
      <c r="B35" s="198"/>
      <c r="C35" s="198"/>
      <c r="D35" s="198"/>
      <c r="E35" s="198"/>
      <c r="F35" s="198" t="s">
        <v>772</v>
      </c>
      <c r="G35" s="198"/>
      <c r="H35" s="199">
        <v>44256</v>
      </c>
      <c r="I35" s="198"/>
      <c r="J35" s="198" t="s">
        <v>834</v>
      </c>
      <c r="K35" s="198"/>
      <c r="L35" s="198" t="s">
        <v>823</v>
      </c>
      <c r="M35" s="198"/>
      <c r="N35" s="198"/>
      <c r="O35" s="198"/>
      <c r="P35" s="198" t="s">
        <v>519</v>
      </c>
      <c r="Q35" s="198"/>
      <c r="R35" s="200"/>
      <c r="S35" s="198"/>
      <c r="T35" s="198" t="s">
        <v>775</v>
      </c>
      <c r="U35" s="198"/>
      <c r="V35" s="201">
        <v>2393.6</v>
      </c>
      <c r="W35" s="198"/>
      <c r="X35" s="201"/>
      <c r="Y35" s="198"/>
      <c r="Z35" s="201">
        <v>33158</v>
      </c>
      <c r="AA35" s="205"/>
      <c r="AB35" s="290"/>
      <c r="AC35" s="290"/>
      <c r="AD35" s="68"/>
      <c r="AE35" s="68"/>
      <c r="AF35" s="68"/>
      <c r="AG35" s="68"/>
      <c r="AH35" s="68"/>
      <c r="AI35" s="68"/>
      <c r="AJ35" s="68"/>
      <c r="AK35" s="68"/>
    </row>
    <row r="36" spans="1:37" ht="16.5" thickBot="1">
      <c r="A36" s="198"/>
      <c r="B36" s="198"/>
      <c r="C36" s="198" t="s">
        <v>835</v>
      </c>
      <c r="D36" s="198"/>
      <c r="E36" s="198"/>
      <c r="F36" s="198"/>
      <c r="G36" s="198"/>
      <c r="H36" s="199"/>
      <c r="I36" s="198"/>
      <c r="J36" s="198"/>
      <c r="K36" s="198"/>
      <c r="L36" s="198"/>
      <c r="M36" s="198"/>
      <c r="N36" s="198"/>
      <c r="O36" s="198"/>
      <c r="P36" s="198"/>
      <c r="Q36" s="198"/>
      <c r="R36" s="198"/>
      <c r="S36" s="198"/>
      <c r="T36" s="198"/>
      <c r="U36" s="198"/>
      <c r="V36" s="202">
        <f>ROUND(SUM(V3:V35),5)</f>
        <v>33128</v>
      </c>
      <c r="W36" s="198"/>
      <c r="X36" s="202">
        <f>ROUND(SUM(X3:X35),5)</f>
        <v>0</v>
      </c>
      <c r="Y36" s="198"/>
      <c r="Z36" s="202">
        <f>Z35</f>
        <v>33158</v>
      </c>
      <c r="AA36" s="205"/>
      <c r="AB36" s="290"/>
      <c r="AC36" s="290"/>
      <c r="AD36" s="68"/>
      <c r="AE36" s="68"/>
      <c r="AF36" s="68"/>
      <c r="AG36" s="68"/>
      <c r="AH36" s="68"/>
      <c r="AI36" s="68"/>
      <c r="AJ36" s="68"/>
      <c r="AK36" s="68"/>
    </row>
    <row r="37" spans="1:37" ht="16.5" thickBot="1">
      <c r="A37" s="198"/>
      <c r="B37" s="198" t="s">
        <v>371</v>
      </c>
      <c r="C37" s="198"/>
      <c r="D37" s="198"/>
      <c r="E37" s="198"/>
      <c r="F37" s="198"/>
      <c r="G37" s="198"/>
      <c r="H37" s="199"/>
      <c r="I37" s="198"/>
      <c r="J37" s="198"/>
      <c r="K37" s="198"/>
      <c r="L37" s="198"/>
      <c r="M37" s="198"/>
      <c r="N37" s="198"/>
      <c r="O37" s="198"/>
      <c r="P37" s="198"/>
      <c r="Q37" s="198"/>
      <c r="R37" s="198"/>
      <c r="S37" s="198"/>
      <c r="T37" s="198"/>
      <c r="U37" s="198"/>
      <c r="V37" s="202">
        <f>V36</f>
        <v>33128</v>
      </c>
      <c r="W37" s="198"/>
      <c r="X37" s="202">
        <f>X36</f>
        <v>0</v>
      </c>
      <c r="Y37" s="198"/>
      <c r="Z37" s="202">
        <f>Z36</f>
        <v>33158</v>
      </c>
      <c r="AA37" s="205"/>
      <c r="AB37" s="290"/>
      <c r="AC37" s="290"/>
      <c r="AD37" s="68"/>
      <c r="AE37" s="68"/>
      <c r="AF37" s="68"/>
      <c r="AG37" s="68"/>
      <c r="AH37" s="68"/>
      <c r="AI37" s="68"/>
      <c r="AJ37" s="68"/>
      <c r="AK37" s="68"/>
    </row>
    <row r="38" spans="1:37" ht="16.5" thickBot="1">
      <c r="A38" s="195" t="s">
        <v>215</v>
      </c>
      <c r="B38" s="195"/>
      <c r="C38" s="195"/>
      <c r="D38" s="195"/>
      <c r="E38" s="195"/>
      <c r="F38" s="195"/>
      <c r="G38" s="195"/>
      <c r="H38" s="196"/>
      <c r="I38" s="195"/>
      <c r="J38" s="195"/>
      <c r="K38" s="195"/>
      <c r="L38" s="195"/>
      <c r="M38" s="195"/>
      <c r="N38" s="195"/>
      <c r="O38" s="195"/>
      <c r="P38" s="195"/>
      <c r="Q38" s="195"/>
      <c r="R38" s="195"/>
      <c r="S38" s="195"/>
      <c r="T38" s="195"/>
      <c r="U38" s="195"/>
      <c r="V38" s="203">
        <f>V37</f>
        <v>33128</v>
      </c>
      <c r="W38" s="195"/>
      <c r="X38" s="203">
        <f>X37</f>
        <v>0</v>
      </c>
      <c r="Y38" s="195"/>
      <c r="Z38" s="203">
        <f>Z37</f>
        <v>33158</v>
      </c>
      <c r="AA38" s="376"/>
      <c r="AB38" s="290"/>
      <c r="AC38" s="290"/>
      <c r="AD38" s="68"/>
      <c r="AE38" s="68"/>
      <c r="AF38" s="68"/>
      <c r="AG38" s="68"/>
      <c r="AH38" s="68"/>
      <c r="AI38" s="68"/>
      <c r="AJ38" s="68"/>
      <c r="AK38" s="68"/>
    </row>
    <row r="39" spans="1:37" ht="16.5" thickTop="1">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90"/>
      <c r="AC39" s="290"/>
      <c r="AD39" s="68"/>
      <c r="AE39" s="68"/>
      <c r="AF39" s="68"/>
      <c r="AG39" s="68"/>
      <c r="AH39" s="68"/>
      <c r="AI39" s="68"/>
      <c r="AJ39" s="68"/>
      <c r="AK39" s="68"/>
    </row>
    <row r="40" spans="1:37" ht="15.75">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90"/>
      <c r="AC40" s="290"/>
      <c r="AD40" s="68"/>
      <c r="AE40" s="68"/>
      <c r="AF40" s="68"/>
      <c r="AG40" s="68"/>
      <c r="AH40" s="68"/>
      <c r="AI40" s="68"/>
      <c r="AJ40" s="68"/>
      <c r="AK40" s="68"/>
    </row>
    <row r="41" spans="1:37" ht="15.75">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90"/>
      <c r="AC41" s="290"/>
      <c r="AD41" s="68"/>
      <c r="AE41" s="68"/>
      <c r="AF41" s="68"/>
      <c r="AG41" s="68"/>
      <c r="AH41" s="68"/>
      <c r="AI41" s="68"/>
      <c r="AJ41" s="68"/>
      <c r="AK41" s="68"/>
    </row>
    <row r="42" spans="1:37" ht="15.75">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90"/>
      <c r="AC42" s="290"/>
      <c r="AD42" s="68"/>
      <c r="AE42" s="68"/>
      <c r="AF42" s="68"/>
      <c r="AG42" s="68"/>
      <c r="AH42" s="68"/>
      <c r="AI42" s="68"/>
      <c r="AJ42" s="68"/>
      <c r="AK42" s="68"/>
    </row>
    <row r="43" spans="1:37" ht="15.75">
      <c r="A43" s="198"/>
      <c r="B43" s="198"/>
      <c r="C43" s="198"/>
      <c r="D43" s="198"/>
      <c r="E43" s="198"/>
      <c r="F43" s="198"/>
      <c r="G43" s="198"/>
      <c r="H43" s="199"/>
      <c r="I43" s="198"/>
      <c r="J43" s="198"/>
      <c r="K43" s="198"/>
      <c r="L43" s="198"/>
      <c r="M43" s="198"/>
      <c r="N43" s="198"/>
      <c r="O43" s="198"/>
      <c r="P43" s="198"/>
      <c r="Q43" s="198"/>
      <c r="R43" s="200"/>
      <c r="S43" s="198"/>
      <c r="T43" s="198"/>
      <c r="U43" s="198"/>
      <c r="V43" s="201"/>
      <c r="W43" s="198"/>
      <c r="X43" s="201" t="s">
        <v>1294</v>
      </c>
      <c r="Y43" s="198" t="s">
        <v>1703</v>
      </c>
      <c r="Z43" s="201"/>
      <c r="AA43" s="290"/>
      <c r="AB43" s="290"/>
      <c r="AC43" s="290"/>
      <c r="AD43" s="68"/>
      <c r="AE43" s="68"/>
      <c r="AF43" s="68"/>
      <c r="AG43" s="68"/>
      <c r="AH43" s="68"/>
      <c r="AI43" s="68"/>
      <c r="AJ43" s="68"/>
      <c r="AK43" s="68"/>
    </row>
    <row r="44" spans="1:37" ht="15.75">
      <c r="A44" s="198"/>
      <c r="B44" s="198"/>
      <c r="C44" s="198"/>
      <c r="D44" s="198"/>
      <c r="E44" s="198"/>
      <c r="F44" s="198"/>
      <c r="G44" s="198"/>
      <c r="H44" s="199"/>
      <c r="I44" s="198"/>
      <c r="J44" s="198"/>
      <c r="K44" s="198"/>
      <c r="L44" s="198" t="s">
        <v>815</v>
      </c>
      <c r="M44" s="198"/>
      <c r="N44" s="198"/>
      <c r="O44" s="198"/>
      <c r="P44" s="198"/>
      <c r="Q44" s="198"/>
      <c r="R44" s="200"/>
      <c r="S44" s="198"/>
      <c r="T44" s="198"/>
      <c r="U44" s="198"/>
      <c r="V44" s="201">
        <f>SUM(V4:V5)</f>
        <v>680</v>
      </c>
      <c r="W44" s="198"/>
      <c r="X44" s="201">
        <f>+V44*0.1163</f>
        <v>79.084000000000003</v>
      </c>
      <c r="Y44" s="198" t="s">
        <v>1295</v>
      </c>
      <c r="Z44" s="201"/>
      <c r="AA44" s="290"/>
      <c r="AB44" s="290"/>
      <c r="AC44" s="290"/>
      <c r="AD44" s="68"/>
      <c r="AE44" s="68"/>
      <c r="AF44" s="68"/>
      <c r="AG44" s="68"/>
      <c r="AH44" s="68"/>
      <c r="AI44" s="68"/>
      <c r="AJ44" s="68"/>
      <c r="AK44" s="68"/>
    </row>
    <row r="45" spans="1:37" ht="15.75">
      <c r="A45" s="198"/>
      <c r="B45" s="198"/>
      <c r="C45" s="198"/>
      <c r="D45" s="198"/>
      <c r="E45" s="198"/>
      <c r="F45" s="198"/>
      <c r="G45" s="198"/>
      <c r="H45" s="199"/>
      <c r="I45" s="198"/>
      <c r="J45" s="198"/>
      <c r="K45" s="198"/>
      <c r="L45" s="198" t="s">
        <v>817</v>
      </c>
      <c r="M45" s="198"/>
      <c r="N45" s="198"/>
      <c r="O45" s="198"/>
      <c r="P45" s="198"/>
      <c r="Q45" s="198"/>
      <c r="R45" s="200"/>
      <c r="S45" s="198"/>
      <c r="T45" s="198"/>
      <c r="U45" s="198"/>
      <c r="V45" s="201">
        <f>SUM(V6:V7)</f>
        <v>600</v>
      </c>
      <c r="W45" s="198"/>
      <c r="X45" s="201">
        <f t="shared" ref="X45:X48" si="0">+V45*0.1163</f>
        <v>69.78</v>
      </c>
      <c r="Y45" s="198" t="s">
        <v>1295</v>
      </c>
      <c r="Z45" s="201"/>
      <c r="AA45" s="290"/>
      <c r="AB45" s="290"/>
      <c r="AC45" s="290"/>
      <c r="AD45" s="68"/>
      <c r="AE45" s="68"/>
      <c r="AF45" s="68"/>
      <c r="AG45" s="68"/>
      <c r="AH45" s="68"/>
      <c r="AI45" s="68"/>
      <c r="AJ45" s="68"/>
      <c r="AK45" s="68"/>
    </row>
    <row r="46" spans="1:37" ht="15.75">
      <c r="A46" s="198"/>
      <c r="B46" s="198"/>
      <c r="C46" s="198"/>
      <c r="D46" s="198"/>
      <c r="E46" s="198"/>
      <c r="F46" s="198"/>
      <c r="G46" s="198"/>
      <c r="H46" s="199"/>
      <c r="I46" s="198"/>
      <c r="J46" s="198"/>
      <c r="K46" s="198"/>
      <c r="L46" s="198" t="s">
        <v>819</v>
      </c>
      <c r="M46" s="198"/>
      <c r="N46" s="198"/>
      <c r="O46" s="198"/>
      <c r="P46" s="198"/>
      <c r="Q46" s="198"/>
      <c r="R46" s="200"/>
      <c r="S46" s="198"/>
      <c r="T46" s="198"/>
      <c r="U46" s="198"/>
      <c r="V46" s="201">
        <f>SUM(V8:V9)</f>
        <v>418</v>
      </c>
      <c r="W46" s="198"/>
      <c r="X46" s="201">
        <f t="shared" si="0"/>
        <v>48.613399999999999</v>
      </c>
      <c r="Y46" s="198" t="s">
        <v>1295</v>
      </c>
      <c r="Z46" s="201"/>
      <c r="AA46" s="290"/>
      <c r="AB46" s="290"/>
      <c r="AC46" s="290"/>
      <c r="AD46" s="68"/>
      <c r="AE46" s="68"/>
      <c r="AF46" s="68"/>
      <c r="AG46" s="68"/>
      <c r="AH46" s="68"/>
      <c r="AI46" s="68"/>
      <c r="AJ46" s="68"/>
      <c r="AK46" s="68"/>
    </row>
    <row r="47" spans="1:37" ht="15.75">
      <c r="A47" s="198"/>
      <c r="B47" s="198"/>
      <c r="C47" s="198"/>
      <c r="D47" s="198"/>
      <c r="E47" s="198"/>
      <c r="F47" s="198"/>
      <c r="G47" s="198"/>
      <c r="H47" s="199"/>
      <c r="I47" s="198"/>
      <c r="J47" s="198"/>
      <c r="K47" s="198"/>
      <c r="L47" s="198" t="s">
        <v>821</v>
      </c>
      <c r="M47" s="198"/>
      <c r="N47" s="198"/>
      <c r="O47" s="198"/>
      <c r="P47" s="198"/>
      <c r="Q47" s="198"/>
      <c r="R47" s="200"/>
      <c r="S47" s="198"/>
      <c r="T47" s="198"/>
      <c r="U47" s="198"/>
      <c r="V47" s="201">
        <f>SUM(V10:V11)</f>
        <v>500</v>
      </c>
      <c r="W47" s="198"/>
      <c r="X47" s="201">
        <f t="shared" si="0"/>
        <v>58.15</v>
      </c>
      <c r="Y47" s="198" t="s">
        <v>1295</v>
      </c>
      <c r="Z47" s="201"/>
      <c r="AA47" s="290"/>
      <c r="AB47" s="290"/>
      <c r="AC47" s="290"/>
      <c r="AD47" s="68"/>
      <c r="AE47" s="68"/>
      <c r="AF47" s="68"/>
      <c r="AG47" s="68"/>
      <c r="AH47" s="68"/>
      <c r="AI47" s="68"/>
      <c r="AJ47" s="68"/>
      <c r="AK47" s="68"/>
    </row>
    <row r="48" spans="1:37" ht="15.75">
      <c r="A48" s="198"/>
      <c r="B48" s="198"/>
      <c r="C48" s="198"/>
      <c r="D48" s="198"/>
      <c r="E48" s="198"/>
      <c r="F48" s="198"/>
      <c r="G48" s="198"/>
      <c r="H48" s="199"/>
      <c r="I48" s="198"/>
      <c r="J48" s="198"/>
      <c r="K48" s="198"/>
      <c r="L48" s="198" t="s">
        <v>823</v>
      </c>
      <c r="M48" s="198"/>
      <c r="N48" s="198"/>
      <c r="O48" s="198"/>
      <c r="P48" s="198"/>
      <c r="Q48" s="198"/>
      <c r="R48" s="198"/>
      <c r="S48" s="198"/>
      <c r="T48" s="198"/>
      <c r="U48" s="198"/>
      <c r="V48" s="377">
        <f>SUM(V12:V35)</f>
        <v>30930</v>
      </c>
      <c r="W48" s="198"/>
      <c r="X48" s="377">
        <f t="shared" si="0"/>
        <v>3597.1590000000001</v>
      </c>
      <c r="Y48" s="198" t="s">
        <v>1295</v>
      </c>
      <c r="Z48" s="201"/>
      <c r="AA48" s="290"/>
      <c r="AB48" s="290"/>
      <c r="AC48" s="290"/>
      <c r="AD48" s="68"/>
      <c r="AE48" s="68"/>
      <c r="AF48" s="68"/>
      <c r="AG48" s="68"/>
      <c r="AH48" s="68"/>
      <c r="AI48" s="68"/>
      <c r="AJ48" s="68"/>
      <c r="AK48" s="68"/>
    </row>
    <row r="49" spans="1:37" ht="15.75">
      <c r="A49" s="198"/>
      <c r="B49" s="198"/>
      <c r="C49" s="198"/>
      <c r="D49" s="198"/>
      <c r="E49" s="198"/>
      <c r="F49" s="198"/>
      <c r="G49" s="198"/>
      <c r="H49" s="199"/>
      <c r="I49" s="198"/>
      <c r="J49" s="198"/>
      <c r="K49" s="198"/>
      <c r="L49" s="198"/>
      <c r="M49" s="198"/>
      <c r="N49" s="198"/>
      <c r="O49" s="198"/>
      <c r="P49" s="198"/>
      <c r="Q49" s="198"/>
      <c r="R49" s="198"/>
      <c r="S49" s="198"/>
      <c r="T49" s="198"/>
      <c r="U49" s="198"/>
      <c r="V49" s="201">
        <f>SUM(V44:V48)</f>
        <v>33128</v>
      </c>
      <c r="W49" s="198"/>
      <c r="X49" s="201">
        <f>SUM(X44:X48)</f>
        <v>3852.7864</v>
      </c>
      <c r="Y49" s="198"/>
      <c r="Z49" s="201"/>
      <c r="AA49" s="290"/>
      <c r="AB49" s="290"/>
      <c r="AC49" s="290"/>
      <c r="AD49" s="68"/>
      <c r="AE49" s="68"/>
      <c r="AF49" s="68"/>
      <c r="AG49" s="68"/>
      <c r="AH49" s="68"/>
      <c r="AI49" s="68"/>
      <c r="AJ49" s="68"/>
      <c r="AK49" s="68"/>
    </row>
    <row r="50" spans="1:37" ht="15.75">
      <c r="A50" s="195"/>
      <c r="B50" s="195"/>
      <c r="C50" s="195"/>
      <c r="D50" s="195"/>
      <c r="E50" s="195"/>
      <c r="F50" s="195"/>
      <c r="G50" s="195"/>
      <c r="H50" s="196"/>
      <c r="I50" s="195"/>
      <c r="J50" s="195"/>
      <c r="K50" s="195"/>
      <c r="L50" s="195"/>
      <c r="M50" s="195"/>
      <c r="N50" s="195"/>
      <c r="O50" s="195"/>
      <c r="P50" s="195"/>
      <c r="Q50" s="195"/>
      <c r="R50" s="195"/>
      <c r="S50" s="195"/>
      <c r="T50" s="195"/>
      <c r="U50" s="195"/>
      <c r="V50" s="197"/>
      <c r="W50" s="195"/>
      <c r="X50" s="197"/>
      <c r="Y50" s="195"/>
      <c r="Z50" s="197"/>
      <c r="AA50" s="290"/>
      <c r="AB50" s="290"/>
      <c r="AC50" s="290"/>
      <c r="AD50" s="68"/>
      <c r="AE50" s="68"/>
      <c r="AF50" s="68"/>
      <c r="AG50" s="68"/>
      <c r="AH50" s="68"/>
      <c r="AI50" s="68"/>
      <c r="AJ50" s="68"/>
      <c r="AK50" s="68"/>
    </row>
    <row r="51" spans="1:37" ht="15.75">
      <c r="A51" s="204"/>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90"/>
      <c r="AB51" s="290"/>
      <c r="AC51" s="290"/>
      <c r="AD51" s="68"/>
      <c r="AE51" s="68"/>
      <c r="AF51" s="68"/>
      <c r="AG51" s="68"/>
      <c r="AH51" s="68"/>
      <c r="AI51" s="68"/>
      <c r="AJ51" s="68"/>
      <c r="AK51" s="68"/>
    </row>
    <row r="52" spans="1:37" ht="15.75">
      <c r="A52" s="204"/>
      <c r="B52" s="204"/>
      <c r="C52" s="204"/>
      <c r="D52" s="204"/>
      <c r="E52" s="204"/>
      <c r="F52" s="204"/>
      <c r="G52" s="204"/>
      <c r="H52" s="204"/>
      <c r="I52" s="204"/>
      <c r="J52" s="204"/>
      <c r="K52" s="204"/>
      <c r="L52" s="204"/>
      <c r="M52" s="204"/>
      <c r="N52" s="204"/>
      <c r="O52" s="204"/>
      <c r="P52" s="204"/>
      <c r="Q52" s="204"/>
      <c r="R52" s="204"/>
      <c r="S52" s="204"/>
      <c r="T52" s="204"/>
      <c r="U52" s="204"/>
      <c r="V52" s="378"/>
      <c r="W52" s="204"/>
      <c r="X52" s="204"/>
      <c r="Y52" s="204"/>
      <c r="Z52" s="204"/>
      <c r="AA52" s="290"/>
      <c r="AB52" s="290"/>
      <c r="AC52" s="290"/>
      <c r="AD52" s="68"/>
      <c r="AE52" s="68"/>
      <c r="AF52" s="68"/>
      <c r="AG52" s="68"/>
      <c r="AH52" s="68"/>
      <c r="AI52" s="68"/>
      <c r="AJ52" s="68"/>
      <c r="AK52" s="68"/>
    </row>
    <row r="53" spans="1:37" ht="15.75">
      <c r="A53" s="204"/>
      <c r="B53" s="204"/>
      <c r="C53" s="204"/>
      <c r="D53" s="204"/>
      <c r="E53" s="204"/>
      <c r="F53" s="204"/>
      <c r="G53" s="204"/>
      <c r="H53" s="204"/>
      <c r="I53" s="204"/>
      <c r="J53" s="204"/>
      <c r="K53" s="204"/>
      <c r="L53" s="204"/>
      <c r="M53" s="204"/>
      <c r="N53" s="204"/>
      <c r="O53" s="204"/>
      <c r="P53" s="204"/>
      <c r="Q53" s="204"/>
      <c r="R53" s="204"/>
      <c r="S53" s="204"/>
      <c r="T53" s="204"/>
      <c r="U53" s="204"/>
      <c r="V53" s="295"/>
      <c r="W53" s="204"/>
      <c r="X53" s="204"/>
      <c r="Y53" s="204"/>
      <c r="Z53" s="204"/>
      <c r="AA53" s="290"/>
      <c r="AB53" s="290"/>
      <c r="AC53" s="290"/>
      <c r="AD53" s="68"/>
      <c r="AE53" s="68"/>
      <c r="AF53" s="68"/>
      <c r="AG53" s="68"/>
      <c r="AH53" s="68"/>
      <c r="AI53" s="68"/>
      <c r="AJ53" s="68"/>
      <c r="AK53" s="68"/>
    </row>
    <row r="54" spans="1:37" ht="15.75">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68"/>
      <c r="AE54" s="68"/>
      <c r="AF54" s="68"/>
      <c r="AG54" s="68"/>
      <c r="AH54" s="68"/>
      <c r="AI54" s="68"/>
      <c r="AJ54" s="68"/>
      <c r="AK54" s="68"/>
    </row>
    <row r="55" spans="1:37" ht="15.75">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68"/>
      <c r="AE55" s="68"/>
      <c r="AF55" s="68"/>
      <c r="AG55" s="68"/>
      <c r="AH55" s="68"/>
      <c r="AI55" s="68"/>
      <c r="AJ55" s="68"/>
      <c r="AK55" s="68"/>
    </row>
    <row r="56" spans="1:37" ht="15.75">
      <c r="A56" s="290"/>
      <c r="B56" s="290"/>
      <c r="C56" s="379"/>
      <c r="D56" s="290"/>
      <c r="E56" s="290"/>
      <c r="F56" s="290"/>
      <c r="G56" s="290"/>
      <c r="H56" s="290"/>
      <c r="I56" s="290"/>
      <c r="J56" s="290"/>
      <c r="K56" s="290"/>
      <c r="L56" s="290"/>
      <c r="M56" s="290"/>
      <c r="N56" s="380"/>
      <c r="O56" s="290"/>
      <c r="P56" s="290"/>
      <c r="Q56" s="290"/>
      <c r="R56" s="290"/>
      <c r="S56" s="290"/>
      <c r="T56" s="381"/>
      <c r="U56" s="290"/>
      <c r="V56" s="380"/>
      <c r="W56" s="290"/>
      <c r="X56" s="290"/>
      <c r="Y56" s="290"/>
      <c r="Z56" s="290"/>
      <c r="AA56" s="290"/>
      <c r="AB56" s="290"/>
      <c r="AC56" s="290"/>
      <c r="AD56" s="68"/>
      <c r="AE56" s="68"/>
      <c r="AF56" s="68"/>
      <c r="AG56" s="68"/>
      <c r="AH56" s="68"/>
      <c r="AI56" s="68"/>
      <c r="AJ56" s="68"/>
      <c r="AK56" s="68"/>
    </row>
    <row r="57" spans="1:37" ht="15.75">
      <c r="A57" s="290"/>
      <c r="B57" s="290"/>
      <c r="C57" s="290"/>
      <c r="D57" s="290"/>
      <c r="E57" s="290"/>
      <c r="F57" s="290"/>
      <c r="G57" s="290"/>
      <c r="H57" s="290"/>
      <c r="I57" s="290"/>
      <c r="J57" s="290"/>
      <c r="K57" s="290"/>
      <c r="L57" s="290"/>
      <c r="M57" s="290"/>
      <c r="N57" s="380"/>
      <c r="O57" s="290"/>
      <c r="P57" s="290"/>
      <c r="Q57" s="290"/>
      <c r="R57" s="290"/>
      <c r="S57" s="290"/>
      <c r="T57" s="381"/>
      <c r="U57" s="290"/>
      <c r="V57" s="380"/>
      <c r="W57" s="290"/>
      <c r="X57" s="290"/>
      <c r="Y57" s="290"/>
      <c r="Z57" s="290"/>
      <c r="AA57" s="290"/>
      <c r="AB57" s="290"/>
      <c r="AC57" s="290"/>
      <c r="AD57" s="68"/>
      <c r="AE57" s="68"/>
      <c r="AF57" s="68"/>
      <c r="AG57" s="68"/>
      <c r="AH57" s="68"/>
      <c r="AI57" s="68"/>
      <c r="AJ57" s="68"/>
      <c r="AK57" s="68"/>
    </row>
    <row r="58" spans="1:37" ht="15.75">
      <c r="A58" s="68"/>
      <c r="B58" s="68"/>
      <c r="C58" s="68"/>
      <c r="D58" s="68"/>
      <c r="E58" s="68"/>
      <c r="F58" s="68"/>
      <c r="G58" s="68"/>
      <c r="H58" s="68"/>
      <c r="I58" s="68"/>
      <c r="J58" s="68"/>
      <c r="K58" s="68"/>
      <c r="L58" s="68"/>
      <c r="M58" s="68"/>
      <c r="N58" s="190"/>
      <c r="O58" s="68"/>
      <c r="P58" s="68"/>
      <c r="Q58" s="68"/>
      <c r="R58" s="68"/>
      <c r="S58" s="68"/>
      <c r="T58" s="191"/>
      <c r="U58" s="68"/>
      <c r="V58" s="190"/>
      <c r="W58" s="68"/>
      <c r="X58" s="68"/>
      <c r="Y58" s="68"/>
      <c r="Z58" s="68"/>
      <c r="AA58" s="68"/>
      <c r="AB58" s="68"/>
      <c r="AC58" s="68"/>
      <c r="AD58" s="68"/>
      <c r="AE58" s="68"/>
      <c r="AF58" s="68"/>
      <c r="AG58" s="68"/>
      <c r="AH58" s="68"/>
      <c r="AI58" s="68"/>
      <c r="AJ58" s="68"/>
      <c r="AK58" s="68"/>
    </row>
    <row r="59" spans="1:37" ht="15.75">
      <c r="A59" s="68"/>
      <c r="B59" s="68"/>
      <c r="C59" s="68"/>
      <c r="D59" s="68"/>
      <c r="E59" s="68"/>
      <c r="F59" s="68"/>
      <c r="G59" s="68"/>
      <c r="H59" s="68"/>
      <c r="I59" s="68"/>
      <c r="J59" s="68"/>
      <c r="K59" s="68"/>
      <c r="L59" s="68"/>
      <c r="M59" s="68"/>
      <c r="N59" s="190"/>
      <c r="O59" s="68"/>
      <c r="P59" s="68"/>
      <c r="Q59" s="68"/>
      <c r="R59" s="68"/>
      <c r="S59" s="68"/>
      <c r="T59" s="191"/>
      <c r="U59" s="68"/>
      <c r="V59" s="190"/>
      <c r="W59" s="68"/>
      <c r="X59" s="68"/>
      <c r="Y59" s="68"/>
      <c r="Z59" s="68"/>
      <c r="AA59" s="68"/>
      <c r="AB59" s="68"/>
      <c r="AC59" s="68"/>
      <c r="AD59" s="68"/>
      <c r="AE59" s="68"/>
      <c r="AF59" s="68"/>
      <c r="AG59" s="68"/>
      <c r="AH59" s="68"/>
      <c r="AI59" s="68"/>
      <c r="AJ59" s="68"/>
      <c r="AK59" s="68"/>
    </row>
    <row r="60" spans="1:37" ht="15.75">
      <c r="A60" s="68"/>
      <c r="B60" s="68"/>
      <c r="C60" s="68"/>
      <c r="D60" s="68"/>
      <c r="E60" s="68"/>
      <c r="F60" s="68"/>
      <c r="G60" s="68"/>
      <c r="H60" s="68"/>
      <c r="I60" s="68"/>
      <c r="J60" s="68"/>
      <c r="K60" s="68"/>
      <c r="L60" s="68"/>
      <c r="M60" s="68"/>
      <c r="N60" s="190"/>
      <c r="O60" s="68"/>
      <c r="P60" s="68"/>
      <c r="Q60" s="68"/>
      <c r="R60" s="68"/>
      <c r="S60" s="68"/>
      <c r="T60" s="191"/>
      <c r="U60" s="68"/>
      <c r="V60" s="190"/>
      <c r="W60" s="68"/>
      <c r="X60" s="68"/>
      <c r="Y60" s="68"/>
      <c r="Z60" s="68"/>
      <c r="AA60" s="68"/>
      <c r="AB60" s="68"/>
      <c r="AC60" s="68"/>
      <c r="AD60" s="68"/>
      <c r="AE60" s="68"/>
      <c r="AF60" s="68"/>
      <c r="AG60" s="68"/>
      <c r="AH60" s="68"/>
      <c r="AI60" s="68"/>
      <c r="AJ60" s="68"/>
      <c r="AK60" s="68"/>
    </row>
    <row r="61" spans="1:37" ht="15.75">
      <c r="A61" s="68"/>
      <c r="B61" s="68"/>
      <c r="C61" s="68"/>
      <c r="D61" s="68"/>
      <c r="E61" s="68"/>
      <c r="F61" s="68"/>
      <c r="G61" s="68"/>
      <c r="H61" s="68"/>
      <c r="I61" s="68"/>
      <c r="J61" s="68"/>
      <c r="K61" s="68"/>
      <c r="L61" s="68"/>
      <c r="M61" s="68"/>
      <c r="N61" s="190"/>
      <c r="O61" s="68"/>
      <c r="P61" s="68"/>
      <c r="Q61" s="68"/>
      <c r="R61" s="68"/>
      <c r="S61" s="68"/>
      <c r="T61" s="191"/>
      <c r="U61" s="68"/>
      <c r="V61" s="192"/>
      <c r="W61" s="68"/>
      <c r="X61" s="68"/>
      <c r="Y61" s="68"/>
      <c r="Z61" s="68"/>
      <c r="AA61" s="68"/>
      <c r="AB61" s="68"/>
      <c r="AC61" s="68"/>
      <c r="AD61" s="68"/>
      <c r="AE61" s="68"/>
      <c r="AF61" s="68"/>
      <c r="AG61" s="68"/>
      <c r="AH61" s="68"/>
      <c r="AI61" s="68"/>
      <c r="AJ61" s="68"/>
      <c r="AK61" s="68"/>
    </row>
    <row r="62" spans="1:37" ht="15.75">
      <c r="A62" s="68"/>
      <c r="B62" s="68"/>
      <c r="C62" s="68"/>
      <c r="D62" s="68"/>
      <c r="E62" s="68"/>
      <c r="F62" s="68"/>
      <c r="G62" s="68"/>
      <c r="H62" s="68"/>
      <c r="I62" s="68"/>
      <c r="J62" s="68"/>
      <c r="K62" s="68"/>
      <c r="L62" s="68"/>
      <c r="M62" s="68"/>
      <c r="N62" s="190"/>
      <c r="O62" s="68"/>
      <c r="P62" s="68"/>
      <c r="Q62" s="68"/>
      <c r="R62" s="68"/>
      <c r="S62" s="68"/>
      <c r="T62" s="191"/>
      <c r="U62" s="68"/>
      <c r="V62" s="192"/>
      <c r="W62" s="68"/>
      <c r="X62" s="191"/>
      <c r="Y62" s="68"/>
      <c r="Z62" s="68"/>
      <c r="AA62" s="68"/>
      <c r="AB62" s="68"/>
      <c r="AC62" s="68"/>
      <c r="AD62" s="68"/>
      <c r="AE62" s="68"/>
      <c r="AF62" s="68"/>
      <c r="AG62" s="68"/>
      <c r="AH62" s="68"/>
      <c r="AI62" s="68"/>
      <c r="AJ62" s="68"/>
      <c r="AK62" s="6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pdfxml.1" shapeId="59394" r:id="rId4">
          <objectPr defaultSize="0" r:id="rId5">
            <anchor moveWithCells="1">
              <from>
                <xdr:col>2</xdr:col>
                <xdr:colOff>0</xdr:colOff>
                <xdr:row>52</xdr:row>
                <xdr:rowOff>0</xdr:rowOff>
              </from>
              <to>
                <xdr:col>12</xdr:col>
                <xdr:colOff>38100</xdr:colOff>
                <xdr:row>91</xdr:row>
                <xdr:rowOff>19050</xdr:rowOff>
              </to>
            </anchor>
          </objectPr>
        </oleObject>
      </mc:Choice>
      <mc:Fallback>
        <oleObject progId="AcroExch.pdfxml.1" shapeId="59394"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DD79-99E9-4A0F-BC2B-925CEDF0BCBF}">
  <sheetPr codeName="Sheet27">
    <pageSetUpPr fitToPage="1"/>
  </sheetPr>
  <dimension ref="A1:Z69"/>
  <sheetViews>
    <sheetView topLeftCell="A49" workbookViewId="0">
      <selection activeCell="F68" sqref="F68"/>
    </sheetView>
  </sheetViews>
  <sheetFormatPr defaultRowHeight="15"/>
  <cols>
    <col min="1" max="2" width="2.33203125" customWidth="1"/>
    <col min="3" max="3" width="7.88671875" customWidth="1"/>
    <col min="4" max="5" width="1.77734375" customWidth="1"/>
    <col min="6" max="6" width="11.109375" bestFit="1" customWidth="1"/>
    <col min="7" max="7" width="1.77734375" customWidth="1"/>
    <col min="8" max="8" width="8.77734375" bestFit="1" customWidth="1"/>
    <col min="9" max="9" width="1.77734375" customWidth="1"/>
    <col min="11" max="11" width="1.77734375" customWidth="1"/>
    <col min="12" max="12" width="20.6640625" customWidth="1"/>
    <col min="13" max="13" width="1.77734375" customWidth="1"/>
    <col min="14" max="14" width="12.88671875" bestFit="1" customWidth="1"/>
    <col min="15" max="15" width="1.77734375" customWidth="1"/>
    <col min="16" max="16" width="7.77734375" bestFit="1" customWidth="1"/>
    <col min="17" max="19" width="0" hidden="1" customWidth="1"/>
    <col min="20" max="20" width="24" bestFit="1" customWidth="1"/>
    <col min="21" max="21" width="1.77734375" customWidth="1"/>
    <col min="22" max="22" width="7.88671875" bestFit="1" customWidth="1"/>
    <col min="23" max="23" width="1.77734375" customWidth="1"/>
    <col min="24" max="24" width="8.21875" bestFit="1" customWidth="1"/>
    <col min="25" max="25" width="1.77734375" customWidth="1"/>
    <col min="26" max="26" width="9.109375" bestFit="1" customWidth="1"/>
  </cols>
  <sheetData>
    <row r="1" spans="1:26" ht="15.75" thickBot="1">
      <c r="A1" s="193"/>
      <c r="B1" s="193"/>
      <c r="C1" s="193"/>
      <c r="D1" s="193"/>
      <c r="E1" s="193"/>
      <c r="F1" s="194" t="s">
        <v>45</v>
      </c>
      <c r="G1" s="193"/>
      <c r="H1" s="194" t="s">
        <v>762</v>
      </c>
      <c r="I1" s="193"/>
      <c r="J1" s="194" t="s">
        <v>763</v>
      </c>
      <c r="K1" s="193"/>
      <c r="L1" s="194" t="s">
        <v>764</v>
      </c>
      <c r="M1" s="193"/>
      <c r="N1" s="194" t="s">
        <v>765</v>
      </c>
      <c r="O1" s="193"/>
      <c r="P1" s="194" t="s">
        <v>766</v>
      </c>
      <c r="Q1" s="193"/>
      <c r="R1" s="194" t="s">
        <v>767</v>
      </c>
      <c r="S1" s="193"/>
      <c r="T1" s="194" t="s">
        <v>768</v>
      </c>
      <c r="U1" s="193"/>
      <c r="V1" s="194" t="s">
        <v>769</v>
      </c>
      <c r="W1" s="193"/>
      <c r="X1" s="194" t="s">
        <v>770</v>
      </c>
      <c r="Y1" s="193"/>
      <c r="Z1" s="194" t="s">
        <v>771</v>
      </c>
    </row>
    <row r="2" spans="1:26" ht="15.75" thickTop="1">
      <c r="A2" s="195"/>
      <c r="B2" s="195" t="s">
        <v>396</v>
      </c>
      <c r="C2" s="195"/>
      <c r="D2" s="195"/>
      <c r="E2" s="195"/>
      <c r="F2" s="195"/>
      <c r="G2" s="195"/>
      <c r="H2" s="196"/>
      <c r="I2" s="195"/>
      <c r="J2" s="195"/>
      <c r="K2" s="195"/>
      <c r="L2" s="195"/>
      <c r="M2" s="195"/>
      <c r="N2" s="195"/>
      <c r="O2" s="195"/>
      <c r="P2" s="195"/>
      <c r="Q2" s="195"/>
      <c r="R2" s="195"/>
      <c r="S2" s="195"/>
      <c r="T2" s="195"/>
      <c r="U2" s="195"/>
      <c r="V2" s="197"/>
      <c r="W2" s="195"/>
      <c r="X2" s="197"/>
      <c r="Y2" s="195"/>
      <c r="Z2" s="197"/>
    </row>
    <row r="3" spans="1:26">
      <c r="A3" s="195"/>
      <c r="B3" s="195"/>
      <c r="C3" s="195" t="s">
        <v>408</v>
      </c>
      <c r="D3" s="195"/>
      <c r="E3" s="195"/>
      <c r="F3" s="195"/>
      <c r="G3" s="195"/>
      <c r="H3" s="196"/>
      <c r="I3" s="195"/>
      <c r="J3" s="195"/>
      <c r="K3" s="195"/>
      <c r="L3" s="195"/>
      <c r="M3" s="195"/>
      <c r="N3" s="195"/>
      <c r="O3" s="195"/>
      <c r="P3" s="195"/>
      <c r="Q3" s="195"/>
      <c r="R3" s="195"/>
      <c r="S3" s="195"/>
      <c r="T3" s="195"/>
      <c r="U3" s="195"/>
      <c r="V3" s="197"/>
      <c r="W3" s="195"/>
      <c r="X3" s="197"/>
      <c r="Y3" s="195"/>
      <c r="Z3" s="197"/>
    </row>
    <row r="4" spans="1:26">
      <c r="A4" s="198"/>
      <c r="B4" s="198"/>
      <c r="C4" s="198"/>
      <c r="D4" s="198"/>
      <c r="E4" s="198"/>
      <c r="F4" s="198" t="s">
        <v>836</v>
      </c>
      <c r="G4" s="198"/>
      <c r="H4" s="199">
        <v>44019</v>
      </c>
      <c r="I4" s="198"/>
      <c r="J4" s="198" t="s">
        <v>837</v>
      </c>
      <c r="K4" s="198"/>
      <c r="L4" s="198" t="s">
        <v>838</v>
      </c>
      <c r="M4" s="198"/>
      <c r="N4" s="198" t="s">
        <v>839</v>
      </c>
      <c r="O4" s="198"/>
      <c r="P4" s="198" t="s">
        <v>675</v>
      </c>
      <c r="Q4" s="198"/>
      <c r="R4" s="200"/>
      <c r="S4" s="198"/>
      <c r="T4" s="198" t="s">
        <v>840</v>
      </c>
      <c r="U4" s="198"/>
      <c r="V4" s="201">
        <v>3.84</v>
      </c>
      <c r="W4" s="198"/>
      <c r="X4" s="201"/>
      <c r="Y4" s="198"/>
      <c r="Z4" s="201">
        <v>6618.84</v>
      </c>
    </row>
    <row r="5" spans="1:26">
      <c r="A5" s="198"/>
      <c r="B5" s="198"/>
      <c r="C5" s="198"/>
      <c r="D5" s="198"/>
      <c r="E5" s="198"/>
      <c r="F5" s="198" t="s">
        <v>836</v>
      </c>
      <c r="G5" s="198"/>
      <c r="H5" s="199">
        <v>44019</v>
      </c>
      <c r="I5" s="198"/>
      <c r="J5" s="198" t="s">
        <v>837</v>
      </c>
      <c r="K5" s="198"/>
      <c r="L5" s="198" t="s">
        <v>838</v>
      </c>
      <c r="M5" s="198"/>
      <c r="N5" s="198" t="s">
        <v>839</v>
      </c>
      <c r="O5" s="198"/>
      <c r="P5" s="198" t="s">
        <v>519</v>
      </c>
      <c r="Q5" s="198"/>
      <c r="R5" s="200"/>
      <c r="S5" s="198"/>
      <c r="T5" s="198" t="s">
        <v>840</v>
      </c>
      <c r="U5" s="198"/>
      <c r="V5" s="201">
        <v>28.14</v>
      </c>
      <c r="W5" s="198"/>
      <c r="X5" s="201"/>
      <c r="Y5" s="198"/>
      <c r="Z5" s="201">
        <v>6646.98</v>
      </c>
    </row>
    <row r="6" spans="1:26">
      <c r="A6" s="198"/>
      <c r="B6" s="198"/>
      <c r="C6" s="198"/>
      <c r="D6" s="198"/>
      <c r="E6" s="198"/>
      <c r="F6" s="198" t="s">
        <v>772</v>
      </c>
      <c r="G6" s="198"/>
      <c r="H6" s="199">
        <v>43970</v>
      </c>
      <c r="I6" s="198"/>
      <c r="J6" s="198" t="s">
        <v>841</v>
      </c>
      <c r="K6" s="198"/>
      <c r="L6" s="198" t="s">
        <v>842</v>
      </c>
      <c r="M6" s="198"/>
      <c r="N6" s="198" t="s">
        <v>843</v>
      </c>
      <c r="O6" s="198"/>
      <c r="P6" s="198" t="s">
        <v>675</v>
      </c>
      <c r="Q6" s="198"/>
      <c r="R6" s="200"/>
      <c r="S6" s="198"/>
      <c r="T6" s="198" t="s">
        <v>775</v>
      </c>
      <c r="U6" s="198"/>
      <c r="V6" s="201">
        <v>120</v>
      </c>
      <c r="W6" s="198"/>
      <c r="X6" s="201"/>
      <c r="Y6" s="198"/>
      <c r="Z6" s="201">
        <v>820</v>
      </c>
    </row>
    <row r="7" spans="1:26">
      <c r="A7" s="198"/>
      <c r="B7" s="198"/>
      <c r="C7" s="198"/>
      <c r="D7" s="198"/>
      <c r="E7" s="198"/>
      <c r="F7" s="198" t="s">
        <v>772</v>
      </c>
      <c r="G7" s="198"/>
      <c r="H7" s="199">
        <v>43970</v>
      </c>
      <c r="I7" s="198"/>
      <c r="J7" s="198" t="s">
        <v>841</v>
      </c>
      <c r="K7" s="198"/>
      <c r="L7" s="198" t="s">
        <v>842</v>
      </c>
      <c r="M7" s="198"/>
      <c r="N7" s="198" t="s">
        <v>843</v>
      </c>
      <c r="O7" s="198"/>
      <c r="P7" s="198" t="s">
        <v>519</v>
      </c>
      <c r="Q7" s="198"/>
      <c r="R7" s="200"/>
      <c r="S7" s="198"/>
      <c r="T7" s="198" t="s">
        <v>775</v>
      </c>
      <c r="U7" s="198"/>
      <c r="V7" s="201">
        <v>880</v>
      </c>
      <c r="W7" s="198"/>
      <c r="X7" s="201"/>
      <c r="Y7" s="198"/>
      <c r="Z7" s="201">
        <v>1700</v>
      </c>
    </row>
    <row r="8" spans="1:26">
      <c r="A8" s="198"/>
      <c r="B8" s="198"/>
      <c r="C8" s="198"/>
      <c r="D8" s="198"/>
      <c r="E8" s="198"/>
      <c r="F8" s="198" t="s">
        <v>844</v>
      </c>
      <c r="G8" s="198"/>
      <c r="H8" s="199">
        <v>44263</v>
      </c>
      <c r="I8" s="198"/>
      <c r="J8" s="198" t="s">
        <v>814</v>
      </c>
      <c r="K8" s="198"/>
      <c r="L8" s="198" t="s">
        <v>845</v>
      </c>
      <c r="M8" s="198"/>
      <c r="N8" s="198"/>
      <c r="O8" s="198"/>
      <c r="P8" s="198" t="s">
        <v>675</v>
      </c>
      <c r="Q8" s="198"/>
      <c r="R8" s="200"/>
      <c r="S8" s="198"/>
      <c r="T8" s="198" t="s">
        <v>846</v>
      </c>
      <c r="U8" s="198"/>
      <c r="V8" s="201">
        <v>4.8</v>
      </c>
      <c r="W8" s="198"/>
      <c r="X8" s="201"/>
      <c r="Y8" s="198"/>
      <c r="Z8" s="201">
        <v>15851.78</v>
      </c>
    </row>
    <row r="9" spans="1:26">
      <c r="A9" s="198"/>
      <c r="B9" s="198"/>
      <c r="C9" s="198"/>
      <c r="D9" s="198"/>
      <c r="E9" s="198"/>
      <c r="F9" s="198" t="s">
        <v>844</v>
      </c>
      <c r="G9" s="198"/>
      <c r="H9" s="199">
        <v>44263</v>
      </c>
      <c r="I9" s="198"/>
      <c r="J9" s="198" t="s">
        <v>814</v>
      </c>
      <c r="K9" s="198"/>
      <c r="L9" s="198" t="s">
        <v>845</v>
      </c>
      <c r="M9" s="198"/>
      <c r="N9" s="198"/>
      <c r="O9" s="198"/>
      <c r="P9" s="198" t="s">
        <v>519</v>
      </c>
      <c r="Q9" s="198"/>
      <c r="R9" s="200"/>
      <c r="S9" s="198"/>
      <c r="T9" s="198" t="s">
        <v>846</v>
      </c>
      <c r="U9" s="198"/>
      <c r="V9" s="201">
        <v>35.200000000000003</v>
      </c>
      <c r="W9" s="198"/>
      <c r="X9" s="201"/>
      <c r="Y9" s="198"/>
      <c r="Z9" s="201">
        <v>15886.98</v>
      </c>
    </row>
    <row r="10" spans="1:26">
      <c r="A10" s="198"/>
      <c r="B10" s="198"/>
      <c r="C10" s="198"/>
      <c r="D10" s="198"/>
      <c r="E10" s="198"/>
      <c r="F10" s="198" t="s">
        <v>772</v>
      </c>
      <c r="G10" s="198"/>
      <c r="H10" s="199">
        <v>43998</v>
      </c>
      <c r="I10" s="198"/>
      <c r="J10" s="198" t="s">
        <v>841</v>
      </c>
      <c r="K10" s="198"/>
      <c r="L10" s="198" t="s">
        <v>847</v>
      </c>
      <c r="M10" s="198"/>
      <c r="N10" s="198"/>
      <c r="O10" s="198"/>
      <c r="P10" s="198" t="s">
        <v>675</v>
      </c>
      <c r="Q10" s="198"/>
      <c r="R10" s="200"/>
      <c r="S10" s="198"/>
      <c r="T10" s="198" t="s">
        <v>775</v>
      </c>
      <c r="U10" s="198"/>
      <c r="V10" s="201">
        <v>120</v>
      </c>
      <c r="W10" s="198"/>
      <c r="X10" s="201"/>
      <c r="Y10" s="198"/>
      <c r="Z10" s="201">
        <v>2170</v>
      </c>
    </row>
    <row r="11" spans="1:26">
      <c r="A11" s="198"/>
      <c r="B11" s="198"/>
      <c r="C11" s="198"/>
      <c r="D11" s="198"/>
      <c r="E11" s="198"/>
      <c r="F11" s="198" t="s">
        <v>772</v>
      </c>
      <c r="G11" s="198"/>
      <c r="H11" s="199">
        <v>43998</v>
      </c>
      <c r="I11" s="198"/>
      <c r="J11" s="198" t="s">
        <v>841</v>
      </c>
      <c r="K11" s="198"/>
      <c r="L11" s="198" t="s">
        <v>847</v>
      </c>
      <c r="M11" s="198"/>
      <c r="N11" s="198"/>
      <c r="O11" s="198"/>
      <c r="P11" s="198" t="s">
        <v>519</v>
      </c>
      <c r="Q11" s="198"/>
      <c r="R11" s="200"/>
      <c r="S11" s="198"/>
      <c r="T11" s="198" t="s">
        <v>775</v>
      </c>
      <c r="U11" s="198"/>
      <c r="V11" s="201">
        <v>880</v>
      </c>
      <c r="W11" s="198"/>
      <c r="X11" s="201"/>
      <c r="Y11" s="198"/>
      <c r="Z11" s="201">
        <v>3050</v>
      </c>
    </row>
    <row r="12" spans="1:26">
      <c r="A12" s="198"/>
      <c r="B12" s="198"/>
      <c r="C12" s="198"/>
      <c r="D12" s="198"/>
      <c r="E12" s="198"/>
      <c r="F12" s="198" t="s">
        <v>772</v>
      </c>
      <c r="G12" s="198"/>
      <c r="H12" s="199">
        <v>44285</v>
      </c>
      <c r="I12" s="198"/>
      <c r="J12" s="198" t="s">
        <v>814</v>
      </c>
      <c r="K12" s="198"/>
      <c r="L12" s="198" t="s">
        <v>847</v>
      </c>
      <c r="M12" s="198"/>
      <c r="N12" s="198"/>
      <c r="O12" s="198"/>
      <c r="P12" s="198" t="s">
        <v>675</v>
      </c>
      <c r="Q12" s="198"/>
      <c r="R12" s="200"/>
      <c r="S12" s="198"/>
      <c r="T12" s="198" t="s">
        <v>775</v>
      </c>
      <c r="U12" s="198"/>
      <c r="V12" s="201">
        <v>120</v>
      </c>
      <c r="W12" s="198"/>
      <c r="X12" s="201"/>
      <c r="Y12" s="198"/>
      <c r="Z12" s="201">
        <v>16631.98</v>
      </c>
    </row>
    <row r="13" spans="1:26">
      <c r="A13" s="198"/>
      <c r="B13" s="198"/>
      <c r="C13" s="198"/>
      <c r="D13" s="198"/>
      <c r="E13" s="198"/>
      <c r="F13" s="198" t="s">
        <v>772</v>
      </c>
      <c r="G13" s="198"/>
      <c r="H13" s="199">
        <v>44285</v>
      </c>
      <c r="I13" s="198"/>
      <c r="J13" s="198" t="s">
        <v>814</v>
      </c>
      <c r="K13" s="198"/>
      <c r="L13" s="198" t="s">
        <v>847</v>
      </c>
      <c r="M13" s="198"/>
      <c r="N13" s="198"/>
      <c r="O13" s="198"/>
      <c r="P13" s="198" t="s">
        <v>519</v>
      </c>
      <c r="Q13" s="198"/>
      <c r="R13" s="200"/>
      <c r="S13" s="198"/>
      <c r="T13" s="198" t="s">
        <v>775</v>
      </c>
      <c r="U13" s="198"/>
      <c r="V13" s="201">
        <v>880</v>
      </c>
      <c r="W13" s="198"/>
      <c r="X13" s="201"/>
      <c r="Y13" s="198"/>
      <c r="Z13" s="201">
        <v>17511.98</v>
      </c>
    </row>
    <row r="14" spans="1:26">
      <c r="A14" s="198"/>
      <c r="B14" s="198"/>
      <c r="C14" s="198"/>
      <c r="D14" s="198"/>
      <c r="E14" s="198"/>
      <c r="F14" s="198" t="s">
        <v>772</v>
      </c>
      <c r="G14" s="198"/>
      <c r="H14" s="199">
        <v>43999</v>
      </c>
      <c r="I14" s="198"/>
      <c r="J14" s="198" t="s">
        <v>848</v>
      </c>
      <c r="K14" s="198"/>
      <c r="L14" s="198" t="s">
        <v>849</v>
      </c>
      <c r="M14" s="198"/>
      <c r="N14" s="198"/>
      <c r="O14" s="198"/>
      <c r="P14" s="198" t="s">
        <v>675</v>
      </c>
      <c r="Q14" s="198"/>
      <c r="R14" s="200"/>
      <c r="S14" s="198"/>
      <c r="T14" s="198" t="s">
        <v>775</v>
      </c>
      <c r="U14" s="198"/>
      <c r="V14" s="201">
        <v>375</v>
      </c>
      <c r="W14" s="198"/>
      <c r="X14" s="201"/>
      <c r="Y14" s="198"/>
      <c r="Z14" s="201">
        <v>3425</v>
      </c>
    </row>
    <row r="15" spans="1:26">
      <c r="A15" s="198"/>
      <c r="B15" s="198"/>
      <c r="C15" s="198"/>
      <c r="D15" s="198"/>
      <c r="E15" s="198"/>
      <c r="F15" s="198" t="s">
        <v>772</v>
      </c>
      <c r="G15" s="198"/>
      <c r="H15" s="199">
        <v>43999</v>
      </c>
      <c r="I15" s="198"/>
      <c r="J15" s="198" t="s">
        <v>848</v>
      </c>
      <c r="K15" s="198"/>
      <c r="L15" s="198" t="s">
        <v>849</v>
      </c>
      <c r="M15" s="198"/>
      <c r="N15" s="198"/>
      <c r="O15" s="198"/>
      <c r="P15" s="198" t="s">
        <v>519</v>
      </c>
      <c r="Q15" s="198"/>
      <c r="R15" s="200"/>
      <c r="S15" s="198"/>
      <c r="T15" s="198" t="s">
        <v>775</v>
      </c>
      <c r="U15" s="198"/>
      <c r="V15" s="201">
        <v>2750</v>
      </c>
      <c r="W15" s="198"/>
      <c r="X15" s="201"/>
      <c r="Y15" s="198"/>
      <c r="Z15" s="201">
        <v>6175</v>
      </c>
    </row>
    <row r="16" spans="1:26">
      <c r="A16" s="198"/>
      <c r="B16" s="198"/>
      <c r="C16" s="198"/>
      <c r="D16" s="198"/>
      <c r="E16" s="198"/>
      <c r="F16" s="198" t="s">
        <v>772</v>
      </c>
      <c r="G16" s="198"/>
      <c r="H16" s="199">
        <v>44033</v>
      </c>
      <c r="I16" s="198"/>
      <c r="J16" s="198" t="s">
        <v>781</v>
      </c>
      <c r="K16" s="198"/>
      <c r="L16" s="198" t="s">
        <v>849</v>
      </c>
      <c r="M16" s="198"/>
      <c r="N16" s="198"/>
      <c r="O16" s="198"/>
      <c r="P16" s="198" t="s">
        <v>675</v>
      </c>
      <c r="Q16" s="198"/>
      <c r="R16" s="200"/>
      <c r="S16" s="198"/>
      <c r="T16" s="198" t="s">
        <v>775</v>
      </c>
      <c r="U16" s="198"/>
      <c r="V16" s="201">
        <v>75</v>
      </c>
      <c r="W16" s="198"/>
      <c r="X16" s="201"/>
      <c r="Y16" s="198"/>
      <c r="Z16" s="201">
        <v>6721.98</v>
      </c>
    </row>
    <row r="17" spans="1:26">
      <c r="A17" s="198"/>
      <c r="B17" s="198"/>
      <c r="C17" s="198"/>
      <c r="D17" s="198"/>
      <c r="E17" s="198"/>
      <c r="F17" s="198" t="s">
        <v>772</v>
      </c>
      <c r="G17" s="198"/>
      <c r="H17" s="199">
        <v>44033</v>
      </c>
      <c r="I17" s="198"/>
      <c r="J17" s="198" t="s">
        <v>781</v>
      </c>
      <c r="K17" s="198"/>
      <c r="L17" s="198" t="s">
        <v>849</v>
      </c>
      <c r="M17" s="198"/>
      <c r="N17" s="198"/>
      <c r="O17" s="198"/>
      <c r="P17" s="198" t="s">
        <v>519</v>
      </c>
      <c r="Q17" s="198"/>
      <c r="R17" s="200"/>
      <c r="S17" s="198"/>
      <c r="T17" s="198" t="s">
        <v>775</v>
      </c>
      <c r="U17" s="198"/>
      <c r="V17" s="201">
        <v>550</v>
      </c>
      <c r="W17" s="198"/>
      <c r="X17" s="201"/>
      <c r="Y17" s="198"/>
      <c r="Z17" s="201">
        <v>7271.98</v>
      </c>
    </row>
    <row r="18" spans="1:26">
      <c r="A18" s="198"/>
      <c r="B18" s="198"/>
      <c r="C18" s="198"/>
      <c r="D18" s="198"/>
      <c r="E18" s="198"/>
      <c r="F18" s="198" t="s">
        <v>772</v>
      </c>
      <c r="G18" s="198"/>
      <c r="H18" s="199">
        <v>44068</v>
      </c>
      <c r="I18" s="198"/>
      <c r="J18" s="198" t="s">
        <v>850</v>
      </c>
      <c r="K18" s="198"/>
      <c r="L18" s="198" t="s">
        <v>849</v>
      </c>
      <c r="M18" s="198"/>
      <c r="N18" s="198" t="s">
        <v>851</v>
      </c>
      <c r="O18" s="198"/>
      <c r="P18" s="198" t="s">
        <v>675</v>
      </c>
      <c r="Q18" s="198"/>
      <c r="R18" s="200"/>
      <c r="S18" s="198"/>
      <c r="T18" s="198" t="s">
        <v>775</v>
      </c>
      <c r="U18" s="198"/>
      <c r="V18" s="201">
        <v>75</v>
      </c>
      <c r="W18" s="198"/>
      <c r="X18" s="201"/>
      <c r="Y18" s="198"/>
      <c r="Z18" s="201">
        <v>7696.98</v>
      </c>
    </row>
    <row r="19" spans="1:26">
      <c r="A19" s="198"/>
      <c r="B19" s="198"/>
      <c r="C19" s="198"/>
      <c r="D19" s="198"/>
      <c r="E19" s="198"/>
      <c r="F19" s="198" t="s">
        <v>772</v>
      </c>
      <c r="G19" s="198"/>
      <c r="H19" s="199">
        <v>44068</v>
      </c>
      <c r="I19" s="198"/>
      <c r="J19" s="198" t="s">
        <v>850</v>
      </c>
      <c r="K19" s="198"/>
      <c r="L19" s="198" t="s">
        <v>849</v>
      </c>
      <c r="M19" s="198"/>
      <c r="N19" s="198" t="s">
        <v>851</v>
      </c>
      <c r="O19" s="198"/>
      <c r="P19" s="198" t="s">
        <v>519</v>
      </c>
      <c r="Q19" s="198"/>
      <c r="R19" s="200"/>
      <c r="S19" s="198"/>
      <c r="T19" s="198" t="s">
        <v>775</v>
      </c>
      <c r="U19" s="198"/>
      <c r="V19" s="201">
        <v>550</v>
      </c>
      <c r="W19" s="198"/>
      <c r="X19" s="201"/>
      <c r="Y19" s="198"/>
      <c r="Z19" s="201">
        <v>8246.98</v>
      </c>
    </row>
    <row r="20" spans="1:26">
      <c r="A20" s="198"/>
      <c r="B20" s="198"/>
      <c r="C20" s="198"/>
      <c r="D20" s="198"/>
      <c r="E20" s="198"/>
      <c r="F20" s="198" t="s">
        <v>772</v>
      </c>
      <c r="G20" s="198"/>
      <c r="H20" s="199">
        <v>44131</v>
      </c>
      <c r="I20" s="198"/>
      <c r="J20" s="198" t="s">
        <v>852</v>
      </c>
      <c r="K20" s="198"/>
      <c r="L20" s="198" t="s">
        <v>849</v>
      </c>
      <c r="M20" s="198"/>
      <c r="N20" s="198"/>
      <c r="O20" s="198"/>
      <c r="P20" s="198" t="s">
        <v>675</v>
      </c>
      <c r="Q20" s="198"/>
      <c r="R20" s="200"/>
      <c r="S20" s="198"/>
      <c r="T20" s="198" t="s">
        <v>775</v>
      </c>
      <c r="U20" s="198"/>
      <c r="V20" s="201">
        <v>75</v>
      </c>
      <c r="W20" s="198"/>
      <c r="X20" s="201"/>
      <c r="Y20" s="198"/>
      <c r="Z20" s="201">
        <v>9021.98</v>
      </c>
    </row>
    <row r="21" spans="1:26">
      <c r="A21" s="198"/>
      <c r="B21" s="198"/>
      <c r="C21" s="198"/>
      <c r="D21" s="198"/>
      <c r="E21" s="198"/>
      <c r="F21" s="198" t="s">
        <v>772</v>
      </c>
      <c r="G21" s="198"/>
      <c r="H21" s="199">
        <v>44131</v>
      </c>
      <c r="I21" s="198"/>
      <c r="J21" s="198" t="s">
        <v>852</v>
      </c>
      <c r="K21" s="198"/>
      <c r="L21" s="198" t="s">
        <v>849</v>
      </c>
      <c r="M21" s="198"/>
      <c r="N21" s="198"/>
      <c r="O21" s="198"/>
      <c r="P21" s="198" t="s">
        <v>519</v>
      </c>
      <c r="Q21" s="198"/>
      <c r="R21" s="200"/>
      <c r="S21" s="198"/>
      <c r="T21" s="198" t="s">
        <v>775</v>
      </c>
      <c r="U21" s="198"/>
      <c r="V21" s="201">
        <v>550</v>
      </c>
      <c r="W21" s="198"/>
      <c r="X21" s="201"/>
      <c r="Y21" s="198"/>
      <c r="Z21" s="201">
        <v>9571.98</v>
      </c>
    </row>
    <row r="22" spans="1:26">
      <c r="A22" s="198"/>
      <c r="B22" s="198"/>
      <c r="C22" s="198"/>
      <c r="D22" s="198"/>
      <c r="E22" s="198"/>
      <c r="F22" s="198" t="s">
        <v>772</v>
      </c>
      <c r="G22" s="198"/>
      <c r="H22" s="199">
        <v>44152</v>
      </c>
      <c r="I22" s="198"/>
      <c r="J22" s="198" t="s">
        <v>853</v>
      </c>
      <c r="K22" s="198"/>
      <c r="L22" s="198" t="s">
        <v>849</v>
      </c>
      <c r="M22" s="198"/>
      <c r="N22" s="198"/>
      <c r="O22" s="198"/>
      <c r="P22" s="198" t="s">
        <v>675</v>
      </c>
      <c r="Q22" s="198"/>
      <c r="R22" s="200"/>
      <c r="S22" s="198"/>
      <c r="T22" s="198" t="s">
        <v>775</v>
      </c>
      <c r="U22" s="198"/>
      <c r="V22" s="201">
        <v>75</v>
      </c>
      <c r="W22" s="198"/>
      <c r="X22" s="201"/>
      <c r="Y22" s="198"/>
      <c r="Z22" s="201">
        <v>9996.98</v>
      </c>
    </row>
    <row r="23" spans="1:26">
      <c r="A23" s="198"/>
      <c r="B23" s="198"/>
      <c r="C23" s="198"/>
      <c r="D23" s="198"/>
      <c r="E23" s="198"/>
      <c r="F23" s="198" t="s">
        <v>772</v>
      </c>
      <c r="G23" s="198"/>
      <c r="H23" s="199">
        <v>44152</v>
      </c>
      <c r="I23" s="198"/>
      <c r="J23" s="198" t="s">
        <v>853</v>
      </c>
      <c r="K23" s="198"/>
      <c r="L23" s="198" t="s">
        <v>849</v>
      </c>
      <c r="M23" s="198"/>
      <c r="N23" s="198"/>
      <c r="O23" s="198"/>
      <c r="P23" s="198" t="s">
        <v>519</v>
      </c>
      <c r="Q23" s="198"/>
      <c r="R23" s="200"/>
      <c r="S23" s="198"/>
      <c r="T23" s="198" t="s">
        <v>775</v>
      </c>
      <c r="U23" s="198"/>
      <c r="V23" s="201">
        <v>550</v>
      </c>
      <c r="W23" s="198"/>
      <c r="X23" s="201"/>
      <c r="Y23" s="198"/>
      <c r="Z23" s="201">
        <v>10546.98</v>
      </c>
    </row>
    <row r="24" spans="1:26">
      <c r="A24" s="198"/>
      <c r="B24" s="198"/>
      <c r="C24" s="198"/>
      <c r="D24" s="198"/>
      <c r="E24" s="198"/>
      <c r="F24" s="198" t="s">
        <v>772</v>
      </c>
      <c r="G24" s="198"/>
      <c r="H24" s="199">
        <v>44180</v>
      </c>
      <c r="I24" s="198"/>
      <c r="J24" s="198" t="s">
        <v>854</v>
      </c>
      <c r="K24" s="198"/>
      <c r="L24" s="198" t="s">
        <v>849</v>
      </c>
      <c r="M24" s="198"/>
      <c r="N24" s="198"/>
      <c r="O24" s="198"/>
      <c r="P24" s="198" t="s">
        <v>675</v>
      </c>
      <c r="Q24" s="198"/>
      <c r="R24" s="200"/>
      <c r="S24" s="198"/>
      <c r="T24" s="198" t="s">
        <v>775</v>
      </c>
      <c r="U24" s="198"/>
      <c r="V24" s="201">
        <v>75</v>
      </c>
      <c r="W24" s="198"/>
      <c r="X24" s="201"/>
      <c r="Y24" s="198"/>
      <c r="Z24" s="201">
        <v>10971.98</v>
      </c>
    </row>
    <row r="25" spans="1:26">
      <c r="A25" s="198"/>
      <c r="B25" s="198"/>
      <c r="C25" s="198"/>
      <c r="D25" s="198"/>
      <c r="E25" s="198"/>
      <c r="F25" s="198" t="s">
        <v>772</v>
      </c>
      <c r="G25" s="198"/>
      <c r="H25" s="199">
        <v>44180</v>
      </c>
      <c r="I25" s="198"/>
      <c r="J25" s="198" t="s">
        <v>854</v>
      </c>
      <c r="K25" s="198"/>
      <c r="L25" s="198" t="s">
        <v>849</v>
      </c>
      <c r="M25" s="198"/>
      <c r="N25" s="198"/>
      <c r="O25" s="198"/>
      <c r="P25" s="198" t="s">
        <v>519</v>
      </c>
      <c r="Q25" s="198"/>
      <c r="R25" s="200"/>
      <c r="S25" s="198"/>
      <c r="T25" s="198" t="s">
        <v>775</v>
      </c>
      <c r="U25" s="198"/>
      <c r="V25" s="201">
        <v>550</v>
      </c>
      <c r="W25" s="198"/>
      <c r="X25" s="201"/>
      <c r="Y25" s="198"/>
      <c r="Z25" s="201">
        <v>11521.98</v>
      </c>
    </row>
    <row r="26" spans="1:26">
      <c r="A26" s="198"/>
      <c r="B26" s="198"/>
      <c r="C26" s="198"/>
      <c r="D26" s="198"/>
      <c r="E26" s="198"/>
      <c r="F26" s="198" t="s">
        <v>772</v>
      </c>
      <c r="G26" s="198"/>
      <c r="H26" s="199">
        <v>44196</v>
      </c>
      <c r="I26" s="198"/>
      <c r="J26" s="198" t="s">
        <v>855</v>
      </c>
      <c r="K26" s="198"/>
      <c r="L26" s="198" t="s">
        <v>849</v>
      </c>
      <c r="M26" s="198"/>
      <c r="N26" s="198"/>
      <c r="O26" s="198"/>
      <c r="P26" s="198" t="s">
        <v>675</v>
      </c>
      <c r="Q26" s="198"/>
      <c r="R26" s="200"/>
      <c r="S26" s="198"/>
      <c r="T26" s="198" t="s">
        <v>775</v>
      </c>
      <c r="U26" s="198"/>
      <c r="V26" s="201">
        <v>150</v>
      </c>
      <c r="W26" s="198"/>
      <c r="X26" s="201"/>
      <c r="Y26" s="198"/>
      <c r="Z26" s="201">
        <v>11671.98</v>
      </c>
    </row>
    <row r="27" spans="1:26">
      <c r="A27" s="198"/>
      <c r="B27" s="198"/>
      <c r="C27" s="198"/>
      <c r="D27" s="198"/>
      <c r="E27" s="198"/>
      <c r="F27" s="198" t="s">
        <v>772</v>
      </c>
      <c r="G27" s="198"/>
      <c r="H27" s="199">
        <v>44196</v>
      </c>
      <c r="I27" s="198"/>
      <c r="J27" s="198" t="s">
        <v>855</v>
      </c>
      <c r="K27" s="198"/>
      <c r="L27" s="198" t="s">
        <v>849</v>
      </c>
      <c r="M27" s="198"/>
      <c r="N27" s="198"/>
      <c r="O27" s="198"/>
      <c r="P27" s="198" t="s">
        <v>519</v>
      </c>
      <c r="Q27" s="198"/>
      <c r="R27" s="200"/>
      <c r="S27" s="198"/>
      <c r="T27" s="198" t="s">
        <v>775</v>
      </c>
      <c r="U27" s="198"/>
      <c r="V27" s="201">
        <v>1100</v>
      </c>
      <c r="W27" s="198"/>
      <c r="X27" s="201"/>
      <c r="Y27" s="198"/>
      <c r="Z27" s="201">
        <v>12771.98</v>
      </c>
    </row>
    <row r="28" spans="1:26">
      <c r="A28" s="198"/>
      <c r="B28" s="198"/>
      <c r="C28" s="198"/>
      <c r="D28" s="198"/>
      <c r="E28" s="198"/>
      <c r="F28" s="198" t="s">
        <v>772</v>
      </c>
      <c r="G28" s="198"/>
      <c r="H28" s="199">
        <v>44222</v>
      </c>
      <c r="I28" s="198"/>
      <c r="J28" s="198" t="s">
        <v>856</v>
      </c>
      <c r="K28" s="198"/>
      <c r="L28" s="198" t="s">
        <v>849</v>
      </c>
      <c r="M28" s="198"/>
      <c r="N28" s="198"/>
      <c r="O28" s="198"/>
      <c r="P28" s="198" t="s">
        <v>675</v>
      </c>
      <c r="Q28" s="198"/>
      <c r="R28" s="200"/>
      <c r="S28" s="198"/>
      <c r="T28" s="198" t="s">
        <v>775</v>
      </c>
      <c r="U28" s="198"/>
      <c r="V28" s="201">
        <v>75</v>
      </c>
      <c r="W28" s="198"/>
      <c r="X28" s="201"/>
      <c r="Y28" s="198"/>
      <c r="Z28" s="201">
        <v>13771.98</v>
      </c>
    </row>
    <row r="29" spans="1:26">
      <c r="A29" s="198"/>
      <c r="B29" s="198"/>
      <c r="C29" s="198"/>
      <c r="D29" s="198"/>
      <c r="E29" s="198"/>
      <c r="F29" s="198" t="s">
        <v>772</v>
      </c>
      <c r="G29" s="198"/>
      <c r="H29" s="199">
        <v>44222</v>
      </c>
      <c r="I29" s="198"/>
      <c r="J29" s="198" t="s">
        <v>856</v>
      </c>
      <c r="K29" s="198"/>
      <c r="L29" s="198" t="s">
        <v>849</v>
      </c>
      <c r="M29" s="198"/>
      <c r="N29" s="198"/>
      <c r="O29" s="198"/>
      <c r="P29" s="198" t="s">
        <v>519</v>
      </c>
      <c r="Q29" s="198"/>
      <c r="R29" s="200"/>
      <c r="S29" s="198"/>
      <c r="T29" s="198" t="s">
        <v>775</v>
      </c>
      <c r="U29" s="198"/>
      <c r="V29" s="201">
        <v>550</v>
      </c>
      <c r="W29" s="198"/>
      <c r="X29" s="201"/>
      <c r="Y29" s="198"/>
      <c r="Z29" s="201">
        <v>14321.98</v>
      </c>
    </row>
    <row r="30" spans="1:26">
      <c r="A30" s="198"/>
      <c r="B30" s="198"/>
      <c r="C30" s="198"/>
      <c r="D30" s="198"/>
      <c r="E30" s="198"/>
      <c r="F30" s="198" t="s">
        <v>772</v>
      </c>
      <c r="G30" s="198"/>
      <c r="H30" s="199">
        <v>44255</v>
      </c>
      <c r="I30" s="198"/>
      <c r="J30" s="198" t="s">
        <v>857</v>
      </c>
      <c r="K30" s="198"/>
      <c r="L30" s="198" t="s">
        <v>849</v>
      </c>
      <c r="M30" s="198"/>
      <c r="N30" s="198"/>
      <c r="O30" s="198"/>
      <c r="P30" s="198" t="s">
        <v>675</v>
      </c>
      <c r="Q30" s="198"/>
      <c r="R30" s="200"/>
      <c r="S30" s="198"/>
      <c r="T30" s="198" t="s">
        <v>775</v>
      </c>
      <c r="U30" s="198"/>
      <c r="V30" s="201">
        <v>75</v>
      </c>
      <c r="W30" s="198"/>
      <c r="X30" s="201"/>
      <c r="Y30" s="198"/>
      <c r="Z30" s="201">
        <v>14846.98</v>
      </c>
    </row>
    <row r="31" spans="1:26">
      <c r="A31" s="198"/>
      <c r="B31" s="198"/>
      <c r="C31" s="198"/>
      <c r="D31" s="198"/>
      <c r="E31" s="198"/>
      <c r="F31" s="198" t="s">
        <v>772</v>
      </c>
      <c r="G31" s="198"/>
      <c r="H31" s="199">
        <v>44255</v>
      </c>
      <c r="I31" s="198"/>
      <c r="J31" s="198" t="s">
        <v>857</v>
      </c>
      <c r="K31" s="198"/>
      <c r="L31" s="198" t="s">
        <v>849</v>
      </c>
      <c r="M31" s="198"/>
      <c r="N31" s="198"/>
      <c r="O31" s="198"/>
      <c r="P31" s="198" t="s">
        <v>519</v>
      </c>
      <c r="Q31" s="198"/>
      <c r="R31" s="200"/>
      <c r="S31" s="198"/>
      <c r="T31" s="198" t="s">
        <v>775</v>
      </c>
      <c r="U31" s="198"/>
      <c r="V31" s="201">
        <v>550</v>
      </c>
      <c r="W31" s="198"/>
      <c r="X31" s="201"/>
      <c r="Y31" s="198"/>
      <c r="Z31" s="201">
        <v>15396.98</v>
      </c>
    </row>
    <row r="32" spans="1:26">
      <c r="A32" s="198"/>
      <c r="B32" s="198"/>
      <c r="C32" s="198"/>
      <c r="D32" s="198"/>
      <c r="E32" s="198"/>
      <c r="F32" s="198" t="s">
        <v>772</v>
      </c>
      <c r="G32" s="198"/>
      <c r="H32" s="199">
        <v>44285</v>
      </c>
      <c r="I32" s="198"/>
      <c r="J32" s="198" t="s">
        <v>858</v>
      </c>
      <c r="K32" s="198"/>
      <c r="L32" s="198" t="s">
        <v>849</v>
      </c>
      <c r="M32" s="198"/>
      <c r="N32" s="198"/>
      <c r="O32" s="198"/>
      <c r="P32" s="198" t="s">
        <v>675</v>
      </c>
      <c r="Q32" s="198"/>
      <c r="R32" s="200"/>
      <c r="S32" s="198"/>
      <c r="T32" s="198" t="s">
        <v>775</v>
      </c>
      <c r="U32" s="198"/>
      <c r="V32" s="201">
        <v>75</v>
      </c>
      <c r="W32" s="198"/>
      <c r="X32" s="201"/>
      <c r="Y32" s="198"/>
      <c r="Z32" s="201">
        <v>15961.98</v>
      </c>
    </row>
    <row r="33" spans="1:26">
      <c r="A33" s="198"/>
      <c r="B33" s="198"/>
      <c r="C33" s="198"/>
      <c r="D33" s="198"/>
      <c r="E33" s="198"/>
      <c r="F33" s="198" t="s">
        <v>772</v>
      </c>
      <c r="G33" s="198"/>
      <c r="H33" s="199">
        <v>44285</v>
      </c>
      <c r="I33" s="198"/>
      <c r="J33" s="198" t="s">
        <v>858</v>
      </c>
      <c r="K33" s="198"/>
      <c r="L33" s="198" t="s">
        <v>849</v>
      </c>
      <c r="M33" s="198"/>
      <c r="N33" s="198"/>
      <c r="O33" s="198"/>
      <c r="P33" s="198" t="s">
        <v>519</v>
      </c>
      <c r="Q33" s="198"/>
      <c r="R33" s="200"/>
      <c r="S33" s="198"/>
      <c r="T33" s="198" t="s">
        <v>775</v>
      </c>
      <c r="U33" s="198"/>
      <c r="V33" s="201">
        <v>550</v>
      </c>
      <c r="W33" s="198"/>
      <c r="X33" s="201"/>
      <c r="Y33" s="198"/>
      <c r="Z33" s="201">
        <v>16511.98</v>
      </c>
    </row>
    <row r="34" spans="1:26">
      <c r="A34" s="198"/>
      <c r="B34" s="198"/>
      <c r="C34" s="198"/>
      <c r="D34" s="198"/>
      <c r="E34" s="198"/>
      <c r="F34" s="198" t="s">
        <v>772</v>
      </c>
      <c r="G34" s="198"/>
      <c r="H34" s="199">
        <v>44201</v>
      </c>
      <c r="I34" s="198"/>
      <c r="J34" s="198" t="s">
        <v>814</v>
      </c>
      <c r="K34" s="198"/>
      <c r="L34" s="198" t="s">
        <v>859</v>
      </c>
      <c r="M34" s="198"/>
      <c r="N34" s="198"/>
      <c r="O34" s="198"/>
      <c r="P34" s="198" t="s">
        <v>675</v>
      </c>
      <c r="Q34" s="198"/>
      <c r="R34" s="200"/>
      <c r="S34" s="198"/>
      <c r="T34" s="198" t="s">
        <v>775</v>
      </c>
      <c r="U34" s="198"/>
      <c r="V34" s="201">
        <v>57</v>
      </c>
      <c r="W34" s="198"/>
      <c r="X34" s="201"/>
      <c r="Y34" s="198"/>
      <c r="Z34" s="201">
        <v>13278.98</v>
      </c>
    </row>
    <row r="35" spans="1:26">
      <c r="A35" s="198"/>
      <c r="B35" s="198"/>
      <c r="C35" s="198"/>
      <c r="D35" s="198"/>
      <c r="E35" s="198"/>
      <c r="F35" s="198" t="s">
        <v>772</v>
      </c>
      <c r="G35" s="198"/>
      <c r="H35" s="199">
        <v>44201</v>
      </c>
      <c r="I35" s="198"/>
      <c r="J35" s="198" t="s">
        <v>814</v>
      </c>
      <c r="K35" s="198"/>
      <c r="L35" s="198" t="s">
        <v>859</v>
      </c>
      <c r="M35" s="198"/>
      <c r="N35" s="198"/>
      <c r="O35" s="198"/>
      <c r="P35" s="198" t="s">
        <v>519</v>
      </c>
      <c r="Q35" s="198"/>
      <c r="R35" s="200"/>
      <c r="S35" s="198"/>
      <c r="T35" s="198" t="s">
        <v>775</v>
      </c>
      <c r="U35" s="198"/>
      <c r="V35" s="201">
        <v>418</v>
      </c>
      <c r="W35" s="198"/>
      <c r="X35" s="201"/>
      <c r="Y35" s="198"/>
      <c r="Z35" s="201">
        <v>13696.98</v>
      </c>
    </row>
    <row r="36" spans="1:26">
      <c r="A36" s="198"/>
      <c r="B36" s="198"/>
      <c r="C36" s="198"/>
      <c r="D36" s="198"/>
      <c r="E36" s="198"/>
      <c r="F36" s="198" t="s">
        <v>772</v>
      </c>
      <c r="G36" s="198"/>
      <c r="H36" s="199">
        <v>43922</v>
      </c>
      <c r="I36" s="198"/>
      <c r="J36" s="198" t="s">
        <v>860</v>
      </c>
      <c r="K36" s="198"/>
      <c r="L36" s="198" t="s">
        <v>861</v>
      </c>
      <c r="M36" s="198"/>
      <c r="N36" s="198"/>
      <c r="O36" s="198"/>
      <c r="P36" s="198" t="s">
        <v>675</v>
      </c>
      <c r="Q36" s="198"/>
      <c r="R36" s="200"/>
      <c r="S36" s="198"/>
      <c r="T36" s="198" t="s">
        <v>775</v>
      </c>
      <c r="U36" s="198"/>
      <c r="V36" s="201">
        <v>42</v>
      </c>
      <c r="W36" s="198"/>
      <c r="X36" s="201"/>
      <c r="Y36" s="198"/>
      <c r="Z36" s="201">
        <v>42</v>
      </c>
    </row>
    <row r="37" spans="1:26">
      <c r="A37" s="198"/>
      <c r="B37" s="198"/>
      <c r="C37" s="198"/>
      <c r="D37" s="198"/>
      <c r="E37" s="198"/>
      <c r="F37" s="198" t="s">
        <v>772</v>
      </c>
      <c r="G37" s="198"/>
      <c r="H37" s="199">
        <v>43922</v>
      </c>
      <c r="I37" s="198"/>
      <c r="J37" s="198" t="s">
        <v>860</v>
      </c>
      <c r="K37" s="198"/>
      <c r="L37" s="198" t="s">
        <v>861</v>
      </c>
      <c r="M37" s="198"/>
      <c r="N37" s="198"/>
      <c r="O37" s="198"/>
      <c r="P37" s="198" t="s">
        <v>519</v>
      </c>
      <c r="Q37" s="198"/>
      <c r="R37" s="200"/>
      <c r="S37" s="198"/>
      <c r="T37" s="198" t="s">
        <v>775</v>
      </c>
      <c r="U37" s="198"/>
      <c r="V37" s="201">
        <v>308</v>
      </c>
      <c r="W37" s="198"/>
      <c r="X37" s="201"/>
      <c r="Y37" s="198"/>
      <c r="Z37" s="201">
        <v>350</v>
      </c>
    </row>
    <row r="38" spans="1:26">
      <c r="A38" s="198"/>
      <c r="B38" s="198"/>
      <c r="C38" s="198"/>
      <c r="D38" s="198"/>
      <c r="E38" s="198"/>
      <c r="F38" s="198" t="s">
        <v>772</v>
      </c>
      <c r="G38" s="198"/>
      <c r="H38" s="199">
        <v>43955</v>
      </c>
      <c r="I38" s="198"/>
      <c r="J38" s="198" t="s">
        <v>862</v>
      </c>
      <c r="K38" s="198"/>
      <c r="L38" s="198" t="s">
        <v>861</v>
      </c>
      <c r="M38" s="198"/>
      <c r="N38" s="198"/>
      <c r="O38" s="198"/>
      <c r="P38" s="198" t="s">
        <v>675</v>
      </c>
      <c r="Q38" s="198"/>
      <c r="R38" s="200"/>
      <c r="S38" s="198"/>
      <c r="T38" s="198" t="s">
        <v>775</v>
      </c>
      <c r="U38" s="198"/>
      <c r="V38" s="201">
        <v>42</v>
      </c>
      <c r="W38" s="198"/>
      <c r="X38" s="201"/>
      <c r="Y38" s="198"/>
      <c r="Z38" s="201">
        <v>392</v>
      </c>
    </row>
    <row r="39" spans="1:26">
      <c r="A39" s="198"/>
      <c r="B39" s="198"/>
      <c r="C39" s="198"/>
      <c r="D39" s="198"/>
      <c r="E39" s="198"/>
      <c r="F39" s="198" t="s">
        <v>772</v>
      </c>
      <c r="G39" s="198"/>
      <c r="H39" s="199">
        <v>43955</v>
      </c>
      <c r="I39" s="198"/>
      <c r="J39" s="198" t="s">
        <v>862</v>
      </c>
      <c r="K39" s="198"/>
      <c r="L39" s="198" t="s">
        <v>861</v>
      </c>
      <c r="M39" s="198"/>
      <c r="N39" s="198"/>
      <c r="O39" s="198"/>
      <c r="P39" s="198" t="s">
        <v>519</v>
      </c>
      <c r="Q39" s="198"/>
      <c r="R39" s="200"/>
      <c r="S39" s="198"/>
      <c r="T39" s="198" t="s">
        <v>775</v>
      </c>
      <c r="U39" s="198"/>
      <c r="V39" s="201">
        <v>308</v>
      </c>
      <c r="W39" s="198"/>
      <c r="X39" s="201"/>
      <c r="Y39" s="198"/>
      <c r="Z39" s="201">
        <v>700</v>
      </c>
    </row>
    <row r="40" spans="1:26">
      <c r="A40" s="198"/>
      <c r="B40" s="198"/>
      <c r="C40" s="198"/>
      <c r="D40" s="198"/>
      <c r="E40" s="198"/>
      <c r="F40" s="198" t="s">
        <v>772</v>
      </c>
      <c r="G40" s="198"/>
      <c r="H40" s="199">
        <v>43987</v>
      </c>
      <c r="I40" s="198"/>
      <c r="J40" s="198" t="s">
        <v>863</v>
      </c>
      <c r="K40" s="198"/>
      <c r="L40" s="198" t="s">
        <v>861</v>
      </c>
      <c r="M40" s="198"/>
      <c r="N40" s="198"/>
      <c r="O40" s="198"/>
      <c r="P40" s="198" t="s">
        <v>675</v>
      </c>
      <c r="Q40" s="198"/>
      <c r="R40" s="200"/>
      <c r="S40" s="198"/>
      <c r="T40" s="198" t="s">
        <v>775</v>
      </c>
      <c r="U40" s="198"/>
      <c r="V40" s="201">
        <v>42</v>
      </c>
      <c r="W40" s="198"/>
      <c r="X40" s="201"/>
      <c r="Y40" s="198"/>
      <c r="Z40" s="201">
        <v>1742</v>
      </c>
    </row>
    <row r="41" spans="1:26">
      <c r="A41" s="198"/>
      <c r="B41" s="198"/>
      <c r="C41" s="198"/>
      <c r="D41" s="198"/>
      <c r="E41" s="198"/>
      <c r="F41" s="198" t="s">
        <v>772</v>
      </c>
      <c r="G41" s="198"/>
      <c r="H41" s="199">
        <v>43987</v>
      </c>
      <c r="I41" s="198"/>
      <c r="J41" s="198" t="s">
        <v>863</v>
      </c>
      <c r="K41" s="198"/>
      <c r="L41" s="198" t="s">
        <v>861</v>
      </c>
      <c r="M41" s="198"/>
      <c r="N41" s="198"/>
      <c r="O41" s="198"/>
      <c r="P41" s="198" t="s">
        <v>519</v>
      </c>
      <c r="Q41" s="198"/>
      <c r="R41" s="200"/>
      <c r="S41" s="198"/>
      <c r="T41" s="198" t="s">
        <v>775</v>
      </c>
      <c r="U41" s="198"/>
      <c r="V41" s="201">
        <v>308</v>
      </c>
      <c r="W41" s="198"/>
      <c r="X41" s="201"/>
      <c r="Y41" s="198"/>
      <c r="Z41" s="201">
        <v>2050</v>
      </c>
    </row>
    <row r="42" spans="1:26">
      <c r="A42" s="198"/>
      <c r="B42" s="198"/>
      <c r="C42" s="198"/>
      <c r="D42" s="198"/>
      <c r="E42" s="198"/>
      <c r="F42" s="198" t="s">
        <v>772</v>
      </c>
      <c r="G42" s="198"/>
      <c r="H42" s="199">
        <v>44013</v>
      </c>
      <c r="I42" s="198"/>
      <c r="J42" s="198" t="s">
        <v>864</v>
      </c>
      <c r="K42" s="198"/>
      <c r="L42" s="198" t="s">
        <v>861</v>
      </c>
      <c r="M42" s="198"/>
      <c r="N42" s="198"/>
      <c r="O42" s="198"/>
      <c r="P42" s="198" t="s">
        <v>675</v>
      </c>
      <c r="Q42" s="198"/>
      <c r="R42" s="200"/>
      <c r="S42" s="198"/>
      <c r="T42" s="198" t="s">
        <v>775</v>
      </c>
      <c r="U42" s="198"/>
      <c r="V42" s="201">
        <v>42</v>
      </c>
      <c r="W42" s="198"/>
      <c r="X42" s="201"/>
      <c r="Y42" s="198"/>
      <c r="Z42" s="201">
        <v>6307</v>
      </c>
    </row>
    <row r="43" spans="1:26">
      <c r="A43" s="198"/>
      <c r="B43" s="198"/>
      <c r="C43" s="198"/>
      <c r="D43" s="198"/>
      <c r="E43" s="198"/>
      <c r="F43" s="198" t="s">
        <v>772</v>
      </c>
      <c r="G43" s="198"/>
      <c r="H43" s="199">
        <v>44013</v>
      </c>
      <c r="I43" s="198"/>
      <c r="J43" s="198" t="s">
        <v>864</v>
      </c>
      <c r="K43" s="198"/>
      <c r="L43" s="198" t="s">
        <v>861</v>
      </c>
      <c r="M43" s="198"/>
      <c r="N43" s="198"/>
      <c r="O43" s="198"/>
      <c r="P43" s="198" t="s">
        <v>519</v>
      </c>
      <c r="Q43" s="198"/>
      <c r="R43" s="200"/>
      <c r="S43" s="198"/>
      <c r="T43" s="198" t="s">
        <v>775</v>
      </c>
      <c r="U43" s="198"/>
      <c r="V43" s="201">
        <v>308</v>
      </c>
      <c r="W43" s="198"/>
      <c r="X43" s="201"/>
      <c r="Y43" s="198"/>
      <c r="Z43" s="201">
        <v>6615</v>
      </c>
    </row>
    <row r="44" spans="1:26">
      <c r="A44" s="198"/>
      <c r="B44" s="198"/>
      <c r="C44" s="198"/>
      <c r="D44" s="198"/>
      <c r="E44" s="198"/>
      <c r="F44" s="198" t="s">
        <v>772</v>
      </c>
      <c r="G44" s="198"/>
      <c r="H44" s="199">
        <v>44046</v>
      </c>
      <c r="I44" s="198"/>
      <c r="J44" s="198" t="s">
        <v>865</v>
      </c>
      <c r="K44" s="198"/>
      <c r="L44" s="198" t="s">
        <v>861</v>
      </c>
      <c r="M44" s="198"/>
      <c r="N44" s="198"/>
      <c r="O44" s="198"/>
      <c r="P44" s="198" t="s">
        <v>675</v>
      </c>
      <c r="Q44" s="198"/>
      <c r="R44" s="200"/>
      <c r="S44" s="198"/>
      <c r="T44" s="198" t="s">
        <v>775</v>
      </c>
      <c r="U44" s="198"/>
      <c r="V44" s="201">
        <v>42</v>
      </c>
      <c r="W44" s="198"/>
      <c r="X44" s="201"/>
      <c r="Y44" s="198"/>
      <c r="Z44" s="201">
        <v>7313.98</v>
      </c>
    </row>
    <row r="45" spans="1:26">
      <c r="A45" s="198"/>
      <c r="B45" s="198"/>
      <c r="C45" s="198"/>
      <c r="D45" s="198"/>
      <c r="E45" s="198"/>
      <c r="F45" s="198" t="s">
        <v>772</v>
      </c>
      <c r="G45" s="198"/>
      <c r="H45" s="199">
        <v>44046</v>
      </c>
      <c r="I45" s="198"/>
      <c r="J45" s="198" t="s">
        <v>865</v>
      </c>
      <c r="K45" s="198"/>
      <c r="L45" s="198" t="s">
        <v>861</v>
      </c>
      <c r="M45" s="198"/>
      <c r="N45" s="198"/>
      <c r="O45" s="198"/>
      <c r="P45" s="198" t="s">
        <v>519</v>
      </c>
      <c r="Q45" s="198"/>
      <c r="R45" s="200"/>
      <c r="S45" s="198"/>
      <c r="T45" s="198" t="s">
        <v>775</v>
      </c>
      <c r="U45" s="198"/>
      <c r="V45" s="201">
        <v>308</v>
      </c>
      <c r="W45" s="198"/>
      <c r="X45" s="201"/>
      <c r="Y45" s="198"/>
      <c r="Z45" s="201">
        <v>7621.98</v>
      </c>
    </row>
    <row r="46" spans="1:26">
      <c r="A46" s="198"/>
      <c r="B46" s="198"/>
      <c r="C46" s="198"/>
      <c r="D46" s="198"/>
      <c r="E46" s="198"/>
      <c r="F46" s="198" t="s">
        <v>772</v>
      </c>
      <c r="G46" s="198"/>
      <c r="H46" s="199">
        <v>44078</v>
      </c>
      <c r="I46" s="198"/>
      <c r="J46" s="198" t="s">
        <v>866</v>
      </c>
      <c r="K46" s="198"/>
      <c r="L46" s="198" t="s">
        <v>861</v>
      </c>
      <c r="M46" s="198"/>
      <c r="N46" s="198"/>
      <c r="O46" s="198"/>
      <c r="P46" s="198" t="s">
        <v>675</v>
      </c>
      <c r="Q46" s="198"/>
      <c r="R46" s="200"/>
      <c r="S46" s="198"/>
      <c r="T46" s="198" t="s">
        <v>775</v>
      </c>
      <c r="U46" s="198"/>
      <c r="V46" s="201">
        <v>42</v>
      </c>
      <c r="W46" s="198"/>
      <c r="X46" s="201"/>
      <c r="Y46" s="198"/>
      <c r="Z46" s="201">
        <v>8288.98</v>
      </c>
    </row>
    <row r="47" spans="1:26">
      <c r="A47" s="198"/>
      <c r="B47" s="198"/>
      <c r="C47" s="198"/>
      <c r="D47" s="198"/>
      <c r="E47" s="198"/>
      <c r="F47" s="198" t="s">
        <v>772</v>
      </c>
      <c r="G47" s="198"/>
      <c r="H47" s="199">
        <v>44078</v>
      </c>
      <c r="I47" s="198"/>
      <c r="J47" s="198" t="s">
        <v>866</v>
      </c>
      <c r="K47" s="198"/>
      <c r="L47" s="198" t="s">
        <v>861</v>
      </c>
      <c r="M47" s="198"/>
      <c r="N47" s="198"/>
      <c r="O47" s="198"/>
      <c r="P47" s="198" t="s">
        <v>519</v>
      </c>
      <c r="Q47" s="198"/>
      <c r="R47" s="200"/>
      <c r="S47" s="198"/>
      <c r="T47" s="198" t="s">
        <v>775</v>
      </c>
      <c r="U47" s="198"/>
      <c r="V47" s="201">
        <v>308</v>
      </c>
      <c r="W47" s="198"/>
      <c r="X47" s="201"/>
      <c r="Y47" s="198"/>
      <c r="Z47" s="201">
        <v>8596.98</v>
      </c>
    </row>
    <row r="48" spans="1:26">
      <c r="A48" s="198"/>
      <c r="B48" s="198"/>
      <c r="C48" s="198"/>
      <c r="D48" s="198"/>
      <c r="E48" s="198"/>
      <c r="F48" s="198" t="s">
        <v>772</v>
      </c>
      <c r="G48" s="198"/>
      <c r="H48" s="199">
        <v>44106</v>
      </c>
      <c r="I48" s="198"/>
      <c r="J48" s="198" t="s">
        <v>867</v>
      </c>
      <c r="K48" s="198"/>
      <c r="L48" s="198" t="s">
        <v>861</v>
      </c>
      <c r="M48" s="198"/>
      <c r="N48" s="198"/>
      <c r="O48" s="198"/>
      <c r="P48" s="198" t="s">
        <v>675</v>
      </c>
      <c r="Q48" s="198"/>
      <c r="R48" s="200"/>
      <c r="S48" s="198"/>
      <c r="T48" s="198" t="s">
        <v>775</v>
      </c>
      <c r="U48" s="198"/>
      <c r="V48" s="201">
        <v>42</v>
      </c>
      <c r="W48" s="198"/>
      <c r="X48" s="201"/>
      <c r="Y48" s="198"/>
      <c r="Z48" s="201">
        <v>8638.98</v>
      </c>
    </row>
    <row r="49" spans="1:26">
      <c r="A49" s="198"/>
      <c r="B49" s="198"/>
      <c r="C49" s="198"/>
      <c r="D49" s="198"/>
      <c r="E49" s="198"/>
      <c r="F49" s="198" t="s">
        <v>772</v>
      </c>
      <c r="G49" s="198"/>
      <c r="H49" s="199">
        <v>44106</v>
      </c>
      <c r="I49" s="198"/>
      <c r="J49" s="198" t="s">
        <v>867</v>
      </c>
      <c r="K49" s="198"/>
      <c r="L49" s="198" t="s">
        <v>861</v>
      </c>
      <c r="M49" s="198"/>
      <c r="N49" s="198"/>
      <c r="O49" s="198"/>
      <c r="P49" s="198" t="s">
        <v>519</v>
      </c>
      <c r="Q49" s="198"/>
      <c r="R49" s="200"/>
      <c r="S49" s="198"/>
      <c r="T49" s="198" t="s">
        <v>775</v>
      </c>
      <c r="U49" s="198"/>
      <c r="V49" s="201">
        <v>308</v>
      </c>
      <c r="W49" s="198"/>
      <c r="X49" s="201"/>
      <c r="Y49" s="198"/>
      <c r="Z49" s="201">
        <v>8946.98</v>
      </c>
    </row>
    <row r="50" spans="1:26">
      <c r="A50" s="198"/>
      <c r="B50" s="198"/>
      <c r="C50" s="198"/>
      <c r="D50" s="198"/>
      <c r="E50" s="198"/>
      <c r="F50" s="198" t="s">
        <v>772</v>
      </c>
      <c r="G50" s="198"/>
      <c r="H50" s="199">
        <v>44137</v>
      </c>
      <c r="I50" s="198"/>
      <c r="J50" s="198" t="s">
        <v>868</v>
      </c>
      <c r="K50" s="198"/>
      <c r="L50" s="198" t="s">
        <v>861</v>
      </c>
      <c r="M50" s="198"/>
      <c r="N50" s="198"/>
      <c r="O50" s="198"/>
      <c r="P50" s="198" t="s">
        <v>675</v>
      </c>
      <c r="Q50" s="198"/>
      <c r="R50" s="200"/>
      <c r="S50" s="198"/>
      <c r="T50" s="198" t="s">
        <v>775</v>
      </c>
      <c r="U50" s="198"/>
      <c r="V50" s="201">
        <v>42</v>
      </c>
      <c r="W50" s="198"/>
      <c r="X50" s="201"/>
      <c r="Y50" s="198"/>
      <c r="Z50" s="201">
        <v>9613.98</v>
      </c>
    </row>
    <row r="51" spans="1:26">
      <c r="A51" s="198"/>
      <c r="B51" s="198"/>
      <c r="C51" s="198"/>
      <c r="D51" s="198"/>
      <c r="E51" s="198"/>
      <c r="F51" s="198" t="s">
        <v>772</v>
      </c>
      <c r="G51" s="198"/>
      <c r="H51" s="199">
        <v>44137</v>
      </c>
      <c r="I51" s="198"/>
      <c r="J51" s="198" t="s">
        <v>868</v>
      </c>
      <c r="K51" s="198"/>
      <c r="L51" s="198" t="s">
        <v>861</v>
      </c>
      <c r="M51" s="198"/>
      <c r="N51" s="198"/>
      <c r="O51" s="198"/>
      <c r="P51" s="198" t="s">
        <v>519</v>
      </c>
      <c r="Q51" s="198"/>
      <c r="R51" s="200"/>
      <c r="S51" s="198"/>
      <c r="T51" s="198" t="s">
        <v>775</v>
      </c>
      <c r="U51" s="198"/>
      <c r="V51" s="201">
        <v>308</v>
      </c>
      <c r="W51" s="198"/>
      <c r="X51" s="201"/>
      <c r="Y51" s="198"/>
      <c r="Z51" s="201">
        <v>9921.98</v>
      </c>
    </row>
    <row r="52" spans="1:26">
      <c r="A52" s="198"/>
      <c r="B52" s="198"/>
      <c r="C52" s="198"/>
      <c r="D52" s="198"/>
      <c r="E52" s="198"/>
      <c r="F52" s="198" t="s">
        <v>772</v>
      </c>
      <c r="G52" s="198"/>
      <c r="H52" s="199">
        <v>44166</v>
      </c>
      <c r="I52" s="198"/>
      <c r="J52" s="198" t="s">
        <v>869</v>
      </c>
      <c r="K52" s="198"/>
      <c r="L52" s="198" t="s">
        <v>861</v>
      </c>
      <c r="M52" s="198"/>
      <c r="N52" s="198"/>
      <c r="O52" s="198"/>
      <c r="P52" s="198" t="s">
        <v>675</v>
      </c>
      <c r="Q52" s="198"/>
      <c r="R52" s="200"/>
      <c r="S52" s="198"/>
      <c r="T52" s="198" t="s">
        <v>775</v>
      </c>
      <c r="U52" s="198"/>
      <c r="V52" s="201">
        <v>42</v>
      </c>
      <c r="W52" s="198"/>
      <c r="X52" s="201"/>
      <c r="Y52" s="198"/>
      <c r="Z52" s="201">
        <v>10588.98</v>
      </c>
    </row>
    <row r="53" spans="1:26">
      <c r="A53" s="198"/>
      <c r="B53" s="198"/>
      <c r="C53" s="198"/>
      <c r="D53" s="198"/>
      <c r="E53" s="198"/>
      <c r="F53" s="198" t="s">
        <v>772</v>
      </c>
      <c r="G53" s="198"/>
      <c r="H53" s="199">
        <v>44166</v>
      </c>
      <c r="I53" s="198"/>
      <c r="J53" s="198" t="s">
        <v>869</v>
      </c>
      <c r="K53" s="198"/>
      <c r="L53" s="198" t="s">
        <v>861</v>
      </c>
      <c r="M53" s="198"/>
      <c r="N53" s="198"/>
      <c r="O53" s="198"/>
      <c r="P53" s="198" t="s">
        <v>519</v>
      </c>
      <c r="Q53" s="198"/>
      <c r="R53" s="200"/>
      <c r="S53" s="198"/>
      <c r="T53" s="198" t="s">
        <v>775</v>
      </c>
      <c r="U53" s="198"/>
      <c r="V53" s="201">
        <v>308</v>
      </c>
      <c r="W53" s="198"/>
      <c r="X53" s="201"/>
      <c r="Y53" s="198"/>
      <c r="Z53" s="201">
        <v>10896.98</v>
      </c>
    </row>
    <row r="54" spans="1:26">
      <c r="A54" s="198"/>
      <c r="B54" s="198"/>
      <c r="C54" s="198"/>
      <c r="D54" s="198"/>
      <c r="E54" s="198"/>
      <c r="F54" s="198" t="s">
        <v>772</v>
      </c>
      <c r="G54" s="198"/>
      <c r="H54" s="199">
        <v>44197</v>
      </c>
      <c r="I54" s="198"/>
      <c r="J54" s="198" t="s">
        <v>870</v>
      </c>
      <c r="K54" s="198"/>
      <c r="L54" s="198" t="s">
        <v>861</v>
      </c>
      <c r="M54" s="198"/>
      <c r="N54" s="198"/>
      <c r="O54" s="198"/>
      <c r="P54" s="198" t="s">
        <v>675</v>
      </c>
      <c r="Q54" s="198"/>
      <c r="R54" s="200"/>
      <c r="S54" s="198"/>
      <c r="T54" s="198" t="s">
        <v>775</v>
      </c>
      <c r="U54" s="198"/>
      <c r="V54" s="201">
        <v>54</v>
      </c>
      <c r="W54" s="198"/>
      <c r="X54" s="201"/>
      <c r="Y54" s="198"/>
      <c r="Z54" s="201">
        <v>12825.98</v>
      </c>
    </row>
    <row r="55" spans="1:26">
      <c r="A55" s="198"/>
      <c r="B55" s="198"/>
      <c r="C55" s="198"/>
      <c r="D55" s="198"/>
      <c r="E55" s="198"/>
      <c r="F55" s="198" t="s">
        <v>772</v>
      </c>
      <c r="G55" s="198"/>
      <c r="H55" s="199">
        <v>44197</v>
      </c>
      <c r="I55" s="198"/>
      <c r="J55" s="198" t="s">
        <v>870</v>
      </c>
      <c r="K55" s="198"/>
      <c r="L55" s="198" t="s">
        <v>861</v>
      </c>
      <c r="M55" s="198"/>
      <c r="N55" s="198"/>
      <c r="O55" s="198"/>
      <c r="P55" s="198" t="s">
        <v>519</v>
      </c>
      <c r="Q55" s="198"/>
      <c r="R55" s="200"/>
      <c r="S55" s="198"/>
      <c r="T55" s="198" t="s">
        <v>775</v>
      </c>
      <c r="U55" s="198"/>
      <c r="V55" s="201">
        <v>396</v>
      </c>
      <c r="W55" s="198"/>
      <c r="X55" s="201"/>
      <c r="Y55" s="198"/>
      <c r="Z55" s="201">
        <v>13221.98</v>
      </c>
    </row>
    <row r="56" spans="1:26">
      <c r="A56" s="198"/>
      <c r="B56" s="198"/>
      <c r="C56" s="198"/>
      <c r="D56" s="198"/>
      <c r="E56" s="198"/>
      <c r="F56" s="198" t="s">
        <v>772</v>
      </c>
      <c r="G56" s="198"/>
      <c r="H56" s="199">
        <v>44228</v>
      </c>
      <c r="I56" s="198"/>
      <c r="J56" s="198" t="s">
        <v>871</v>
      </c>
      <c r="K56" s="198"/>
      <c r="L56" s="198" t="s">
        <v>861</v>
      </c>
      <c r="M56" s="198"/>
      <c r="N56" s="198"/>
      <c r="O56" s="198"/>
      <c r="P56" s="198" t="s">
        <v>675</v>
      </c>
      <c r="Q56" s="198"/>
      <c r="R56" s="200"/>
      <c r="S56" s="198"/>
      <c r="T56" s="198" t="s">
        <v>775</v>
      </c>
      <c r="U56" s="198"/>
      <c r="V56" s="201">
        <v>54</v>
      </c>
      <c r="W56" s="198"/>
      <c r="X56" s="201"/>
      <c r="Y56" s="198"/>
      <c r="Z56" s="201">
        <v>14375.98</v>
      </c>
    </row>
    <row r="57" spans="1:26">
      <c r="A57" s="198"/>
      <c r="B57" s="198"/>
      <c r="C57" s="198"/>
      <c r="D57" s="198"/>
      <c r="E57" s="198"/>
      <c r="F57" s="198" t="s">
        <v>772</v>
      </c>
      <c r="G57" s="198"/>
      <c r="H57" s="199">
        <v>44228</v>
      </c>
      <c r="I57" s="198"/>
      <c r="J57" s="198" t="s">
        <v>871</v>
      </c>
      <c r="K57" s="198"/>
      <c r="L57" s="198" t="s">
        <v>861</v>
      </c>
      <c r="M57" s="198"/>
      <c r="N57" s="198"/>
      <c r="O57" s="198"/>
      <c r="P57" s="198" t="s">
        <v>519</v>
      </c>
      <c r="Q57" s="198"/>
      <c r="R57" s="200"/>
      <c r="S57" s="198"/>
      <c r="T57" s="198" t="s">
        <v>775</v>
      </c>
      <c r="U57" s="198"/>
      <c r="V57" s="201">
        <v>396</v>
      </c>
      <c r="W57" s="198"/>
      <c r="X57" s="201"/>
      <c r="Y57" s="198"/>
      <c r="Z57" s="201">
        <v>14771.98</v>
      </c>
    </row>
    <row r="58" spans="1:26">
      <c r="A58" s="198"/>
      <c r="B58" s="198"/>
      <c r="C58" s="198"/>
      <c r="D58" s="198"/>
      <c r="E58" s="198"/>
      <c r="F58" s="198" t="s">
        <v>772</v>
      </c>
      <c r="G58" s="198"/>
      <c r="H58" s="199">
        <v>44256</v>
      </c>
      <c r="I58" s="198"/>
      <c r="J58" s="198" t="s">
        <v>872</v>
      </c>
      <c r="K58" s="198"/>
      <c r="L58" s="198" t="s">
        <v>861</v>
      </c>
      <c r="M58" s="198"/>
      <c r="N58" s="198"/>
      <c r="O58" s="198"/>
      <c r="P58" s="198" t="s">
        <v>675</v>
      </c>
      <c r="Q58" s="198"/>
      <c r="R58" s="200"/>
      <c r="S58" s="198"/>
      <c r="T58" s="198" t="s">
        <v>775</v>
      </c>
      <c r="U58" s="198"/>
      <c r="V58" s="201">
        <v>54</v>
      </c>
      <c r="W58" s="198"/>
      <c r="X58" s="201"/>
      <c r="Y58" s="198"/>
      <c r="Z58" s="201">
        <v>15450.98</v>
      </c>
    </row>
    <row r="59" spans="1:26" ht="15.75" thickBot="1">
      <c r="A59" s="198"/>
      <c r="B59" s="198"/>
      <c r="C59" s="198"/>
      <c r="D59" s="198"/>
      <c r="E59" s="198"/>
      <c r="F59" s="198" t="s">
        <v>772</v>
      </c>
      <c r="G59" s="198"/>
      <c r="H59" s="199">
        <v>44256</v>
      </c>
      <c r="I59" s="198"/>
      <c r="J59" s="198" t="s">
        <v>872</v>
      </c>
      <c r="K59" s="198"/>
      <c r="L59" s="198" t="s">
        <v>861</v>
      </c>
      <c r="M59" s="198"/>
      <c r="N59" s="198"/>
      <c r="O59" s="198"/>
      <c r="P59" s="198" t="s">
        <v>519</v>
      </c>
      <c r="Q59" s="198"/>
      <c r="R59" s="200"/>
      <c r="S59" s="198"/>
      <c r="T59" s="198" t="s">
        <v>775</v>
      </c>
      <c r="U59" s="198"/>
      <c r="V59" s="201">
        <v>396</v>
      </c>
      <c r="W59" s="198"/>
      <c r="X59" s="201"/>
      <c r="Y59" s="198"/>
      <c r="Z59" s="201">
        <v>15846.98</v>
      </c>
    </row>
    <row r="60" spans="1:26" ht="15.75" thickBot="1">
      <c r="A60" s="198"/>
      <c r="B60" s="198"/>
      <c r="C60" s="198" t="s">
        <v>873</v>
      </c>
      <c r="D60" s="198"/>
      <c r="E60" s="198"/>
      <c r="F60" s="198"/>
      <c r="G60" s="198"/>
      <c r="H60" s="199"/>
      <c r="I60" s="198"/>
      <c r="J60" s="198"/>
      <c r="K60" s="198"/>
      <c r="L60" s="198"/>
      <c r="M60" s="198"/>
      <c r="N60" s="198"/>
      <c r="O60" s="198"/>
      <c r="P60" s="198"/>
      <c r="Q60" s="198"/>
      <c r="R60" s="198"/>
      <c r="S60" s="198"/>
      <c r="T60" s="198"/>
      <c r="U60" s="198"/>
      <c r="V60" s="202">
        <f>ROUND(SUM(V3:V59),5)</f>
        <v>17421.98</v>
      </c>
      <c r="W60" s="198"/>
      <c r="X60" s="202">
        <f>ROUND(SUM(X3:X59),5)</f>
        <v>0</v>
      </c>
      <c r="Y60" s="198"/>
      <c r="Z60" s="202">
        <f>Z59</f>
        <v>15846.98</v>
      </c>
    </row>
    <row r="61" spans="1:26" ht="15.75" thickBot="1">
      <c r="A61" s="198"/>
      <c r="B61" s="198" t="s">
        <v>412</v>
      </c>
      <c r="C61" s="198"/>
      <c r="D61" s="198"/>
      <c r="E61" s="198"/>
      <c r="F61" s="198"/>
      <c r="G61" s="198"/>
      <c r="H61" s="199"/>
      <c r="I61" s="198"/>
      <c r="J61" s="198"/>
      <c r="K61" s="198"/>
      <c r="L61" s="198"/>
      <c r="M61" s="198"/>
      <c r="N61" s="198"/>
      <c r="O61" s="198"/>
      <c r="P61" s="198"/>
      <c r="Q61" s="198"/>
      <c r="R61" s="198"/>
      <c r="S61" s="198"/>
      <c r="T61" s="198"/>
      <c r="U61" s="198"/>
      <c r="V61" s="202">
        <f>V60</f>
        <v>17421.98</v>
      </c>
      <c r="W61" s="198"/>
      <c r="X61" s="202">
        <f>X60</f>
        <v>0</v>
      </c>
      <c r="Y61" s="198"/>
      <c r="Z61" s="202">
        <f>Z60</f>
        <v>15846.98</v>
      </c>
    </row>
    <row r="62" spans="1:26" ht="15.75" thickBot="1">
      <c r="A62" s="195" t="s">
        <v>215</v>
      </c>
      <c r="B62" s="195"/>
      <c r="C62" s="195"/>
      <c r="D62" s="195"/>
      <c r="E62" s="195"/>
      <c r="F62" s="195"/>
      <c r="G62" s="195"/>
      <c r="H62" s="196"/>
      <c r="I62" s="195"/>
      <c r="J62" s="195"/>
      <c r="K62" s="195"/>
      <c r="L62" s="195"/>
      <c r="M62" s="195"/>
      <c r="N62" s="195"/>
      <c r="O62" s="195"/>
      <c r="P62" s="195"/>
      <c r="Q62" s="195"/>
      <c r="R62" s="195"/>
      <c r="S62" s="195"/>
      <c r="T62" s="195"/>
      <c r="U62" s="195"/>
      <c r="V62" s="203">
        <f>V61</f>
        <v>17421.98</v>
      </c>
      <c r="W62" s="195"/>
      <c r="X62" s="203">
        <f>X61</f>
        <v>0</v>
      </c>
      <c r="Y62" s="195"/>
      <c r="Z62" s="203">
        <f>Z61</f>
        <v>15846.98</v>
      </c>
    </row>
    <row r="63" spans="1:26" ht="15.75" thickTop="1">
      <c r="A63" s="204"/>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row>
    <row r="64" spans="1:26">
      <c r="A64" s="204"/>
      <c r="B64" s="204"/>
      <c r="C64" s="204"/>
      <c r="D64" s="204"/>
      <c r="E64" s="204"/>
      <c r="F64" s="204" t="s">
        <v>1301</v>
      </c>
      <c r="G64" s="204"/>
      <c r="H64" s="204"/>
      <c r="I64" s="204"/>
      <c r="J64" s="204"/>
      <c r="K64" s="204"/>
      <c r="L64" s="204"/>
      <c r="M64" s="204"/>
      <c r="N64" s="204"/>
      <c r="O64" s="204"/>
      <c r="P64" s="204"/>
      <c r="Q64" s="204"/>
      <c r="R64" s="204"/>
      <c r="S64" s="204"/>
      <c r="T64" s="204"/>
      <c r="U64" s="204"/>
      <c r="V64" s="204"/>
      <c r="W64" s="204"/>
      <c r="X64" s="204"/>
      <c r="Y64" s="204"/>
      <c r="Z64" s="204"/>
    </row>
    <row r="65" spans="1:26">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row>
    <row r="66" spans="1:26">
      <c r="A66" s="20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row>
    <row r="67" spans="1:26">
      <c r="A67" s="20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row>
    <row r="68" spans="1:26">
      <c r="A68" s="204"/>
      <c r="B68" s="204"/>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row>
    <row r="69" spans="1:26">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row>
  </sheetData>
  <pageMargins left="0.25" right="0.25" top="1.25" bottom="0.75" header="0.55000000000000004" footer="0.3"/>
  <pageSetup scale="74" fitToHeight="0" orientation="landscape" r:id="rId1"/>
  <headerFooter>
    <oddHeader>&amp;CRubatino Refuse &amp;"-,Regular"&amp;11Removal, Inc.
Public Relations 
Test Period 4/1/20 - 3/31/21</oddHeader>
    <oddFooter>&amp;C&amp;"-,Regular"Page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2B32-80B8-4FB2-BD31-7322D51AC038}">
  <sheetPr codeName="Sheet28"/>
  <dimension ref="A1:O116"/>
  <sheetViews>
    <sheetView topLeftCell="A37" workbookViewId="0">
      <selection activeCell="J67" sqref="J67"/>
    </sheetView>
  </sheetViews>
  <sheetFormatPr defaultRowHeight="15"/>
  <cols>
    <col min="2" max="2" width="19" customWidth="1"/>
    <col min="6" max="6" width="9.5546875" customWidth="1"/>
    <col min="7" max="7" width="10.33203125" customWidth="1"/>
  </cols>
  <sheetData>
    <row r="1" spans="1:15">
      <c r="A1" s="204" t="s">
        <v>903</v>
      </c>
      <c r="B1" s="204"/>
      <c r="C1" s="204"/>
      <c r="D1" s="204"/>
      <c r="E1" s="204"/>
      <c r="F1" s="204"/>
      <c r="G1" s="204"/>
      <c r="H1" s="204"/>
      <c r="I1" s="204"/>
      <c r="J1" s="204"/>
      <c r="K1" s="66"/>
      <c r="L1" s="66"/>
      <c r="M1" s="66"/>
      <c r="N1" s="66"/>
      <c r="O1" s="66"/>
    </row>
    <row r="2" spans="1:15">
      <c r="A2" s="204" t="s">
        <v>904</v>
      </c>
      <c r="B2" s="204"/>
      <c r="C2" s="204"/>
      <c r="D2" s="204"/>
      <c r="E2" s="204"/>
      <c r="F2" s="204"/>
      <c r="G2" s="204"/>
      <c r="H2" s="204"/>
      <c r="I2" s="204"/>
      <c r="J2" s="204"/>
      <c r="K2" s="66"/>
      <c r="L2" s="66"/>
      <c r="M2" s="66"/>
      <c r="N2" s="66"/>
      <c r="O2" s="66"/>
    </row>
    <row r="3" spans="1:15">
      <c r="A3" s="204"/>
      <c r="B3" s="204"/>
      <c r="C3" s="204"/>
      <c r="D3" s="204"/>
      <c r="E3" s="204"/>
      <c r="F3" s="204"/>
      <c r="G3" s="204"/>
      <c r="H3" s="204"/>
      <c r="I3" s="204"/>
      <c r="J3" s="204"/>
      <c r="K3" s="66"/>
      <c r="L3" s="66"/>
      <c r="M3" s="66"/>
      <c r="N3" s="66"/>
      <c r="O3" s="66"/>
    </row>
    <row r="4" spans="1:15">
      <c r="A4" s="204"/>
      <c r="B4" s="204"/>
      <c r="C4" s="209" t="s">
        <v>905</v>
      </c>
      <c r="D4" s="210"/>
      <c r="E4" s="211"/>
      <c r="F4" s="212"/>
      <c r="G4" s="212" t="s">
        <v>906</v>
      </c>
      <c r="H4" s="204"/>
      <c r="I4" s="204"/>
      <c r="J4" s="204"/>
      <c r="K4" s="66"/>
      <c r="L4" s="66"/>
      <c r="M4" s="66"/>
      <c r="N4" s="66"/>
      <c r="O4" s="66"/>
    </row>
    <row r="5" spans="1:15">
      <c r="A5" s="204" t="s">
        <v>907</v>
      </c>
      <c r="B5" s="204"/>
      <c r="C5" s="213" t="s">
        <v>540</v>
      </c>
      <c r="D5" s="214" t="s">
        <v>541</v>
      </c>
      <c r="E5" s="215" t="s">
        <v>103</v>
      </c>
      <c r="F5" s="216" t="s">
        <v>908</v>
      </c>
      <c r="G5" s="212" t="s">
        <v>908</v>
      </c>
      <c r="H5" s="204"/>
      <c r="I5" s="204"/>
      <c r="J5" s="204"/>
      <c r="K5" s="66"/>
      <c r="L5" s="66"/>
      <c r="M5" s="66"/>
      <c r="N5" s="66"/>
      <c r="O5" s="66"/>
    </row>
    <row r="6" spans="1:15">
      <c r="A6" s="217">
        <v>20</v>
      </c>
      <c r="B6" s="204" t="s">
        <v>674</v>
      </c>
      <c r="C6" s="204">
        <v>167812</v>
      </c>
      <c r="D6" s="204">
        <v>180317</v>
      </c>
      <c r="E6" s="204">
        <f t="shared" ref="E6:E14" si="0">+D6-C6</f>
        <v>12505</v>
      </c>
      <c r="F6" s="208"/>
      <c r="G6" s="204"/>
      <c r="H6" s="204"/>
      <c r="I6" s="204"/>
      <c r="J6" s="204"/>
      <c r="K6" s="66"/>
      <c r="L6" s="66"/>
      <c r="M6" s="66"/>
      <c r="N6" s="66"/>
      <c r="O6" s="66"/>
    </row>
    <row r="7" spans="1:15">
      <c r="A7" s="217">
        <v>22</v>
      </c>
      <c r="B7" s="204" t="s">
        <v>674</v>
      </c>
      <c r="C7" s="204">
        <v>110378</v>
      </c>
      <c r="D7" s="204">
        <v>142898</v>
      </c>
      <c r="E7" s="204">
        <f t="shared" si="0"/>
        <v>32520</v>
      </c>
      <c r="F7" s="208"/>
      <c r="G7" s="204"/>
      <c r="H7" s="204"/>
      <c r="I7" s="204"/>
      <c r="J7" s="204"/>
      <c r="K7" s="66"/>
      <c r="L7" s="66"/>
      <c r="M7" s="66"/>
      <c r="N7" s="66"/>
      <c r="O7" s="66"/>
    </row>
    <row r="8" spans="1:15">
      <c r="A8" s="217">
        <v>24</v>
      </c>
      <c r="B8" s="204" t="s">
        <v>674</v>
      </c>
      <c r="C8" s="204">
        <v>202924</v>
      </c>
      <c r="D8" s="204">
        <v>220619</v>
      </c>
      <c r="E8" s="204">
        <f t="shared" si="0"/>
        <v>17695</v>
      </c>
      <c r="F8" s="208"/>
      <c r="G8" s="204"/>
      <c r="H8" s="204"/>
      <c r="I8" s="204"/>
      <c r="J8" s="204"/>
      <c r="K8" s="66"/>
      <c r="L8" s="66"/>
      <c r="M8" s="66"/>
      <c r="N8" s="66"/>
      <c r="O8" s="66"/>
    </row>
    <row r="9" spans="1:15">
      <c r="A9" s="217">
        <v>25</v>
      </c>
      <c r="B9" s="204" t="s">
        <v>674</v>
      </c>
      <c r="C9" s="204">
        <v>116786</v>
      </c>
      <c r="D9" s="204">
        <v>142991</v>
      </c>
      <c r="E9" s="204">
        <f>+D9-C9</f>
        <v>26205</v>
      </c>
      <c r="F9" s="208"/>
      <c r="G9" s="204"/>
      <c r="H9" s="204"/>
      <c r="I9" s="204"/>
      <c r="J9" s="204"/>
      <c r="K9" s="66"/>
      <c r="L9" s="66"/>
      <c r="M9" s="66"/>
      <c r="N9" s="66"/>
      <c r="O9" s="66"/>
    </row>
    <row r="10" spans="1:15">
      <c r="A10" s="217">
        <v>57</v>
      </c>
      <c r="B10" s="204" t="s">
        <v>674</v>
      </c>
      <c r="C10" s="204">
        <v>41985</v>
      </c>
      <c r="D10" s="204">
        <v>43829</v>
      </c>
      <c r="E10" s="204">
        <f t="shared" si="0"/>
        <v>1844</v>
      </c>
      <c r="F10" s="208"/>
      <c r="G10" s="204"/>
      <c r="H10" s="204"/>
      <c r="I10" s="204"/>
      <c r="J10" s="204"/>
      <c r="K10" s="66"/>
      <c r="L10" s="66"/>
      <c r="M10" s="66"/>
      <c r="N10" s="66"/>
      <c r="O10" s="66"/>
    </row>
    <row r="11" spans="1:15">
      <c r="A11" s="217">
        <v>58</v>
      </c>
      <c r="B11" s="204" t="s">
        <v>674</v>
      </c>
      <c r="C11" s="204">
        <v>162058</v>
      </c>
      <c r="D11" s="204">
        <v>179554</v>
      </c>
      <c r="E11" s="204">
        <f t="shared" si="0"/>
        <v>17496</v>
      </c>
      <c r="F11" s="208"/>
      <c r="G11" s="204"/>
      <c r="H11" s="204"/>
      <c r="I11" s="204"/>
      <c r="J11" s="204"/>
      <c r="K11" s="66"/>
      <c r="L11" s="66"/>
      <c r="M11" s="66"/>
      <c r="N11" s="66"/>
      <c r="O11" s="66"/>
    </row>
    <row r="12" spans="1:15">
      <c r="A12" s="217">
        <v>59</v>
      </c>
      <c r="B12" s="204" t="s">
        <v>674</v>
      </c>
      <c r="C12" s="204">
        <v>187201</v>
      </c>
      <c r="D12" s="204">
        <v>199566</v>
      </c>
      <c r="E12" s="204">
        <f t="shared" si="0"/>
        <v>12365</v>
      </c>
      <c r="F12" s="208"/>
      <c r="G12" s="204"/>
      <c r="H12" s="204"/>
      <c r="I12" s="204"/>
      <c r="J12" s="204"/>
      <c r="K12" s="66"/>
      <c r="L12" s="66"/>
      <c r="M12" s="66"/>
      <c r="N12" s="66"/>
      <c r="O12" s="66"/>
    </row>
    <row r="13" spans="1:15">
      <c r="A13" s="217">
        <v>83</v>
      </c>
      <c r="B13" s="204" t="s">
        <v>674</v>
      </c>
      <c r="C13" s="204">
        <v>186964</v>
      </c>
      <c r="D13" s="204">
        <v>187639</v>
      </c>
      <c r="E13" s="204">
        <f t="shared" si="0"/>
        <v>675</v>
      </c>
      <c r="F13" s="208"/>
      <c r="G13" s="204"/>
      <c r="H13" s="204"/>
      <c r="I13" s="204"/>
      <c r="J13" s="204"/>
      <c r="K13" s="66"/>
      <c r="L13" s="66"/>
      <c r="M13" s="66"/>
      <c r="N13" s="66"/>
      <c r="O13" s="66"/>
    </row>
    <row r="14" spans="1:15">
      <c r="A14" s="217">
        <v>89</v>
      </c>
      <c r="B14" s="204" t="s">
        <v>674</v>
      </c>
      <c r="C14" s="204">
        <v>95765</v>
      </c>
      <c r="D14" s="204">
        <v>103982</v>
      </c>
      <c r="E14" s="204">
        <f t="shared" si="0"/>
        <v>8217</v>
      </c>
      <c r="F14" s="208"/>
      <c r="G14" s="204"/>
      <c r="H14" s="204"/>
      <c r="I14" s="204"/>
      <c r="J14" s="204"/>
      <c r="K14" s="66"/>
      <c r="L14" s="66"/>
      <c r="M14" s="66"/>
      <c r="N14" s="66"/>
      <c r="O14" s="66"/>
    </row>
    <row r="15" spans="1:15">
      <c r="A15" s="217"/>
      <c r="B15" s="204"/>
      <c r="C15" s="204"/>
      <c r="D15" s="204"/>
      <c r="E15" s="204"/>
      <c r="F15" s="208">
        <f>+SUM(E6:E14)</f>
        <v>129522</v>
      </c>
      <c r="G15" s="218">
        <f>+F15/$F$67</f>
        <v>0.2014088449337563</v>
      </c>
      <c r="H15" s="204"/>
      <c r="I15" s="204"/>
      <c r="J15" s="204"/>
      <c r="K15" s="66"/>
      <c r="L15" s="66"/>
      <c r="M15" s="66"/>
      <c r="N15" s="66"/>
      <c r="O15" s="66"/>
    </row>
    <row r="16" spans="1:15">
      <c r="A16" s="217"/>
      <c r="B16" s="204"/>
      <c r="C16" s="204"/>
      <c r="D16" s="204"/>
      <c r="E16" s="204"/>
      <c r="F16" s="208"/>
      <c r="G16" s="204"/>
      <c r="H16" s="204"/>
      <c r="I16" s="204"/>
      <c r="J16" s="204"/>
      <c r="K16" s="66"/>
      <c r="L16" s="66"/>
      <c r="M16" s="66"/>
      <c r="N16" s="66"/>
      <c r="O16" s="66"/>
    </row>
    <row r="17" spans="1:15">
      <c r="A17" s="217">
        <v>23</v>
      </c>
      <c r="B17" s="204" t="s">
        <v>909</v>
      </c>
      <c r="C17" s="204">
        <v>179886</v>
      </c>
      <c r="D17" s="204">
        <v>185325</v>
      </c>
      <c r="E17" s="204">
        <f>+D17-C17</f>
        <v>5439</v>
      </c>
      <c r="F17" s="208"/>
      <c r="G17" s="204"/>
      <c r="H17" s="204"/>
      <c r="I17" s="204"/>
      <c r="J17" s="204"/>
      <c r="K17" s="66"/>
      <c r="L17" s="66"/>
      <c r="M17" s="66"/>
      <c r="N17" s="66"/>
      <c r="O17" s="66"/>
    </row>
    <row r="18" spans="1:15">
      <c r="A18" s="217">
        <v>26</v>
      </c>
      <c r="B18" s="204" t="s">
        <v>909</v>
      </c>
      <c r="C18" s="204">
        <v>113398</v>
      </c>
      <c r="D18" s="204">
        <v>136893</v>
      </c>
      <c r="E18" s="204">
        <f>+D18-C18</f>
        <v>23495</v>
      </c>
      <c r="F18" s="208"/>
      <c r="G18" s="204"/>
      <c r="H18" s="204"/>
      <c r="I18" s="204"/>
      <c r="J18" s="204"/>
      <c r="K18" s="66"/>
      <c r="L18" s="66"/>
      <c r="M18" s="66"/>
      <c r="N18" s="66"/>
      <c r="O18" s="66"/>
    </row>
    <row r="19" spans="1:15">
      <c r="A19" s="217">
        <v>42</v>
      </c>
      <c r="B19" s="204" t="s">
        <v>909</v>
      </c>
      <c r="C19" s="204">
        <v>145253</v>
      </c>
      <c r="D19" s="204">
        <v>145359</v>
      </c>
      <c r="E19" s="204">
        <f>+D19-C19</f>
        <v>106</v>
      </c>
      <c r="F19" s="208"/>
      <c r="G19" s="204"/>
      <c r="H19" s="204"/>
      <c r="I19" s="204"/>
      <c r="J19" s="204"/>
      <c r="K19" s="66"/>
      <c r="L19" s="66"/>
      <c r="M19" s="66"/>
      <c r="N19" s="66"/>
      <c r="O19" s="66"/>
    </row>
    <row r="20" spans="1:15">
      <c r="A20" s="217">
        <v>53</v>
      </c>
      <c r="B20" s="204" t="s">
        <v>909</v>
      </c>
      <c r="C20" s="204">
        <v>184537</v>
      </c>
      <c r="D20" s="204">
        <v>209174</v>
      </c>
      <c r="E20" s="204">
        <f>+D20-C20</f>
        <v>24637</v>
      </c>
      <c r="F20" s="208"/>
      <c r="G20" s="204"/>
      <c r="H20" s="204"/>
      <c r="I20" s="204"/>
      <c r="J20" s="204"/>
      <c r="K20" s="66"/>
      <c r="L20" s="66"/>
      <c r="M20" s="66"/>
      <c r="N20" s="66"/>
      <c r="O20" s="66"/>
    </row>
    <row r="21" spans="1:15">
      <c r="A21" s="217"/>
      <c r="B21" s="204"/>
      <c r="C21" s="204"/>
      <c r="D21" s="204"/>
      <c r="E21" s="204"/>
      <c r="F21" s="208">
        <f>SUM(E17:E20)</f>
        <v>53677</v>
      </c>
      <c r="G21" s="218">
        <f>+F21/$F$67</f>
        <v>8.3468619767369537E-2</v>
      </c>
      <c r="H21" s="204"/>
      <c r="I21" s="204"/>
      <c r="J21" s="218">
        <f>+G21</f>
        <v>8.3468619767369537E-2</v>
      </c>
      <c r="K21" s="66"/>
      <c r="L21" s="66"/>
      <c r="M21" s="66"/>
      <c r="N21" s="66"/>
      <c r="O21" s="66"/>
    </row>
    <row r="22" spans="1:15">
      <c r="A22" s="217"/>
      <c r="B22" s="204"/>
      <c r="C22" s="204"/>
      <c r="D22" s="204"/>
      <c r="E22" s="204"/>
      <c r="F22" s="208"/>
      <c r="G22" s="204"/>
      <c r="H22" s="204"/>
      <c r="I22" s="204"/>
      <c r="J22" s="204"/>
      <c r="K22" s="66"/>
      <c r="L22" s="66"/>
      <c r="M22" s="66"/>
      <c r="N22" s="66"/>
      <c r="O22" s="66"/>
    </row>
    <row r="23" spans="1:15">
      <c r="A23" s="217">
        <v>68</v>
      </c>
      <c r="B23" s="204" t="s">
        <v>910</v>
      </c>
      <c r="C23" s="204">
        <v>182556</v>
      </c>
      <c r="D23" s="204">
        <v>189351</v>
      </c>
      <c r="E23" s="204">
        <f>+D23-C23</f>
        <v>6795</v>
      </c>
      <c r="F23" s="208"/>
      <c r="G23" s="204"/>
      <c r="H23" s="204"/>
      <c r="I23" s="204"/>
      <c r="J23" s="204"/>
      <c r="K23" s="66"/>
      <c r="L23" s="66"/>
      <c r="M23" s="66"/>
      <c r="N23" s="66"/>
      <c r="O23" s="66"/>
    </row>
    <row r="24" spans="1:15">
      <c r="A24" s="217">
        <v>69</v>
      </c>
      <c r="B24" s="204" t="s">
        <v>910</v>
      </c>
      <c r="C24" s="204">
        <v>45108</v>
      </c>
      <c r="D24" s="204">
        <v>59872</v>
      </c>
      <c r="E24" s="204">
        <f>+D24-C24</f>
        <v>14764</v>
      </c>
      <c r="F24" s="208"/>
      <c r="G24" s="204"/>
      <c r="H24" s="204"/>
      <c r="I24" s="204"/>
      <c r="J24" s="204"/>
      <c r="K24" s="66"/>
      <c r="L24" s="66"/>
      <c r="M24" s="66"/>
      <c r="N24" s="66"/>
      <c r="O24" s="66"/>
    </row>
    <row r="25" spans="1:15">
      <c r="A25" s="217"/>
      <c r="B25" s="204"/>
      <c r="C25" s="204"/>
      <c r="D25" s="204"/>
      <c r="E25" s="204"/>
      <c r="F25" s="208">
        <f>+E24+E23</f>
        <v>21559</v>
      </c>
      <c r="G25" s="218">
        <f>+F25/$F$67</f>
        <v>3.3524600360763823E-2</v>
      </c>
      <c r="H25" s="204"/>
      <c r="I25" s="204"/>
      <c r="J25" s="204"/>
      <c r="K25" s="66"/>
      <c r="L25" s="66"/>
      <c r="M25" s="66"/>
      <c r="N25" s="66"/>
      <c r="O25" s="66"/>
    </row>
    <row r="26" spans="1:15">
      <c r="A26" s="217"/>
      <c r="B26" s="204"/>
      <c r="C26" s="204"/>
      <c r="D26" s="204"/>
      <c r="E26" s="204"/>
      <c r="F26" s="208"/>
      <c r="G26" s="204"/>
      <c r="H26" s="204"/>
      <c r="I26" s="204"/>
      <c r="J26" s="204"/>
      <c r="K26" s="66"/>
      <c r="L26" s="66"/>
      <c r="M26" s="66"/>
      <c r="N26" s="66"/>
      <c r="O26" s="66"/>
    </row>
    <row r="27" spans="1:15">
      <c r="A27" s="217">
        <v>21</v>
      </c>
      <c r="B27" s="204" t="s">
        <v>911</v>
      </c>
      <c r="C27" s="204">
        <v>222304</v>
      </c>
      <c r="D27" s="204">
        <v>241005</v>
      </c>
      <c r="E27" s="204">
        <f>+D27-C27</f>
        <v>18701</v>
      </c>
      <c r="F27" s="208"/>
      <c r="G27" s="204"/>
      <c r="H27" s="204"/>
      <c r="I27" s="204"/>
      <c r="J27" s="204"/>
      <c r="K27" s="66"/>
      <c r="L27" s="66"/>
      <c r="M27" s="66"/>
      <c r="N27" s="66"/>
      <c r="O27" s="66"/>
    </row>
    <row r="28" spans="1:15">
      <c r="A28" s="217">
        <v>54</v>
      </c>
      <c r="B28" s="204" t="s">
        <v>911</v>
      </c>
      <c r="C28" s="204">
        <v>226250</v>
      </c>
      <c r="D28" s="204">
        <v>252456</v>
      </c>
      <c r="E28" s="204">
        <f>+D28-C28</f>
        <v>26206</v>
      </c>
      <c r="F28" s="208"/>
      <c r="G28" s="204"/>
      <c r="H28" s="204"/>
      <c r="I28" s="204"/>
      <c r="J28" s="204"/>
      <c r="K28" s="66"/>
      <c r="L28" s="66"/>
      <c r="M28" s="66"/>
      <c r="N28" s="66"/>
      <c r="O28" s="66"/>
    </row>
    <row r="29" spans="1:15">
      <c r="A29" s="217">
        <v>55</v>
      </c>
      <c r="B29" s="204" t="s">
        <v>911</v>
      </c>
      <c r="C29" s="204">
        <v>123551</v>
      </c>
      <c r="D29" s="204">
        <v>142357</v>
      </c>
      <c r="E29" s="204">
        <f>+D29-C29</f>
        <v>18806</v>
      </c>
      <c r="F29" s="208"/>
      <c r="G29" s="204"/>
      <c r="H29" s="204"/>
      <c r="I29" s="204"/>
      <c r="J29" s="204"/>
      <c r="K29" s="66"/>
      <c r="L29" s="66"/>
      <c r="M29" s="66"/>
      <c r="N29" s="66"/>
      <c r="O29" s="66"/>
    </row>
    <row r="30" spans="1:15">
      <c r="A30" s="217">
        <v>56</v>
      </c>
      <c r="B30" s="204" t="s">
        <v>911</v>
      </c>
      <c r="C30" s="204">
        <v>233870</v>
      </c>
      <c r="D30" s="204">
        <v>253446</v>
      </c>
      <c r="E30" s="204">
        <f>+D30-C30</f>
        <v>19576</v>
      </c>
      <c r="F30" s="208"/>
      <c r="G30" s="204"/>
      <c r="H30" s="204"/>
      <c r="I30" s="204"/>
      <c r="J30" s="204"/>
      <c r="K30" s="66"/>
      <c r="L30" s="66"/>
      <c r="M30" s="66"/>
      <c r="N30" s="66"/>
      <c r="O30" s="66"/>
    </row>
    <row r="31" spans="1:15">
      <c r="A31" s="217"/>
      <c r="B31" s="204"/>
      <c r="C31" s="204"/>
      <c r="D31" s="204"/>
      <c r="E31" s="204"/>
      <c r="F31" s="208">
        <f>SUM(E27:E30)</f>
        <v>83289</v>
      </c>
      <c r="G31" s="218">
        <f>+F31/$F$67</f>
        <v>0.12951576786713939</v>
      </c>
      <c r="H31" s="204"/>
      <c r="I31" s="204"/>
      <c r="J31" s="204"/>
      <c r="K31" s="66"/>
      <c r="L31" s="66"/>
      <c r="M31" s="66"/>
      <c r="N31" s="66"/>
      <c r="O31" s="66"/>
    </row>
    <row r="32" spans="1:15">
      <c r="A32" s="217"/>
      <c r="B32" s="204"/>
      <c r="C32" s="204"/>
      <c r="D32" s="204"/>
      <c r="E32" s="204"/>
      <c r="F32" s="208"/>
      <c r="G32" s="204"/>
      <c r="H32" s="204"/>
      <c r="I32" s="204"/>
      <c r="J32" s="204"/>
      <c r="K32" s="66"/>
      <c r="L32" s="66"/>
      <c r="M32" s="66"/>
      <c r="N32" s="66"/>
      <c r="O32" s="66"/>
    </row>
    <row r="33" spans="1:15">
      <c r="A33" s="217">
        <v>161</v>
      </c>
      <c r="B33" s="204" t="s">
        <v>589</v>
      </c>
      <c r="C33" s="204">
        <v>87742</v>
      </c>
      <c r="D33" s="204">
        <v>101667</v>
      </c>
      <c r="E33" s="204">
        <f t="shared" ref="E33:E38" si="1">+D33-C33</f>
        <v>13925</v>
      </c>
      <c r="F33" s="208"/>
      <c r="G33" s="204"/>
      <c r="H33" s="204"/>
      <c r="I33" s="204"/>
      <c r="J33" s="204"/>
      <c r="K33" s="66"/>
      <c r="L33" s="66"/>
      <c r="M33" s="66"/>
      <c r="N33" s="66"/>
      <c r="O33" s="66"/>
    </row>
    <row r="34" spans="1:15">
      <c r="A34" s="217">
        <v>162</v>
      </c>
      <c r="B34" s="204" t="s">
        <v>589</v>
      </c>
      <c r="C34" s="204">
        <v>170073</v>
      </c>
      <c r="D34" s="204">
        <v>174007</v>
      </c>
      <c r="E34" s="204">
        <f t="shared" si="1"/>
        <v>3934</v>
      </c>
      <c r="F34" s="208"/>
      <c r="G34" s="204"/>
      <c r="H34" s="204"/>
      <c r="I34" s="204"/>
      <c r="J34" s="204"/>
      <c r="K34" s="66"/>
      <c r="L34" s="66"/>
      <c r="M34" s="66"/>
      <c r="N34" s="66"/>
      <c r="O34" s="66"/>
    </row>
    <row r="35" spans="1:15">
      <c r="A35" s="217">
        <v>163</v>
      </c>
      <c r="B35" s="204" t="s">
        <v>589</v>
      </c>
      <c r="C35" s="204">
        <v>157534</v>
      </c>
      <c r="D35" s="204">
        <v>174717</v>
      </c>
      <c r="E35" s="204">
        <f t="shared" si="1"/>
        <v>17183</v>
      </c>
      <c r="F35" s="208"/>
      <c r="G35" s="204"/>
      <c r="H35" s="204"/>
      <c r="I35" s="204"/>
      <c r="J35" s="204"/>
      <c r="K35" s="66"/>
      <c r="L35" s="66"/>
      <c r="M35" s="66"/>
      <c r="N35" s="66"/>
      <c r="O35" s="66"/>
    </row>
    <row r="36" spans="1:15">
      <c r="A36" s="217">
        <v>164</v>
      </c>
      <c r="B36" s="204" t="s">
        <v>589</v>
      </c>
      <c r="C36" s="204">
        <v>123487</v>
      </c>
      <c r="D36" s="204">
        <v>132882</v>
      </c>
      <c r="E36" s="204">
        <f t="shared" si="1"/>
        <v>9395</v>
      </c>
      <c r="F36" s="208"/>
      <c r="G36" s="204"/>
      <c r="H36" s="204"/>
      <c r="I36" s="204"/>
      <c r="J36" s="204"/>
      <c r="K36" s="66"/>
      <c r="L36" s="66"/>
      <c r="M36" s="66"/>
      <c r="N36" s="66"/>
      <c r="O36" s="66"/>
    </row>
    <row r="37" spans="1:15">
      <c r="A37" s="217">
        <v>165</v>
      </c>
      <c r="B37" s="204" t="s">
        <v>589</v>
      </c>
      <c r="C37" s="204">
        <v>158216</v>
      </c>
      <c r="D37" s="204">
        <v>169754</v>
      </c>
      <c r="E37" s="204">
        <f t="shared" si="1"/>
        <v>11538</v>
      </c>
      <c r="F37" s="208"/>
      <c r="G37" s="204"/>
      <c r="H37" s="204"/>
      <c r="I37" s="204"/>
      <c r="J37" s="204"/>
      <c r="K37" s="66"/>
      <c r="L37" s="66"/>
      <c r="M37" s="66"/>
      <c r="N37" s="66"/>
      <c r="O37" s="66"/>
    </row>
    <row r="38" spans="1:15">
      <c r="A38" s="217">
        <v>166</v>
      </c>
      <c r="B38" s="204" t="s">
        <v>589</v>
      </c>
      <c r="C38" s="204">
        <v>176256</v>
      </c>
      <c r="D38" s="204">
        <v>192032</v>
      </c>
      <c r="E38" s="204">
        <f t="shared" si="1"/>
        <v>15776</v>
      </c>
      <c r="F38" s="208"/>
      <c r="G38" s="204"/>
      <c r="H38" s="204"/>
      <c r="I38" s="204"/>
      <c r="J38" s="204"/>
      <c r="K38" s="66"/>
      <c r="L38" s="66"/>
      <c r="M38" s="66"/>
      <c r="N38" s="66"/>
      <c r="O38" s="66"/>
    </row>
    <row r="39" spans="1:15">
      <c r="A39" s="217"/>
      <c r="B39" s="204"/>
      <c r="C39" s="204"/>
      <c r="D39" s="204"/>
      <c r="E39" s="204"/>
      <c r="F39" s="208">
        <f>SUM(E33:E39)</f>
        <v>71751</v>
      </c>
      <c r="G39" s="218">
        <f>+F39/$F$67</f>
        <v>0.11157398768426946</v>
      </c>
      <c r="H39" s="204"/>
      <c r="I39" s="204"/>
      <c r="J39" s="218"/>
      <c r="K39" s="66"/>
      <c r="L39" s="66"/>
      <c r="M39" s="66"/>
      <c r="N39" s="66"/>
      <c r="O39" s="66"/>
    </row>
    <row r="40" spans="1:15">
      <c r="A40" s="217"/>
      <c r="B40" s="204"/>
      <c r="C40" s="204"/>
      <c r="D40" s="204"/>
      <c r="E40" s="204"/>
      <c r="F40" s="208"/>
      <c r="G40" s="204"/>
      <c r="H40" s="204"/>
      <c r="I40" s="204"/>
      <c r="J40" s="204"/>
      <c r="K40" s="66"/>
      <c r="L40" s="66"/>
      <c r="M40" s="66"/>
      <c r="N40" s="66"/>
      <c r="O40" s="66"/>
    </row>
    <row r="41" spans="1:15">
      <c r="A41" s="219" t="s">
        <v>912</v>
      </c>
      <c r="B41" s="204" t="s">
        <v>913</v>
      </c>
      <c r="C41" s="204">
        <v>884756</v>
      </c>
      <c r="D41" s="204">
        <v>908961</v>
      </c>
      <c r="E41" s="204">
        <f t="shared" ref="E41:E50" si="2">+D41-C41</f>
        <v>24205</v>
      </c>
      <c r="F41" s="208"/>
      <c r="G41" s="204"/>
      <c r="H41" s="204"/>
      <c r="I41" s="204"/>
      <c r="J41" s="204"/>
      <c r="K41" s="66"/>
      <c r="L41" s="66"/>
      <c r="M41" s="66"/>
      <c r="N41" s="66"/>
      <c r="O41" s="66"/>
    </row>
    <row r="42" spans="1:15">
      <c r="A42" s="219" t="s">
        <v>914</v>
      </c>
      <c r="B42" s="204" t="s">
        <v>913</v>
      </c>
      <c r="C42" s="204">
        <v>921836</v>
      </c>
      <c r="D42" s="204">
        <v>944141</v>
      </c>
      <c r="E42" s="204">
        <f t="shared" si="2"/>
        <v>22305</v>
      </c>
      <c r="F42" s="208"/>
      <c r="G42" s="204"/>
      <c r="H42" s="204"/>
      <c r="I42" s="204"/>
      <c r="J42" s="204"/>
      <c r="K42" s="66"/>
      <c r="L42" s="66"/>
      <c r="M42" s="66"/>
      <c r="N42" s="66"/>
      <c r="O42" s="66"/>
    </row>
    <row r="43" spans="1:15">
      <c r="A43" s="219" t="s">
        <v>915</v>
      </c>
      <c r="B43" s="204" t="s">
        <v>913</v>
      </c>
      <c r="C43" s="204">
        <v>435333</v>
      </c>
      <c r="D43" s="204">
        <v>457456</v>
      </c>
      <c r="E43" s="204">
        <f t="shared" si="2"/>
        <v>22123</v>
      </c>
      <c r="F43" s="208"/>
      <c r="G43" s="204"/>
      <c r="H43" s="204"/>
      <c r="I43" s="204"/>
      <c r="J43" s="204"/>
      <c r="K43" s="66"/>
      <c r="L43" s="66"/>
      <c r="M43" s="66"/>
      <c r="N43" s="66"/>
      <c r="O43" s="66"/>
    </row>
    <row r="44" spans="1:15">
      <c r="A44" s="219" t="s">
        <v>916</v>
      </c>
      <c r="B44" s="204" t="s">
        <v>913</v>
      </c>
      <c r="C44" s="204">
        <v>96853</v>
      </c>
      <c r="D44" s="204">
        <v>117232</v>
      </c>
      <c r="E44" s="204">
        <f t="shared" si="2"/>
        <v>20379</v>
      </c>
      <c r="F44" s="208"/>
      <c r="G44" s="204"/>
      <c r="H44" s="204"/>
      <c r="I44" s="204"/>
      <c r="J44" s="204"/>
      <c r="K44" s="66"/>
      <c r="L44" s="66"/>
      <c r="M44" s="66"/>
      <c r="N44" s="66"/>
      <c r="O44" s="66"/>
    </row>
    <row r="45" spans="1:15">
      <c r="A45" s="219" t="s">
        <v>917</v>
      </c>
      <c r="B45" s="204" t="s">
        <v>913</v>
      </c>
      <c r="C45" s="204">
        <v>819399</v>
      </c>
      <c r="D45" s="204">
        <v>821920</v>
      </c>
      <c r="E45" s="204">
        <f t="shared" si="2"/>
        <v>2521</v>
      </c>
      <c r="F45" s="208"/>
      <c r="G45" s="204"/>
      <c r="H45" s="204"/>
      <c r="I45" s="204"/>
      <c r="J45" s="204"/>
      <c r="K45" s="66"/>
      <c r="L45" s="66"/>
      <c r="M45" s="66"/>
      <c r="N45" s="66"/>
      <c r="O45" s="66"/>
    </row>
    <row r="46" spans="1:15">
      <c r="A46" s="219" t="s">
        <v>918</v>
      </c>
      <c r="B46" s="204" t="s">
        <v>913</v>
      </c>
      <c r="C46" s="204">
        <v>482188</v>
      </c>
      <c r="D46" s="204">
        <v>497946</v>
      </c>
      <c r="E46" s="204">
        <f t="shared" si="2"/>
        <v>15758</v>
      </c>
      <c r="F46" s="208"/>
      <c r="G46" s="204"/>
      <c r="H46" s="204"/>
      <c r="I46" s="204"/>
      <c r="J46" s="204"/>
      <c r="K46" s="66"/>
      <c r="L46" s="66"/>
      <c r="M46" s="66"/>
      <c r="N46" s="66"/>
      <c r="O46" s="66"/>
    </row>
    <row r="47" spans="1:15">
      <c r="A47" s="219" t="s">
        <v>919</v>
      </c>
      <c r="B47" s="204" t="s">
        <v>913</v>
      </c>
      <c r="C47" s="204">
        <v>257567</v>
      </c>
      <c r="D47" s="204">
        <v>258341</v>
      </c>
      <c r="E47" s="204">
        <f t="shared" si="2"/>
        <v>774</v>
      </c>
      <c r="F47" s="208"/>
      <c r="G47" s="204"/>
      <c r="H47" s="204"/>
      <c r="I47" s="204"/>
      <c r="J47" s="204"/>
      <c r="K47" s="66"/>
      <c r="L47" s="66"/>
      <c r="M47" s="66"/>
      <c r="N47" s="66"/>
      <c r="O47" s="66"/>
    </row>
    <row r="48" spans="1:15">
      <c r="A48" s="219" t="s">
        <v>920</v>
      </c>
      <c r="B48" s="204" t="s">
        <v>913</v>
      </c>
      <c r="C48" s="204">
        <v>96921</v>
      </c>
      <c r="D48" s="204">
        <v>113078</v>
      </c>
      <c r="E48" s="204">
        <f t="shared" si="2"/>
        <v>16157</v>
      </c>
      <c r="F48" s="208"/>
      <c r="G48" s="204"/>
      <c r="H48" s="204"/>
      <c r="I48" s="204"/>
      <c r="J48" s="204"/>
      <c r="K48" s="66"/>
      <c r="L48" s="66"/>
      <c r="M48" s="66"/>
      <c r="N48" s="66"/>
      <c r="O48" s="66"/>
    </row>
    <row r="49" spans="1:15">
      <c r="A49" s="219" t="s">
        <v>921</v>
      </c>
      <c r="B49" s="204" t="s">
        <v>913</v>
      </c>
      <c r="C49" s="204">
        <v>182340</v>
      </c>
      <c r="D49" s="204">
        <v>183697</v>
      </c>
      <c r="E49" s="204">
        <f t="shared" si="2"/>
        <v>1357</v>
      </c>
      <c r="F49" s="208"/>
      <c r="G49" s="204"/>
      <c r="H49" s="204"/>
      <c r="I49" s="204"/>
      <c r="J49" s="204"/>
      <c r="K49" s="66"/>
      <c r="L49" s="66"/>
      <c r="M49" s="66"/>
      <c r="N49" s="66"/>
      <c r="O49" s="66"/>
    </row>
    <row r="50" spans="1:15">
      <c r="A50" s="219" t="s">
        <v>922</v>
      </c>
      <c r="B50" s="204" t="s">
        <v>913</v>
      </c>
      <c r="C50" s="204">
        <v>198820</v>
      </c>
      <c r="D50" s="204">
        <v>207532</v>
      </c>
      <c r="E50" s="204">
        <f t="shared" si="2"/>
        <v>8712</v>
      </c>
      <c r="F50" s="208"/>
      <c r="G50" s="204"/>
      <c r="H50" s="204"/>
      <c r="I50" s="204"/>
      <c r="J50" s="204"/>
      <c r="K50" s="66"/>
      <c r="L50" s="66"/>
      <c r="M50" s="66"/>
      <c r="N50" s="66"/>
      <c r="O50" s="66"/>
    </row>
    <row r="51" spans="1:15">
      <c r="A51" s="219"/>
      <c r="B51" s="204"/>
      <c r="C51" s="204"/>
      <c r="D51" s="204"/>
      <c r="E51" s="204"/>
      <c r="F51" s="208">
        <f>SUM(E41:E50)</f>
        <v>134291</v>
      </c>
      <c r="G51" s="218">
        <f>+F51/$F$67</f>
        <v>0.20882471854201654</v>
      </c>
      <c r="H51" s="204"/>
      <c r="I51" s="204"/>
      <c r="J51" s="204"/>
      <c r="K51" s="66"/>
      <c r="L51" s="66"/>
      <c r="M51" s="66"/>
      <c r="N51" s="66"/>
      <c r="O51" s="66"/>
    </row>
    <row r="52" spans="1:15">
      <c r="A52" s="219"/>
      <c r="B52" s="204"/>
      <c r="C52" s="204"/>
      <c r="D52" s="204"/>
      <c r="E52" s="204"/>
      <c r="F52" s="208"/>
      <c r="G52" s="204"/>
      <c r="H52" s="204"/>
      <c r="I52" s="204"/>
      <c r="J52" s="204"/>
      <c r="K52" s="66"/>
      <c r="L52" s="66"/>
      <c r="M52" s="66"/>
      <c r="N52" s="66"/>
      <c r="O52" s="66"/>
    </row>
    <row r="53" spans="1:15">
      <c r="A53" s="219" t="s">
        <v>923</v>
      </c>
      <c r="B53" s="204" t="s">
        <v>924</v>
      </c>
      <c r="C53" s="204">
        <v>457492</v>
      </c>
      <c r="D53" s="204">
        <v>474595</v>
      </c>
      <c r="E53" s="204">
        <f>+D53-C53</f>
        <v>17103</v>
      </c>
      <c r="F53" s="208"/>
      <c r="G53" s="204"/>
      <c r="H53" s="204"/>
      <c r="I53" s="204"/>
      <c r="J53" s="204"/>
      <c r="K53" s="66"/>
      <c r="L53" s="66"/>
      <c r="M53" s="66"/>
      <c r="N53" s="66"/>
      <c r="O53" s="66"/>
    </row>
    <row r="54" spans="1:15">
      <c r="A54" s="219" t="s">
        <v>925</v>
      </c>
      <c r="B54" s="204" t="s">
        <v>924</v>
      </c>
      <c r="C54" s="204">
        <v>751377</v>
      </c>
      <c r="D54" s="204">
        <v>775706</v>
      </c>
      <c r="E54" s="204">
        <f>+D54-C54</f>
        <v>24329</v>
      </c>
      <c r="F54" s="208"/>
      <c r="G54" s="204"/>
      <c r="H54" s="204"/>
      <c r="I54" s="204"/>
      <c r="J54" s="204"/>
      <c r="K54" s="66"/>
      <c r="L54" s="66"/>
      <c r="M54" s="66"/>
      <c r="N54" s="66"/>
      <c r="O54" s="66"/>
    </row>
    <row r="55" spans="1:15">
      <c r="A55" s="219" t="s">
        <v>926</v>
      </c>
      <c r="B55" s="204" t="s">
        <v>924</v>
      </c>
      <c r="C55" s="204">
        <v>355779</v>
      </c>
      <c r="D55" s="204">
        <v>388872</v>
      </c>
      <c r="E55" s="204">
        <f>+D55-C55</f>
        <v>33093</v>
      </c>
      <c r="F55" s="208"/>
      <c r="G55" s="204"/>
      <c r="H55" s="204"/>
      <c r="I55" s="204"/>
      <c r="J55" s="204"/>
      <c r="K55" s="66"/>
      <c r="L55" s="66"/>
      <c r="M55" s="66"/>
      <c r="N55" s="66"/>
      <c r="O55" s="66"/>
    </row>
    <row r="56" spans="1:15">
      <c r="A56" s="219" t="s">
        <v>927</v>
      </c>
      <c r="B56" s="204" t="s">
        <v>924</v>
      </c>
      <c r="C56" s="204">
        <v>261959</v>
      </c>
      <c r="D56" s="204">
        <v>267202</v>
      </c>
      <c r="E56" s="204">
        <f>+D56-C56</f>
        <v>5243</v>
      </c>
      <c r="F56" s="208"/>
      <c r="G56" s="204"/>
      <c r="H56" s="204"/>
      <c r="I56" s="204"/>
      <c r="J56" s="204"/>
      <c r="K56" s="66"/>
      <c r="L56" s="66"/>
      <c r="M56" s="66"/>
      <c r="N56" s="66"/>
      <c r="O56" s="66"/>
    </row>
    <row r="57" spans="1:15">
      <c r="A57" s="219" t="s">
        <v>928</v>
      </c>
      <c r="B57" s="204" t="s">
        <v>924</v>
      </c>
      <c r="C57" s="204">
        <v>545470</v>
      </c>
      <c r="D57" s="204">
        <v>554426</v>
      </c>
      <c r="E57" s="204">
        <f>+D57-C57</f>
        <v>8956</v>
      </c>
      <c r="F57" s="208"/>
      <c r="G57" s="204"/>
      <c r="H57" s="204"/>
      <c r="I57" s="204"/>
      <c r="J57" s="204"/>
      <c r="K57" s="66"/>
      <c r="L57" s="66"/>
      <c r="M57" s="66"/>
      <c r="N57" s="66"/>
      <c r="O57" s="66"/>
    </row>
    <row r="58" spans="1:15">
      <c r="A58" s="219"/>
      <c r="B58" s="204"/>
      <c r="C58" s="204"/>
      <c r="D58" s="204"/>
      <c r="E58" s="204"/>
      <c r="F58" s="208">
        <f>SUM(E53:E57)</f>
        <v>88724</v>
      </c>
      <c r="G58" s="218">
        <f>+F58/$F$67</f>
        <v>0.13796728245319401</v>
      </c>
      <c r="H58" s="204"/>
      <c r="I58" s="204"/>
      <c r="J58" s="218">
        <f>+G58</f>
        <v>0.13796728245319401</v>
      </c>
      <c r="K58" s="66"/>
      <c r="L58" s="66"/>
      <c r="M58" s="66"/>
      <c r="N58" s="66"/>
      <c r="O58" s="66"/>
    </row>
    <row r="59" spans="1:15">
      <c r="A59" s="219"/>
      <c r="B59" s="204"/>
      <c r="C59" s="204"/>
      <c r="D59" s="204"/>
      <c r="E59" s="204"/>
      <c r="F59" s="208"/>
      <c r="G59" s="204"/>
      <c r="H59" s="204"/>
      <c r="I59" s="204"/>
      <c r="J59" s="204"/>
      <c r="K59" s="66"/>
      <c r="L59" s="66"/>
      <c r="M59" s="66"/>
      <c r="N59" s="66"/>
      <c r="O59" s="66"/>
    </row>
    <row r="60" spans="1:15">
      <c r="A60" s="219">
        <v>72</v>
      </c>
      <c r="B60" s="204" t="s">
        <v>929</v>
      </c>
      <c r="C60" s="204">
        <v>4734</v>
      </c>
      <c r="D60" s="204">
        <v>0</v>
      </c>
      <c r="E60" s="204">
        <v>4734</v>
      </c>
      <c r="F60" s="208"/>
      <c r="G60" s="204"/>
      <c r="H60" s="204"/>
      <c r="I60" s="204"/>
      <c r="J60" s="204"/>
      <c r="K60" s="66"/>
      <c r="L60" s="66"/>
      <c r="M60" s="66"/>
      <c r="N60" s="66"/>
      <c r="O60" s="66"/>
    </row>
    <row r="61" spans="1:15">
      <c r="A61" s="217">
        <v>75</v>
      </c>
      <c r="B61" s="204" t="s">
        <v>929</v>
      </c>
      <c r="C61" s="204">
        <v>166052</v>
      </c>
      <c r="D61" s="204">
        <v>181837</v>
      </c>
      <c r="E61" s="204">
        <f>+D61-C61</f>
        <v>15785</v>
      </c>
      <c r="F61" s="208"/>
      <c r="G61" s="204"/>
      <c r="H61" s="204"/>
      <c r="I61" s="204"/>
      <c r="J61" s="204"/>
      <c r="K61" s="66"/>
      <c r="L61" s="66"/>
      <c r="M61" s="66"/>
      <c r="N61" s="66"/>
      <c r="O61" s="66"/>
    </row>
    <row r="62" spans="1:15">
      <c r="A62" s="217">
        <v>76</v>
      </c>
      <c r="B62" s="204" t="s">
        <v>929</v>
      </c>
      <c r="C62" s="204">
        <v>25412</v>
      </c>
      <c r="D62" s="204">
        <v>34190</v>
      </c>
      <c r="E62" s="204">
        <f>+D62-C62</f>
        <v>8778</v>
      </c>
      <c r="F62" s="208"/>
      <c r="G62" s="204"/>
      <c r="H62" s="204"/>
      <c r="I62" s="204"/>
      <c r="J62" s="204"/>
      <c r="K62" s="66"/>
      <c r="L62" s="66"/>
      <c r="M62" s="66"/>
      <c r="N62" s="66"/>
      <c r="O62" s="66"/>
    </row>
    <row r="63" spans="1:15">
      <c r="A63" s="217">
        <v>77</v>
      </c>
      <c r="B63" s="204" t="s">
        <v>929</v>
      </c>
      <c r="C63" s="204">
        <v>162414</v>
      </c>
      <c r="D63" s="204">
        <v>182959</v>
      </c>
      <c r="E63" s="204">
        <f>+D63-C63</f>
        <v>20545</v>
      </c>
      <c r="F63" s="208"/>
      <c r="G63" s="204"/>
      <c r="H63" s="204"/>
      <c r="I63" s="204"/>
      <c r="J63" s="204"/>
      <c r="K63" s="66"/>
      <c r="L63" s="66"/>
      <c r="M63" s="66"/>
      <c r="N63" s="66"/>
      <c r="O63" s="66"/>
    </row>
    <row r="64" spans="1:15">
      <c r="A64" s="217">
        <v>78</v>
      </c>
      <c r="B64" s="204" t="s">
        <v>929</v>
      </c>
      <c r="C64" s="204">
        <v>187586</v>
      </c>
      <c r="D64" s="204">
        <v>194948</v>
      </c>
      <c r="E64" s="204">
        <f>+D64-C64</f>
        <v>7362</v>
      </c>
      <c r="F64" s="208"/>
      <c r="G64" s="204"/>
      <c r="H64" s="204"/>
      <c r="I64" s="204"/>
      <c r="J64" s="204"/>
      <c r="K64" s="66"/>
      <c r="L64" s="66"/>
      <c r="M64" s="66"/>
      <c r="N64" s="66"/>
      <c r="O64" s="66"/>
    </row>
    <row r="65" spans="1:15">
      <c r="A65" s="217">
        <v>79</v>
      </c>
      <c r="B65" s="204" t="s">
        <v>929</v>
      </c>
      <c r="C65" s="204">
        <v>156268</v>
      </c>
      <c r="D65" s="204">
        <v>159331</v>
      </c>
      <c r="E65" s="204">
        <f>+D65-C65</f>
        <v>3063</v>
      </c>
      <c r="F65" s="208"/>
      <c r="G65" s="204"/>
      <c r="H65" s="204"/>
      <c r="I65" s="204"/>
      <c r="J65" s="204"/>
      <c r="K65" s="66"/>
      <c r="L65" s="66"/>
      <c r="M65" s="66"/>
      <c r="N65" s="66"/>
      <c r="O65" s="66"/>
    </row>
    <row r="66" spans="1:15">
      <c r="A66" s="220"/>
      <c r="B66" s="204"/>
      <c r="C66" s="204"/>
      <c r="D66" s="204"/>
      <c r="E66" s="204"/>
      <c r="F66" s="221">
        <f>+SUM(E60:E65)</f>
        <v>60267</v>
      </c>
      <c r="G66" s="222">
        <f>+F66/$F$67</f>
        <v>9.3716178391490948E-2</v>
      </c>
      <c r="H66" s="204"/>
      <c r="I66" s="204"/>
      <c r="J66" s="204"/>
      <c r="K66" s="66"/>
      <c r="L66" s="66"/>
      <c r="M66" s="66"/>
      <c r="N66" s="66"/>
      <c r="O66" s="66"/>
    </row>
    <row r="67" spans="1:15">
      <c r="A67" s="204"/>
      <c r="B67" s="204"/>
      <c r="C67" s="204"/>
      <c r="D67" s="204"/>
      <c r="E67" s="204"/>
      <c r="F67" s="208">
        <f>SUM(F6:F66)</f>
        <v>643080</v>
      </c>
      <c r="G67" s="223">
        <f>SUM(G6:G66)</f>
        <v>1.0000000000000002</v>
      </c>
      <c r="H67" s="204"/>
      <c r="I67" s="204"/>
      <c r="J67" s="223">
        <f>SUM(J6:J66)</f>
        <v>0.22143590222056353</v>
      </c>
      <c r="K67" s="66"/>
      <c r="L67" s="66"/>
      <c r="M67" s="66"/>
      <c r="N67" s="66"/>
      <c r="O67" s="66"/>
    </row>
    <row r="68" spans="1:15">
      <c r="A68" s="66"/>
      <c r="B68" s="66"/>
      <c r="C68" s="66"/>
      <c r="D68" s="66"/>
      <c r="E68" s="66"/>
      <c r="F68" s="66"/>
      <c r="G68" s="66"/>
      <c r="H68" s="66"/>
      <c r="I68" s="66"/>
      <c r="J68" s="66"/>
      <c r="K68" s="66"/>
      <c r="L68" s="66"/>
      <c r="M68" s="66"/>
      <c r="N68" s="66"/>
      <c r="O68" s="66"/>
    </row>
    <row r="69" spans="1:15">
      <c r="A69" s="66"/>
      <c r="B69" s="66"/>
      <c r="C69" s="66"/>
      <c r="D69" s="66"/>
      <c r="E69" s="66"/>
      <c r="F69" s="66"/>
      <c r="G69" s="66"/>
      <c r="H69" s="66"/>
      <c r="I69" s="66"/>
      <c r="J69" s="66"/>
      <c r="K69" s="66"/>
      <c r="L69" s="66"/>
      <c r="M69" s="66"/>
      <c r="N69" s="66"/>
      <c r="O69" s="66"/>
    </row>
    <row r="70" spans="1:15">
      <c r="A70" s="66"/>
      <c r="B70" s="66"/>
      <c r="C70" s="66"/>
      <c r="D70" s="66"/>
      <c r="E70" s="66"/>
      <c r="F70" s="66"/>
      <c r="G70" s="66"/>
      <c r="H70" s="66"/>
      <c r="I70" s="66"/>
      <c r="J70" s="66"/>
      <c r="K70" s="66"/>
      <c r="L70" s="66"/>
      <c r="M70" s="66"/>
      <c r="N70" s="66"/>
      <c r="O70" s="66"/>
    </row>
    <row r="71" spans="1:15">
      <c r="A71" s="66"/>
      <c r="B71" s="66"/>
      <c r="C71" s="66"/>
      <c r="D71" s="66"/>
      <c r="E71" s="66"/>
      <c r="F71" s="66"/>
      <c r="G71" s="66"/>
      <c r="H71" s="66"/>
      <c r="I71" s="66"/>
      <c r="J71" s="66"/>
      <c r="K71" s="66"/>
      <c r="L71" s="66"/>
      <c r="M71" s="66"/>
      <c r="N71" s="66"/>
      <c r="O71" s="66"/>
    </row>
    <row r="72" spans="1:15">
      <c r="A72" s="66"/>
      <c r="B72" s="66"/>
      <c r="C72" s="66"/>
      <c r="D72" s="66"/>
      <c r="E72" s="66"/>
      <c r="F72" s="66"/>
      <c r="G72" s="66"/>
      <c r="H72" s="66"/>
      <c r="I72" s="66"/>
      <c r="J72" s="66"/>
      <c r="K72" s="66"/>
      <c r="L72" s="66"/>
      <c r="M72" s="66"/>
      <c r="N72" s="66"/>
      <c r="O72" s="66"/>
    </row>
    <row r="73" spans="1:15">
      <c r="A73" s="66"/>
      <c r="B73" s="66"/>
      <c r="C73" s="66"/>
      <c r="D73" s="66"/>
      <c r="E73" s="66"/>
      <c r="F73" s="66"/>
      <c r="G73" s="66"/>
      <c r="H73" s="66"/>
      <c r="I73" s="66"/>
      <c r="J73" s="66"/>
      <c r="K73" s="66"/>
      <c r="L73" s="66"/>
      <c r="M73" s="66"/>
      <c r="N73" s="66"/>
      <c r="O73" s="66"/>
    </row>
    <row r="74" spans="1:15">
      <c r="A74" s="66"/>
      <c r="B74" s="66"/>
      <c r="C74" s="66"/>
      <c r="D74" s="66"/>
      <c r="E74" s="66"/>
      <c r="F74" s="66"/>
      <c r="G74" s="66"/>
      <c r="H74" s="66"/>
      <c r="I74" s="66"/>
      <c r="J74" s="66"/>
      <c r="K74" s="66"/>
      <c r="L74" s="66"/>
      <c r="M74" s="66"/>
      <c r="N74" s="66"/>
      <c r="O74" s="66"/>
    </row>
    <row r="75" spans="1:15">
      <c r="A75" s="66"/>
      <c r="B75" s="66"/>
      <c r="C75" s="66"/>
      <c r="D75" s="66"/>
      <c r="E75" s="66"/>
      <c r="F75" s="66"/>
      <c r="G75" s="66"/>
      <c r="H75" s="66"/>
      <c r="I75" s="66"/>
      <c r="J75" s="66"/>
      <c r="K75" s="66"/>
      <c r="L75" s="66"/>
      <c r="M75" s="66"/>
      <c r="N75" s="66"/>
      <c r="O75" s="66"/>
    </row>
    <row r="76" spans="1:15">
      <c r="A76" s="66"/>
      <c r="B76" s="66"/>
      <c r="C76" s="66"/>
      <c r="D76" s="66"/>
      <c r="E76" s="66"/>
      <c r="F76" s="66"/>
      <c r="G76" s="66"/>
      <c r="H76" s="66"/>
      <c r="I76" s="66"/>
      <c r="J76" s="66"/>
      <c r="K76" s="66"/>
      <c r="L76" s="66"/>
      <c r="M76" s="66"/>
      <c r="N76" s="66"/>
      <c r="O76" s="66"/>
    </row>
    <row r="77" spans="1:15">
      <c r="A77" s="66"/>
      <c r="B77" s="66"/>
      <c r="C77" s="66"/>
      <c r="D77" s="66"/>
      <c r="E77" s="66"/>
      <c r="F77" s="66"/>
      <c r="G77" s="66"/>
      <c r="H77" s="66"/>
      <c r="I77" s="66"/>
      <c r="J77" s="66"/>
      <c r="K77" s="66"/>
      <c r="L77" s="66"/>
      <c r="M77" s="66"/>
      <c r="N77" s="66"/>
      <c r="O77" s="66"/>
    </row>
    <row r="78" spans="1:15">
      <c r="A78" s="66"/>
      <c r="B78" s="66"/>
      <c r="C78" s="66"/>
      <c r="D78" s="66"/>
      <c r="E78" s="66"/>
      <c r="F78" s="66"/>
      <c r="G78" s="66"/>
      <c r="H78" s="66"/>
      <c r="I78" s="66"/>
      <c r="J78" s="66"/>
      <c r="K78" s="66"/>
      <c r="L78" s="66"/>
      <c r="M78" s="66"/>
      <c r="N78" s="66"/>
      <c r="O78" s="66"/>
    </row>
    <row r="79" spans="1:15">
      <c r="A79" s="66"/>
      <c r="B79" s="66"/>
      <c r="C79" s="66"/>
      <c r="D79" s="66"/>
      <c r="E79" s="66"/>
      <c r="F79" s="66"/>
      <c r="G79" s="66"/>
      <c r="H79" s="66"/>
      <c r="I79" s="66"/>
      <c r="J79" s="66"/>
      <c r="K79" s="66"/>
      <c r="L79" s="66"/>
      <c r="M79" s="66"/>
      <c r="N79" s="66"/>
      <c r="O79" s="66"/>
    </row>
    <row r="80" spans="1:15">
      <c r="A80" s="66"/>
      <c r="B80" s="66"/>
      <c r="C80" s="66"/>
      <c r="D80" s="66"/>
      <c r="E80" s="66"/>
      <c r="F80" s="66"/>
      <c r="G80" s="66"/>
      <c r="H80" s="66"/>
      <c r="I80" s="66"/>
      <c r="J80" s="66"/>
      <c r="K80" s="66"/>
      <c r="L80" s="66"/>
      <c r="M80" s="66"/>
      <c r="N80" s="66"/>
      <c r="O80" s="66"/>
    </row>
    <row r="81" spans="1:15">
      <c r="A81" s="66"/>
      <c r="B81" s="66"/>
      <c r="C81" s="66"/>
      <c r="D81" s="66"/>
      <c r="E81" s="66"/>
      <c r="F81" s="66"/>
      <c r="G81" s="66"/>
      <c r="H81" s="66"/>
      <c r="I81" s="66"/>
      <c r="J81" s="66"/>
      <c r="K81" s="66"/>
      <c r="L81" s="66"/>
      <c r="M81" s="66"/>
      <c r="N81" s="66"/>
      <c r="O81" s="66"/>
    </row>
    <row r="82" spans="1:15">
      <c r="A82" s="66"/>
      <c r="B82" s="66"/>
      <c r="C82" s="66"/>
      <c r="D82" s="66"/>
      <c r="E82" s="66"/>
      <c r="F82" s="66"/>
      <c r="G82" s="66"/>
      <c r="H82" s="66"/>
      <c r="I82" s="66"/>
      <c r="J82" s="66"/>
      <c r="K82" s="66"/>
      <c r="L82" s="66"/>
      <c r="M82" s="66"/>
      <c r="N82" s="66"/>
      <c r="O82" s="66"/>
    </row>
    <row r="83" spans="1:15">
      <c r="A83" s="66"/>
      <c r="B83" s="66"/>
      <c r="C83" s="66"/>
      <c r="D83" s="66"/>
      <c r="E83" s="66"/>
      <c r="F83" s="66"/>
      <c r="G83" s="66"/>
      <c r="H83" s="66"/>
      <c r="I83" s="66"/>
      <c r="J83" s="66"/>
      <c r="K83" s="66"/>
      <c r="L83" s="66"/>
      <c r="M83" s="66"/>
      <c r="N83" s="66"/>
      <c r="O83" s="66"/>
    </row>
    <row r="84" spans="1:15">
      <c r="A84" s="66"/>
      <c r="B84" s="66"/>
      <c r="C84" s="66"/>
      <c r="D84" s="66"/>
      <c r="E84" s="66"/>
      <c r="F84" s="66"/>
      <c r="G84" s="66"/>
      <c r="H84" s="66"/>
      <c r="I84" s="66"/>
      <c r="J84" s="66"/>
      <c r="K84" s="66"/>
      <c r="L84" s="66"/>
      <c r="M84" s="66"/>
      <c r="N84" s="66"/>
      <c r="O84" s="66"/>
    </row>
    <row r="85" spans="1:15">
      <c r="A85" s="66"/>
      <c r="B85" s="66"/>
      <c r="C85" s="66"/>
      <c r="D85" s="66"/>
      <c r="E85" s="66"/>
      <c r="F85" s="66"/>
      <c r="G85" s="66"/>
      <c r="H85" s="66"/>
      <c r="I85" s="66"/>
      <c r="J85" s="66"/>
      <c r="K85" s="66"/>
      <c r="L85" s="66"/>
      <c r="M85" s="66"/>
      <c r="N85" s="66"/>
      <c r="O85" s="66"/>
    </row>
    <row r="86" spans="1:15">
      <c r="A86" s="66"/>
      <c r="B86" s="66"/>
      <c r="C86" s="66"/>
      <c r="D86" s="66"/>
      <c r="E86" s="66"/>
      <c r="F86" s="66"/>
      <c r="G86" s="66"/>
      <c r="H86" s="66"/>
      <c r="I86" s="66"/>
      <c r="J86" s="66"/>
      <c r="K86" s="66"/>
      <c r="L86" s="66"/>
      <c r="M86" s="66"/>
      <c r="N86" s="66"/>
      <c r="O86" s="66"/>
    </row>
    <row r="87" spans="1:15">
      <c r="A87" s="66"/>
      <c r="B87" s="66"/>
      <c r="C87" s="66"/>
      <c r="D87" s="66"/>
      <c r="E87" s="66"/>
      <c r="F87" s="66"/>
      <c r="G87" s="66"/>
      <c r="H87" s="66"/>
      <c r="I87" s="66"/>
      <c r="J87" s="66"/>
      <c r="K87" s="66"/>
      <c r="L87" s="66"/>
      <c r="M87" s="66"/>
      <c r="N87" s="66"/>
      <c r="O87" s="66"/>
    </row>
    <row r="88" spans="1:15">
      <c r="A88" s="66"/>
      <c r="B88" s="66"/>
      <c r="C88" s="66"/>
      <c r="D88" s="66"/>
      <c r="E88" s="66"/>
      <c r="F88" s="66"/>
      <c r="G88" s="66"/>
      <c r="H88" s="66"/>
      <c r="I88" s="66"/>
      <c r="J88" s="66"/>
      <c r="K88" s="66"/>
      <c r="L88" s="66"/>
      <c r="M88" s="66"/>
      <c r="N88" s="66"/>
      <c r="O88" s="66"/>
    </row>
    <row r="89" spans="1:15">
      <c r="A89" s="66"/>
      <c r="B89" s="66"/>
      <c r="C89" s="66"/>
      <c r="D89" s="66"/>
      <c r="E89" s="66"/>
      <c r="F89" s="66"/>
      <c r="G89" s="66"/>
      <c r="H89" s="66"/>
      <c r="I89" s="66"/>
      <c r="J89" s="66"/>
      <c r="K89" s="66"/>
      <c r="L89" s="66"/>
      <c r="M89" s="66"/>
      <c r="N89" s="66"/>
      <c r="O89" s="66"/>
    </row>
    <row r="90" spans="1:15">
      <c r="A90" s="66"/>
      <c r="B90" s="66"/>
      <c r="C90" s="66"/>
      <c r="D90" s="66"/>
      <c r="E90" s="66"/>
      <c r="F90" s="66"/>
      <c r="G90" s="66"/>
      <c r="H90" s="66"/>
      <c r="I90" s="66"/>
      <c r="J90" s="66"/>
      <c r="K90" s="66"/>
      <c r="L90" s="66"/>
      <c r="M90" s="66"/>
      <c r="N90" s="66"/>
      <c r="O90" s="66"/>
    </row>
    <row r="91" spans="1:15">
      <c r="A91" s="66"/>
      <c r="B91" s="66"/>
      <c r="C91" s="66"/>
      <c r="D91" s="66"/>
      <c r="E91" s="66"/>
      <c r="F91" s="66"/>
      <c r="G91" s="66"/>
      <c r="H91" s="66"/>
      <c r="I91" s="66"/>
      <c r="J91" s="66"/>
      <c r="K91" s="66"/>
      <c r="L91" s="66"/>
      <c r="M91" s="66"/>
      <c r="N91" s="66"/>
      <c r="O91" s="66"/>
    </row>
    <row r="92" spans="1:15">
      <c r="A92" s="66"/>
      <c r="B92" s="66"/>
      <c r="C92" s="66"/>
      <c r="D92" s="66"/>
      <c r="E92" s="66"/>
      <c r="F92" s="66"/>
      <c r="G92" s="66"/>
      <c r="H92" s="66"/>
      <c r="I92" s="66"/>
      <c r="J92" s="66"/>
      <c r="K92" s="66"/>
      <c r="L92" s="66"/>
      <c r="M92" s="66"/>
      <c r="N92" s="66"/>
      <c r="O92" s="66"/>
    </row>
    <row r="93" spans="1:15">
      <c r="A93" s="66"/>
      <c r="B93" s="66"/>
      <c r="C93" s="66"/>
      <c r="D93" s="66"/>
      <c r="E93" s="66"/>
      <c r="F93" s="66"/>
      <c r="G93" s="66"/>
      <c r="H93" s="66"/>
      <c r="I93" s="66"/>
      <c r="J93" s="66"/>
      <c r="K93" s="66"/>
      <c r="L93" s="66"/>
      <c r="M93" s="66"/>
      <c r="N93" s="66"/>
      <c r="O93" s="66"/>
    </row>
    <row r="94" spans="1:15">
      <c r="A94" s="66"/>
      <c r="B94" s="66"/>
      <c r="C94" s="66"/>
      <c r="D94" s="66"/>
      <c r="E94" s="66"/>
      <c r="F94" s="66"/>
      <c r="G94" s="66"/>
      <c r="H94" s="66"/>
      <c r="I94" s="66"/>
      <c r="J94" s="66"/>
      <c r="K94" s="66"/>
      <c r="L94" s="66"/>
      <c r="M94" s="66"/>
      <c r="N94" s="66"/>
      <c r="O94" s="66"/>
    </row>
    <row r="95" spans="1:15">
      <c r="A95" s="66"/>
      <c r="B95" s="66"/>
      <c r="C95" s="66"/>
      <c r="D95" s="66"/>
      <c r="E95" s="66"/>
      <c r="F95" s="66"/>
      <c r="G95" s="66"/>
      <c r="H95" s="66"/>
      <c r="I95" s="66"/>
      <c r="J95" s="66"/>
      <c r="K95" s="66"/>
      <c r="L95" s="66"/>
      <c r="M95" s="66"/>
      <c r="N95" s="66"/>
      <c r="O95" s="66"/>
    </row>
    <row r="96" spans="1:15">
      <c r="A96" s="66"/>
      <c r="B96" s="66"/>
      <c r="C96" s="66"/>
      <c r="D96" s="66"/>
      <c r="E96" s="66"/>
      <c r="F96" s="66"/>
      <c r="G96" s="66"/>
      <c r="H96" s="66"/>
      <c r="I96" s="66"/>
      <c r="J96" s="66"/>
      <c r="K96" s="66"/>
      <c r="L96" s="66"/>
      <c r="M96" s="66"/>
      <c r="N96" s="66"/>
      <c r="O96" s="66"/>
    </row>
    <row r="97" spans="1:15">
      <c r="A97" s="66"/>
      <c r="B97" s="66"/>
      <c r="C97" s="66"/>
      <c r="D97" s="66"/>
      <c r="E97" s="66"/>
      <c r="F97" s="66"/>
      <c r="G97" s="66"/>
      <c r="H97" s="66"/>
      <c r="I97" s="66"/>
      <c r="J97" s="66"/>
      <c r="K97" s="66"/>
      <c r="L97" s="66"/>
      <c r="M97" s="66"/>
      <c r="N97" s="66"/>
      <c r="O97" s="66"/>
    </row>
    <row r="98" spans="1:15">
      <c r="A98" s="66"/>
      <c r="B98" s="66"/>
      <c r="C98" s="66"/>
      <c r="D98" s="66"/>
      <c r="E98" s="66"/>
      <c r="F98" s="66"/>
      <c r="G98" s="66"/>
      <c r="H98" s="66"/>
      <c r="I98" s="66"/>
      <c r="J98" s="66"/>
      <c r="K98" s="66"/>
      <c r="L98" s="66"/>
      <c r="M98" s="66"/>
      <c r="N98" s="66"/>
      <c r="O98" s="66"/>
    </row>
    <row r="99" spans="1:15">
      <c r="A99" s="66"/>
      <c r="B99" s="66"/>
      <c r="C99" s="66"/>
      <c r="D99" s="66"/>
      <c r="E99" s="66"/>
      <c r="F99" s="66"/>
      <c r="G99" s="66"/>
      <c r="H99" s="66"/>
      <c r="I99" s="66"/>
      <c r="J99" s="66"/>
      <c r="K99" s="66"/>
      <c r="L99" s="66"/>
      <c r="M99" s="66"/>
      <c r="N99" s="66"/>
      <c r="O99" s="66"/>
    </row>
    <row r="100" spans="1:15">
      <c r="A100" s="66"/>
      <c r="B100" s="66"/>
      <c r="C100" s="66"/>
      <c r="D100" s="66"/>
      <c r="E100" s="66"/>
      <c r="F100" s="66"/>
      <c r="G100" s="66"/>
      <c r="H100" s="66"/>
      <c r="I100" s="66"/>
      <c r="J100" s="66"/>
      <c r="K100" s="66"/>
      <c r="L100" s="66"/>
      <c r="M100" s="66"/>
      <c r="N100" s="66"/>
      <c r="O100" s="66"/>
    </row>
    <row r="101" spans="1:15">
      <c r="A101" s="66"/>
      <c r="B101" s="66"/>
      <c r="C101" s="66"/>
      <c r="D101" s="66"/>
      <c r="E101" s="66"/>
      <c r="F101" s="66"/>
      <c r="G101" s="66"/>
      <c r="H101" s="66"/>
      <c r="I101" s="66"/>
      <c r="J101" s="66"/>
      <c r="K101" s="66"/>
      <c r="L101" s="66"/>
      <c r="M101" s="66"/>
      <c r="N101" s="66"/>
      <c r="O101" s="66"/>
    </row>
    <row r="102" spans="1:15">
      <c r="A102" s="66"/>
      <c r="B102" s="66"/>
      <c r="C102" s="66"/>
      <c r="D102" s="66"/>
      <c r="E102" s="66"/>
      <c r="F102" s="66"/>
      <c r="G102" s="66"/>
      <c r="H102" s="66"/>
      <c r="I102" s="66"/>
      <c r="J102" s="66"/>
      <c r="K102" s="66"/>
      <c r="L102" s="66"/>
      <c r="M102" s="66"/>
      <c r="N102" s="66"/>
      <c r="O102" s="66"/>
    </row>
    <row r="103" spans="1:15">
      <c r="A103" s="66"/>
      <c r="B103" s="66"/>
      <c r="C103" s="66"/>
      <c r="D103" s="66"/>
      <c r="E103" s="66"/>
      <c r="F103" s="66"/>
      <c r="G103" s="66"/>
      <c r="H103" s="66"/>
      <c r="I103" s="66"/>
      <c r="J103" s="66"/>
      <c r="K103" s="66"/>
      <c r="L103" s="66"/>
      <c r="M103" s="66"/>
      <c r="N103" s="66"/>
      <c r="O103" s="66"/>
    </row>
    <row r="104" spans="1:15">
      <c r="A104" s="66"/>
      <c r="B104" s="66"/>
      <c r="C104" s="66"/>
      <c r="D104" s="66"/>
      <c r="E104" s="66"/>
      <c r="F104" s="66"/>
      <c r="G104" s="66"/>
      <c r="H104" s="66"/>
      <c r="I104" s="66"/>
      <c r="J104" s="66"/>
      <c r="K104" s="66"/>
      <c r="L104" s="66"/>
      <c r="M104" s="66"/>
      <c r="N104" s="66"/>
      <c r="O104" s="66"/>
    </row>
    <row r="105" spans="1:15">
      <c r="A105" s="66"/>
      <c r="B105" s="66"/>
      <c r="C105" s="66"/>
      <c r="D105" s="66"/>
      <c r="E105" s="66"/>
      <c r="F105" s="66"/>
      <c r="G105" s="66"/>
      <c r="H105" s="66"/>
      <c r="I105" s="66"/>
      <c r="J105" s="66"/>
      <c r="K105" s="66"/>
      <c r="L105" s="66"/>
      <c r="M105" s="66"/>
      <c r="N105" s="66"/>
      <c r="O105" s="66"/>
    </row>
    <row r="106" spans="1:15">
      <c r="A106" s="66"/>
      <c r="B106" s="66"/>
      <c r="C106" s="66"/>
      <c r="D106" s="66"/>
      <c r="E106" s="66"/>
      <c r="F106" s="66"/>
      <c r="G106" s="66"/>
      <c r="H106" s="66"/>
      <c r="I106" s="66"/>
      <c r="J106" s="66"/>
      <c r="K106" s="66"/>
      <c r="L106" s="66"/>
      <c r="M106" s="66"/>
      <c r="N106" s="66"/>
      <c r="O106" s="66"/>
    </row>
    <row r="107" spans="1:15">
      <c r="A107" s="66"/>
      <c r="B107" s="66"/>
      <c r="C107" s="66"/>
      <c r="D107" s="66"/>
      <c r="E107" s="66"/>
      <c r="F107" s="66"/>
      <c r="G107" s="66"/>
      <c r="H107" s="66"/>
      <c r="I107" s="66"/>
      <c r="J107" s="66"/>
      <c r="K107" s="66"/>
      <c r="L107" s="66"/>
      <c r="M107" s="66"/>
      <c r="N107" s="66"/>
      <c r="O107" s="66"/>
    </row>
    <row r="108" spans="1:15">
      <c r="A108" s="66"/>
      <c r="B108" s="66"/>
      <c r="C108" s="66"/>
      <c r="D108" s="66"/>
      <c r="E108" s="66"/>
      <c r="F108" s="66"/>
      <c r="G108" s="66"/>
      <c r="H108" s="66"/>
      <c r="I108" s="66"/>
      <c r="J108" s="66"/>
      <c r="K108" s="66"/>
      <c r="L108" s="66"/>
      <c r="M108" s="66"/>
      <c r="N108" s="66"/>
      <c r="O108" s="66"/>
    </row>
    <row r="109" spans="1:15">
      <c r="A109" s="66"/>
      <c r="B109" s="66"/>
      <c r="C109" s="66"/>
      <c r="D109" s="66"/>
      <c r="E109" s="66"/>
      <c r="F109" s="66"/>
      <c r="G109" s="66"/>
      <c r="H109" s="66"/>
      <c r="I109" s="66"/>
      <c r="J109" s="66"/>
      <c r="K109" s="66"/>
      <c r="L109" s="66"/>
      <c r="M109" s="66"/>
      <c r="N109" s="66"/>
      <c r="O109" s="66"/>
    </row>
    <row r="110" spans="1:15">
      <c r="A110" s="66"/>
      <c r="B110" s="66"/>
      <c r="C110" s="66"/>
      <c r="D110" s="66"/>
      <c r="E110" s="66"/>
      <c r="F110" s="66"/>
      <c r="G110" s="66"/>
      <c r="H110" s="66"/>
      <c r="I110" s="66"/>
      <c r="J110" s="66"/>
      <c r="K110" s="66"/>
      <c r="L110" s="66"/>
      <c r="M110" s="66"/>
      <c r="N110" s="66"/>
      <c r="O110" s="66"/>
    </row>
    <row r="111" spans="1:15">
      <c r="A111" s="66"/>
      <c r="B111" s="66"/>
      <c r="C111" s="66"/>
      <c r="D111" s="66"/>
      <c r="E111" s="66"/>
      <c r="F111" s="66"/>
      <c r="G111" s="66"/>
      <c r="H111" s="66"/>
      <c r="I111" s="66"/>
      <c r="J111" s="66"/>
      <c r="K111" s="66"/>
      <c r="L111" s="66"/>
      <c r="M111" s="66"/>
      <c r="N111" s="66"/>
      <c r="O111" s="66"/>
    </row>
    <row r="112" spans="1:15">
      <c r="A112" s="66"/>
      <c r="B112" s="66"/>
      <c r="C112" s="66"/>
      <c r="D112" s="66"/>
      <c r="E112" s="66"/>
      <c r="F112" s="66"/>
      <c r="G112" s="66"/>
      <c r="H112" s="66"/>
      <c r="I112" s="66"/>
      <c r="J112" s="66"/>
      <c r="K112" s="66"/>
      <c r="L112" s="66"/>
      <c r="M112" s="66"/>
      <c r="N112" s="66"/>
      <c r="O112" s="66"/>
    </row>
    <row r="113" spans="1:15">
      <c r="A113" s="66"/>
      <c r="B113" s="66"/>
      <c r="C113" s="66"/>
      <c r="D113" s="66"/>
      <c r="E113" s="66"/>
      <c r="F113" s="66"/>
      <c r="G113" s="66"/>
      <c r="H113" s="66"/>
      <c r="I113" s="66"/>
      <c r="J113" s="66"/>
      <c r="K113" s="66"/>
      <c r="L113" s="66"/>
      <c r="M113" s="66"/>
      <c r="N113" s="66"/>
      <c r="O113" s="66"/>
    </row>
    <row r="114" spans="1:15">
      <c r="A114" s="66"/>
      <c r="B114" s="66"/>
      <c r="C114" s="66"/>
      <c r="D114" s="66"/>
      <c r="E114" s="66"/>
      <c r="F114" s="66"/>
      <c r="G114" s="66"/>
      <c r="H114" s="66"/>
      <c r="I114" s="66"/>
      <c r="J114" s="66"/>
      <c r="K114" s="66"/>
      <c r="L114" s="66"/>
      <c r="M114" s="66"/>
      <c r="N114" s="66"/>
      <c r="O114" s="66"/>
    </row>
    <row r="115" spans="1:15">
      <c r="A115" s="66"/>
      <c r="B115" s="66"/>
      <c r="C115" s="66"/>
      <c r="D115" s="66"/>
      <c r="E115" s="66"/>
      <c r="F115" s="66"/>
      <c r="G115" s="66"/>
      <c r="H115" s="66"/>
      <c r="I115" s="66"/>
      <c r="J115" s="66"/>
      <c r="K115" s="66"/>
      <c r="L115" s="66"/>
      <c r="M115" s="66"/>
      <c r="N115" s="66"/>
      <c r="O115" s="66"/>
    </row>
    <row r="116" spans="1:15">
      <c r="A116" s="66"/>
      <c r="B116" s="66"/>
      <c r="C116" s="66"/>
      <c r="D116" s="66"/>
      <c r="E116" s="66"/>
      <c r="F116" s="66"/>
      <c r="G116" s="66"/>
      <c r="H116" s="66"/>
      <c r="I116" s="66"/>
      <c r="J116" s="66"/>
      <c r="K116" s="66"/>
      <c r="L116" s="66"/>
      <c r="M116" s="66"/>
      <c r="N116" s="66"/>
      <c r="O116" s="6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71CD1-F36B-4AF8-99F0-22A2275AE82D}">
  <sheetPr codeName="Sheet29"/>
  <dimension ref="A1:M195"/>
  <sheetViews>
    <sheetView topLeftCell="A181" workbookViewId="0">
      <selection activeCell="K193" sqref="K193"/>
    </sheetView>
  </sheetViews>
  <sheetFormatPr defaultColWidth="8.88671875" defaultRowHeight="15"/>
  <cols>
    <col min="1" max="1" width="16.44140625" style="488" customWidth="1"/>
    <col min="2" max="2" width="14.44140625" style="488" customWidth="1"/>
    <col min="3" max="3" width="13.33203125" style="488" customWidth="1"/>
    <col min="4" max="4" width="11.109375" style="488" customWidth="1"/>
    <col min="5" max="5" width="13.44140625" style="488" customWidth="1"/>
    <col min="6" max="6" width="11.109375" style="488" customWidth="1"/>
    <col min="7" max="7" width="13.21875" style="488" customWidth="1"/>
    <col min="8" max="10" width="11.109375" style="488" customWidth="1"/>
    <col min="11" max="11" width="14.5546875" style="488" customWidth="1"/>
    <col min="12" max="12" width="11.88671875" style="488" customWidth="1"/>
    <col min="13" max="13" width="14.21875" style="488" customWidth="1"/>
    <col min="14" max="16384" width="8.88671875" style="488"/>
  </cols>
  <sheetData>
    <row r="1" spans="1:13" ht="15.75">
      <c r="A1" s="530" t="s">
        <v>128</v>
      </c>
      <c r="B1" s="529"/>
      <c r="C1" s="529"/>
      <c r="D1" s="529"/>
      <c r="E1" s="529"/>
      <c r="F1" s="529"/>
      <c r="G1" s="529"/>
      <c r="H1" s="529"/>
      <c r="I1" s="529"/>
      <c r="J1" s="529"/>
      <c r="K1" s="529"/>
      <c r="M1" s="498"/>
    </row>
    <row r="2" spans="1:13" ht="15.75">
      <c r="A2" s="530" t="s">
        <v>1539</v>
      </c>
      <c r="B2" s="529"/>
      <c r="C2" s="529"/>
      <c r="D2" s="529"/>
      <c r="E2" s="529"/>
      <c r="F2" s="529"/>
      <c r="G2" s="529"/>
      <c r="H2" s="529"/>
      <c r="I2" s="529"/>
      <c r="J2" s="529"/>
      <c r="K2" s="529"/>
      <c r="L2" s="532" t="s">
        <v>1550</v>
      </c>
      <c r="M2" s="531"/>
    </row>
    <row r="3" spans="1:13" ht="15.75">
      <c r="A3" s="530" t="s">
        <v>1549</v>
      </c>
      <c r="B3" s="529"/>
      <c r="C3" s="529"/>
      <c r="D3" s="529"/>
      <c r="E3" s="529"/>
      <c r="F3" s="529"/>
      <c r="G3" s="529"/>
      <c r="H3" s="529"/>
      <c r="I3" s="529"/>
      <c r="J3" s="529"/>
      <c r="K3" s="529"/>
      <c r="M3" s="498"/>
    </row>
    <row r="4" spans="1:13">
      <c r="A4" s="528" t="s">
        <v>1537</v>
      </c>
      <c r="B4" s="527" t="s">
        <v>103</v>
      </c>
      <c r="C4" s="525" t="s">
        <v>1534</v>
      </c>
      <c r="D4" s="525" t="s">
        <v>1533</v>
      </c>
      <c r="E4" s="525" t="s">
        <v>1532</v>
      </c>
      <c r="F4" s="526" t="s">
        <v>1531</v>
      </c>
      <c r="G4" s="526" t="s">
        <v>1530</v>
      </c>
      <c r="H4" s="525" t="s">
        <v>1529</v>
      </c>
      <c r="I4" s="525" t="s">
        <v>1528</v>
      </c>
      <c r="J4" s="526" t="s">
        <v>1527</v>
      </c>
      <c r="K4" s="525" t="s">
        <v>103</v>
      </c>
      <c r="L4" s="524" t="s">
        <v>1536</v>
      </c>
      <c r="M4" s="506" t="s">
        <v>1535</v>
      </c>
    </row>
    <row r="5" spans="1:13">
      <c r="A5" s="494">
        <v>43932</v>
      </c>
      <c r="B5" s="491">
        <v>8710.2000000000007</v>
      </c>
      <c r="C5" s="491" t="s">
        <v>1524</v>
      </c>
      <c r="D5" s="491">
        <v>4117.26</v>
      </c>
      <c r="E5" s="491">
        <v>1.25</v>
      </c>
      <c r="F5" s="491">
        <v>5144.71</v>
      </c>
      <c r="G5" s="491">
        <v>1000.53</v>
      </c>
      <c r="H5" s="491">
        <v>2033.93</v>
      </c>
      <c r="I5" s="491">
        <v>124.67</v>
      </c>
      <c r="J5" s="491"/>
      <c r="K5" s="491">
        <f t="shared" ref="K5:K36" si="0">SUM(F5:J5)</f>
        <v>8303.84</v>
      </c>
      <c r="L5" s="497">
        <f>SUM(K5:K6)</f>
        <v>8710.2000000000007</v>
      </c>
      <c r="M5" s="489"/>
    </row>
    <row r="6" spans="1:13">
      <c r="A6" s="494"/>
      <c r="B6" s="491"/>
      <c r="C6" s="491" t="s">
        <v>1522</v>
      </c>
      <c r="D6" s="491">
        <v>226.23</v>
      </c>
      <c r="E6" s="491">
        <v>1.08</v>
      </c>
      <c r="F6" s="491">
        <v>246.36</v>
      </c>
      <c r="G6" s="491">
        <v>41.41</v>
      </c>
      <c r="H6" s="491">
        <v>111.75</v>
      </c>
      <c r="I6" s="491">
        <v>6.84</v>
      </c>
      <c r="J6" s="491"/>
      <c r="K6" s="491">
        <f t="shared" si="0"/>
        <v>406.35999999999996</v>
      </c>
      <c r="L6" s="497"/>
      <c r="M6" s="489"/>
    </row>
    <row r="7" spans="1:13">
      <c r="A7" s="494">
        <v>44301</v>
      </c>
      <c r="B7" s="491">
        <v>86.16</v>
      </c>
      <c r="C7" s="491" t="s">
        <v>1524</v>
      </c>
      <c r="D7" s="491">
        <v>43.103000000000002</v>
      </c>
      <c r="E7" s="491">
        <v>1.2587999999999999</v>
      </c>
      <c r="F7" s="491">
        <v>54.26</v>
      </c>
      <c r="G7" s="491">
        <v>10.47</v>
      </c>
      <c r="H7" s="491">
        <v>21.29</v>
      </c>
      <c r="I7" s="491">
        <v>0.14000000000000001</v>
      </c>
      <c r="J7" s="491"/>
      <c r="K7" s="491">
        <f t="shared" si="0"/>
        <v>86.160000000000011</v>
      </c>
      <c r="L7" s="497"/>
      <c r="M7" s="489">
        <v>86.16</v>
      </c>
    </row>
    <row r="8" spans="1:13">
      <c r="A8" s="494">
        <f>A5+7</f>
        <v>43939</v>
      </c>
      <c r="B8" s="491">
        <v>4646.87</v>
      </c>
      <c r="C8" s="491" t="s">
        <v>1524</v>
      </c>
      <c r="D8" s="491">
        <v>2390.46</v>
      </c>
      <c r="E8" s="491">
        <v>1.077</v>
      </c>
      <c r="F8" s="491">
        <v>2576.27</v>
      </c>
      <c r="G8" s="491">
        <v>580.89</v>
      </c>
      <c r="H8" s="491">
        <v>1180.92</v>
      </c>
      <c r="I8" s="491">
        <v>72.349999999999994</v>
      </c>
      <c r="J8" s="491"/>
      <c r="K8" s="491">
        <f t="shared" si="0"/>
        <v>4410.43</v>
      </c>
      <c r="L8" s="491">
        <f>SUM(K8:K9)</f>
        <v>4646.87</v>
      </c>
      <c r="M8" s="489"/>
    </row>
    <row r="9" spans="1:13">
      <c r="A9" s="494"/>
      <c r="B9" s="491"/>
      <c r="C9" s="491" t="s">
        <v>1522</v>
      </c>
      <c r="D9" s="491">
        <v>145.85</v>
      </c>
      <c r="E9" s="491">
        <v>0.91300000000000003</v>
      </c>
      <c r="F9" s="491">
        <v>133.29</v>
      </c>
      <c r="G9" s="491">
        <v>26.69</v>
      </c>
      <c r="H9" s="491">
        <v>72.05</v>
      </c>
      <c r="I9" s="491">
        <v>4.41</v>
      </c>
      <c r="J9" s="491"/>
      <c r="K9" s="491">
        <f t="shared" si="0"/>
        <v>236.43999999999997</v>
      </c>
      <c r="L9" s="491"/>
      <c r="M9" s="489"/>
    </row>
    <row r="10" spans="1:13">
      <c r="A10" s="494">
        <f>A8+7</f>
        <v>43946</v>
      </c>
      <c r="B10" s="491">
        <v>4803.16</v>
      </c>
      <c r="C10" s="491" t="s">
        <v>1524</v>
      </c>
      <c r="D10" s="491">
        <v>2656.86</v>
      </c>
      <c r="E10" s="491">
        <v>0.95499999999999996</v>
      </c>
      <c r="F10" s="491">
        <v>2539.11</v>
      </c>
      <c r="G10" s="491">
        <v>645.63</v>
      </c>
      <c r="H10" s="491">
        <v>1312.48</v>
      </c>
      <c r="I10" s="491">
        <v>80.459999999999994</v>
      </c>
      <c r="J10" s="491"/>
      <c r="K10" s="491">
        <f t="shared" si="0"/>
        <v>4577.68</v>
      </c>
      <c r="L10" s="497">
        <f>SUM(K10:K12)</f>
        <v>4803.1600000000008</v>
      </c>
      <c r="M10" s="489"/>
    </row>
    <row r="11" spans="1:13">
      <c r="A11" s="494"/>
      <c r="B11" s="491"/>
      <c r="C11" s="491" t="s">
        <v>1522</v>
      </c>
      <c r="D11" s="491">
        <v>116.59</v>
      </c>
      <c r="E11" s="491">
        <v>1.0509999999999999</v>
      </c>
      <c r="F11" s="491">
        <v>122.61</v>
      </c>
      <c r="G11" s="491">
        <v>21.32</v>
      </c>
      <c r="H11" s="491">
        <v>57.61</v>
      </c>
      <c r="I11" s="491">
        <v>3.52</v>
      </c>
      <c r="J11" s="491"/>
      <c r="K11" s="491">
        <f t="shared" si="0"/>
        <v>205.06000000000003</v>
      </c>
      <c r="L11" s="497"/>
      <c r="M11" s="489"/>
    </row>
    <row r="12" spans="1:13">
      <c r="A12" s="494"/>
      <c r="B12" s="491"/>
      <c r="C12" s="491" t="s">
        <v>1523</v>
      </c>
      <c r="D12" s="491">
        <v>5.72</v>
      </c>
      <c r="E12" s="491">
        <v>3.25</v>
      </c>
      <c r="F12" s="491">
        <v>18.600000000000001</v>
      </c>
      <c r="G12" s="491"/>
      <c r="H12" s="491"/>
      <c r="I12" s="491"/>
      <c r="J12" s="491">
        <v>1.82</v>
      </c>
      <c r="K12" s="491">
        <f t="shared" si="0"/>
        <v>20.420000000000002</v>
      </c>
      <c r="L12" s="497"/>
      <c r="M12" s="489"/>
    </row>
    <row r="13" spans="1:13">
      <c r="A13" s="494">
        <f>A10+5</f>
        <v>43951</v>
      </c>
      <c r="B13" s="491">
        <v>3544.68</v>
      </c>
      <c r="C13" s="491" t="s">
        <v>1524</v>
      </c>
      <c r="D13" s="491">
        <v>2084.4299999999998</v>
      </c>
      <c r="E13" s="491">
        <v>0.83860000000000001</v>
      </c>
      <c r="F13" s="491">
        <v>1747.99</v>
      </c>
      <c r="G13" s="491">
        <v>506.55</v>
      </c>
      <c r="H13" s="491">
        <v>1029.7</v>
      </c>
      <c r="I13" s="491">
        <v>63.13</v>
      </c>
      <c r="J13" s="491"/>
      <c r="K13" s="491">
        <f t="shared" si="0"/>
        <v>3347.37</v>
      </c>
      <c r="L13" s="497">
        <f>SUM(K13:K15)</f>
        <v>3544.68</v>
      </c>
      <c r="M13" s="489"/>
    </row>
    <row r="14" spans="1:13">
      <c r="A14" s="494"/>
      <c r="B14" s="491"/>
      <c r="C14" s="491" t="s">
        <v>1522</v>
      </c>
      <c r="D14" s="491">
        <v>99.77</v>
      </c>
      <c r="E14" s="491">
        <v>1.099</v>
      </c>
      <c r="F14" s="491">
        <v>109.71</v>
      </c>
      <c r="G14" s="491">
        <v>18.260000000000002</v>
      </c>
      <c r="H14" s="491">
        <v>49.3</v>
      </c>
      <c r="I14" s="491">
        <v>3.02</v>
      </c>
      <c r="J14" s="491">
        <v>0</v>
      </c>
      <c r="K14" s="491">
        <f t="shared" si="0"/>
        <v>180.29</v>
      </c>
      <c r="L14" s="497"/>
      <c r="M14" s="489"/>
    </row>
    <row r="15" spans="1:13">
      <c r="A15" s="494"/>
      <c r="B15" s="491"/>
      <c r="C15" s="491" t="s">
        <v>1523</v>
      </c>
      <c r="D15" s="491">
        <v>4.7699999999999996</v>
      </c>
      <c r="E15" s="491">
        <v>3.25</v>
      </c>
      <c r="F15" s="491">
        <v>15.5</v>
      </c>
      <c r="G15" s="491"/>
      <c r="H15" s="491"/>
      <c r="I15" s="491"/>
      <c r="J15" s="491">
        <v>1.52</v>
      </c>
      <c r="K15" s="491">
        <f t="shared" si="0"/>
        <v>17.02</v>
      </c>
      <c r="L15" s="497"/>
      <c r="M15" s="489"/>
    </row>
    <row r="16" spans="1:13">
      <c r="A16" s="494">
        <v>43951</v>
      </c>
      <c r="B16" s="491">
        <v>29.53</v>
      </c>
      <c r="C16" s="491" t="s">
        <v>1524</v>
      </c>
      <c r="D16" s="491">
        <v>18.7</v>
      </c>
      <c r="E16" s="491">
        <v>0.83899999999999997</v>
      </c>
      <c r="F16" s="491">
        <v>15.69</v>
      </c>
      <c r="G16" s="491">
        <v>4.54</v>
      </c>
      <c r="H16" s="491">
        <v>9.24</v>
      </c>
      <c r="I16" s="491">
        <v>0.06</v>
      </c>
      <c r="J16" s="491"/>
      <c r="K16" s="491">
        <f t="shared" si="0"/>
        <v>29.529999999999998</v>
      </c>
      <c r="L16" s="497"/>
      <c r="M16" s="489">
        <v>29.53</v>
      </c>
    </row>
    <row r="17" spans="1:13">
      <c r="A17" s="494">
        <v>43960</v>
      </c>
      <c r="B17" s="491">
        <v>6029.63</v>
      </c>
      <c r="C17" s="491" t="s">
        <v>1524</v>
      </c>
      <c r="D17" s="491">
        <v>3292.29</v>
      </c>
      <c r="E17" s="491">
        <v>0.94499999999999995</v>
      </c>
      <c r="F17" s="491">
        <v>3111.66</v>
      </c>
      <c r="G17" s="491">
        <v>800</v>
      </c>
      <c r="H17" s="491">
        <v>1626.35</v>
      </c>
      <c r="I17" s="491">
        <v>99.65</v>
      </c>
      <c r="J17" s="491"/>
      <c r="K17" s="491">
        <f t="shared" si="0"/>
        <v>5637.66</v>
      </c>
      <c r="L17" s="497">
        <f>SUM(K17:K19)</f>
        <v>6029.6299999999992</v>
      </c>
      <c r="M17" s="489"/>
    </row>
    <row r="18" spans="1:13">
      <c r="A18" s="494"/>
      <c r="B18" s="491"/>
      <c r="C18" s="491" t="s">
        <v>1522</v>
      </c>
      <c r="D18" s="491">
        <v>177.655</v>
      </c>
      <c r="E18" s="491">
        <v>1.292</v>
      </c>
      <c r="F18" s="491">
        <v>229.68</v>
      </c>
      <c r="G18" s="491">
        <v>32.5</v>
      </c>
      <c r="H18" s="491">
        <v>87.77</v>
      </c>
      <c r="I18" s="491">
        <v>5.41</v>
      </c>
      <c r="J18" s="491"/>
      <c r="K18" s="491">
        <f t="shared" si="0"/>
        <v>355.36</v>
      </c>
      <c r="L18" s="497"/>
      <c r="M18" s="489"/>
    </row>
    <row r="19" spans="1:13">
      <c r="A19" s="494"/>
      <c r="B19" s="491"/>
      <c r="C19" s="491" t="s">
        <v>1523</v>
      </c>
      <c r="D19" s="491">
        <v>10.26</v>
      </c>
      <c r="E19" s="491">
        <v>3.2494999999999998</v>
      </c>
      <c r="F19" s="491">
        <v>33.340000000000003</v>
      </c>
      <c r="G19" s="491"/>
      <c r="H19" s="491"/>
      <c r="I19" s="491"/>
      <c r="J19" s="491">
        <v>3.27</v>
      </c>
      <c r="K19" s="491">
        <f t="shared" si="0"/>
        <v>36.610000000000007</v>
      </c>
      <c r="L19" s="497"/>
      <c r="M19" s="489"/>
    </row>
    <row r="20" spans="1:13">
      <c r="A20" s="494">
        <v>43967</v>
      </c>
      <c r="B20" s="491">
        <v>5320.08</v>
      </c>
      <c r="C20" s="491" t="s">
        <v>1524</v>
      </c>
      <c r="D20" s="491">
        <v>2743.82</v>
      </c>
      <c r="E20" s="491">
        <v>1.0236000000000001</v>
      </c>
      <c r="F20" s="491">
        <v>2808.5</v>
      </c>
      <c r="G20" s="491">
        <v>666.74</v>
      </c>
      <c r="H20" s="491">
        <v>1355.45</v>
      </c>
      <c r="I20" s="491">
        <v>83.14</v>
      </c>
      <c r="J20" s="491"/>
      <c r="K20" s="491">
        <f t="shared" si="0"/>
        <v>4913.83</v>
      </c>
      <c r="L20" s="497">
        <f>SUM(K20:K22)</f>
        <v>5320.08</v>
      </c>
      <c r="M20" s="489"/>
    </row>
    <row r="21" spans="1:13">
      <c r="A21" s="494"/>
      <c r="B21" s="491"/>
      <c r="C21" s="491" t="s">
        <v>1522</v>
      </c>
      <c r="D21" s="491">
        <f>159.885+15.999</f>
        <v>175.88399999999999</v>
      </c>
      <c r="E21" s="491">
        <f>1.4248+1.9464</f>
        <v>3.3712</v>
      </c>
      <c r="F21" s="491">
        <f>227.8+31.14</f>
        <v>258.94</v>
      </c>
      <c r="G21" s="491">
        <f>29.28+2.93</f>
        <v>32.21</v>
      </c>
      <c r="H21" s="491">
        <f>78.99+7.9</f>
        <v>86.89</v>
      </c>
      <c r="I21" s="491">
        <f>4.82+0.48</f>
        <v>5.3000000000000007</v>
      </c>
      <c r="J21" s="491"/>
      <c r="K21" s="491">
        <f t="shared" si="0"/>
        <v>383.34</v>
      </c>
      <c r="L21" s="497"/>
      <c r="M21" s="489"/>
    </row>
    <row r="22" spans="1:13">
      <c r="A22" s="494"/>
      <c r="B22" s="491"/>
      <c r="C22" s="491" t="s">
        <v>1523</v>
      </c>
      <c r="D22" s="491">
        <v>6.42</v>
      </c>
      <c r="E22" s="491">
        <v>3.2490000000000001</v>
      </c>
      <c r="F22" s="491">
        <v>20.86</v>
      </c>
      <c r="G22" s="491"/>
      <c r="H22" s="491"/>
      <c r="I22" s="491"/>
      <c r="J22" s="491">
        <v>2.0499999999999998</v>
      </c>
      <c r="K22" s="491">
        <f t="shared" si="0"/>
        <v>22.91</v>
      </c>
      <c r="L22" s="497"/>
      <c r="M22" s="489"/>
    </row>
    <row r="23" spans="1:13">
      <c r="A23" s="494">
        <v>43974</v>
      </c>
      <c r="B23" s="491">
        <v>5518.35</v>
      </c>
      <c r="C23" s="491" t="s">
        <v>1524</v>
      </c>
      <c r="D23" s="491">
        <v>2732.78</v>
      </c>
      <c r="E23" s="491">
        <v>1.419</v>
      </c>
      <c r="F23" s="491">
        <v>3120.61</v>
      </c>
      <c r="G23" s="491">
        <v>664.1</v>
      </c>
      <c r="H23" s="491">
        <v>1349.97</v>
      </c>
      <c r="I23" s="491">
        <v>82.83</v>
      </c>
      <c r="J23" s="491"/>
      <c r="K23" s="491">
        <f t="shared" si="0"/>
        <v>5217.51</v>
      </c>
      <c r="L23" s="497">
        <f>SUM(K23:K25)</f>
        <v>5518.35</v>
      </c>
      <c r="M23" s="489"/>
    </row>
    <row r="24" spans="1:13">
      <c r="A24" s="494"/>
      <c r="B24" s="491"/>
      <c r="C24" s="491" t="s">
        <v>1522</v>
      </c>
      <c r="D24" s="491">
        <v>124.79600000000001</v>
      </c>
      <c r="E24" s="491">
        <v>1.597</v>
      </c>
      <c r="F24" s="491">
        <v>199.33</v>
      </c>
      <c r="G24" s="491">
        <v>22.84</v>
      </c>
      <c r="H24" s="491">
        <v>61.68</v>
      </c>
      <c r="I24" s="491">
        <v>3.78</v>
      </c>
      <c r="J24" s="491"/>
      <c r="K24" s="491">
        <f t="shared" si="0"/>
        <v>287.63</v>
      </c>
      <c r="L24" s="497"/>
      <c r="M24" s="489"/>
    </row>
    <row r="25" spans="1:13">
      <c r="A25" s="494"/>
      <c r="B25" s="491"/>
      <c r="C25" s="491" t="s">
        <v>1523</v>
      </c>
      <c r="D25" s="491">
        <v>3.7</v>
      </c>
      <c r="E25" s="491">
        <v>3.2509999999999999</v>
      </c>
      <c r="F25" s="491">
        <v>12.03</v>
      </c>
      <c r="G25" s="491"/>
      <c r="H25" s="491"/>
      <c r="I25" s="491"/>
      <c r="J25" s="491">
        <v>1.18</v>
      </c>
      <c r="K25" s="491">
        <f t="shared" si="0"/>
        <v>13.209999999999999</v>
      </c>
      <c r="L25" s="497"/>
      <c r="M25" s="489"/>
    </row>
    <row r="26" spans="1:13">
      <c r="A26" s="494">
        <v>43982</v>
      </c>
      <c r="B26" s="491">
        <v>5553.88</v>
      </c>
      <c r="C26" s="491" t="s">
        <v>1524</v>
      </c>
      <c r="D26" s="491">
        <v>2675.39</v>
      </c>
      <c r="E26" s="491">
        <v>1.1539999999999999</v>
      </c>
      <c r="F26" s="491">
        <v>3088.32</v>
      </c>
      <c r="G26" s="491">
        <v>650.19000000000005</v>
      </c>
      <c r="H26" s="491">
        <v>1321.67</v>
      </c>
      <c r="I26" s="491">
        <v>81.03</v>
      </c>
      <c r="J26" s="491"/>
      <c r="K26" s="491">
        <f t="shared" si="0"/>
        <v>5141.21</v>
      </c>
      <c r="L26" s="497">
        <f>SUM(K26:K28)</f>
        <v>5553.88</v>
      </c>
      <c r="M26" s="489"/>
    </row>
    <row r="27" spans="1:13">
      <c r="A27" s="494"/>
      <c r="B27" s="491"/>
      <c r="C27" s="491" t="s">
        <v>1522</v>
      </c>
      <c r="D27" s="491">
        <v>163.29</v>
      </c>
      <c r="E27" s="491">
        <v>1.667</v>
      </c>
      <c r="F27" s="491">
        <v>272.33</v>
      </c>
      <c r="G27" s="491">
        <v>29.89</v>
      </c>
      <c r="H27" s="491">
        <v>80.69</v>
      </c>
      <c r="I27" s="491">
        <v>4.92</v>
      </c>
      <c r="J27" s="491"/>
      <c r="K27" s="491">
        <f t="shared" si="0"/>
        <v>387.83</v>
      </c>
      <c r="L27" s="497"/>
      <c r="M27" s="489"/>
    </row>
    <row r="28" spans="1:13">
      <c r="A28" s="494"/>
      <c r="B28" s="491"/>
      <c r="C28" s="491" t="s">
        <v>1523</v>
      </c>
      <c r="D28" s="491">
        <v>6.96</v>
      </c>
      <c r="E28" s="491">
        <v>3.2509999999999999</v>
      </c>
      <c r="F28" s="491">
        <v>22.63</v>
      </c>
      <c r="G28" s="491"/>
      <c r="H28" s="491"/>
      <c r="I28" s="491"/>
      <c r="J28" s="491">
        <v>2.21</v>
      </c>
      <c r="K28" s="491">
        <f t="shared" si="0"/>
        <v>24.84</v>
      </c>
      <c r="L28" s="497"/>
      <c r="M28" s="489"/>
    </row>
    <row r="29" spans="1:13">
      <c r="A29" s="494">
        <v>43988</v>
      </c>
      <c r="B29" s="491">
        <v>5307.4</v>
      </c>
      <c r="C29" s="491" t="s">
        <v>1524</v>
      </c>
      <c r="D29" s="491">
        <v>2525.89</v>
      </c>
      <c r="E29" s="491">
        <v>1.198</v>
      </c>
      <c r="F29" s="491">
        <v>3027.01</v>
      </c>
      <c r="G29" s="491">
        <v>613.77</v>
      </c>
      <c r="H29" s="491">
        <v>1247.78</v>
      </c>
      <c r="I29" s="491">
        <v>76.510000000000005</v>
      </c>
      <c r="J29" s="491"/>
      <c r="K29" s="491">
        <f t="shared" si="0"/>
        <v>4965.0700000000006</v>
      </c>
      <c r="L29" s="497">
        <f>SUM(K29:K31)</f>
        <v>5307.4000000000005</v>
      </c>
      <c r="M29" s="489"/>
    </row>
    <row r="30" spans="1:13">
      <c r="A30" s="494"/>
      <c r="B30" s="491"/>
      <c r="C30" s="491" t="s">
        <v>1522</v>
      </c>
      <c r="D30" s="491">
        <v>134.04</v>
      </c>
      <c r="E30" s="491">
        <v>1.7364999999999999</v>
      </c>
      <c r="F30" s="491">
        <v>232.77</v>
      </c>
      <c r="G30" s="491">
        <v>24.55</v>
      </c>
      <c r="H30" s="491">
        <v>66.22</v>
      </c>
      <c r="I30" s="491">
        <v>4.05</v>
      </c>
      <c r="J30" s="491"/>
      <c r="K30" s="491">
        <f t="shared" si="0"/>
        <v>327.58999999999997</v>
      </c>
      <c r="L30" s="497"/>
      <c r="M30" s="489"/>
    </row>
    <row r="31" spans="1:13">
      <c r="A31" s="494"/>
      <c r="B31" s="491"/>
      <c r="C31" s="491" t="s">
        <v>1523</v>
      </c>
      <c r="D31" s="491">
        <v>4.13</v>
      </c>
      <c r="E31" s="491">
        <v>3.25</v>
      </c>
      <c r="F31" s="491">
        <v>13.43</v>
      </c>
      <c r="G31" s="491"/>
      <c r="H31" s="491"/>
      <c r="I31" s="491"/>
      <c r="J31" s="491">
        <v>1.31</v>
      </c>
      <c r="K31" s="491">
        <f t="shared" si="0"/>
        <v>14.74</v>
      </c>
      <c r="L31" s="497"/>
      <c r="M31" s="489"/>
    </row>
    <row r="32" spans="1:13">
      <c r="A32" s="494">
        <v>43995</v>
      </c>
      <c r="B32" s="491">
        <v>6031.08</v>
      </c>
      <c r="C32" s="491" t="s">
        <v>1524</v>
      </c>
      <c r="D32" s="491">
        <v>2762.08</v>
      </c>
      <c r="E32" s="491">
        <v>1.2767999999999999</v>
      </c>
      <c r="F32" s="491">
        <v>3526.74</v>
      </c>
      <c r="G32" s="491">
        <v>671.18</v>
      </c>
      <c r="H32" s="491">
        <v>1364.51</v>
      </c>
      <c r="I32" s="491">
        <v>83.68</v>
      </c>
      <c r="J32" s="491"/>
      <c r="K32" s="491">
        <f t="shared" si="0"/>
        <v>5646.1100000000006</v>
      </c>
      <c r="L32" s="497">
        <f>SUM(K32:K33)</f>
        <v>6031.0800000000008</v>
      </c>
      <c r="M32" s="489"/>
    </row>
    <row r="33" spans="1:13">
      <c r="A33" s="494"/>
      <c r="B33" s="491"/>
      <c r="C33" s="491" t="s">
        <v>1522</v>
      </c>
      <c r="D33" s="491">
        <v>151.05000000000001</v>
      </c>
      <c r="E33" s="491">
        <v>1.84</v>
      </c>
      <c r="F33" s="491">
        <v>278.16000000000003</v>
      </c>
      <c r="G33" s="491">
        <v>27.65</v>
      </c>
      <c r="H33" s="491">
        <v>74.61</v>
      </c>
      <c r="I33" s="491">
        <v>4.55</v>
      </c>
      <c r="J33" s="491"/>
      <c r="K33" s="491">
        <f t="shared" si="0"/>
        <v>384.97</v>
      </c>
      <c r="L33" s="497"/>
      <c r="M33" s="489"/>
    </row>
    <row r="34" spans="1:13">
      <c r="A34" s="494">
        <v>44362</v>
      </c>
      <c r="B34" s="491">
        <v>51.52</v>
      </c>
      <c r="C34" s="491" t="s">
        <v>1524</v>
      </c>
      <c r="D34" s="491">
        <v>24.9</v>
      </c>
      <c r="E34" s="491">
        <v>1.3289</v>
      </c>
      <c r="F34" s="491">
        <v>33.090000000000003</v>
      </c>
      <c r="G34" s="491">
        <v>6.05</v>
      </c>
      <c r="H34" s="491">
        <v>12.3</v>
      </c>
      <c r="I34" s="491">
        <v>0.08</v>
      </c>
      <c r="J34" s="491"/>
      <c r="K34" s="491">
        <f t="shared" si="0"/>
        <v>51.519999999999996</v>
      </c>
      <c r="L34" s="497"/>
      <c r="M34" s="489">
        <v>51.52</v>
      </c>
    </row>
    <row r="35" spans="1:13">
      <c r="A35" s="494">
        <v>44002</v>
      </c>
      <c r="B35" s="491">
        <v>5334.48</v>
      </c>
      <c r="C35" s="491" t="s">
        <v>1524</v>
      </c>
      <c r="D35" s="491">
        <v>2428.69</v>
      </c>
      <c r="E35" s="491">
        <v>1.3103</v>
      </c>
      <c r="F35" s="491">
        <v>3182.43</v>
      </c>
      <c r="G35" s="491">
        <v>590.16999999999996</v>
      </c>
      <c r="H35" s="491">
        <v>1199.78</v>
      </c>
      <c r="I35" s="491">
        <v>73.58</v>
      </c>
      <c r="J35" s="491"/>
      <c r="K35" s="491">
        <f t="shared" si="0"/>
        <v>5045.96</v>
      </c>
      <c r="L35" s="497">
        <f>SUM(K35:K37)</f>
        <v>5334.4800000000005</v>
      </c>
      <c r="M35" s="489"/>
    </row>
    <row r="36" spans="1:13">
      <c r="A36" s="494"/>
      <c r="B36" s="491"/>
      <c r="C36" s="491" t="s">
        <v>1522</v>
      </c>
      <c r="D36" s="491">
        <v>108.83</v>
      </c>
      <c r="E36" s="491">
        <v>1.851</v>
      </c>
      <c r="F36" s="491">
        <v>201.47</v>
      </c>
      <c r="G36" s="491">
        <v>19.940000000000001</v>
      </c>
      <c r="H36" s="491">
        <v>53.77</v>
      </c>
      <c r="I36" s="491">
        <v>3.28</v>
      </c>
      <c r="J36" s="491"/>
      <c r="K36" s="491">
        <f t="shared" si="0"/>
        <v>278.45999999999998</v>
      </c>
      <c r="L36" s="497"/>
      <c r="M36" s="489"/>
    </row>
    <row r="37" spans="1:13">
      <c r="A37" s="494"/>
      <c r="B37" s="491"/>
      <c r="C37" s="491" t="s">
        <v>1523</v>
      </c>
      <c r="D37" s="491">
        <v>2.82</v>
      </c>
      <c r="E37" s="491">
        <v>3.2480000000000002</v>
      </c>
      <c r="F37" s="491">
        <v>9.16</v>
      </c>
      <c r="G37" s="491"/>
      <c r="H37" s="491"/>
      <c r="I37" s="491"/>
      <c r="J37" s="491">
        <v>0.9</v>
      </c>
      <c r="K37" s="491">
        <f t="shared" ref="K37:K68" si="1">SUM(F37:J37)</f>
        <v>10.06</v>
      </c>
      <c r="L37" s="497"/>
      <c r="M37" s="489"/>
    </row>
    <row r="38" spans="1:13">
      <c r="A38" s="494">
        <v>44012</v>
      </c>
      <c r="B38" s="491">
        <v>8836.31</v>
      </c>
      <c r="C38" s="491" t="s">
        <v>1524</v>
      </c>
      <c r="D38" s="491">
        <v>3914.3</v>
      </c>
      <c r="E38" s="491">
        <v>1.3353999999999999</v>
      </c>
      <c r="F38" s="491">
        <v>5227.05</v>
      </c>
      <c r="G38" s="491">
        <v>951.11</v>
      </c>
      <c r="H38" s="491">
        <v>1933.68</v>
      </c>
      <c r="I38" s="491">
        <v>118.56</v>
      </c>
      <c r="J38" s="491"/>
      <c r="K38" s="491">
        <f t="shared" si="1"/>
        <v>8230.4</v>
      </c>
      <c r="L38" s="497">
        <f>SUM(K38:K40)</f>
        <v>8836.31</v>
      </c>
      <c r="M38" s="489"/>
    </row>
    <row r="39" spans="1:13">
      <c r="A39" s="494"/>
      <c r="B39" s="491"/>
      <c r="C39" s="491" t="s">
        <v>1522</v>
      </c>
      <c r="D39" s="491">
        <v>225.44900000000001</v>
      </c>
      <c r="E39" s="491">
        <v>1.881</v>
      </c>
      <c r="F39" s="491">
        <v>424.24</v>
      </c>
      <c r="G39" s="491">
        <v>41.28</v>
      </c>
      <c r="H39" s="491">
        <v>111.39</v>
      </c>
      <c r="I39" s="491">
        <v>6.83</v>
      </c>
      <c r="J39" s="491"/>
      <c r="K39" s="491">
        <f t="shared" si="1"/>
        <v>583.74</v>
      </c>
      <c r="L39" s="497"/>
      <c r="M39" s="489"/>
    </row>
    <row r="40" spans="1:13">
      <c r="A40" s="494"/>
      <c r="B40" s="491"/>
      <c r="C40" s="491" t="s">
        <v>1523</v>
      </c>
      <c r="D40" s="491">
        <v>6.21</v>
      </c>
      <c r="E40" s="491">
        <v>3.2509999999999999</v>
      </c>
      <c r="F40" s="491">
        <v>20.190000000000001</v>
      </c>
      <c r="G40" s="491"/>
      <c r="H40" s="491"/>
      <c r="I40" s="491"/>
      <c r="J40" s="491">
        <v>1.98</v>
      </c>
      <c r="K40" s="491">
        <f t="shared" si="1"/>
        <v>22.17</v>
      </c>
      <c r="L40" s="497"/>
      <c r="M40" s="489"/>
    </row>
    <row r="41" spans="1:13">
      <c r="A41" s="494">
        <v>44012</v>
      </c>
      <c r="B41" s="491">
        <v>58.8</v>
      </c>
      <c r="C41" s="491" t="s">
        <v>1524</v>
      </c>
      <c r="D41" s="491">
        <v>27.75</v>
      </c>
      <c r="E41" s="491">
        <v>1.3779999999999999</v>
      </c>
      <c r="F41" s="491">
        <v>38.26</v>
      </c>
      <c r="G41" s="491">
        <v>6.74</v>
      </c>
      <c r="H41" s="491">
        <v>13.71</v>
      </c>
      <c r="I41" s="491">
        <v>0.09</v>
      </c>
      <c r="J41" s="491"/>
      <c r="K41" s="491">
        <f t="shared" si="1"/>
        <v>58.800000000000004</v>
      </c>
      <c r="L41" s="497">
        <f>K41</f>
        <v>58.800000000000004</v>
      </c>
      <c r="M41" s="489"/>
    </row>
    <row r="42" spans="1:13">
      <c r="A42" s="494">
        <v>44023</v>
      </c>
      <c r="B42" s="491">
        <v>9407.1</v>
      </c>
      <c r="C42" s="491" t="s">
        <v>1524</v>
      </c>
      <c r="D42" s="491">
        <v>4049.42</v>
      </c>
      <c r="E42" s="491">
        <v>1.37</v>
      </c>
      <c r="F42" s="491">
        <v>5547.89</v>
      </c>
      <c r="G42" s="491">
        <v>984.02</v>
      </c>
      <c r="H42" s="491">
        <v>2000.39</v>
      </c>
      <c r="I42" s="491">
        <v>126.52</v>
      </c>
      <c r="J42" s="491"/>
      <c r="K42" s="491">
        <f t="shared" si="1"/>
        <v>8658.82</v>
      </c>
      <c r="L42" s="497">
        <f>SUM(K42:K44)</f>
        <v>9407.1</v>
      </c>
      <c r="M42" s="489"/>
    </row>
    <row r="43" spans="1:13">
      <c r="A43" s="494"/>
      <c r="B43" s="491"/>
      <c r="C43" s="491" t="s">
        <v>1522</v>
      </c>
      <c r="D43" s="491">
        <f>246.53+17.25</f>
        <v>263.77999999999997</v>
      </c>
      <c r="E43" s="491">
        <f>1.965+2.409</f>
        <v>4.3739999999999997</v>
      </c>
      <c r="F43" s="491">
        <f>484.62+41.56</f>
        <v>526.18000000000006</v>
      </c>
      <c r="G43" s="491">
        <f>45.1+3.16</f>
        <v>48.260000000000005</v>
      </c>
      <c r="H43" s="491">
        <f>121.79+8.52</f>
        <v>130.31</v>
      </c>
      <c r="I43" s="491">
        <f>7.66+0.54</f>
        <v>8.1999999999999993</v>
      </c>
      <c r="J43" s="491"/>
      <c r="K43" s="491">
        <f t="shared" si="1"/>
        <v>712.95</v>
      </c>
      <c r="L43" s="497"/>
      <c r="M43" s="489"/>
    </row>
    <row r="44" spans="1:13">
      <c r="A44" s="494"/>
      <c r="B44" s="491"/>
      <c r="C44" s="491" t="s">
        <v>1523</v>
      </c>
      <c r="D44" s="491">
        <v>9.9</v>
      </c>
      <c r="E44" s="491">
        <v>3.2490000000000001</v>
      </c>
      <c r="F44" s="491">
        <v>32.17</v>
      </c>
      <c r="G44" s="491"/>
      <c r="H44" s="491"/>
      <c r="I44" s="491"/>
      <c r="J44" s="491">
        <v>3.16</v>
      </c>
      <c r="K44" s="491">
        <f t="shared" si="1"/>
        <v>35.33</v>
      </c>
      <c r="L44" s="497"/>
      <c r="M44" s="489"/>
    </row>
    <row r="45" spans="1:13">
      <c r="A45" s="494">
        <v>44027</v>
      </c>
      <c r="B45" s="491">
        <v>125.27</v>
      </c>
      <c r="C45" s="491" t="s">
        <v>1524</v>
      </c>
      <c r="D45" s="491">
        <v>58.87</v>
      </c>
      <c r="E45" s="491">
        <v>1.3875999999999999</v>
      </c>
      <c r="F45" s="491">
        <v>81.69</v>
      </c>
      <c r="G45" s="491">
        <v>14.31</v>
      </c>
      <c r="H45" s="491">
        <v>29.09</v>
      </c>
      <c r="I45" s="491">
        <v>0.18</v>
      </c>
      <c r="J45" s="491"/>
      <c r="K45" s="491">
        <f t="shared" si="1"/>
        <v>125.27000000000001</v>
      </c>
      <c r="L45" s="497"/>
      <c r="M45" s="489">
        <v>125.27</v>
      </c>
    </row>
    <row r="46" spans="1:13">
      <c r="A46" s="494">
        <v>44030</v>
      </c>
      <c r="B46" s="491">
        <v>6581.46</v>
      </c>
      <c r="C46" s="491" t="s">
        <v>1524</v>
      </c>
      <c r="D46" s="491">
        <v>2908.53</v>
      </c>
      <c r="E46" s="491">
        <v>1.381</v>
      </c>
      <c r="F46" s="491">
        <v>4019.17</v>
      </c>
      <c r="G46" s="491">
        <v>706.77</v>
      </c>
      <c r="H46" s="491">
        <v>1436.83</v>
      </c>
      <c r="I46" s="491">
        <v>90.89</v>
      </c>
      <c r="J46" s="491"/>
      <c r="K46" s="491">
        <f t="shared" si="1"/>
        <v>6253.6600000000008</v>
      </c>
      <c r="L46" s="497">
        <f>SUM(K46:K48)</f>
        <v>6581.4600000000009</v>
      </c>
      <c r="M46" s="489"/>
    </row>
    <row r="47" spans="1:13">
      <c r="A47" s="494"/>
      <c r="B47" s="491"/>
      <c r="C47" s="491" t="s">
        <v>1522</v>
      </c>
      <c r="D47" s="491">
        <v>117.04</v>
      </c>
      <c r="E47" s="491">
        <v>1.96</v>
      </c>
      <c r="F47" s="491">
        <v>230.37</v>
      </c>
      <c r="G47" s="491">
        <v>21.44</v>
      </c>
      <c r="H47" s="491">
        <v>57.8</v>
      </c>
      <c r="I47" s="491">
        <v>3.63</v>
      </c>
      <c r="J47" s="491"/>
      <c r="K47" s="491">
        <f t="shared" si="1"/>
        <v>313.24</v>
      </c>
      <c r="L47" s="497"/>
      <c r="M47" s="489"/>
    </row>
    <row r="48" spans="1:13">
      <c r="A48" s="494"/>
      <c r="B48" s="491"/>
      <c r="C48" s="491" t="s">
        <v>1523</v>
      </c>
      <c r="D48" s="491">
        <v>4.08</v>
      </c>
      <c r="E48" s="491">
        <v>3.25</v>
      </c>
      <c r="F48" s="491">
        <v>13.26</v>
      </c>
      <c r="G48" s="491"/>
      <c r="H48" s="491"/>
      <c r="I48" s="491"/>
      <c r="J48" s="491">
        <v>1.3</v>
      </c>
      <c r="K48" s="491">
        <f t="shared" si="1"/>
        <v>14.56</v>
      </c>
      <c r="L48" s="497"/>
      <c r="M48" s="489"/>
    </row>
    <row r="49" spans="1:13">
      <c r="A49" s="494">
        <v>44037</v>
      </c>
      <c r="B49" s="491">
        <v>6358.6</v>
      </c>
      <c r="C49" s="491" t="s">
        <v>1524</v>
      </c>
      <c r="D49" s="491">
        <v>2731.07</v>
      </c>
      <c r="E49" s="491">
        <v>1.41</v>
      </c>
      <c r="F49" s="491">
        <v>3861.76</v>
      </c>
      <c r="G49" s="491">
        <v>663.69</v>
      </c>
      <c r="H49" s="491">
        <v>1349.13</v>
      </c>
      <c r="I49" s="491">
        <v>85.29</v>
      </c>
      <c r="J49" s="491"/>
      <c r="K49" s="491">
        <f t="shared" si="1"/>
        <v>5959.8700000000008</v>
      </c>
      <c r="L49" s="497">
        <f>SUM(K49:K51)</f>
        <v>6358.6000000000013</v>
      </c>
      <c r="M49" s="489"/>
    </row>
    <row r="50" spans="1:13">
      <c r="A50" s="494"/>
      <c r="B50" s="491"/>
      <c r="C50" s="491" t="s">
        <v>1522</v>
      </c>
      <c r="D50" s="491">
        <v>147.66999999999999</v>
      </c>
      <c r="E50" s="491">
        <v>1.8680000000000001</v>
      </c>
      <c r="F50" s="491">
        <v>275.98</v>
      </c>
      <c r="G50" s="491">
        <v>27.04</v>
      </c>
      <c r="H50" s="491">
        <v>72.94</v>
      </c>
      <c r="I50" s="491">
        <v>4.5999999999999996</v>
      </c>
      <c r="J50" s="491"/>
      <c r="K50" s="491">
        <f t="shared" si="1"/>
        <v>380.56000000000006</v>
      </c>
      <c r="L50" s="497"/>
      <c r="M50" s="489"/>
    </row>
    <row r="51" spans="1:13">
      <c r="A51" s="494"/>
      <c r="B51" s="491"/>
      <c r="C51" s="491" t="s">
        <v>1523</v>
      </c>
      <c r="D51" s="491">
        <v>5.09</v>
      </c>
      <c r="E51" s="491">
        <v>3.25</v>
      </c>
      <c r="F51" s="491">
        <v>16.55</v>
      </c>
      <c r="G51" s="491"/>
      <c r="H51" s="491"/>
      <c r="I51" s="491"/>
      <c r="J51" s="491">
        <v>1.62</v>
      </c>
      <c r="K51" s="491">
        <f t="shared" si="1"/>
        <v>18.170000000000002</v>
      </c>
      <c r="L51" s="497"/>
      <c r="M51" s="489"/>
    </row>
    <row r="52" spans="1:13">
      <c r="A52" s="494">
        <v>44043</v>
      </c>
      <c r="B52" s="491">
        <v>53.56</v>
      </c>
      <c r="C52" s="491" t="s">
        <v>1524</v>
      </c>
      <c r="D52" s="491">
        <v>24.47</v>
      </c>
      <c r="E52" s="491">
        <v>1.448</v>
      </c>
      <c r="F52" s="491">
        <v>35.44</v>
      </c>
      <c r="G52" s="491">
        <v>5.95</v>
      </c>
      <c r="H52" s="491">
        <v>12.09</v>
      </c>
      <c r="I52" s="491">
        <v>0.08</v>
      </c>
      <c r="J52" s="491"/>
      <c r="K52" s="491">
        <f t="shared" si="1"/>
        <v>53.56</v>
      </c>
      <c r="L52" s="497"/>
      <c r="M52" s="489">
        <v>53.56</v>
      </c>
    </row>
    <row r="53" spans="1:13">
      <c r="A53" s="494">
        <v>44043</v>
      </c>
      <c r="B53" s="491">
        <v>5904.42</v>
      </c>
      <c r="C53" s="491" t="s">
        <v>1524</v>
      </c>
      <c r="D53" s="491">
        <v>2554.71</v>
      </c>
      <c r="E53" s="491">
        <v>1.4079999999999999</v>
      </c>
      <c r="F53" s="491">
        <v>3597.64</v>
      </c>
      <c r="G53" s="491">
        <v>620.82000000000005</v>
      </c>
      <c r="H53" s="491">
        <v>1262.01</v>
      </c>
      <c r="I53" s="491">
        <v>79.77</v>
      </c>
      <c r="J53" s="491"/>
      <c r="K53" s="491">
        <f t="shared" si="1"/>
        <v>5560.2400000000007</v>
      </c>
      <c r="L53" s="497">
        <f>SUM(K53:K54)</f>
        <v>5904.420000000001</v>
      </c>
      <c r="M53" s="489"/>
    </row>
    <row r="54" spans="1:13">
      <c r="A54" s="494"/>
      <c r="B54" s="491"/>
      <c r="C54" s="491" t="s">
        <v>1522</v>
      </c>
      <c r="D54" s="491">
        <v>133.13</v>
      </c>
      <c r="E54" s="491">
        <v>1.877</v>
      </c>
      <c r="F54" s="491">
        <v>249.89</v>
      </c>
      <c r="G54" s="491">
        <v>24.37</v>
      </c>
      <c r="H54" s="491">
        <v>65.760000000000005</v>
      </c>
      <c r="I54" s="491">
        <v>4.16</v>
      </c>
      <c r="J54" s="491"/>
      <c r="K54" s="491">
        <f t="shared" si="1"/>
        <v>344.18</v>
      </c>
      <c r="L54" s="497"/>
      <c r="M54" s="489"/>
    </row>
    <row r="55" spans="1:13">
      <c r="A55" s="494">
        <v>44051</v>
      </c>
      <c r="B55" s="491">
        <v>6446.52</v>
      </c>
      <c r="C55" s="491" t="s">
        <v>1524</v>
      </c>
      <c r="D55" s="491">
        <v>2742.33</v>
      </c>
      <c r="E55" s="491">
        <v>1.41</v>
      </c>
      <c r="F55" s="491">
        <v>3868.52</v>
      </c>
      <c r="G55" s="491">
        <v>666.39</v>
      </c>
      <c r="H55" s="491">
        <v>1354.73</v>
      </c>
      <c r="I55" s="491">
        <v>85.63</v>
      </c>
      <c r="J55" s="491"/>
      <c r="K55" s="491">
        <f t="shared" si="1"/>
        <v>5975.2699999999995</v>
      </c>
      <c r="L55" s="497">
        <f>SUM(K55:K56)</f>
        <v>6446.5199999999995</v>
      </c>
      <c r="M55" s="489"/>
    </row>
    <row r="56" spans="1:13">
      <c r="A56" s="494"/>
      <c r="B56" s="491"/>
      <c r="C56" s="491" t="s">
        <v>1522</v>
      </c>
      <c r="D56" s="491">
        <v>181.88</v>
      </c>
      <c r="E56" s="491">
        <v>1.8819999999999999</v>
      </c>
      <c r="F56" s="491">
        <v>342.43</v>
      </c>
      <c r="G56" s="491">
        <v>33.28</v>
      </c>
      <c r="H56" s="491">
        <v>89.86</v>
      </c>
      <c r="I56" s="491">
        <v>5.68</v>
      </c>
      <c r="J56" s="491"/>
      <c r="K56" s="491">
        <f t="shared" si="1"/>
        <v>471.25000000000006</v>
      </c>
      <c r="L56" s="497"/>
      <c r="M56" s="489"/>
    </row>
    <row r="57" spans="1:13">
      <c r="A57" s="494">
        <v>44058</v>
      </c>
      <c r="B57" s="491">
        <v>91.52</v>
      </c>
      <c r="C57" s="491" t="s">
        <v>1524</v>
      </c>
      <c r="D57" s="491">
        <v>42</v>
      </c>
      <c r="E57" s="491">
        <v>1.4393</v>
      </c>
      <c r="F57" s="491">
        <v>60.45</v>
      </c>
      <c r="G57" s="491">
        <v>10.199999999999999</v>
      </c>
      <c r="H57" s="491">
        <v>20.74</v>
      </c>
      <c r="I57" s="491">
        <v>0.13</v>
      </c>
      <c r="J57" s="491"/>
      <c r="K57" s="491">
        <f t="shared" si="1"/>
        <v>91.52</v>
      </c>
      <c r="L57" s="497"/>
      <c r="M57" s="489">
        <v>91.52</v>
      </c>
    </row>
    <row r="58" spans="1:13">
      <c r="A58" s="494">
        <v>44058</v>
      </c>
      <c r="B58" s="491">
        <v>5965.98</v>
      </c>
      <c r="C58" s="491" t="s">
        <v>1524</v>
      </c>
      <c r="D58" s="491">
        <v>2542.11</v>
      </c>
      <c r="E58" s="491">
        <v>1.42</v>
      </c>
      <c r="F58" s="491">
        <v>3608.42</v>
      </c>
      <c r="G58" s="491">
        <v>617.69000000000005</v>
      </c>
      <c r="H58" s="491">
        <v>1255.8</v>
      </c>
      <c r="I58" s="491">
        <v>79.34</v>
      </c>
      <c r="J58" s="491"/>
      <c r="K58" s="491">
        <f t="shared" si="1"/>
        <v>5561.2500000000009</v>
      </c>
      <c r="L58" s="497">
        <f>SUM(K58:K60)</f>
        <v>5965.9800000000014</v>
      </c>
      <c r="M58" s="489"/>
    </row>
    <row r="59" spans="1:13">
      <c r="A59" s="494"/>
      <c r="B59" s="491"/>
      <c r="C59" s="491" t="s">
        <v>1522</v>
      </c>
      <c r="D59" s="491">
        <v>147.97999999999999</v>
      </c>
      <c r="E59" s="491">
        <v>1.9410000000000001</v>
      </c>
      <c r="F59" s="491">
        <v>287.27999999999997</v>
      </c>
      <c r="G59" s="491">
        <v>27.09</v>
      </c>
      <c r="H59" s="491">
        <v>73.12</v>
      </c>
      <c r="I59" s="491">
        <v>4.6100000000000003</v>
      </c>
      <c r="J59" s="491"/>
      <c r="K59" s="491">
        <f t="shared" si="1"/>
        <v>392.09999999999997</v>
      </c>
      <c r="L59" s="497"/>
      <c r="M59" s="489"/>
    </row>
    <row r="60" spans="1:13">
      <c r="A60" s="494"/>
      <c r="B60" s="491"/>
      <c r="C60" s="491" t="s">
        <v>1523</v>
      </c>
      <c r="D60" s="491">
        <v>3.54</v>
      </c>
      <c r="E60" s="491">
        <v>3.25</v>
      </c>
      <c r="F60" s="491">
        <v>11.51</v>
      </c>
      <c r="G60" s="491"/>
      <c r="H60" s="491"/>
      <c r="I60" s="491"/>
      <c r="J60" s="491">
        <v>1.1200000000000001</v>
      </c>
      <c r="K60" s="491">
        <f t="shared" si="1"/>
        <v>12.629999999999999</v>
      </c>
      <c r="L60" s="497"/>
      <c r="M60" s="489"/>
    </row>
    <row r="61" spans="1:13">
      <c r="A61" s="494">
        <v>44065</v>
      </c>
      <c r="B61" s="491">
        <v>6285.43</v>
      </c>
      <c r="C61" s="491" t="s">
        <v>1524</v>
      </c>
      <c r="D61" s="491">
        <v>2703.7</v>
      </c>
      <c r="E61" s="491">
        <v>1.43</v>
      </c>
      <c r="F61" s="491">
        <v>3866.39</v>
      </c>
      <c r="G61" s="491">
        <v>657.02</v>
      </c>
      <c r="H61" s="491">
        <v>1335.62</v>
      </c>
      <c r="I61" s="491">
        <v>84.43</v>
      </c>
      <c r="J61" s="491"/>
      <c r="K61" s="491">
        <f t="shared" si="1"/>
        <v>5943.46</v>
      </c>
      <c r="L61" s="497">
        <f>SUM(K61:K63)</f>
        <v>6285.43</v>
      </c>
      <c r="M61" s="489"/>
    </row>
    <row r="62" spans="1:13">
      <c r="A62" s="494"/>
      <c r="B62" s="491"/>
      <c r="C62" s="491" t="s">
        <v>1522</v>
      </c>
      <c r="D62" s="491">
        <v>121.84</v>
      </c>
      <c r="E62" s="491">
        <v>2</v>
      </c>
      <c r="F62" s="491">
        <v>243.73</v>
      </c>
      <c r="G62" s="491">
        <v>22.3</v>
      </c>
      <c r="H62" s="491">
        <v>60.17</v>
      </c>
      <c r="I62" s="491">
        <v>3.81</v>
      </c>
      <c r="J62" s="491"/>
      <c r="K62" s="491">
        <f t="shared" si="1"/>
        <v>330.01</v>
      </c>
      <c r="L62" s="497"/>
      <c r="M62" s="489"/>
    </row>
    <row r="63" spans="1:13">
      <c r="A63" s="494"/>
      <c r="B63" s="491"/>
      <c r="C63" s="491" t="s">
        <v>1523</v>
      </c>
      <c r="D63" s="491">
        <v>3.35</v>
      </c>
      <c r="E63" s="491">
        <v>3.25</v>
      </c>
      <c r="F63" s="491">
        <v>10.89</v>
      </c>
      <c r="G63" s="491"/>
      <c r="H63" s="491"/>
      <c r="I63" s="491"/>
      <c r="J63" s="491">
        <v>1.07</v>
      </c>
      <c r="K63" s="491">
        <f t="shared" si="1"/>
        <v>11.96</v>
      </c>
      <c r="L63" s="497"/>
      <c r="M63" s="489"/>
    </row>
    <row r="64" spans="1:13">
      <c r="A64" s="494">
        <v>44074</v>
      </c>
      <c r="B64" s="491">
        <v>7480.29</v>
      </c>
      <c r="C64" s="491" t="s">
        <v>1524</v>
      </c>
      <c r="D64" s="491">
        <v>3183.27</v>
      </c>
      <c r="E64" s="491">
        <v>1.415</v>
      </c>
      <c r="F64" s="491">
        <v>4505.3</v>
      </c>
      <c r="G64" s="491">
        <v>773.5</v>
      </c>
      <c r="H64" s="491">
        <v>1572.55</v>
      </c>
      <c r="I64" s="491">
        <v>99.44</v>
      </c>
      <c r="J64" s="491"/>
      <c r="K64" s="491">
        <f t="shared" si="1"/>
        <v>6950.79</v>
      </c>
      <c r="L64" s="497">
        <f>SUM(K64:K66)</f>
        <v>7480.29</v>
      </c>
      <c r="M64" s="489"/>
    </row>
    <row r="65" spans="1:13">
      <c r="A65" s="494"/>
      <c r="B65" s="491"/>
      <c r="C65" s="491" t="s">
        <v>1522</v>
      </c>
      <c r="D65" s="491">
        <v>194.98</v>
      </c>
      <c r="E65" s="491">
        <v>1.968</v>
      </c>
      <c r="F65" s="491">
        <v>383.74</v>
      </c>
      <c r="G65" s="491">
        <v>35.659999999999997</v>
      </c>
      <c r="H65" s="491">
        <v>96.32</v>
      </c>
      <c r="I65" s="491">
        <v>6.07</v>
      </c>
      <c r="J65" s="491"/>
      <c r="K65" s="491">
        <f t="shared" si="1"/>
        <v>521.79000000000008</v>
      </c>
      <c r="L65" s="497"/>
      <c r="M65" s="489"/>
    </row>
    <row r="66" spans="1:13">
      <c r="A66" s="494"/>
      <c r="B66" s="491"/>
      <c r="C66" s="491" t="s">
        <v>1523</v>
      </c>
      <c r="D66" s="491">
        <v>2.19</v>
      </c>
      <c r="E66" s="491">
        <v>3.25</v>
      </c>
      <c r="F66" s="491">
        <v>7.02</v>
      </c>
      <c r="G66" s="491"/>
      <c r="H66" s="491"/>
      <c r="I66" s="491"/>
      <c r="J66" s="491">
        <v>0.69</v>
      </c>
      <c r="K66" s="491">
        <f t="shared" si="1"/>
        <v>7.7099999999999991</v>
      </c>
      <c r="L66" s="497"/>
      <c r="M66" s="489"/>
    </row>
    <row r="67" spans="1:13">
      <c r="A67" s="494">
        <v>44074</v>
      </c>
      <c r="B67" s="491">
        <v>65.849999999999994</v>
      </c>
      <c r="C67" s="491" t="s">
        <v>1524</v>
      </c>
      <c r="D67" s="491">
        <v>30.5</v>
      </c>
      <c r="E67" s="491">
        <v>1.4187000000000001</v>
      </c>
      <c r="F67" s="491">
        <v>43.27</v>
      </c>
      <c r="G67" s="491">
        <v>7.41</v>
      </c>
      <c r="H67" s="491">
        <v>15.07</v>
      </c>
      <c r="I67" s="491">
        <v>0.1</v>
      </c>
      <c r="J67" s="491"/>
      <c r="K67" s="491">
        <f t="shared" si="1"/>
        <v>65.849999999999994</v>
      </c>
      <c r="L67" s="497"/>
      <c r="M67" s="489">
        <v>65.849999999999994</v>
      </c>
    </row>
    <row r="68" spans="1:13">
      <c r="A68" s="494">
        <v>44079</v>
      </c>
      <c r="B68" s="491">
        <v>4918.25</v>
      </c>
      <c r="C68" s="491" t="s">
        <v>1524</v>
      </c>
      <c r="D68" s="491">
        <v>2156.9299999999998</v>
      </c>
      <c r="E68" s="491">
        <v>1.3819999999999999</v>
      </c>
      <c r="F68" s="491">
        <v>2981.67</v>
      </c>
      <c r="G68" s="491">
        <v>524.11</v>
      </c>
      <c r="H68" s="491">
        <v>1065.53</v>
      </c>
      <c r="I68" s="491">
        <v>67.33</v>
      </c>
      <c r="J68" s="491"/>
      <c r="K68" s="491">
        <f t="shared" si="1"/>
        <v>4638.6400000000003</v>
      </c>
      <c r="L68" s="497">
        <f>SUM(K68:K69)</f>
        <v>4918.25</v>
      </c>
      <c r="M68" s="489"/>
    </row>
    <row r="69" spans="1:13">
      <c r="A69" s="494"/>
      <c r="B69" s="491"/>
      <c r="C69" s="491" t="s">
        <v>1522</v>
      </c>
      <c r="D69" s="491">
        <v>107.14</v>
      </c>
      <c r="E69" s="491">
        <v>1.901</v>
      </c>
      <c r="F69" s="491">
        <v>203.71</v>
      </c>
      <c r="G69" s="491">
        <v>19.61</v>
      </c>
      <c r="H69" s="491">
        <v>52.94</v>
      </c>
      <c r="I69" s="491">
        <v>3.35</v>
      </c>
      <c r="J69" s="491"/>
      <c r="K69" s="491">
        <f t="shared" ref="K69:K100" si="2">SUM(F69:J69)</f>
        <v>279.61</v>
      </c>
      <c r="L69" s="497"/>
      <c r="M69" s="489"/>
    </row>
    <row r="70" spans="1:13">
      <c r="A70" s="494">
        <v>44086</v>
      </c>
      <c r="B70" s="491">
        <v>5429.48</v>
      </c>
      <c r="C70" s="491" t="s">
        <v>1524</v>
      </c>
      <c r="D70" s="491">
        <v>2422.71</v>
      </c>
      <c r="E70" s="491">
        <v>1.3220000000000001</v>
      </c>
      <c r="F70" s="491">
        <v>3204.17</v>
      </c>
      <c r="G70" s="491">
        <v>588.72</v>
      </c>
      <c r="H70" s="491">
        <v>1196.8599999999999</v>
      </c>
      <c r="I70" s="491">
        <v>75.680000000000007</v>
      </c>
      <c r="J70" s="491"/>
      <c r="K70" s="491">
        <f t="shared" si="2"/>
        <v>5065.43</v>
      </c>
      <c r="L70" s="497">
        <f>SUM(K70:K72)</f>
        <v>5429.4800000000005</v>
      </c>
      <c r="M70" s="489"/>
    </row>
    <row r="71" spans="1:13">
      <c r="A71" s="494"/>
      <c r="B71" s="491"/>
      <c r="C71" s="491" t="s">
        <v>1522</v>
      </c>
      <c r="D71" s="491">
        <v>139.91</v>
      </c>
      <c r="E71" s="491">
        <v>1.825</v>
      </c>
      <c r="F71" s="491">
        <v>255.34</v>
      </c>
      <c r="G71" s="491">
        <v>25.61</v>
      </c>
      <c r="H71" s="491">
        <v>69.11</v>
      </c>
      <c r="I71" s="491">
        <v>4.3600000000000003</v>
      </c>
      <c r="J71" s="491"/>
      <c r="K71" s="491">
        <f t="shared" si="2"/>
        <v>354.42</v>
      </c>
      <c r="L71" s="497"/>
      <c r="M71" s="489"/>
    </row>
    <row r="72" spans="1:13">
      <c r="A72" s="494"/>
      <c r="B72" s="491"/>
      <c r="C72" s="491" t="s">
        <v>1523</v>
      </c>
      <c r="D72" s="491">
        <v>2.7</v>
      </c>
      <c r="E72" s="491">
        <v>3.2480000000000002</v>
      </c>
      <c r="F72" s="491">
        <v>8.77</v>
      </c>
      <c r="G72" s="491"/>
      <c r="H72" s="491"/>
      <c r="I72" s="491"/>
      <c r="J72" s="491">
        <v>0.86</v>
      </c>
      <c r="K72" s="491">
        <f t="shared" si="2"/>
        <v>9.629999999999999</v>
      </c>
      <c r="L72" s="497"/>
      <c r="M72" s="489"/>
    </row>
    <row r="73" spans="1:13">
      <c r="A73" s="494">
        <v>44093</v>
      </c>
      <c r="B73" s="491">
        <v>6043.38</v>
      </c>
      <c r="C73" s="491" t="s">
        <v>1524</v>
      </c>
      <c r="D73" s="491">
        <v>2762.23</v>
      </c>
      <c r="E73" s="491">
        <v>1.2869999999999999</v>
      </c>
      <c r="F73" s="491">
        <v>3555.02</v>
      </c>
      <c r="G73" s="491">
        <v>671.22</v>
      </c>
      <c r="H73" s="491">
        <v>1364.59</v>
      </c>
      <c r="I73" s="491">
        <v>86.26</v>
      </c>
      <c r="J73" s="491"/>
      <c r="K73" s="491">
        <f t="shared" si="2"/>
        <v>5677.09</v>
      </c>
      <c r="L73" s="497">
        <f>SUM(K73:K75)</f>
        <v>6043.38</v>
      </c>
      <c r="M73" s="489"/>
    </row>
    <row r="74" spans="1:13">
      <c r="A74" s="494"/>
      <c r="B74" s="491"/>
      <c r="C74" s="491" t="s">
        <v>1522</v>
      </c>
      <c r="D74" s="491">
        <v>144.62</v>
      </c>
      <c r="E74" s="491">
        <v>1.79</v>
      </c>
      <c r="F74" s="491">
        <v>259.10000000000002</v>
      </c>
      <c r="G74" s="491">
        <v>26.47</v>
      </c>
      <c r="H74" s="491">
        <v>71.459999999999994</v>
      </c>
      <c r="I74" s="491">
        <v>4.51</v>
      </c>
      <c r="J74" s="491"/>
      <c r="K74" s="491">
        <f t="shared" si="2"/>
        <v>361.54</v>
      </c>
      <c r="L74" s="497"/>
      <c r="M74" s="489"/>
    </row>
    <row r="75" spans="1:13">
      <c r="A75" s="494"/>
      <c r="B75" s="491"/>
      <c r="C75" s="491" t="s">
        <v>1523</v>
      </c>
      <c r="D75" s="491">
        <v>1.33</v>
      </c>
      <c r="E75" s="491">
        <v>3.2549999999999999</v>
      </c>
      <c r="F75" s="491">
        <v>4.33</v>
      </c>
      <c r="G75" s="491"/>
      <c r="H75" s="491"/>
      <c r="I75" s="491"/>
      <c r="J75" s="491">
        <v>0.42</v>
      </c>
      <c r="K75" s="491">
        <f t="shared" si="2"/>
        <v>4.75</v>
      </c>
      <c r="L75" s="497"/>
      <c r="M75" s="489"/>
    </row>
    <row r="76" spans="1:13">
      <c r="A76" s="494">
        <v>44104</v>
      </c>
      <c r="B76" s="491">
        <v>9271.57</v>
      </c>
      <c r="C76" s="491" t="s">
        <v>1524</v>
      </c>
      <c r="D76" s="491">
        <v>4195.3999999999996</v>
      </c>
      <c r="E76" s="491">
        <v>1.2969999999999999</v>
      </c>
      <c r="F76" s="491">
        <v>5441.42</v>
      </c>
      <c r="G76" s="491">
        <v>1019.48</v>
      </c>
      <c r="H76" s="491">
        <v>2072.4899999999998</v>
      </c>
      <c r="I76" s="491">
        <v>131.06</v>
      </c>
      <c r="J76" s="491"/>
      <c r="K76" s="491">
        <f t="shared" si="2"/>
        <v>8664.4499999999989</v>
      </c>
      <c r="L76" s="497">
        <f>SUM(K76:K78)</f>
        <v>9271.5699999999979</v>
      </c>
      <c r="M76" s="489"/>
    </row>
    <row r="77" spans="1:13">
      <c r="A77" s="494"/>
      <c r="B77" s="491"/>
      <c r="C77" s="491" t="s">
        <v>1522</v>
      </c>
      <c r="D77" s="491">
        <v>233.59899999999999</v>
      </c>
      <c r="E77" s="491">
        <v>1.788</v>
      </c>
      <c r="F77" s="491">
        <v>417.73</v>
      </c>
      <c r="G77" s="491">
        <v>42.74</v>
      </c>
      <c r="H77" s="491">
        <v>115.4</v>
      </c>
      <c r="I77" s="491">
        <v>7.27</v>
      </c>
      <c r="J77" s="491"/>
      <c r="K77" s="491">
        <f t="shared" si="2"/>
        <v>583.14</v>
      </c>
      <c r="L77" s="497"/>
      <c r="M77" s="489"/>
    </row>
    <row r="78" spans="1:13">
      <c r="A78" s="494"/>
      <c r="B78" s="491"/>
      <c r="C78" s="491" t="s">
        <v>1523</v>
      </c>
      <c r="D78" s="491">
        <v>6.72</v>
      </c>
      <c r="E78" s="491">
        <v>3.25</v>
      </c>
      <c r="F78" s="491">
        <v>21.84</v>
      </c>
      <c r="G78" s="491"/>
      <c r="H78" s="491"/>
      <c r="I78" s="491"/>
      <c r="J78" s="491">
        <v>2.14</v>
      </c>
      <c r="K78" s="491">
        <f t="shared" si="2"/>
        <v>23.98</v>
      </c>
      <c r="L78" s="497"/>
      <c r="M78" s="489"/>
    </row>
    <row r="79" spans="1:13">
      <c r="A79" s="494">
        <v>44114</v>
      </c>
      <c r="B79" s="491">
        <v>8347.0499999999993</v>
      </c>
      <c r="C79" s="491" t="s">
        <v>1524</v>
      </c>
      <c r="D79" s="491">
        <v>3709.05</v>
      </c>
      <c r="E79" s="491">
        <v>1.3380000000000001</v>
      </c>
      <c r="F79" s="491">
        <v>4965.75</v>
      </c>
      <c r="G79" s="491">
        <v>901.29</v>
      </c>
      <c r="H79" s="491">
        <v>1832.23</v>
      </c>
      <c r="I79" s="491">
        <v>115.84</v>
      </c>
      <c r="J79" s="491"/>
      <c r="K79" s="491">
        <f t="shared" si="2"/>
        <v>7815.1100000000006</v>
      </c>
      <c r="L79" s="497">
        <f>SUM(K79:K81)</f>
        <v>8347.0500000000011</v>
      </c>
      <c r="M79" s="489"/>
    </row>
    <row r="80" spans="1:13">
      <c r="A80" s="494"/>
      <c r="B80" s="491"/>
      <c r="C80" s="491" t="s">
        <v>1522</v>
      </c>
      <c r="D80" s="491">
        <v>215.29</v>
      </c>
      <c r="E80" s="491">
        <v>1.74</v>
      </c>
      <c r="F80" s="491">
        <v>373.89</v>
      </c>
      <c r="G80" s="491">
        <v>39.369999999999997</v>
      </c>
      <c r="H80" s="491">
        <v>106.38</v>
      </c>
      <c r="I80" s="491">
        <v>6.73</v>
      </c>
      <c r="J80" s="491"/>
      <c r="K80" s="491">
        <f t="shared" si="2"/>
        <v>526.37</v>
      </c>
      <c r="L80" s="497"/>
      <c r="M80" s="489"/>
    </row>
    <row r="81" spans="1:13">
      <c r="A81" s="494"/>
      <c r="B81" s="491"/>
      <c r="C81" s="491" t="s">
        <v>1523</v>
      </c>
      <c r="D81" s="491">
        <v>1.56</v>
      </c>
      <c r="E81" s="491">
        <v>3.25</v>
      </c>
      <c r="F81" s="491">
        <v>5.07</v>
      </c>
      <c r="G81" s="491"/>
      <c r="H81" s="491"/>
      <c r="I81" s="491"/>
      <c r="J81" s="491">
        <v>0.5</v>
      </c>
      <c r="K81" s="491">
        <f t="shared" si="2"/>
        <v>5.57</v>
      </c>
      <c r="L81" s="497"/>
      <c r="M81" s="489"/>
    </row>
    <row r="82" spans="1:13">
      <c r="A82" s="494">
        <v>44119</v>
      </c>
      <c r="B82" s="491">
        <v>186.02</v>
      </c>
      <c r="C82" s="491" t="s">
        <v>1524</v>
      </c>
      <c r="D82" s="491">
        <v>87.52</v>
      </c>
      <c r="E82" s="491">
        <v>1.385</v>
      </c>
      <c r="F82" s="491">
        <v>121.25</v>
      </c>
      <c r="G82" s="491">
        <v>21.27</v>
      </c>
      <c r="H82" s="491">
        <v>43.23</v>
      </c>
      <c r="I82" s="491">
        <v>0.27</v>
      </c>
      <c r="J82" s="491"/>
      <c r="K82" s="491">
        <f t="shared" si="2"/>
        <v>186.02</v>
      </c>
      <c r="L82" s="497"/>
      <c r="M82" s="489">
        <v>186.02</v>
      </c>
    </row>
    <row r="83" spans="1:13">
      <c r="A83" s="494">
        <v>44121</v>
      </c>
      <c r="B83" s="491">
        <v>6146.92</v>
      </c>
      <c r="C83" s="491" t="s">
        <v>1524</v>
      </c>
      <c r="D83" s="491">
        <v>2670.97</v>
      </c>
      <c r="E83" s="491">
        <v>1.399</v>
      </c>
      <c r="F83" s="491">
        <v>3737.23</v>
      </c>
      <c r="G83" s="491">
        <v>649.05999999999995</v>
      </c>
      <c r="H83" s="491">
        <v>1319.46</v>
      </c>
      <c r="I83" s="491">
        <v>83.45</v>
      </c>
      <c r="J83" s="491"/>
      <c r="K83" s="491">
        <f t="shared" si="2"/>
        <v>5789.2</v>
      </c>
      <c r="L83" s="497">
        <f>SUM(K83:K85)</f>
        <v>6146.92</v>
      </c>
      <c r="M83" s="489"/>
    </row>
    <row r="84" spans="1:13">
      <c r="A84" s="494"/>
      <c r="B84" s="491"/>
      <c r="C84" s="491" t="s">
        <v>1522</v>
      </c>
      <c r="D84" s="491">
        <v>144.01</v>
      </c>
      <c r="E84" s="491">
        <v>1.7017</v>
      </c>
      <c r="F84" s="491">
        <v>245.06</v>
      </c>
      <c r="G84" s="491">
        <v>26.36</v>
      </c>
      <c r="H84" s="491">
        <v>71.16</v>
      </c>
      <c r="I84" s="491">
        <v>4.47</v>
      </c>
      <c r="J84" s="491"/>
      <c r="K84" s="491">
        <f t="shared" si="2"/>
        <v>347.05000000000007</v>
      </c>
      <c r="L84" s="497"/>
      <c r="M84" s="489"/>
    </row>
    <row r="85" spans="1:13">
      <c r="A85" s="494"/>
      <c r="B85" s="491"/>
      <c r="C85" s="491" t="s">
        <v>1523</v>
      </c>
      <c r="D85" s="491">
        <v>2.99</v>
      </c>
      <c r="E85" s="491">
        <v>3.2475000000000001</v>
      </c>
      <c r="F85" s="491">
        <v>9.7100000000000009</v>
      </c>
      <c r="G85" s="491"/>
      <c r="H85" s="491"/>
      <c r="I85" s="491"/>
      <c r="J85" s="491">
        <v>0.96</v>
      </c>
      <c r="K85" s="491">
        <f t="shared" si="2"/>
        <v>10.670000000000002</v>
      </c>
      <c r="L85" s="497"/>
      <c r="M85" s="489"/>
    </row>
    <row r="86" spans="1:13">
      <c r="A86" s="494">
        <v>44128</v>
      </c>
      <c r="B86" s="491">
        <v>6107.08</v>
      </c>
      <c r="C86" s="491" t="s">
        <v>1524</v>
      </c>
      <c r="D86" s="491">
        <v>2620.79</v>
      </c>
      <c r="E86" s="491">
        <v>1.4450000000000001</v>
      </c>
      <c r="F86" s="491">
        <v>3785.68</v>
      </c>
      <c r="G86" s="491">
        <v>636.9</v>
      </c>
      <c r="H86" s="491">
        <v>1294.6600000000001</v>
      </c>
      <c r="I86" s="491">
        <v>81.84</v>
      </c>
      <c r="J86" s="491"/>
      <c r="K86" s="491">
        <f t="shared" si="2"/>
        <v>5799.08</v>
      </c>
      <c r="L86" s="497">
        <f>SUM(K86:K87)</f>
        <v>6107.08</v>
      </c>
      <c r="M86" s="489"/>
    </row>
    <row r="87" spans="1:13">
      <c r="A87" s="494"/>
      <c r="B87" s="491"/>
      <c r="C87" s="491" t="s">
        <v>1522</v>
      </c>
      <c r="D87" s="491">
        <v>125.78</v>
      </c>
      <c r="E87" s="491">
        <v>1.74</v>
      </c>
      <c r="F87" s="491">
        <v>218.9</v>
      </c>
      <c r="G87" s="491">
        <v>23.02</v>
      </c>
      <c r="H87" s="491">
        <v>62.14</v>
      </c>
      <c r="I87" s="491">
        <v>3.94</v>
      </c>
      <c r="J87" s="491"/>
      <c r="K87" s="491">
        <f t="shared" si="2"/>
        <v>308</v>
      </c>
      <c r="L87" s="497"/>
      <c r="M87" s="489"/>
    </row>
    <row r="88" spans="1:13">
      <c r="A88" s="494">
        <v>44135</v>
      </c>
      <c r="B88" s="491">
        <v>6317.6</v>
      </c>
      <c r="C88" s="491" t="s">
        <v>1524</v>
      </c>
      <c r="D88" s="491">
        <v>2574.5</v>
      </c>
      <c r="E88" s="491">
        <v>1.4967999999999999</v>
      </c>
      <c r="F88" s="491">
        <v>3853.41</v>
      </c>
      <c r="G88" s="491">
        <v>625.61</v>
      </c>
      <c r="H88" s="491">
        <v>1271.78</v>
      </c>
      <c r="I88" s="491">
        <v>80.42</v>
      </c>
      <c r="J88" s="491"/>
      <c r="K88" s="491">
        <f t="shared" si="2"/>
        <v>5831.2199999999993</v>
      </c>
      <c r="L88" s="497">
        <f>SUM(K88:K89)</f>
        <v>6317.5999999999995</v>
      </c>
      <c r="M88" s="489"/>
    </row>
    <row r="89" spans="1:13">
      <c r="A89" s="494"/>
      <c r="B89" s="491"/>
      <c r="C89" s="491" t="s">
        <v>1522</v>
      </c>
      <c r="D89" s="491">
        <v>199.34</v>
      </c>
      <c r="E89" s="491">
        <v>1.73</v>
      </c>
      <c r="F89" s="491">
        <v>345.15</v>
      </c>
      <c r="G89" s="491">
        <v>36.5</v>
      </c>
      <c r="H89" s="491">
        <v>98.5</v>
      </c>
      <c r="I89" s="491">
        <v>6.23</v>
      </c>
      <c r="J89" s="491"/>
      <c r="K89" s="491">
        <f t="shared" si="2"/>
        <v>486.38</v>
      </c>
      <c r="L89" s="497"/>
      <c r="M89" s="489"/>
    </row>
    <row r="90" spans="1:13">
      <c r="A90" s="494">
        <v>44142</v>
      </c>
      <c r="B90" s="491">
        <v>7215.37</v>
      </c>
      <c r="C90" s="491" t="s">
        <v>1524</v>
      </c>
      <c r="D90" s="491">
        <v>2858.74</v>
      </c>
      <c r="E90" s="491">
        <v>1.621</v>
      </c>
      <c r="F90" s="491">
        <v>4634.8599999999997</v>
      </c>
      <c r="G90" s="491">
        <v>694.68</v>
      </c>
      <c r="H90" s="491">
        <v>1412.22</v>
      </c>
      <c r="I90" s="491">
        <v>89.27</v>
      </c>
      <c r="J90" s="491"/>
      <c r="K90" s="491">
        <f t="shared" si="2"/>
        <v>6831.0300000000007</v>
      </c>
      <c r="L90" s="497">
        <f>SUM(K90:K91)</f>
        <v>7215.3700000000008</v>
      </c>
      <c r="M90" s="489"/>
    </row>
    <row r="91" spans="1:13">
      <c r="A91" s="494"/>
      <c r="B91" s="491"/>
      <c r="C91" s="491" t="s">
        <v>1522</v>
      </c>
      <c r="D91" s="491">
        <v>155.5</v>
      </c>
      <c r="E91" s="491">
        <v>1.76</v>
      </c>
      <c r="F91" s="491">
        <v>274.20999999999998</v>
      </c>
      <c r="G91" s="491">
        <v>28.47</v>
      </c>
      <c r="H91" s="491">
        <v>76.81</v>
      </c>
      <c r="I91" s="491">
        <v>4.8499999999999996</v>
      </c>
      <c r="J91" s="491"/>
      <c r="K91" s="491">
        <f t="shared" si="2"/>
        <v>384.34</v>
      </c>
      <c r="L91" s="497"/>
      <c r="M91" s="489"/>
    </row>
    <row r="92" spans="1:13">
      <c r="A92" s="494">
        <v>44149</v>
      </c>
      <c r="B92" s="491">
        <v>6376.91</v>
      </c>
      <c r="C92" s="491" t="s">
        <v>1524</v>
      </c>
      <c r="D92" s="491">
        <v>2414.2199999999998</v>
      </c>
      <c r="E92" s="491">
        <v>1.75</v>
      </c>
      <c r="F92" s="491">
        <v>4227.1000000000004</v>
      </c>
      <c r="G92" s="491">
        <v>586.65</v>
      </c>
      <c r="H92" s="491">
        <v>1192.6500000000001</v>
      </c>
      <c r="I92" s="491">
        <v>75.36</v>
      </c>
      <c r="J92" s="491"/>
      <c r="K92" s="491">
        <f t="shared" si="2"/>
        <v>6081.7599999999993</v>
      </c>
      <c r="L92" s="497">
        <f>SUM(K92:K93)</f>
        <v>6376.9099999999989</v>
      </c>
      <c r="M92" s="489"/>
    </row>
    <row r="93" spans="1:13">
      <c r="A93" s="494"/>
      <c r="B93" s="491"/>
      <c r="C93" s="491" t="s">
        <v>1522</v>
      </c>
      <c r="D93" s="491">
        <v>117.97</v>
      </c>
      <c r="E93" s="491">
        <v>1.7929999999999999</v>
      </c>
      <c r="F93" s="491">
        <v>211.59</v>
      </c>
      <c r="G93" s="491">
        <v>21.6</v>
      </c>
      <c r="H93" s="491">
        <v>58.28</v>
      </c>
      <c r="I93" s="491">
        <v>3.68</v>
      </c>
      <c r="J93" s="491"/>
      <c r="K93" s="491">
        <f t="shared" si="2"/>
        <v>295.15000000000003</v>
      </c>
      <c r="L93" s="497"/>
      <c r="M93" s="489"/>
    </row>
    <row r="94" spans="1:13">
      <c r="A94" s="494">
        <v>44150</v>
      </c>
      <c r="B94" s="491">
        <v>58.51</v>
      </c>
      <c r="C94" s="491" t="s">
        <v>1524</v>
      </c>
      <c r="D94" s="491">
        <v>22.6</v>
      </c>
      <c r="E94" s="491">
        <v>1.849</v>
      </c>
      <c r="F94" s="491">
        <v>41.79</v>
      </c>
      <c r="G94" s="491">
        <v>5.49</v>
      </c>
      <c r="H94" s="491">
        <v>11.16</v>
      </c>
      <c r="I94" s="491">
        <v>7.0000000000000007E-2</v>
      </c>
      <c r="J94" s="491"/>
      <c r="K94" s="491">
        <f t="shared" si="2"/>
        <v>58.51</v>
      </c>
      <c r="L94" s="497"/>
      <c r="M94" s="489">
        <v>58.51</v>
      </c>
    </row>
    <row r="95" spans="1:13">
      <c r="A95" s="494">
        <v>44156</v>
      </c>
      <c r="B95" s="491">
        <v>5975.79</v>
      </c>
      <c r="C95" s="491" t="s">
        <v>1524</v>
      </c>
      <c r="D95" s="491">
        <v>2190.27</v>
      </c>
      <c r="E95" s="491">
        <v>1.77</v>
      </c>
      <c r="F95" s="491">
        <v>3878.27</v>
      </c>
      <c r="G95" s="491">
        <v>532.26</v>
      </c>
      <c r="H95" s="491">
        <v>1081.99</v>
      </c>
      <c r="I95" s="491">
        <v>68.38</v>
      </c>
      <c r="J95" s="491"/>
      <c r="K95" s="491">
        <f t="shared" si="2"/>
        <v>5560.9</v>
      </c>
      <c r="L95" s="497">
        <f>SUM(K95:K97)</f>
        <v>5975.79</v>
      </c>
      <c r="M95" s="489"/>
    </row>
    <row r="96" spans="1:13">
      <c r="A96" s="494"/>
      <c r="B96" s="491"/>
      <c r="C96" s="491" t="s">
        <v>1522</v>
      </c>
      <c r="D96" s="491">
        <f>99.97+55.21</f>
        <v>155.18</v>
      </c>
      <c r="E96" s="491">
        <f>1.684+2.316</f>
        <v>4</v>
      </c>
      <c r="F96" s="491">
        <f>168.4+127.92</f>
        <v>296.32</v>
      </c>
      <c r="G96" s="491">
        <f>18.29+13.42</f>
        <v>31.71</v>
      </c>
      <c r="H96" s="491">
        <f>49.39+27.27</f>
        <v>76.66</v>
      </c>
      <c r="I96" s="491">
        <f>3.12+1.73</f>
        <v>4.8499999999999996</v>
      </c>
      <c r="J96" s="491"/>
      <c r="K96" s="491">
        <f t="shared" si="2"/>
        <v>409.53999999999996</v>
      </c>
      <c r="L96" s="497"/>
      <c r="M96" s="489"/>
    </row>
    <row r="97" spans="1:13">
      <c r="A97" s="494"/>
      <c r="B97" s="505"/>
      <c r="C97" s="505" t="s">
        <v>1523</v>
      </c>
      <c r="D97" s="505">
        <v>1.5</v>
      </c>
      <c r="E97" s="505">
        <v>3.2467000000000001</v>
      </c>
      <c r="F97" s="505">
        <v>4.87</v>
      </c>
      <c r="G97" s="505"/>
      <c r="H97" s="505"/>
      <c r="I97" s="505"/>
      <c r="J97" s="505">
        <v>0.48</v>
      </c>
      <c r="K97" s="505">
        <f t="shared" si="2"/>
        <v>5.35</v>
      </c>
      <c r="L97" s="497"/>
      <c r="M97" s="489"/>
    </row>
    <row r="98" spans="1:13">
      <c r="A98" s="494">
        <v>44165</v>
      </c>
      <c r="B98" s="491">
        <v>8069.95</v>
      </c>
      <c r="C98" s="491" t="s">
        <v>1524</v>
      </c>
      <c r="D98" s="491">
        <v>3038.04</v>
      </c>
      <c r="E98" s="491">
        <v>1.7390000000000001</v>
      </c>
      <c r="F98" s="491">
        <v>5285.45</v>
      </c>
      <c r="G98" s="491">
        <v>738.22</v>
      </c>
      <c r="H98" s="491">
        <v>1500.82</v>
      </c>
      <c r="I98" s="491">
        <v>94.88</v>
      </c>
      <c r="J98" s="491"/>
      <c r="K98" s="491">
        <f t="shared" si="2"/>
        <v>7619.37</v>
      </c>
      <c r="L98" s="497">
        <f>SUM(K98:K100)</f>
        <v>8069.95</v>
      </c>
      <c r="M98" s="489"/>
    </row>
    <row r="99" spans="1:13">
      <c r="A99" s="494"/>
      <c r="B99" s="491"/>
      <c r="C99" s="491" t="s">
        <v>1522</v>
      </c>
      <c r="D99" s="491">
        <v>173.673</v>
      </c>
      <c r="E99" s="491">
        <v>1.72</v>
      </c>
      <c r="F99" s="491">
        <v>298.8</v>
      </c>
      <c r="G99" s="491">
        <v>31.78</v>
      </c>
      <c r="H99" s="491">
        <v>85.8</v>
      </c>
      <c r="I99" s="491">
        <v>5.45</v>
      </c>
      <c r="J99" s="491"/>
      <c r="K99" s="491">
        <f t="shared" si="2"/>
        <v>421.83000000000004</v>
      </c>
      <c r="L99" s="497"/>
      <c r="M99" s="489"/>
    </row>
    <row r="100" spans="1:13">
      <c r="A100" s="494"/>
      <c r="B100" s="491"/>
      <c r="C100" s="491" t="s">
        <v>1523</v>
      </c>
      <c r="D100" s="491">
        <v>8.06</v>
      </c>
      <c r="E100" s="491">
        <v>3.2480000000000002</v>
      </c>
      <c r="F100" s="491">
        <v>26.18</v>
      </c>
      <c r="G100" s="491"/>
      <c r="H100" s="491"/>
      <c r="I100" s="491"/>
      <c r="J100" s="491">
        <v>2.57</v>
      </c>
      <c r="K100" s="491">
        <f t="shared" si="2"/>
        <v>28.75</v>
      </c>
      <c r="L100" s="497"/>
      <c r="M100" s="489"/>
    </row>
    <row r="101" spans="1:13">
      <c r="A101" s="494">
        <v>44165</v>
      </c>
      <c r="B101" s="491">
        <v>1036.4000000000001</v>
      </c>
      <c r="C101" s="491" t="s">
        <v>1524</v>
      </c>
      <c r="D101" s="491">
        <v>404.44</v>
      </c>
      <c r="E101" s="491">
        <v>1.8220000000000001</v>
      </c>
      <c r="F101" s="491">
        <v>737.06</v>
      </c>
      <c r="G101" s="491">
        <v>98.29</v>
      </c>
      <c r="H101" s="491">
        <v>199.79</v>
      </c>
      <c r="I101" s="491">
        <v>1.26</v>
      </c>
      <c r="J101" s="491"/>
      <c r="K101" s="491">
        <f t="shared" ref="K101:K114" si="3">SUM(F101:J101)</f>
        <v>1036.3999999999999</v>
      </c>
      <c r="L101" s="497"/>
      <c r="M101" s="489">
        <v>1036.4000000000001</v>
      </c>
    </row>
    <row r="102" spans="1:13">
      <c r="A102" s="494">
        <v>44170</v>
      </c>
      <c r="B102" s="491">
        <v>5430.28</v>
      </c>
      <c r="C102" s="491" t="s">
        <v>1524</v>
      </c>
      <c r="D102" s="491">
        <v>2117.29</v>
      </c>
      <c r="E102" s="491">
        <v>1.66</v>
      </c>
      <c r="F102" s="491">
        <v>3524.02</v>
      </c>
      <c r="G102" s="491">
        <v>514.53</v>
      </c>
      <c r="H102" s="491">
        <v>1045.96</v>
      </c>
      <c r="I102" s="491">
        <v>66.11</v>
      </c>
      <c r="J102" s="491"/>
      <c r="K102" s="491">
        <f t="shared" si="3"/>
        <v>5150.62</v>
      </c>
      <c r="L102" s="497">
        <f>SUM(K102:K104)</f>
        <v>5430.28</v>
      </c>
      <c r="M102" s="489"/>
    </row>
    <row r="103" spans="1:13">
      <c r="A103" s="494"/>
      <c r="B103" s="491"/>
      <c r="C103" s="491" t="s">
        <v>1522</v>
      </c>
      <c r="D103" s="491">
        <v>113.31</v>
      </c>
      <c r="E103" s="491">
        <v>1.6919999999999999</v>
      </c>
      <c r="F103" s="491">
        <v>191.73</v>
      </c>
      <c r="G103" s="491">
        <v>20.74</v>
      </c>
      <c r="H103" s="491">
        <v>55.99</v>
      </c>
      <c r="I103" s="491">
        <v>3.53</v>
      </c>
      <c r="J103" s="491"/>
      <c r="K103" s="491">
        <f t="shared" si="3"/>
        <v>271.98999999999995</v>
      </c>
      <c r="L103" s="497"/>
      <c r="M103" s="489"/>
    </row>
    <row r="104" spans="1:13">
      <c r="A104" s="494"/>
      <c r="B104" s="491"/>
      <c r="C104" s="491" t="s">
        <v>1523</v>
      </c>
      <c r="D104" s="491">
        <v>2.15</v>
      </c>
      <c r="E104" s="491">
        <v>3.2509999999999999</v>
      </c>
      <c r="F104" s="491">
        <v>6.99</v>
      </c>
      <c r="G104" s="491"/>
      <c r="H104" s="491"/>
      <c r="I104" s="491"/>
      <c r="J104" s="491">
        <v>0.68</v>
      </c>
      <c r="K104" s="491">
        <f t="shared" si="3"/>
        <v>7.67</v>
      </c>
      <c r="L104" s="497"/>
      <c r="M104" s="489"/>
    </row>
    <row r="105" spans="1:13">
      <c r="A105" s="494">
        <v>44177</v>
      </c>
      <c r="B105" s="491">
        <v>6839.41</v>
      </c>
      <c r="C105" s="491" t="s">
        <v>1524</v>
      </c>
      <c r="D105" s="491">
        <v>2646.94</v>
      </c>
      <c r="E105" s="491">
        <v>1.675</v>
      </c>
      <c r="F105" s="491">
        <v>4436.04</v>
      </c>
      <c r="G105" s="491">
        <v>643.24</v>
      </c>
      <c r="H105" s="491">
        <v>1307.6199999999999</v>
      </c>
      <c r="I105" s="491">
        <v>82.63</v>
      </c>
      <c r="J105" s="491"/>
      <c r="K105" s="491">
        <f t="shared" si="3"/>
        <v>6469.53</v>
      </c>
      <c r="L105" s="497">
        <f>SUM(K105:K107)</f>
        <v>6839.41</v>
      </c>
      <c r="M105" s="489"/>
    </row>
    <row r="106" spans="1:13">
      <c r="A106" s="494"/>
      <c r="B106" s="491"/>
      <c r="C106" s="491" t="s">
        <v>1522</v>
      </c>
      <c r="D106" s="491">
        <v>142.83699999999999</v>
      </c>
      <c r="E106" s="491">
        <v>1.6943999999999999</v>
      </c>
      <c r="F106" s="491">
        <v>242.02</v>
      </c>
      <c r="G106" s="491">
        <v>26.14</v>
      </c>
      <c r="H106" s="491">
        <v>70.55</v>
      </c>
      <c r="I106" s="491">
        <v>4.45</v>
      </c>
      <c r="J106" s="491"/>
      <c r="K106" s="491">
        <f t="shared" si="3"/>
        <v>343.16</v>
      </c>
      <c r="L106" s="497"/>
      <c r="M106" s="489"/>
    </row>
    <row r="107" spans="1:13">
      <c r="A107" s="494"/>
      <c r="B107" s="505"/>
      <c r="C107" s="505" t="s">
        <v>1523</v>
      </c>
      <c r="D107" s="505">
        <v>7.49</v>
      </c>
      <c r="E107" s="505">
        <v>3.2490000000000001</v>
      </c>
      <c r="F107" s="505">
        <v>24.34</v>
      </c>
      <c r="G107" s="505"/>
      <c r="H107" s="505"/>
      <c r="I107" s="505"/>
      <c r="J107" s="505">
        <v>2.38</v>
      </c>
      <c r="K107" s="505">
        <f t="shared" si="3"/>
        <v>26.72</v>
      </c>
      <c r="L107" s="497"/>
      <c r="M107" s="489"/>
    </row>
    <row r="108" spans="1:13">
      <c r="A108" s="494">
        <v>44185</v>
      </c>
      <c r="B108" s="491">
        <v>6263.72</v>
      </c>
      <c r="C108" s="491" t="s">
        <v>1524</v>
      </c>
      <c r="D108" s="491">
        <v>2388.13</v>
      </c>
      <c r="E108" s="491">
        <v>1.6891</v>
      </c>
      <c r="F108" s="491">
        <v>4033.84</v>
      </c>
      <c r="G108" s="491">
        <v>580.32000000000005</v>
      </c>
      <c r="H108" s="491">
        <v>1179.8</v>
      </c>
      <c r="I108" s="491">
        <v>74.55</v>
      </c>
      <c r="J108" s="491"/>
      <c r="K108" s="491">
        <f t="shared" si="3"/>
        <v>5868.51</v>
      </c>
      <c r="L108" s="497">
        <f>SUM(K108:K110)</f>
        <v>6263.72</v>
      </c>
      <c r="M108" s="489"/>
    </row>
    <row r="109" spans="1:13">
      <c r="A109" s="494"/>
      <c r="B109" s="491"/>
      <c r="C109" s="491" t="s">
        <v>1522</v>
      </c>
      <c r="D109" s="491">
        <v>155.65600000000001</v>
      </c>
      <c r="E109" s="491">
        <v>1.72</v>
      </c>
      <c r="F109" s="491">
        <v>267.89</v>
      </c>
      <c r="G109" s="491">
        <v>28.5</v>
      </c>
      <c r="H109" s="491">
        <v>76.88</v>
      </c>
      <c r="I109" s="491">
        <v>4.8499999999999996</v>
      </c>
      <c r="J109" s="491"/>
      <c r="K109" s="491">
        <f t="shared" si="3"/>
        <v>378.12</v>
      </c>
      <c r="L109" s="497"/>
      <c r="M109" s="489"/>
    </row>
    <row r="110" spans="1:13">
      <c r="A110" s="494"/>
      <c r="B110" s="505"/>
      <c r="C110" s="505" t="s">
        <v>1523</v>
      </c>
      <c r="D110" s="505">
        <v>4.79</v>
      </c>
      <c r="E110" s="505">
        <v>3.25</v>
      </c>
      <c r="F110" s="505">
        <v>15.57</v>
      </c>
      <c r="G110" s="505"/>
      <c r="H110" s="505"/>
      <c r="I110" s="505"/>
      <c r="J110" s="505">
        <v>1.52</v>
      </c>
      <c r="K110" s="505">
        <f t="shared" si="3"/>
        <v>17.09</v>
      </c>
      <c r="L110" s="497"/>
      <c r="M110" s="489"/>
    </row>
    <row r="111" spans="1:13">
      <c r="A111" s="494">
        <v>44196</v>
      </c>
      <c r="B111" s="505">
        <v>61.73</v>
      </c>
      <c r="C111" s="505" t="s">
        <v>1524</v>
      </c>
      <c r="D111" s="505">
        <v>24.9</v>
      </c>
      <c r="E111" s="505">
        <v>1.7390000000000001</v>
      </c>
      <c r="F111" s="505">
        <v>43.3</v>
      </c>
      <c r="G111" s="505">
        <v>6.05</v>
      </c>
      <c r="H111" s="505">
        <v>12.3</v>
      </c>
      <c r="I111" s="505">
        <v>0.08</v>
      </c>
      <c r="J111" s="505"/>
      <c r="K111" s="505">
        <f t="shared" si="3"/>
        <v>61.72999999999999</v>
      </c>
      <c r="L111" s="497"/>
      <c r="M111" s="489">
        <v>61.73</v>
      </c>
    </row>
    <row r="112" spans="1:13">
      <c r="A112" s="494">
        <v>44196</v>
      </c>
      <c r="B112" s="491">
        <v>12466.52</v>
      </c>
      <c r="C112" s="491" t="s">
        <v>1524</v>
      </c>
      <c r="D112" s="491">
        <v>4794.83</v>
      </c>
      <c r="E112" s="491">
        <v>1.6839999999999999</v>
      </c>
      <c r="F112" s="491">
        <v>8075.97</v>
      </c>
      <c r="G112" s="491">
        <v>1165.08</v>
      </c>
      <c r="H112" s="491">
        <v>2368.66</v>
      </c>
      <c r="I112" s="491">
        <v>149.78</v>
      </c>
      <c r="J112" s="491"/>
      <c r="K112" s="491">
        <f t="shared" si="3"/>
        <v>11759.49</v>
      </c>
      <c r="L112" s="497">
        <f>SUM(K112:K114)</f>
        <v>12466.519999999999</v>
      </c>
      <c r="M112" s="489"/>
    </row>
    <row r="113" spans="1:13">
      <c r="A113" s="494"/>
      <c r="B113" s="491"/>
      <c r="C113" s="491" t="s">
        <v>1522</v>
      </c>
      <c r="D113" s="491">
        <v>271.69</v>
      </c>
      <c r="E113" s="491">
        <v>1.7689999999999999</v>
      </c>
      <c r="F113" s="491">
        <v>480.7</v>
      </c>
      <c r="G113" s="491">
        <v>49.77</v>
      </c>
      <c r="H113" s="491">
        <v>134.22</v>
      </c>
      <c r="I113" s="491">
        <v>8.44</v>
      </c>
      <c r="J113" s="491"/>
      <c r="K113" s="491">
        <f t="shared" si="3"/>
        <v>673.13000000000011</v>
      </c>
      <c r="L113" s="497"/>
      <c r="M113" s="489"/>
    </row>
    <row r="114" spans="1:13">
      <c r="A114" s="494"/>
      <c r="B114" s="491"/>
      <c r="C114" s="491" t="s">
        <v>1523</v>
      </c>
      <c r="D114" s="491">
        <v>9.5</v>
      </c>
      <c r="E114" s="491">
        <v>3.2490000000000001</v>
      </c>
      <c r="F114" s="491">
        <v>30.87</v>
      </c>
      <c r="G114" s="491"/>
      <c r="H114" s="491"/>
      <c r="I114" s="491"/>
      <c r="J114" s="491">
        <v>3.03</v>
      </c>
      <c r="K114" s="491">
        <f t="shared" si="3"/>
        <v>33.9</v>
      </c>
      <c r="L114" s="497"/>
      <c r="M114" s="489"/>
    </row>
    <row r="115" spans="1:13">
      <c r="A115" s="494" t="s">
        <v>1548</v>
      </c>
      <c r="B115" s="491">
        <f>SUM(B5:B112)</f>
        <v>237190.07000000004</v>
      </c>
      <c r="C115" s="491"/>
      <c r="D115" s="491">
        <f>SUM(D5:D114)</f>
        <v>109991.35199999997</v>
      </c>
      <c r="E115" s="491"/>
      <c r="F115" s="491">
        <f t="shared" ref="F115:L115" si="4">SUM(F5:F114)</f>
        <v>153147.25000000003</v>
      </c>
      <c r="G115" s="491">
        <f t="shared" si="4"/>
        <v>26355.270000000015</v>
      </c>
      <c r="H115" s="491">
        <f t="shared" si="4"/>
        <v>54272.900000000009</v>
      </c>
      <c r="I115" s="491">
        <f t="shared" si="4"/>
        <v>3373.9100000000003</v>
      </c>
      <c r="J115" s="491">
        <f t="shared" si="4"/>
        <v>40.740000000000016</v>
      </c>
      <c r="K115" s="491">
        <f t="shared" si="4"/>
        <v>237190.07000000004</v>
      </c>
      <c r="L115" s="491">
        <f t="shared" si="4"/>
        <v>235344.00000000003</v>
      </c>
      <c r="M115" s="518">
        <f>SUM(M5:M112)</f>
        <v>1846.0700000000002</v>
      </c>
    </row>
    <row r="116" spans="1:13">
      <c r="A116" s="494"/>
      <c r="B116" s="491"/>
      <c r="C116" s="491"/>
      <c r="D116" s="491"/>
      <c r="E116" s="491"/>
      <c r="F116" s="491"/>
      <c r="G116" s="491"/>
      <c r="H116" s="491"/>
      <c r="I116" s="491"/>
      <c r="J116" s="491"/>
      <c r="K116" s="491"/>
      <c r="L116" s="493"/>
      <c r="M116" s="489"/>
    </row>
    <row r="117" spans="1:13">
      <c r="A117" s="494"/>
      <c r="B117" s="491"/>
      <c r="C117" s="491"/>
      <c r="D117" s="491"/>
      <c r="E117" s="491"/>
      <c r="F117" s="491"/>
      <c r="G117" s="491"/>
      <c r="H117" s="491"/>
      <c r="I117" s="491"/>
      <c r="J117" s="491"/>
      <c r="K117" s="491">
        <f>+B115-K115</f>
        <v>0</v>
      </c>
      <c r="L117" s="493"/>
      <c r="M117" s="489"/>
    </row>
    <row r="118" spans="1:13">
      <c r="A118" s="493"/>
      <c r="B118" s="491"/>
      <c r="C118" s="491"/>
      <c r="D118" s="491"/>
      <c r="E118" s="491"/>
      <c r="F118" s="491"/>
      <c r="G118" s="491"/>
      <c r="H118" s="491"/>
      <c r="I118" s="491"/>
      <c r="J118" s="491"/>
      <c r="K118" s="491"/>
      <c r="L118" s="497">
        <f>SUM(K116:K117)</f>
        <v>0</v>
      </c>
      <c r="M118" s="489"/>
    </row>
    <row r="119" spans="1:13">
      <c r="A119" s="493"/>
      <c r="B119" s="491" t="s">
        <v>1076</v>
      </c>
      <c r="C119" s="491" t="s">
        <v>672</v>
      </c>
      <c r="D119" s="491" t="s">
        <v>933</v>
      </c>
      <c r="E119" s="491" t="s">
        <v>1547</v>
      </c>
      <c r="F119" s="491" t="s">
        <v>674</v>
      </c>
      <c r="G119" s="523" t="s">
        <v>758</v>
      </c>
      <c r="H119" s="491" t="s">
        <v>674</v>
      </c>
      <c r="I119" s="523" t="s">
        <v>1546</v>
      </c>
      <c r="J119" s="491"/>
      <c r="K119" s="491"/>
      <c r="L119" s="491"/>
      <c r="M119" s="489"/>
    </row>
    <row r="120" spans="1:13">
      <c r="A120" s="493"/>
      <c r="B120" s="521" t="s">
        <v>1545</v>
      </c>
      <c r="C120" s="521" t="s">
        <v>1075</v>
      </c>
      <c r="D120" s="521" t="s">
        <v>1544</v>
      </c>
      <c r="E120" s="521" t="s">
        <v>1000</v>
      </c>
      <c r="F120" s="521" t="s">
        <v>1543</v>
      </c>
      <c r="G120" s="522"/>
      <c r="H120" s="521" t="s">
        <v>677</v>
      </c>
      <c r="I120" s="521" t="s">
        <v>1075</v>
      </c>
      <c r="J120" s="520" t="s">
        <v>1542</v>
      </c>
      <c r="K120" s="519" t="s">
        <v>497</v>
      </c>
      <c r="L120" s="491" t="s">
        <v>103</v>
      </c>
      <c r="M120" s="518"/>
    </row>
    <row r="121" spans="1:13">
      <c r="A121" s="517" t="s">
        <v>1541</v>
      </c>
      <c r="B121" s="516">
        <v>33147.480000000003</v>
      </c>
      <c r="C121" s="516">
        <v>30648.97</v>
      </c>
      <c r="D121" s="516">
        <v>11378.82</v>
      </c>
      <c r="E121" s="516">
        <v>55458.71</v>
      </c>
      <c r="F121" s="516">
        <v>26350.62</v>
      </c>
      <c r="G121" s="516">
        <v>40694.800000000003</v>
      </c>
      <c r="H121" s="516">
        <v>56949.53</v>
      </c>
      <c r="I121" s="515">
        <v>59064.46</v>
      </c>
      <c r="J121" s="492">
        <f>SUM(B121:I121)</f>
        <v>313693.39</v>
      </c>
      <c r="K121" s="492">
        <f>SUM(B121,C121,D121,E121,H121,G121)</f>
        <v>228278.31</v>
      </c>
      <c r="L121" s="491"/>
      <c r="M121" s="489">
        <v>325578.12</v>
      </c>
    </row>
    <row r="122" spans="1:13">
      <c r="A122" s="493"/>
      <c r="B122" s="491"/>
      <c r="C122" s="491"/>
      <c r="D122" s="491"/>
      <c r="E122" s="491"/>
      <c r="F122" s="491"/>
      <c r="G122" s="493"/>
      <c r="H122" s="514"/>
      <c r="I122" s="491"/>
      <c r="J122" s="491"/>
      <c r="K122" s="492"/>
      <c r="L122" s="491"/>
      <c r="M122" s="489"/>
    </row>
    <row r="123" spans="1:13">
      <c r="A123" s="511" t="s">
        <v>1540</v>
      </c>
      <c r="B123" s="511">
        <f>B121/K115</f>
        <v>0.13975070710169274</v>
      </c>
      <c r="C123" s="511">
        <f>C121/K115</f>
        <v>0.12921691873525731</v>
      </c>
      <c r="D123" s="511">
        <f>SUM(D121/K115)</f>
        <v>4.7973424857119855E-2</v>
      </c>
      <c r="E123" s="511">
        <f>E121/K115</f>
        <v>0.23381547971211439</v>
      </c>
      <c r="F123" s="511">
        <f>F121/K115</f>
        <v>0.11109495435453935</v>
      </c>
      <c r="G123" s="511">
        <f>G121/K115</f>
        <v>0.17157042029626282</v>
      </c>
      <c r="H123" s="511">
        <f>H121/K115</f>
        <v>0.24010081872314465</v>
      </c>
      <c r="I123" s="511">
        <f>SUM(I121/K115)</f>
        <v>0.24901742303124236</v>
      </c>
      <c r="J123" s="513"/>
      <c r="K123" s="512">
        <f>SUM(H123,E123)</f>
        <v>0.47391629843525906</v>
      </c>
      <c r="L123" s="511"/>
      <c r="M123" s="489"/>
    </row>
    <row r="124" spans="1:13">
      <c r="A124" s="493"/>
      <c r="B124" s="491"/>
      <c r="C124" s="491"/>
      <c r="D124" s="491"/>
      <c r="E124" s="491"/>
      <c r="F124" s="491"/>
      <c r="G124" s="493"/>
      <c r="H124" s="491"/>
      <c r="I124" s="491"/>
      <c r="J124" s="491"/>
      <c r="K124" s="492"/>
      <c r="L124" s="491"/>
      <c r="M124" s="489"/>
    </row>
    <row r="125" spans="1:13">
      <c r="L125" s="491"/>
      <c r="M125" s="489"/>
    </row>
    <row r="126" spans="1:13">
      <c r="L126" s="491"/>
      <c r="M126" s="489"/>
    </row>
    <row r="127" spans="1:13">
      <c r="A127" s="494"/>
      <c r="B127" s="491"/>
      <c r="C127" s="491"/>
      <c r="D127" s="491"/>
      <c r="E127" s="491"/>
      <c r="F127" s="491"/>
      <c r="G127" s="491"/>
      <c r="H127" s="491"/>
      <c r="I127" s="491"/>
      <c r="J127" s="491"/>
      <c r="K127" s="491"/>
      <c r="L127" s="491"/>
      <c r="M127" s="489">
        <f>SUM(L127:L127)</f>
        <v>0</v>
      </c>
    </row>
    <row r="128" spans="1:13">
      <c r="A128" s="493"/>
      <c r="B128" s="493"/>
      <c r="C128" s="493"/>
      <c r="D128" s="493"/>
      <c r="E128" s="493"/>
      <c r="F128" s="493"/>
      <c r="G128" s="493"/>
      <c r="H128" s="493"/>
      <c r="I128" s="493"/>
      <c r="J128" s="493"/>
      <c r="K128" s="493"/>
      <c r="L128" s="493"/>
      <c r="M128" s="489"/>
    </row>
    <row r="129" spans="1:13">
      <c r="A129" s="510" t="s">
        <v>128</v>
      </c>
      <c r="B129" s="509"/>
      <c r="C129" s="509"/>
      <c r="D129" s="509"/>
      <c r="E129" s="509"/>
      <c r="F129" s="509"/>
      <c r="G129" s="509"/>
      <c r="H129" s="509"/>
      <c r="I129" s="509"/>
      <c r="J129" s="509"/>
      <c r="K129" s="509"/>
      <c r="L129" s="503"/>
      <c r="M129" s="502"/>
    </row>
    <row r="130" spans="1:13">
      <c r="A130" s="510" t="s">
        <v>1539</v>
      </c>
      <c r="B130" s="509"/>
      <c r="C130" s="509"/>
      <c r="D130" s="509"/>
      <c r="E130" s="509"/>
      <c r="F130" s="509"/>
      <c r="G130" s="509"/>
      <c r="H130" s="509"/>
      <c r="I130" s="509"/>
      <c r="J130" s="509"/>
      <c r="K130" s="509"/>
      <c r="L130" s="503"/>
      <c r="M130" s="502"/>
    </row>
    <row r="131" spans="1:13">
      <c r="A131" s="510" t="s">
        <v>1538</v>
      </c>
      <c r="B131" s="509"/>
      <c r="C131" s="509"/>
      <c r="D131" s="509"/>
      <c r="E131" s="509"/>
      <c r="F131" s="509"/>
      <c r="G131" s="509"/>
      <c r="H131" s="509"/>
      <c r="I131" s="509"/>
      <c r="J131" s="509"/>
      <c r="K131" s="509"/>
      <c r="L131" s="503"/>
      <c r="M131" s="502"/>
    </row>
    <row r="132" spans="1:13">
      <c r="A132" s="508" t="s">
        <v>1537</v>
      </c>
      <c r="B132" s="501" t="s">
        <v>103</v>
      </c>
      <c r="C132" s="499" t="s">
        <v>1534</v>
      </c>
      <c r="D132" s="499" t="s">
        <v>1533</v>
      </c>
      <c r="E132" s="499" t="s">
        <v>1532</v>
      </c>
      <c r="F132" s="500" t="s">
        <v>1531</v>
      </c>
      <c r="G132" s="500" t="s">
        <v>1530</v>
      </c>
      <c r="H132" s="499" t="s">
        <v>1529</v>
      </c>
      <c r="I132" s="499" t="s">
        <v>1528</v>
      </c>
      <c r="J132" s="500" t="s">
        <v>1527</v>
      </c>
      <c r="K132" s="499" t="s">
        <v>103</v>
      </c>
      <c r="L132" s="507" t="s">
        <v>1536</v>
      </c>
      <c r="M132" s="506" t="s">
        <v>1535</v>
      </c>
    </row>
    <row r="133" spans="1:13">
      <c r="A133" s="494">
        <v>44205</v>
      </c>
      <c r="B133" s="491">
        <v>7390.1</v>
      </c>
      <c r="C133" s="491" t="s">
        <v>1524</v>
      </c>
      <c r="D133" s="491">
        <v>2812.84</v>
      </c>
      <c r="E133" s="491">
        <v>1.677</v>
      </c>
      <c r="F133" s="491">
        <v>4719.3500000000004</v>
      </c>
      <c r="G133" s="491">
        <v>683.54</v>
      </c>
      <c r="H133" s="491">
        <v>1389.54</v>
      </c>
      <c r="I133" s="491">
        <v>87.84</v>
      </c>
      <c r="J133" s="491"/>
      <c r="K133" s="491">
        <f t="shared" ref="K133:K170" si="5">SUM(F133:J133)</f>
        <v>6880.27</v>
      </c>
      <c r="L133" s="497">
        <f>SUM(K133:K135)</f>
        <v>7390.1</v>
      </c>
      <c r="M133" s="489"/>
    </row>
    <row r="134" spans="1:13">
      <c r="A134" s="494"/>
      <c r="B134" s="491"/>
      <c r="C134" s="491" t="s">
        <v>1522</v>
      </c>
      <c r="D134" s="491">
        <v>198.74700000000001</v>
      </c>
      <c r="E134" s="491">
        <v>1.802</v>
      </c>
      <c r="F134" s="491">
        <v>358.32</v>
      </c>
      <c r="G134" s="491">
        <v>36.39</v>
      </c>
      <c r="H134" s="491">
        <v>98.17</v>
      </c>
      <c r="I134" s="491">
        <v>6.17</v>
      </c>
      <c r="J134" s="491"/>
      <c r="K134" s="491">
        <f t="shared" si="5"/>
        <v>499.05</v>
      </c>
      <c r="L134" s="497"/>
      <c r="M134" s="489"/>
    </row>
    <row r="135" spans="1:13">
      <c r="A135" s="494"/>
      <c r="B135" s="491"/>
      <c r="C135" s="491" t="s">
        <v>1523</v>
      </c>
      <c r="D135" s="491">
        <v>3.02</v>
      </c>
      <c r="E135" s="491">
        <v>3.2509999999999999</v>
      </c>
      <c r="F135" s="491">
        <v>9.82</v>
      </c>
      <c r="G135" s="491"/>
      <c r="H135" s="491"/>
      <c r="I135" s="491"/>
      <c r="J135" s="491">
        <v>0.96</v>
      </c>
      <c r="K135" s="491">
        <f t="shared" si="5"/>
        <v>10.780000000000001</v>
      </c>
      <c r="L135" s="497"/>
      <c r="M135" s="489"/>
    </row>
    <row r="136" spans="1:13">
      <c r="A136" s="494">
        <v>44212</v>
      </c>
      <c r="B136" s="491">
        <v>6652.69</v>
      </c>
      <c r="C136" s="491" t="s">
        <v>1524</v>
      </c>
      <c r="D136" s="491">
        <v>2516.9499999999998</v>
      </c>
      <c r="E136" s="491">
        <v>1.7350000000000001</v>
      </c>
      <c r="F136" s="491">
        <v>4369.1499999999996</v>
      </c>
      <c r="G136" s="491">
        <v>611.57000000000005</v>
      </c>
      <c r="H136" s="491">
        <v>1243.3699999999999</v>
      </c>
      <c r="I136" s="491">
        <v>78.599999999999994</v>
      </c>
      <c r="J136" s="491"/>
      <c r="K136" s="491">
        <f t="shared" si="5"/>
        <v>6302.69</v>
      </c>
      <c r="L136" s="497">
        <f>SUM(K136:K138)</f>
        <v>6652.69</v>
      </c>
      <c r="M136" s="489"/>
    </row>
    <row r="137" spans="1:13">
      <c r="A137" s="494"/>
      <c r="B137" s="491"/>
      <c r="C137" s="491" t="s">
        <v>1522</v>
      </c>
      <c r="D137" s="491">
        <v>129.02000000000001</v>
      </c>
      <c r="E137" s="491">
        <v>1.88</v>
      </c>
      <c r="F137" s="491">
        <v>242.72</v>
      </c>
      <c r="G137" s="491">
        <v>23.62</v>
      </c>
      <c r="H137" s="491">
        <v>63.73</v>
      </c>
      <c r="I137" s="491">
        <v>4.0199999999999996</v>
      </c>
      <c r="J137" s="491"/>
      <c r="K137" s="491">
        <f t="shared" si="5"/>
        <v>334.09</v>
      </c>
      <c r="L137" s="497"/>
      <c r="M137" s="489"/>
    </row>
    <row r="138" spans="1:13">
      <c r="A138" s="494"/>
      <c r="B138" s="505"/>
      <c r="C138" s="505" t="s">
        <v>1523</v>
      </c>
      <c r="D138" s="505">
        <v>4.46</v>
      </c>
      <c r="E138" s="505">
        <v>3.2488999999999999</v>
      </c>
      <c r="F138" s="505">
        <v>14.49</v>
      </c>
      <c r="G138" s="505"/>
      <c r="H138" s="505"/>
      <c r="I138" s="505"/>
      <c r="J138" s="505">
        <v>1.42</v>
      </c>
      <c r="K138" s="505">
        <f t="shared" si="5"/>
        <v>15.91</v>
      </c>
      <c r="L138" s="497"/>
      <c r="M138" s="489"/>
    </row>
    <row r="139" spans="1:13">
      <c r="A139" s="494">
        <v>44219</v>
      </c>
      <c r="B139" s="491">
        <v>6793.71</v>
      </c>
      <c r="C139" s="491" t="s">
        <v>1524</v>
      </c>
      <c r="D139" s="491">
        <v>2589.9899999999998</v>
      </c>
      <c r="E139" s="491">
        <v>1.7354000000000001</v>
      </c>
      <c r="F139" s="491">
        <v>4494.72</v>
      </c>
      <c r="G139" s="491">
        <v>629.38</v>
      </c>
      <c r="H139" s="491">
        <v>1279.49</v>
      </c>
      <c r="I139" s="491">
        <v>80.8</v>
      </c>
      <c r="J139" s="491"/>
      <c r="K139" s="491">
        <f t="shared" si="5"/>
        <v>6484.39</v>
      </c>
      <c r="L139" s="497">
        <f>SUM(K139:K141)</f>
        <v>6793.71</v>
      </c>
      <c r="M139" s="489"/>
    </row>
    <row r="140" spans="1:13">
      <c r="A140" s="494"/>
      <c r="B140" s="491"/>
      <c r="C140" s="491" t="s">
        <v>1522</v>
      </c>
      <c r="D140" s="491">
        <v>110.419</v>
      </c>
      <c r="E140" s="491">
        <v>1.879</v>
      </c>
      <c r="F140" s="491">
        <v>207.48</v>
      </c>
      <c r="G140" s="491">
        <v>20.2</v>
      </c>
      <c r="H140" s="491">
        <v>54.54</v>
      </c>
      <c r="I140" s="491">
        <v>3.44</v>
      </c>
      <c r="J140" s="491"/>
      <c r="K140" s="491">
        <f t="shared" si="5"/>
        <v>285.65999999999997</v>
      </c>
      <c r="L140" s="497"/>
      <c r="M140" s="489"/>
    </row>
    <row r="141" spans="1:13">
      <c r="A141" s="494"/>
      <c r="B141" s="505"/>
      <c r="C141" s="505" t="s">
        <v>1523</v>
      </c>
      <c r="D141" s="505">
        <v>6.63</v>
      </c>
      <c r="E141" s="505">
        <v>3.2509999999999999</v>
      </c>
      <c r="F141" s="505">
        <v>21.56</v>
      </c>
      <c r="G141" s="505"/>
      <c r="H141" s="505"/>
      <c r="I141" s="505"/>
      <c r="J141" s="505">
        <v>2.1</v>
      </c>
      <c r="K141" s="505">
        <f t="shared" si="5"/>
        <v>23.66</v>
      </c>
      <c r="L141" s="497"/>
      <c r="M141" s="489"/>
    </row>
    <row r="142" spans="1:13">
      <c r="A142" s="494">
        <v>44227</v>
      </c>
      <c r="B142" s="491">
        <v>6687.81</v>
      </c>
      <c r="C142" s="491" t="s">
        <v>1524</v>
      </c>
      <c r="D142" s="491">
        <v>2500.14</v>
      </c>
      <c r="E142" s="491">
        <v>1.7388999999999999</v>
      </c>
      <c r="F142" s="491">
        <v>4347.43</v>
      </c>
      <c r="G142" s="491">
        <v>607.54999999999995</v>
      </c>
      <c r="H142" s="491">
        <v>1235.07</v>
      </c>
      <c r="I142" s="491">
        <v>78.09</v>
      </c>
      <c r="J142" s="491"/>
      <c r="K142" s="491">
        <f t="shared" si="5"/>
        <v>6268.14</v>
      </c>
      <c r="L142" s="497">
        <f>SUM(K142:K144)</f>
        <v>6687.81</v>
      </c>
      <c r="M142" s="489"/>
    </row>
    <row r="143" spans="1:13">
      <c r="A143" s="494"/>
      <c r="B143" s="491"/>
      <c r="C143" s="491" t="s">
        <v>1522</v>
      </c>
      <c r="D143" s="491">
        <v>150.84</v>
      </c>
      <c r="E143" s="491">
        <v>1.885</v>
      </c>
      <c r="F143" s="491">
        <v>284.45999999999998</v>
      </c>
      <c r="G143" s="491">
        <v>27.61</v>
      </c>
      <c r="H143" s="491">
        <v>74.52</v>
      </c>
      <c r="I143" s="491">
        <v>4.71</v>
      </c>
      <c r="J143" s="491"/>
      <c r="K143" s="491">
        <f t="shared" si="5"/>
        <v>391.29999999999995</v>
      </c>
      <c r="L143" s="497"/>
      <c r="M143" s="489"/>
    </row>
    <row r="144" spans="1:13">
      <c r="A144" s="494"/>
      <c r="B144" s="491"/>
      <c r="C144" s="491" t="s">
        <v>1523</v>
      </c>
      <c r="D144" s="491">
        <v>7.95</v>
      </c>
      <c r="E144" s="491">
        <v>3.25</v>
      </c>
      <c r="F144" s="491">
        <v>25.84</v>
      </c>
      <c r="G144" s="491"/>
      <c r="H144" s="491"/>
      <c r="I144" s="491"/>
      <c r="J144" s="491">
        <v>2.5299999999999998</v>
      </c>
      <c r="K144" s="491">
        <f t="shared" si="5"/>
        <v>28.37</v>
      </c>
      <c r="L144" s="497"/>
      <c r="M144" s="489"/>
    </row>
    <row r="145" spans="1:13">
      <c r="A145" s="494">
        <v>44233</v>
      </c>
      <c r="B145" s="491">
        <v>7479.92</v>
      </c>
      <c r="C145" s="491" t="s">
        <v>1524</v>
      </c>
      <c r="D145" s="491">
        <v>2714.4</v>
      </c>
      <c r="E145" s="491">
        <v>1.82</v>
      </c>
      <c r="F145" s="491">
        <v>4941.91</v>
      </c>
      <c r="G145" s="491">
        <v>659.6</v>
      </c>
      <c r="H145" s="491">
        <v>1340.87</v>
      </c>
      <c r="I145" s="491">
        <v>84.79</v>
      </c>
      <c r="J145" s="491"/>
      <c r="K145" s="491">
        <f t="shared" si="5"/>
        <v>7027.17</v>
      </c>
      <c r="L145" s="497">
        <f>SUM(K145:K147)</f>
        <v>7479.92</v>
      </c>
      <c r="M145" s="489"/>
    </row>
    <row r="146" spans="1:13">
      <c r="A146" s="494"/>
      <c r="B146" s="491"/>
      <c r="C146" s="491" t="s">
        <v>1522</v>
      </c>
      <c r="D146" s="491">
        <v>158.857</v>
      </c>
      <c r="E146" s="491">
        <v>1.9505999999999999</v>
      </c>
      <c r="F146" s="491">
        <v>309.87</v>
      </c>
      <c r="G146" s="491">
        <v>29.08</v>
      </c>
      <c r="H146" s="491">
        <v>78.47</v>
      </c>
      <c r="I146" s="491">
        <v>4.96</v>
      </c>
      <c r="J146" s="491"/>
      <c r="K146" s="491">
        <f t="shared" si="5"/>
        <v>422.37999999999994</v>
      </c>
      <c r="L146" s="497"/>
      <c r="M146" s="489"/>
    </row>
    <row r="147" spans="1:13">
      <c r="A147" s="494"/>
      <c r="B147" s="491"/>
      <c r="C147" s="491" t="s">
        <v>1523</v>
      </c>
      <c r="D147" s="491">
        <v>8.51</v>
      </c>
      <c r="E147" s="491">
        <v>3.25</v>
      </c>
      <c r="F147" s="491">
        <v>27.66</v>
      </c>
      <c r="G147" s="491"/>
      <c r="H147" s="491"/>
      <c r="I147" s="491"/>
      <c r="J147" s="491">
        <v>2.71</v>
      </c>
      <c r="K147" s="491">
        <f t="shared" si="5"/>
        <v>30.37</v>
      </c>
      <c r="L147" s="497"/>
      <c r="M147" s="489"/>
    </row>
    <row r="148" spans="1:13">
      <c r="A148" s="494">
        <v>44240</v>
      </c>
      <c r="B148" s="491">
        <v>7570.25</v>
      </c>
      <c r="C148" s="491" t="s">
        <v>1524</v>
      </c>
      <c r="D148" s="491">
        <v>2645.7</v>
      </c>
      <c r="E148" s="491">
        <v>1.9179999999999999</v>
      </c>
      <c r="F148" s="491">
        <v>5075.6000000000004</v>
      </c>
      <c r="G148" s="491">
        <v>642.89</v>
      </c>
      <c r="H148" s="491">
        <v>1306.96</v>
      </c>
      <c r="I148" s="491">
        <v>82.64</v>
      </c>
      <c r="J148" s="491"/>
      <c r="K148" s="491">
        <f t="shared" si="5"/>
        <v>7108.0900000000011</v>
      </c>
      <c r="L148" s="497">
        <f>SUM(K148:K150)</f>
        <v>7570.2500000000009</v>
      </c>
      <c r="M148" s="489"/>
    </row>
    <row r="149" spans="1:13">
      <c r="A149" s="494"/>
      <c r="B149" s="491"/>
      <c r="C149" s="491" t="s">
        <v>1522</v>
      </c>
      <c r="D149" s="491">
        <v>165.37299999999999</v>
      </c>
      <c r="E149" s="491">
        <v>1.99</v>
      </c>
      <c r="F149" s="491">
        <v>329.19</v>
      </c>
      <c r="G149" s="491">
        <v>30.27</v>
      </c>
      <c r="H149" s="491">
        <v>81.67</v>
      </c>
      <c r="I149" s="491">
        <v>5.15</v>
      </c>
      <c r="J149" s="491"/>
      <c r="K149" s="491">
        <f t="shared" si="5"/>
        <v>446.28</v>
      </c>
      <c r="L149" s="497"/>
      <c r="M149" s="489"/>
    </row>
    <row r="150" spans="1:13">
      <c r="A150" s="494"/>
      <c r="B150" s="505"/>
      <c r="C150" s="505" t="s">
        <v>1523</v>
      </c>
      <c r="D150" s="505">
        <v>4.45</v>
      </c>
      <c r="E150" s="505">
        <v>3.2490000000000001</v>
      </c>
      <c r="F150" s="505">
        <v>14.46</v>
      </c>
      <c r="G150" s="505"/>
      <c r="H150" s="505"/>
      <c r="I150" s="505"/>
      <c r="J150" s="505">
        <v>1.42</v>
      </c>
      <c r="K150" s="505">
        <f t="shared" si="5"/>
        <v>15.88</v>
      </c>
      <c r="L150" s="497"/>
      <c r="M150" s="489"/>
    </row>
    <row r="151" spans="1:13">
      <c r="A151" s="494">
        <v>44247</v>
      </c>
      <c r="B151" s="491">
        <v>5090.8100000000004</v>
      </c>
      <c r="C151" s="491" t="s">
        <v>1524</v>
      </c>
      <c r="D151" s="491">
        <v>1691.36</v>
      </c>
      <c r="E151" s="491">
        <v>2.0276000000000001</v>
      </c>
      <c r="F151" s="491">
        <v>3429.45</v>
      </c>
      <c r="G151" s="491">
        <v>411.04</v>
      </c>
      <c r="H151" s="491">
        <v>835.52</v>
      </c>
      <c r="I151" s="491">
        <v>52.84</v>
      </c>
      <c r="J151" s="491"/>
      <c r="K151" s="491">
        <f t="shared" si="5"/>
        <v>4728.8500000000004</v>
      </c>
      <c r="L151" s="497">
        <f>SUM(K151:K153)</f>
        <v>5090.8100000000004</v>
      </c>
      <c r="M151" s="489"/>
    </row>
    <row r="152" spans="1:13">
      <c r="A152" s="494"/>
      <c r="B152" s="491"/>
      <c r="C152" s="491" t="s">
        <v>1522</v>
      </c>
      <c r="D152" s="491">
        <v>117.95</v>
      </c>
      <c r="E152" s="491">
        <v>2.1150000000000002</v>
      </c>
      <c r="F152" s="491">
        <v>249.46</v>
      </c>
      <c r="G152" s="491">
        <v>21.59</v>
      </c>
      <c r="H152" s="491">
        <v>58.27</v>
      </c>
      <c r="I152" s="491">
        <v>3.69</v>
      </c>
      <c r="J152" s="491"/>
      <c r="K152" s="491">
        <f t="shared" si="5"/>
        <v>333.01</v>
      </c>
      <c r="L152" s="497"/>
      <c r="M152" s="489"/>
    </row>
    <row r="153" spans="1:13">
      <c r="A153" s="494"/>
      <c r="B153" s="491"/>
      <c r="C153" s="491" t="s">
        <v>1523</v>
      </c>
      <c r="D153" s="491">
        <v>8.11</v>
      </c>
      <c r="E153" s="491">
        <v>3.25</v>
      </c>
      <c r="F153" s="491">
        <v>26.37</v>
      </c>
      <c r="G153" s="491"/>
      <c r="H153" s="491"/>
      <c r="I153" s="491"/>
      <c r="J153" s="491">
        <v>2.58</v>
      </c>
      <c r="K153" s="491">
        <f t="shared" si="5"/>
        <v>28.950000000000003</v>
      </c>
      <c r="L153" s="497"/>
      <c r="M153" s="489"/>
    </row>
    <row r="154" spans="1:13">
      <c r="A154" s="494">
        <v>44255</v>
      </c>
      <c r="B154" s="491">
        <v>8876.5300000000007</v>
      </c>
      <c r="C154" s="491" t="s">
        <v>1524</v>
      </c>
      <c r="D154" s="491">
        <v>2920.41</v>
      </c>
      <c r="E154" s="491">
        <v>2.09</v>
      </c>
      <c r="F154" s="491">
        <v>6105.49</v>
      </c>
      <c r="G154" s="491">
        <v>709.65</v>
      </c>
      <c r="H154" s="491">
        <v>1442.67</v>
      </c>
      <c r="I154" s="491">
        <v>91.2</v>
      </c>
      <c r="J154" s="491"/>
      <c r="K154" s="491">
        <f t="shared" si="5"/>
        <v>8349.01</v>
      </c>
      <c r="L154" s="497">
        <f>SUM(K154:K156)</f>
        <v>8876.5299999999988</v>
      </c>
      <c r="M154" s="489"/>
    </row>
    <row r="155" spans="1:13">
      <c r="A155" s="494"/>
      <c r="B155" s="491"/>
      <c r="C155" s="491" t="s">
        <v>1522</v>
      </c>
      <c r="D155" s="491">
        <v>159.6</v>
      </c>
      <c r="E155" s="491">
        <v>2.19</v>
      </c>
      <c r="F155" s="491">
        <v>349.74</v>
      </c>
      <c r="G155" s="491">
        <v>29.21</v>
      </c>
      <c r="H155" s="491">
        <v>78.849999999999994</v>
      </c>
      <c r="I155" s="491">
        <v>4.99</v>
      </c>
      <c r="J155" s="491"/>
      <c r="K155" s="491">
        <f t="shared" si="5"/>
        <v>462.78999999999996</v>
      </c>
      <c r="L155" s="497"/>
      <c r="M155" s="489"/>
    </row>
    <row r="156" spans="1:13">
      <c r="A156" s="494"/>
      <c r="B156" s="491"/>
      <c r="C156" s="491" t="s">
        <v>1523</v>
      </c>
      <c r="D156" s="491">
        <v>18.14</v>
      </c>
      <c r="E156" s="491">
        <v>3.2490000000000001</v>
      </c>
      <c r="F156" s="491">
        <v>58.95</v>
      </c>
      <c r="G156" s="491"/>
      <c r="H156" s="491"/>
      <c r="I156" s="491"/>
      <c r="J156" s="491">
        <v>5.78</v>
      </c>
      <c r="K156" s="491">
        <f t="shared" si="5"/>
        <v>64.73</v>
      </c>
      <c r="L156" s="497"/>
      <c r="M156" s="489"/>
    </row>
    <row r="157" spans="1:13">
      <c r="A157" s="494">
        <v>44261</v>
      </c>
      <c r="B157" s="491">
        <v>7896.77</v>
      </c>
      <c r="C157" s="491" t="s">
        <v>1524</v>
      </c>
      <c r="D157" s="491">
        <v>2588.44</v>
      </c>
      <c r="E157" s="491">
        <v>2.1126</v>
      </c>
      <c r="F157" s="491">
        <v>5468.38</v>
      </c>
      <c r="G157" s="491">
        <v>629</v>
      </c>
      <c r="H157" s="491">
        <v>1278.74</v>
      </c>
      <c r="I157" s="491">
        <v>80.819999999999993</v>
      </c>
      <c r="J157" s="491"/>
      <c r="K157" s="491">
        <f t="shared" si="5"/>
        <v>7456.94</v>
      </c>
      <c r="L157" s="497">
        <f>SUM(K157:K159)</f>
        <v>7896.77</v>
      </c>
      <c r="M157" s="489"/>
    </row>
    <row r="158" spans="1:13">
      <c r="A158" s="494"/>
      <c r="B158" s="491"/>
      <c r="C158" s="491" t="s">
        <v>1522</v>
      </c>
      <c r="D158" s="491">
        <v>141.30000000000001</v>
      </c>
      <c r="E158" s="491">
        <v>2.2709999999999999</v>
      </c>
      <c r="F158" s="491">
        <v>320.93</v>
      </c>
      <c r="G158" s="491">
        <v>25.86</v>
      </c>
      <c r="H158" s="491">
        <v>69.819999999999993</v>
      </c>
      <c r="I158" s="491">
        <v>4.41</v>
      </c>
      <c r="J158" s="491"/>
      <c r="K158" s="491">
        <f t="shared" si="5"/>
        <v>421.02000000000004</v>
      </c>
      <c r="L158" s="497"/>
      <c r="M158" s="489"/>
    </row>
    <row r="159" spans="1:13">
      <c r="A159" s="494"/>
      <c r="B159" s="505"/>
      <c r="C159" s="505" t="s">
        <v>1523</v>
      </c>
      <c r="D159" s="505">
        <v>5.27</v>
      </c>
      <c r="E159" s="505">
        <v>3.25</v>
      </c>
      <c r="F159" s="505">
        <v>17.13</v>
      </c>
      <c r="G159" s="505"/>
      <c r="H159" s="505"/>
      <c r="I159" s="505"/>
      <c r="J159" s="505">
        <v>1.68</v>
      </c>
      <c r="K159" s="505">
        <f t="shared" si="5"/>
        <v>18.809999999999999</v>
      </c>
      <c r="L159" s="497"/>
      <c r="M159" s="489"/>
    </row>
    <row r="160" spans="1:13">
      <c r="A160" s="494">
        <v>44268</v>
      </c>
      <c r="B160" s="491">
        <v>8680.01</v>
      </c>
      <c r="C160" s="491" t="s">
        <v>1524</v>
      </c>
      <c r="D160" s="491">
        <v>2768.63</v>
      </c>
      <c r="E160" s="491">
        <v>2.19</v>
      </c>
      <c r="F160" s="491">
        <v>6077.68</v>
      </c>
      <c r="G160" s="491">
        <v>672.8</v>
      </c>
      <c r="H160" s="491">
        <v>1367.71</v>
      </c>
      <c r="I160" s="491">
        <v>86.38</v>
      </c>
      <c r="J160" s="491"/>
      <c r="K160" s="491">
        <f t="shared" si="5"/>
        <v>8204.57</v>
      </c>
      <c r="L160" s="497">
        <f>SUM(K160:K162)</f>
        <v>8680.01</v>
      </c>
      <c r="M160" s="489"/>
    </row>
    <row r="161" spans="1:13">
      <c r="A161" s="494"/>
      <c r="B161" s="491"/>
      <c r="C161" s="491" t="s">
        <v>1522</v>
      </c>
      <c r="D161" s="491">
        <v>137.066</v>
      </c>
      <c r="E161" s="491">
        <v>2.371</v>
      </c>
      <c r="F161" s="491">
        <v>325.08</v>
      </c>
      <c r="G161" s="491">
        <v>25.09</v>
      </c>
      <c r="H161" s="491">
        <v>67.72</v>
      </c>
      <c r="I161" s="491">
        <v>4.2699999999999996</v>
      </c>
      <c r="J161" s="491"/>
      <c r="K161" s="491">
        <f t="shared" si="5"/>
        <v>422.15999999999997</v>
      </c>
      <c r="L161" s="497"/>
      <c r="M161" s="489"/>
    </row>
    <row r="162" spans="1:13">
      <c r="A162" s="494"/>
      <c r="B162" s="505"/>
      <c r="C162" s="505" t="s">
        <v>1523</v>
      </c>
      <c r="D162" s="505">
        <v>14.93</v>
      </c>
      <c r="E162" s="505">
        <v>3.25</v>
      </c>
      <c r="F162" s="505">
        <v>48.53</v>
      </c>
      <c r="G162" s="505"/>
      <c r="H162" s="505"/>
      <c r="I162" s="505"/>
      <c r="J162" s="505">
        <v>4.75</v>
      </c>
      <c r="K162" s="505">
        <f t="shared" si="5"/>
        <v>53.28</v>
      </c>
      <c r="L162" s="497"/>
      <c r="M162" s="489"/>
    </row>
    <row r="163" spans="1:13">
      <c r="A163" s="494">
        <v>44270</v>
      </c>
      <c r="B163" s="505">
        <v>61.43</v>
      </c>
      <c r="C163" s="491" t="s">
        <v>1524</v>
      </c>
      <c r="D163" s="491">
        <v>20.9</v>
      </c>
      <c r="E163" s="491">
        <v>2.1989999999999998</v>
      </c>
      <c r="F163" s="491">
        <v>45.96</v>
      </c>
      <c r="G163" s="491">
        <v>5.08</v>
      </c>
      <c r="H163" s="491">
        <v>10.32</v>
      </c>
      <c r="I163" s="491">
        <v>7.0000000000000007E-2</v>
      </c>
      <c r="J163" s="491"/>
      <c r="K163" s="491">
        <f t="shared" si="5"/>
        <v>61.43</v>
      </c>
      <c r="L163" s="497"/>
      <c r="M163" s="489">
        <f>K163</f>
        <v>61.43</v>
      </c>
    </row>
    <row r="164" spans="1:13">
      <c r="A164" s="494">
        <v>44275</v>
      </c>
      <c r="B164" s="491">
        <v>8891.5300000000007</v>
      </c>
      <c r="C164" s="491" t="s">
        <v>1524</v>
      </c>
      <c r="D164" s="491">
        <v>2788.98</v>
      </c>
      <c r="E164" s="491">
        <v>2.1949999999999998</v>
      </c>
      <c r="F164" s="491">
        <v>6124.08</v>
      </c>
      <c r="G164" s="491">
        <v>677.72</v>
      </c>
      <c r="H164" s="491">
        <v>1377.76</v>
      </c>
      <c r="I164" s="491">
        <v>87.05</v>
      </c>
      <c r="J164" s="491"/>
      <c r="K164" s="491">
        <f t="shared" si="5"/>
        <v>8266.61</v>
      </c>
      <c r="L164" s="497">
        <f>SUM(K164:K166)</f>
        <v>8891.5300000000007</v>
      </c>
      <c r="M164" s="489"/>
    </row>
    <row r="165" spans="1:13">
      <c r="A165" s="494"/>
      <c r="B165" s="491"/>
      <c r="C165" s="491" t="s">
        <v>1522</v>
      </c>
      <c r="D165" s="491">
        <v>180.43</v>
      </c>
      <c r="E165" s="491">
        <v>2.4369999999999998</v>
      </c>
      <c r="F165" s="491">
        <v>439.76</v>
      </c>
      <c r="G165" s="491">
        <v>33.020000000000003</v>
      </c>
      <c r="H165" s="491">
        <v>89.13</v>
      </c>
      <c r="I165" s="491">
        <v>5.63</v>
      </c>
      <c r="J165" s="491"/>
      <c r="K165" s="491">
        <f t="shared" si="5"/>
        <v>567.54</v>
      </c>
      <c r="L165" s="497"/>
      <c r="M165" s="489"/>
    </row>
    <row r="166" spans="1:13">
      <c r="A166" s="494"/>
      <c r="B166" s="491"/>
      <c r="C166" s="491" t="s">
        <v>1523</v>
      </c>
      <c r="D166" s="491">
        <v>16.079999999999998</v>
      </c>
      <c r="E166" s="491">
        <v>3.25</v>
      </c>
      <c r="F166" s="491">
        <v>52.26</v>
      </c>
      <c r="G166" s="491"/>
      <c r="H166" s="491"/>
      <c r="I166" s="491"/>
      <c r="J166" s="491">
        <v>5.12</v>
      </c>
      <c r="K166" s="491">
        <f t="shared" si="5"/>
        <v>57.379999999999995</v>
      </c>
      <c r="L166" s="497"/>
      <c r="M166" s="489"/>
    </row>
    <row r="167" spans="1:13">
      <c r="A167" s="494">
        <v>44286</v>
      </c>
      <c r="B167" s="491">
        <v>11780.34</v>
      </c>
      <c r="C167" s="491" t="s">
        <v>1524</v>
      </c>
      <c r="D167" s="491">
        <v>3822.59</v>
      </c>
      <c r="E167" s="491">
        <v>2.1080000000000001</v>
      </c>
      <c r="F167" s="491">
        <v>8061.51</v>
      </c>
      <c r="G167" s="491">
        <v>928.87</v>
      </c>
      <c r="H167" s="491">
        <v>1888.32</v>
      </c>
      <c r="I167" s="491">
        <v>119.36</v>
      </c>
      <c r="J167" s="491"/>
      <c r="K167" s="491">
        <f t="shared" si="5"/>
        <v>10998.060000000001</v>
      </c>
      <c r="L167" s="497">
        <f>SUM(K167:K169)</f>
        <v>11780.340000000002</v>
      </c>
      <c r="M167" s="489"/>
    </row>
    <row r="168" spans="1:13">
      <c r="A168" s="494"/>
      <c r="B168" s="491"/>
      <c r="C168" s="491" t="s">
        <v>1522</v>
      </c>
      <c r="D168" s="491">
        <f>202.41+27.54</f>
        <v>229.95</v>
      </c>
      <c r="E168" s="491">
        <f>2.355+2.296</f>
        <v>4.6509999999999998</v>
      </c>
      <c r="F168" s="491">
        <f>476.85+63.24</f>
        <v>540.09</v>
      </c>
      <c r="G168" s="491">
        <f>37.05+6.69</f>
        <v>43.739999999999995</v>
      </c>
      <c r="H168" s="491">
        <f>100+13.6</f>
        <v>113.6</v>
      </c>
      <c r="I168" s="491">
        <f>6.31+0.86</f>
        <v>7.17</v>
      </c>
      <c r="J168" s="491"/>
      <c r="K168" s="491">
        <f t="shared" si="5"/>
        <v>704.6</v>
      </c>
      <c r="L168" s="497"/>
      <c r="M168" s="489"/>
    </row>
    <row r="169" spans="1:13">
      <c r="A169" s="494"/>
      <c r="B169" s="491"/>
      <c r="C169" s="491" t="s">
        <v>1523</v>
      </c>
      <c r="D169" s="491">
        <v>21.77</v>
      </c>
      <c r="E169" s="491">
        <v>3.25</v>
      </c>
      <c r="F169" s="491">
        <v>70.760000000000005</v>
      </c>
      <c r="G169" s="491"/>
      <c r="H169" s="491"/>
      <c r="I169" s="491"/>
      <c r="J169" s="491">
        <v>6.92</v>
      </c>
      <c r="K169" s="491">
        <f t="shared" si="5"/>
        <v>77.680000000000007</v>
      </c>
      <c r="L169" s="497"/>
      <c r="M169" s="489"/>
    </row>
    <row r="170" spans="1:13">
      <c r="A170" s="494">
        <v>44286</v>
      </c>
      <c r="B170" s="491">
        <v>144.22999999999999</v>
      </c>
      <c r="C170" s="491" t="s">
        <v>1524</v>
      </c>
      <c r="D170" s="491">
        <v>49</v>
      </c>
      <c r="E170" s="491">
        <v>2.2033</v>
      </c>
      <c r="F170" s="491">
        <v>107.96</v>
      </c>
      <c r="G170" s="491">
        <v>11.91</v>
      </c>
      <c r="H170" s="491">
        <v>24.2</v>
      </c>
      <c r="I170" s="491">
        <v>0.16</v>
      </c>
      <c r="J170" s="491"/>
      <c r="K170" s="491">
        <f t="shared" si="5"/>
        <v>144.22999999999999</v>
      </c>
      <c r="L170" s="497"/>
      <c r="M170" s="489">
        <f>K170</f>
        <v>144.22999999999999</v>
      </c>
    </row>
    <row r="171" spans="1:13">
      <c r="A171" s="503"/>
      <c r="B171" s="504">
        <f>SUM(B133:B170)</f>
        <v>93996.129999999976</v>
      </c>
      <c r="C171" s="503"/>
      <c r="D171" s="504">
        <f>SUM(D133:D170)</f>
        <v>34429.201999999997</v>
      </c>
      <c r="E171" s="503"/>
      <c r="F171" s="504">
        <f t="shared" ref="F171:M171" si="6">SUM(F133:F170)</f>
        <v>67713.599999999991</v>
      </c>
      <c r="G171" s="504">
        <f t="shared" si="6"/>
        <v>8226.2800000000007</v>
      </c>
      <c r="H171" s="504">
        <f t="shared" si="6"/>
        <v>16949.03</v>
      </c>
      <c r="I171" s="504">
        <f t="shared" si="6"/>
        <v>1069.2500000000002</v>
      </c>
      <c r="J171" s="504">
        <f t="shared" si="6"/>
        <v>37.97</v>
      </c>
      <c r="K171" s="504">
        <f t="shared" si="6"/>
        <v>93996.12999999999</v>
      </c>
      <c r="L171" s="504">
        <f t="shared" si="6"/>
        <v>93790.469999999987</v>
      </c>
      <c r="M171" s="502">
        <f t="shared" si="6"/>
        <v>205.66</v>
      </c>
    </row>
    <row r="172" spans="1:13">
      <c r="A172" s="503"/>
      <c r="B172" s="503"/>
      <c r="C172" s="503"/>
      <c r="D172" s="503"/>
      <c r="E172" s="503"/>
      <c r="F172" s="503"/>
      <c r="G172" s="503"/>
      <c r="H172" s="503"/>
      <c r="I172" s="503"/>
      <c r="J172" s="503"/>
      <c r="K172" s="503"/>
      <c r="L172" s="503"/>
      <c r="M172" s="502"/>
    </row>
    <row r="173" spans="1:13">
      <c r="A173" s="503"/>
      <c r="B173" s="503"/>
      <c r="C173" s="503"/>
      <c r="D173" s="503"/>
      <c r="E173" s="503"/>
      <c r="F173" s="503"/>
      <c r="G173" s="503"/>
      <c r="H173" s="503"/>
      <c r="I173" s="503"/>
      <c r="J173" s="503"/>
      <c r="K173" s="503"/>
      <c r="L173" s="503"/>
      <c r="M173" s="502"/>
    </row>
    <row r="174" spans="1:13">
      <c r="B174" s="501" t="s">
        <v>103</v>
      </c>
      <c r="C174" s="499" t="s">
        <v>1534</v>
      </c>
      <c r="D174" s="499" t="s">
        <v>1533</v>
      </c>
      <c r="E174" s="499" t="s">
        <v>1532</v>
      </c>
      <c r="F174" s="500" t="s">
        <v>1531</v>
      </c>
      <c r="G174" s="500" t="s">
        <v>1530</v>
      </c>
      <c r="H174" s="499" t="s">
        <v>1529</v>
      </c>
      <c r="I174" s="499" t="s">
        <v>1528</v>
      </c>
      <c r="J174" s="500" t="s">
        <v>1527</v>
      </c>
      <c r="K174" s="499" t="s">
        <v>103</v>
      </c>
      <c r="M174" s="498"/>
    </row>
    <row r="175" spans="1:13">
      <c r="A175" s="490" t="s">
        <v>1526</v>
      </c>
      <c r="B175" s="490">
        <f>SUM(B5:B112)</f>
        <v>237190.07000000004</v>
      </c>
      <c r="C175" s="490"/>
      <c r="D175" s="490">
        <f>SUM(D5:D114)</f>
        <v>109991.35199999997</v>
      </c>
      <c r="E175" s="490"/>
      <c r="F175" s="490">
        <f t="shared" ref="F175:K175" si="7">SUM(F5:F114)</f>
        <v>153147.25000000003</v>
      </c>
      <c r="G175" s="490">
        <f t="shared" si="7"/>
        <v>26355.270000000015</v>
      </c>
      <c r="H175" s="490">
        <f t="shared" si="7"/>
        <v>54272.900000000009</v>
      </c>
      <c r="I175" s="490">
        <f t="shared" si="7"/>
        <v>3373.9100000000003</v>
      </c>
      <c r="J175" s="490">
        <f t="shared" si="7"/>
        <v>40.740000000000016</v>
      </c>
      <c r="K175" s="490">
        <f t="shared" si="7"/>
        <v>237190.07000000004</v>
      </c>
      <c r="L175" s="490"/>
      <c r="M175" s="489">
        <f>+B175-K175</f>
        <v>0</v>
      </c>
    </row>
    <row r="176" spans="1:13">
      <c r="A176" s="490" t="s">
        <v>1525</v>
      </c>
      <c r="B176" s="495">
        <f>+B171</f>
        <v>93996.129999999976</v>
      </c>
      <c r="C176" s="495"/>
      <c r="D176" s="495">
        <f>+D171</f>
        <v>34429.201999999997</v>
      </c>
      <c r="E176" s="495"/>
      <c r="F176" s="495">
        <f t="shared" ref="F176:K176" si="8">+F171</f>
        <v>67713.599999999991</v>
      </c>
      <c r="G176" s="495">
        <f t="shared" si="8"/>
        <v>8226.2800000000007</v>
      </c>
      <c r="H176" s="495">
        <f t="shared" si="8"/>
        <v>16949.03</v>
      </c>
      <c r="I176" s="495">
        <f t="shared" si="8"/>
        <v>1069.2500000000002</v>
      </c>
      <c r="J176" s="495">
        <f t="shared" si="8"/>
        <v>37.97</v>
      </c>
      <c r="K176" s="495">
        <f t="shared" si="8"/>
        <v>93996.12999999999</v>
      </c>
      <c r="L176" s="490"/>
      <c r="M176" s="489"/>
    </row>
    <row r="177" spans="1:13">
      <c r="A177" s="490"/>
      <c r="B177" s="490">
        <f>SUM(B175:B176)</f>
        <v>331186.2</v>
      </c>
      <c r="C177" s="490"/>
      <c r="D177" s="490">
        <f t="shared" ref="D177:K177" si="9">SUM(D175:D176)</f>
        <v>144420.55399999997</v>
      </c>
      <c r="E177" s="490">
        <f t="shared" si="9"/>
        <v>0</v>
      </c>
      <c r="F177" s="490">
        <f t="shared" si="9"/>
        <v>220860.85000000003</v>
      </c>
      <c r="G177" s="490">
        <f t="shared" si="9"/>
        <v>34581.550000000017</v>
      </c>
      <c r="H177" s="490">
        <f t="shared" si="9"/>
        <v>71221.930000000008</v>
      </c>
      <c r="I177" s="490">
        <f t="shared" si="9"/>
        <v>4443.1600000000008</v>
      </c>
      <c r="J177" s="490">
        <f t="shared" si="9"/>
        <v>78.710000000000008</v>
      </c>
      <c r="K177" s="490">
        <f t="shared" si="9"/>
        <v>331186.2</v>
      </c>
      <c r="L177" s="490"/>
      <c r="M177" s="489"/>
    </row>
    <row r="178" spans="1:13">
      <c r="A178" s="490"/>
      <c r="B178" s="490"/>
      <c r="C178" s="490"/>
      <c r="D178" s="490"/>
      <c r="E178" s="490"/>
      <c r="F178" s="490"/>
      <c r="G178" s="490"/>
      <c r="H178" s="490"/>
      <c r="I178" s="490"/>
      <c r="J178" s="490"/>
      <c r="K178" s="490"/>
      <c r="L178" s="490"/>
      <c r="M178" s="489"/>
    </row>
    <row r="179" spans="1:13">
      <c r="A179" s="490"/>
      <c r="B179" s="490"/>
      <c r="C179" s="490"/>
      <c r="D179" s="490"/>
      <c r="E179" s="490"/>
      <c r="F179" s="490"/>
      <c r="G179" s="490"/>
      <c r="H179" s="490"/>
      <c r="I179" s="490"/>
      <c r="J179" s="490"/>
      <c r="K179" s="490"/>
      <c r="L179" s="490"/>
      <c r="M179" s="489"/>
    </row>
    <row r="180" spans="1:13">
      <c r="A180" s="490"/>
      <c r="B180" s="490"/>
      <c r="C180" s="490"/>
      <c r="D180" s="490"/>
      <c r="E180" s="490"/>
      <c r="F180" s="490"/>
      <c r="G180" s="490"/>
      <c r="H180" s="490"/>
      <c r="I180" s="490"/>
      <c r="J180" s="490"/>
      <c r="K180" s="490"/>
      <c r="L180" s="490"/>
      <c r="M180" s="489"/>
    </row>
    <row r="181" spans="1:13">
      <c r="A181" s="490"/>
      <c r="B181" s="490"/>
      <c r="C181" s="490"/>
      <c r="D181" s="490"/>
      <c r="E181" s="490"/>
      <c r="F181" s="490"/>
      <c r="G181" s="490"/>
      <c r="H181" s="490"/>
      <c r="I181" s="490"/>
      <c r="J181" s="490"/>
      <c r="K181" s="490"/>
      <c r="L181" s="490"/>
      <c r="M181" s="489"/>
    </row>
    <row r="182" spans="1:13">
      <c r="A182" s="490"/>
      <c r="B182" s="490"/>
      <c r="C182" s="490"/>
      <c r="D182" s="490"/>
      <c r="E182" s="490"/>
      <c r="F182" s="490"/>
      <c r="G182" s="490"/>
      <c r="H182" s="490"/>
      <c r="I182" s="490"/>
      <c r="J182" s="490"/>
      <c r="K182" s="490"/>
      <c r="L182" s="490"/>
      <c r="M182" s="489"/>
    </row>
    <row r="183" spans="1:13">
      <c r="B183" s="490"/>
      <c r="C183" s="496" t="s">
        <v>1524</v>
      </c>
      <c r="D183" s="497">
        <v>136540.51</v>
      </c>
      <c r="E183" s="490">
        <f>+K183/D183</f>
        <v>2.2784972752774979</v>
      </c>
      <c r="F183" s="497">
        <v>206269.91</v>
      </c>
      <c r="G183" s="497">
        <v>32178.97</v>
      </c>
      <c r="H183" s="497">
        <v>67451.149999999994</v>
      </c>
      <c r="I183" s="497">
        <v>4206.92</v>
      </c>
      <c r="J183" s="490"/>
      <c r="K183" s="490">
        <v>311107.18</v>
      </c>
      <c r="L183" s="490"/>
      <c r="M183" s="489"/>
    </row>
    <row r="184" spans="1:13">
      <c r="B184" s="490"/>
      <c r="C184" s="496" t="s">
        <v>1523</v>
      </c>
      <c r="D184" s="490">
        <v>247.25</v>
      </c>
      <c r="E184" s="490">
        <f>+K184/D184</f>
        <v>3.5681294236602632</v>
      </c>
      <c r="F184" s="490">
        <f>387.83+415.68</f>
        <v>803.51</v>
      </c>
      <c r="G184" s="490"/>
      <c r="H184" s="490"/>
      <c r="I184" s="490"/>
      <c r="J184" s="490">
        <v>78.709999999999994</v>
      </c>
      <c r="K184" s="490">
        <f>SUM(F184:J184)</f>
        <v>882.22</v>
      </c>
      <c r="L184" s="490"/>
      <c r="M184" s="489"/>
    </row>
    <row r="185" spans="1:13">
      <c r="B185" s="490"/>
      <c r="C185" s="496" t="s">
        <v>1522</v>
      </c>
      <c r="D185" s="495">
        <v>7632.79</v>
      </c>
      <c r="E185" s="495">
        <f>+K185/D185</f>
        <v>2.51504364721157</v>
      </c>
      <c r="F185" s="495">
        <f>9830.63+3957.1</f>
        <v>13787.73</v>
      </c>
      <c r="G185" s="495">
        <f>1056.37+345.68</f>
        <v>1402.05</v>
      </c>
      <c r="H185" s="495">
        <v>3770.78</v>
      </c>
      <c r="I185" s="495">
        <f>177.63+58.61</f>
        <v>236.24</v>
      </c>
      <c r="J185" s="495"/>
      <c r="K185" s="495">
        <f>SUM(F185:J185)</f>
        <v>19196.8</v>
      </c>
      <c r="L185" s="490"/>
      <c r="M185" s="489"/>
    </row>
    <row r="186" spans="1:13">
      <c r="A186" s="494"/>
      <c r="B186" s="490"/>
      <c r="C186" s="490"/>
      <c r="D186" s="490">
        <f>SUM(D183:D185)</f>
        <v>144420.55000000002</v>
      </c>
      <c r="E186" s="490"/>
      <c r="F186" s="490">
        <f t="shared" ref="F186:K186" si="10">SUM(F183:F185)</f>
        <v>220861.15000000002</v>
      </c>
      <c r="G186" s="490">
        <f t="shared" si="10"/>
        <v>33581.020000000004</v>
      </c>
      <c r="H186" s="490">
        <f t="shared" si="10"/>
        <v>71221.929999999993</v>
      </c>
      <c r="I186" s="490">
        <f t="shared" si="10"/>
        <v>4443.16</v>
      </c>
      <c r="J186" s="490">
        <f t="shared" si="10"/>
        <v>78.709999999999994</v>
      </c>
      <c r="K186" s="490">
        <f t="shared" si="10"/>
        <v>331186.19999999995</v>
      </c>
      <c r="L186" s="490"/>
      <c r="M186" s="489"/>
    </row>
    <row r="187" spans="1:13">
      <c r="A187" s="494">
        <v>44286</v>
      </c>
      <c r="B187" s="491" t="s">
        <v>1521</v>
      </c>
      <c r="D187" s="491"/>
      <c r="E187" s="491"/>
      <c r="F187" s="491"/>
      <c r="G187" s="491"/>
      <c r="H187" s="491"/>
      <c r="I187" s="491"/>
      <c r="J187" s="491"/>
      <c r="K187" s="491">
        <v>2628.27</v>
      </c>
      <c r="L187" s="490"/>
      <c r="M187" s="489"/>
    </row>
    <row r="188" spans="1:13">
      <c r="A188" s="494">
        <v>44104</v>
      </c>
      <c r="B188" s="490" t="s">
        <v>1520</v>
      </c>
      <c r="C188" s="490"/>
      <c r="D188" s="490"/>
      <c r="E188" s="490"/>
      <c r="F188" s="490"/>
      <c r="G188" s="490"/>
      <c r="H188" s="490"/>
      <c r="I188" s="490"/>
      <c r="J188" s="490"/>
      <c r="K188" s="490">
        <v>3847.67</v>
      </c>
      <c r="L188" s="490"/>
      <c r="M188" s="489"/>
    </row>
    <row r="189" spans="1:13">
      <c r="A189" s="494"/>
      <c r="B189" s="490"/>
      <c r="C189" s="490"/>
      <c r="D189" s="490"/>
      <c r="E189" s="490"/>
      <c r="F189" s="490"/>
      <c r="G189" s="490"/>
      <c r="H189" s="490"/>
      <c r="I189" s="490"/>
      <c r="J189" s="490"/>
      <c r="K189" s="495"/>
      <c r="L189" s="490"/>
      <c r="M189" s="489"/>
    </row>
    <row r="190" spans="1:13">
      <c r="A190" s="494"/>
      <c r="B190" s="490"/>
      <c r="C190" s="490"/>
      <c r="D190" s="490"/>
      <c r="E190" s="490"/>
      <c r="F190" s="490"/>
      <c r="G190" s="490"/>
      <c r="H190" s="490"/>
      <c r="I190" s="490"/>
      <c r="J190" s="490"/>
      <c r="K190" s="490">
        <f>SUM(K186:K189)</f>
        <v>337662.13999999996</v>
      </c>
      <c r="L190" s="490"/>
      <c r="M190" s="489"/>
    </row>
    <row r="191" spans="1:13">
      <c r="A191" s="490"/>
      <c r="B191" s="490"/>
      <c r="C191" s="490"/>
      <c r="D191" s="490"/>
      <c r="E191" s="490"/>
      <c r="F191" s="490"/>
      <c r="G191" s="490"/>
      <c r="H191" s="490"/>
      <c r="I191" s="490"/>
      <c r="J191" s="490"/>
      <c r="K191" s="490"/>
      <c r="L191" s="490"/>
      <c r="M191" s="489"/>
    </row>
    <row r="192" spans="1:13">
      <c r="A192" s="493" t="s">
        <v>1519</v>
      </c>
      <c r="B192" s="492"/>
      <c r="C192" s="492"/>
      <c r="D192" s="492"/>
      <c r="E192" s="492">
        <f>E123*$E$223</f>
        <v>0</v>
      </c>
      <c r="F192" s="492"/>
      <c r="G192" s="492"/>
      <c r="H192" s="492"/>
      <c r="I192" s="492"/>
      <c r="J192" s="492"/>
      <c r="K192" s="492">
        <f>M121</f>
        <v>325578.12</v>
      </c>
      <c r="L192" s="490"/>
      <c r="M192" s="489"/>
    </row>
    <row r="193" spans="1:13">
      <c r="A193" s="493" t="s">
        <v>1496</v>
      </c>
      <c r="B193" s="492"/>
      <c r="C193" s="492"/>
      <c r="D193" s="492"/>
      <c r="E193" s="492"/>
      <c r="F193" s="491"/>
      <c r="G193" s="491"/>
      <c r="H193" s="491"/>
      <c r="I193" s="491"/>
      <c r="J193" s="491"/>
      <c r="K193" s="533">
        <f>-K192+K190</f>
        <v>12084.01999999996</v>
      </c>
      <c r="L193" s="490"/>
      <c r="M193" s="489"/>
    </row>
    <row r="194" spans="1:13">
      <c r="A194" s="490"/>
      <c r="B194" s="490"/>
      <c r="C194" s="490"/>
      <c r="D194" s="490"/>
      <c r="E194" s="490"/>
      <c r="F194" s="490"/>
      <c r="G194" s="490"/>
      <c r="H194" s="490"/>
      <c r="I194" s="490"/>
      <c r="J194" s="490"/>
      <c r="K194" s="490">
        <f>SUM(K192:K193)</f>
        <v>337662.13999999996</v>
      </c>
      <c r="L194" s="490"/>
      <c r="M194" s="489"/>
    </row>
    <row r="195" spans="1:13">
      <c r="A195" s="490"/>
      <c r="B195" s="490"/>
      <c r="D195" s="490"/>
      <c r="E195" s="490"/>
      <c r="F195" s="490"/>
      <c r="G195" s="490"/>
      <c r="H195" s="490"/>
      <c r="I195" s="490"/>
      <c r="J195" s="490"/>
      <c r="K195" s="490"/>
      <c r="L195" s="490"/>
      <c r="M195" s="489"/>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2279-A394-4398-9DE3-CD0FBAB39732}">
  <sheetPr codeName="Sheet30"/>
  <dimension ref="A1:AS119"/>
  <sheetViews>
    <sheetView topLeftCell="A26" workbookViewId="0">
      <selection activeCell="S43" sqref="S43"/>
    </sheetView>
  </sheetViews>
  <sheetFormatPr defaultRowHeight="15"/>
  <cols>
    <col min="1" max="1" width="2.33203125" customWidth="1"/>
    <col min="2" max="2" width="4.88671875" customWidth="1"/>
    <col min="3" max="4" width="1.77734375" customWidth="1"/>
    <col min="5" max="5" width="11.109375" bestFit="1" customWidth="1"/>
    <col min="6" max="6" width="1.77734375" customWidth="1"/>
    <col min="7" max="7" width="8.109375" bestFit="1" customWidth="1"/>
    <col min="8" max="8" width="1.77734375" customWidth="1"/>
    <col min="9" max="9" width="9.77734375" bestFit="1" customWidth="1"/>
    <col min="10" max="10" width="1.77734375" customWidth="1"/>
    <col min="11" max="11" width="20" bestFit="1" customWidth="1"/>
    <col min="12" max="12" width="1.77734375" customWidth="1"/>
    <col min="13" max="13" width="24.21875" customWidth="1"/>
    <col min="14" max="14" width="1.77734375" customWidth="1"/>
    <col min="15" max="15" width="18.109375" customWidth="1"/>
    <col min="16" max="16" width="1.77734375" customWidth="1"/>
    <col min="17" max="17" width="10.88671875" bestFit="1" customWidth="1"/>
    <col min="18" max="18" width="1.77734375" customWidth="1"/>
    <col min="19" max="19" width="18.33203125" bestFit="1" customWidth="1"/>
    <col min="20" max="20" width="1.77734375" customWidth="1"/>
    <col min="21" max="21" width="7.6640625" bestFit="1" customWidth="1"/>
    <col min="22" max="22" width="1.77734375" customWidth="1"/>
    <col min="23" max="23" width="8.21875" bestFit="1" customWidth="1"/>
    <col min="24" max="24" width="1.77734375" customWidth="1"/>
    <col min="25" max="25" width="9.109375" bestFit="1" customWidth="1"/>
  </cols>
  <sheetData>
    <row r="1" spans="1:45" ht="15.75" thickBot="1">
      <c r="A1" s="193"/>
      <c r="B1" s="193"/>
      <c r="C1" s="193"/>
      <c r="D1" s="193"/>
      <c r="E1" s="194" t="s">
        <v>45</v>
      </c>
      <c r="F1" s="193"/>
      <c r="G1" s="194" t="s">
        <v>762</v>
      </c>
      <c r="H1" s="193"/>
      <c r="I1" s="194" t="s">
        <v>763</v>
      </c>
      <c r="J1" s="193"/>
      <c r="K1" s="194" t="s">
        <v>764</v>
      </c>
      <c r="L1" s="193"/>
      <c r="M1" s="194" t="s">
        <v>765</v>
      </c>
      <c r="N1" s="193"/>
      <c r="O1" s="194" t="s">
        <v>766</v>
      </c>
      <c r="P1" s="193"/>
      <c r="Q1" s="194" t="s">
        <v>767</v>
      </c>
      <c r="R1" s="193"/>
      <c r="S1" s="194" t="s">
        <v>768</v>
      </c>
      <c r="T1" s="193"/>
      <c r="U1" s="194" t="s">
        <v>769</v>
      </c>
      <c r="V1" s="193"/>
      <c r="W1" s="194" t="s">
        <v>770</v>
      </c>
      <c r="X1" s="193"/>
      <c r="Y1" s="194" t="s">
        <v>771</v>
      </c>
      <c r="Z1" s="66"/>
      <c r="AA1" s="66"/>
      <c r="AB1" s="66"/>
      <c r="AC1" s="66"/>
      <c r="AD1" s="66"/>
      <c r="AE1" s="66"/>
      <c r="AF1" s="66"/>
      <c r="AG1" s="66"/>
      <c r="AH1" s="66"/>
      <c r="AI1" s="66"/>
      <c r="AJ1" s="66"/>
      <c r="AK1" s="66"/>
      <c r="AL1" s="66"/>
      <c r="AM1" s="66"/>
      <c r="AN1" s="66"/>
      <c r="AO1" s="66"/>
      <c r="AP1" s="66"/>
      <c r="AQ1" s="66"/>
      <c r="AR1" s="66"/>
      <c r="AS1" s="66"/>
    </row>
    <row r="2" spans="1:45" ht="15.75" thickTop="1">
      <c r="A2" s="195"/>
      <c r="B2" s="195" t="s">
        <v>426</v>
      </c>
      <c r="C2" s="195"/>
      <c r="D2" s="195"/>
      <c r="E2" s="195"/>
      <c r="F2" s="195"/>
      <c r="G2" s="196"/>
      <c r="H2" s="195"/>
      <c r="I2" s="195"/>
      <c r="J2" s="195"/>
      <c r="K2" s="195"/>
      <c r="L2" s="195"/>
      <c r="M2" s="195"/>
      <c r="N2" s="195"/>
      <c r="O2" s="195"/>
      <c r="P2" s="195"/>
      <c r="Q2" s="195"/>
      <c r="R2" s="195"/>
      <c r="S2" s="195"/>
      <c r="T2" s="195"/>
      <c r="U2" s="197"/>
      <c r="V2" s="195"/>
      <c r="W2" s="197"/>
      <c r="X2" s="195"/>
      <c r="Y2" s="197"/>
      <c r="Z2" s="66"/>
      <c r="AA2" s="66"/>
      <c r="AB2" s="66"/>
      <c r="AC2" s="66"/>
      <c r="AD2" s="66"/>
      <c r="AE2" s="66"/>
      <c r="AF2" s="66"/>
      <c r="AG2" s="66"/>
      <c r="AH2" s="66"/>
      <c r="AI2" s="66"/>
      <c r="AJ2" s="66"/>
      <c r="AK2" s="66"/>
      <c r="AL2" s="66"/>
      <c r="AM2" s="66"/>
      <c r="AN2" s="66"/>
      <c r="AO2" s="66"/>
      <c r="AP2" s="66"/>
      <c r="AQ2" s="66"/>
      <c r="AR2" s="66"/>
      <c r="AS2" s="66"/>
    </row>
    <row r="3" spans="1:45">
      <c r="A3" s="198"/>
      <c r="B3" s="198"/>
      <c r="C3" s="198"/>
      <c r="D3" s="198"/>
      <c r="E3" s="198" t="s">
        <v>874</v>
      </c>
      <c r="F3" s="198"/>
      <c r="G3" s="199">
        <v>43951</v>
      </c>
      <c r="H3" s="198"/>
      <c r="I3" s="198" t="s">
        <v>670</v>
      </c>
      <c r="J3" s="198"/>
      <c r="K3" s="198"/>
      <c r="L3" s="198"/>
      <c r="M3" s="198" t="s">
        <v>875</v>
      </c>
      <c r="N3" s="198"/>
      <c r="O3" s="198" t="s">
        <v>519</v>
      </c>
      <c r="P3" s="198"/>
      <c r="Q3" s="200"/>
      <c r="R3" s="198"/>
      <c r="S3" s="198" t="s">
        <v>876</v>
      </c>
      <c r="T3" s="198"/>
      <c r="U3" s="201">
        <v>6823.74</v>
      </c>
      <c r="V3" s="198"/>
      <c r="W3" s="201"/>
      <c r="X3" s="198"/>
      <c r="Y3" s="201">
        <v>6823.74</v>
      </c>
      <c r="Z3" s="66"/>
      <c r="AA3" s="66"/>
      <c r="AB3" s="66"/>
      <c r="AC3" s="66"/>
      <c r="AD3" s="66"/>
      <c r="AE3" s="66"/>
      <c r="AF3" s="66"/>
      <c r="AG3" s="66"/>
      <c r="AH3" s="66"/>
      <c r="AI3" s="66"/>
      <c r="AJ3" s="66"/>
      <c r="AK3" s="66"/>
      <c r="AL3" s="66"/>
      <c r="AM3" s="66"/>
      <c r="AN3" s="66"/>
      <c r="AO3" s="66"/>
      <c r="AP3" s="66"/>
      <c r="AQ3" s="66"/>
      <c r="AR3" s="66"/>
      <c r="AS3" s="66"/>
    </row>
    <row r="4" spans="1:45">
      <c r="A4" s="198"/>
      <c r="B4" s="198"/>
      <c r="C4" s="198"/>
      <c r="D4" s="198"/>
      <c r="E4" s="198" t="s">
        <v>874</v>
      </c>
      <c r="F4" s="198"/>
      <c r="G4" s="199">
        <v>43951</v>
      </c>
      <c r="H4" s="198"/>
      <c r="I4" s="198" t="s">
        <v>670</v>
      </c>
      <c r="J4" s="198"/>
      <c r="K4" s="198"/>
      <c r="L4" s="198"/>
      <c r="M4" s="198" t="s">
        <v>875</v>
      </c>
      <c r="N4" s="198"/>
      <c r="O4" s="198" t="s">
        <v>519</v>
      </c>
      <c r="P4" s="198"/>
      <c r="Q4" s="200"/>
      <c r="R4" s="198"/>
      <c r="S4" s="198" t="s">
        <v>426</v>
      </c>
      <c r="T4" s="198"/>
      <c r="U4" s="201">
        <v>930.51</v>
      </c>
      <c r="V4" s="198"/>
      <c r="W4" s="201"/>
      <c r="X4" s="198"/>
      <c r="Y4" s="201">
        <v>7754.25</v>
      </c>
      <c r="Z4" s="66"/>
      <c r="AA4" s="66"/>
      <c r="AB4" s="66"/>
      <c r="AC4" s="66"/>
      <c r="AD4" s="66"/>
      <c r="AE4" s="66"/>
      <c r="AF4" s="66"/>
      <c r="AG4" s="66"/>
      <c r="AH4" s="66"/>
      <c r="AI4" s="66"/>
      <c r="AJ4" s="66"/>
      <c r="AK4" s="66"/>
      <c r="AL4" s="66"/>
      <c r="AM4" s="66"/>
      <c r="AN4" s="66"/>
      <c r="AO4" s="66"/>
      <c r="AP4" s="66"/>
      <c r="AQ4" s="66"/>
      <c r="AR4" s="66"/>
      <c r="AS4" s="66"/>
    </row>
    <row r="5" spans="1:45">
      <c r="A5" s="198"/>
      <c r="B5" s="198"/>
      <c r="C5" s="198"/>
      <c r="D5" s="198"/>
      <c r="E5" s="198" t="s">
        <v>874</v>
      </c>
      <c r="F5" s="198"/>
      <c r="G5" s="199">
        <v>43982</v>
      </c>
      <c r="H5" s="198"/>
      <c r="I5" s="198" t="s">
        <v>670</v>
      </c>
      <c r="J5" s="198"/>
      <c r="K5" s="198"/>
      <c r="L5" s="198"/>
      <c r="M5" s="198" t="s">
        <v>877</v>
      </c>
      <c r="N5" s="198"/>
      <c r="O5" s="198" t="s">
        <v>519</v>
      </c>
      <c r="P5" s="198"/>
      <c r="Q5" s="200"/>
      <c r="R5" s="198"/>
      <c r="S5" s="198" t="s">
        <v>876</v>
      </c>
      <c r="T5" s="198"/>
      <c r="U5" s="201">
        <v>6823.74</v>
      </c>
      <c r="V5" s="198"/>
      <c r="W5" s="201"/>
      <c r="X5" s="198"/>
      <c r="Y5" s="201">
        <v>14577.99</v>
      </c>
      <c r="Z5" s="66"/>
      <c r="AA5" s="66"/>
      <c r="AB5" s="66"/>
      <c r="AC5" s="66"/>
      <c r="AD5" s="66"/>
      <c r="AE5" s="66"/>
      <c r="AF5" s="66"/>
      <c r="AG5" s="66"/>
      <c r="AH5" s="66"/>
      <c r="AI5" s="66"/>
      <c r="AJ5" s="66"/>
      <c r="AK5" s="66"/>
      <c r="AL5" s="66"/>
      <c r="AM5" s="66"/>
      <c r="AN5" s="66"/>
      <c r="AO5" s="66"/>
      <c r="AP5" s="66"/>
      <c r="AQ5" s="66"/>
      <c r="AR5" s="66"/>
      <c r="AS5" s="66"/>
    </row>
    <row r="6" spans="1:45">
      <c r="A6" s="198"/>
      <c r="B6" s="198"/>
      <c r="C6" s="198"/>
      <c r="D6" s="198"/>
      <c r="E6" s="198" t="s">
        <v>874</v>
      </c>
      <c r="F6" s="198"/>
      <c r="G6" s="199">
        <v>43982</v>
      </c>
      <c r="H6" s="198"/>
      <c r="I6" s="198" t="s">
        <v>670</v>
      </c>
      <c r="J6" s="198"/>
      <c r="K6" s="198"/>
      <c r="L6" s="198"/>
      <c r="M6" s="198" t="s">
        <v>877</v>
      </c>
      <c r="N6" s="198"/>
      <c r="O6" s="198" t="s">
        <v>519</v>
      </c>
      <c r="P6" s="198"/>
      <c r="Q6" s="200"/>
      <c r="R6" s="198"/>
      <c r="S6" s="198" t="s">
        <v>426</v>
      </c>
      <c r="T6" s="198"/>
      <c r="U6" s="201">
        <v>930.51</v>
      </c>
      <c r="V6" s="198"/>
      <c r="W6" s="201"/>
      <c r="X6" s="198"/>
      <c r="Y6" s="201">
        <v>15508.5</v>
      </c>
      <c r="Z6" s="66"/>
      <c r="AA6" s="66"/>
      <c r="AB6" s="66"/>
      <c r="AC6" s="66"/>
      <c r="AD6" s="66"/>
      <c r="AE6" s="66"/>
      <c r="AF6" s="66"/>
      <c r="AG6" s="66"/>
      <c r="AH6" s="66"/>
      <c r="AI6" s="66"/>
      <c r="AJ6" s="66"/>
      <c r="AK6" s="66"/>
      <c r="AL6" s="66"/>
      <c r="AM6" s="66"/>
      <c r="AN6" s="66"/>
      <c r="AO6" s="66"/>
      <c r="AP6" s="66"/>
      <c r="AQ6" s="66"/>
      <c r="AR6" s="66"/>
      <c r="AS6" s="66"/>
    </row>
    <row r="7" spans="1:45">
      <c r="A7" s="198"/>
      <c r="B7" s="198"/>
      <c r="C7" s="198"/>
      <c r="D7" s="198"/>
      <c r="E7" s="198" t="s">
        <v>874</v>
      </c>
      <c r="F7" s="198"/>
      <c r="G7" s="199">
        <v>44012</v>
      </c>
      <c r="H7" s="198"/>
      <c r="I7" s="198" t="s">
        <v>670</v>
      </c>
      <c r="J7" s="198"/>
      <c r="K7" s="198"/>
      <c r="L7" s="198"/>
      <c r="M7" s="198" t="s">
        <v>878</v>
      </c>
      <c r="N7" s="198"/>
      <c r="O7" s="198" t="s">
        <v>519</v>
      </c>
      <c r="P7" s="198"/>
      <c r="Q7" s="200"/>
      <c r="R7" s="198"/>
      <c r="S7" s="198" t="s">
        <v>876</v>
      </c>
      <c r="T7" s="198"/>
      <c r="U7" s="201">
        <v>6823.74</v>
      </c>
      <c r="V7" s="198"/>
      <c r="W7" s="201"/>
      <c r="X7" s="198"/>
      <c r="Y7" s="201">
        <v>22332.240000000002</v>
      </c>
      <c r="Z7" s="66"/>
      <c r="AA7" s="66"/>
      <c r="AB7" s="66"/>
      <c r="AC7" s="66"/>
      <c r="AD7" s="66"/>
      <c r="AE7" s="66"/>
      <c r="AF7" s="66"/>
      <c r="AG7" s="66"/>
      <c r="AH7" s="66"/>
      <c r="AI7" s="66"/>
      <c r="AJ7" s="66"/>
      <c r="AK7" s="66"/>
      <c r="AL7" s="66"/>
      <c r="AM7" s="66"/>
      <c r="AN7" s="66"/>
      <c r="AO7" s="66"/>
      <c r="AP7" s="66"/>
      <c r="AQ7" s="66"/>
      <c r="AR7" s="66"/>
      <c r="AS7" s="66"/>
    </row>
    <row r="8" spans="1:45">
      <c r="A8" s="198"/>
      <c r="B8" s="198"/>
      <c r="C8" s="198"/>
      <c r="D8" s="198"/>
      <c r="E8" s="198" t="s">
        <v>874</v>
      </c>
      <c r="F8" s="198"/>
      <c r="G8" s="199">
        <v>44012</v>
      </c>
      <c r="H8" s="198"/>
      <c r="I8" s="198" t="s">
        <v>670</v>
      </c>
      <c r="J8" s="198"/>
      <c r="K8" s="198"/>
      <c r="L8" s="198"/>
      <c r="M8" s="198" t="s">
        <v>878</v>
      </c>
      <c r="N8" s="198"/>
      <c r="O8" s="198" t="s">
        <v>519</v>
      </c>
      <c r="P8" s="198"/>
      <c r="Q8" s="200"/>
      <c r="R8" s="198"/>
      <c r="S8" s="198" t="s">
        <v>426</v>
      </c>
      <c r="T8" s="198"/>
      <c r="U8" s="201">
        <v>930.51</v>
      </c>
      <c r="V8" s="198"/>
      <c r="W8" s="201"/>
      <c r="X8" s="198"/>
      <c r="Y8" s="201">
        <v>23262.75</v>
      </c>
      <c r="Z8" s="66"/>
      <c r="AA8" s="66"/>
      <c r="AB8" s="66"/>
      <c r="AC8" s="66"/>
      <c r="AD8" s="66"/>
      <c r="AE8" s="66"/>
      <c r="AF8" s="66"/>
      <c r="AG8" s="66"/>
      <c r="AH8" s="66"/>
      <c r="AI8" s="66"/>
      <c r="AJ8" s="66"/>
      <c r="AK8" s="66"/>
      <c r="AL8" s="66"/>
      <c r="AM8" s="66"/>
      <c r="AN8" s="66"/>
      <c r="AO8" s="66"/>
      <c r="AP8" s="66"/>
      <c r="AQ8" s="66"/>
      <c r="AR8" s="66"/>
      <c r="AS8" s="66"/>
    </row>
    <row r="9" spans="1:45">
      <c r="A9" s="198"/>
      <c r="B9" s="198"/>
      <c r="C9" s="198"/>
      <c r="D9" s="198"/>
      <c r="E9" s="198" t="s">
        <v>772</v>
      </c>
      <c r="F9" s="198"/>
      <c r="G9" s="199">
        <v>44035</v>
      </c>
      <c r="H9" s="198"/>
      <c r="I9" s="198" t="s">
        <v>879</v>
      </c>
      <c r="J9" s="198"/>
      <c r="K9" s="198" t="s">
        <v>880</v>
      </c>
      <c r="L9" s="198"/>
      <c r="M9" s="198" t="s">
        <v>881</v>
      </c>
      <c r="N9" s="198"/>
      <c r="O9" s="198" t="s">
        <v>519</v>
      </c>
      <c r="P9" s="198"/>
      <c r="Q9" s="200"/>
      <c r="R9" s="198"/>
      <c r="S9" s="198" t="s">
        <v>775</v>
      </c>
      <c r="T9" s="198"/>
      <c r="U9" s="201">
        <v>2720</v>
      </c>
      <c r="V9" s="198"/>
      <c r="W9" s="201"/>
      <c r="X9" s="198"/>
      <c r="Y9" s="201">
        <v>25982.75</v>
      </c>
      <c r="Z9" s="66"/>
      <c r="AA9" s="66"/>
      <c r="AB9" s="66"/>
      <c r="AC9" s="66"/>
      <c r="AD9" s="66"/>
      <c r="AE9" s="66"/>
      <c r="AF9" s="66"/>
      <c r="AG9" s="66"/>
      <c r="AH9" s="66"/>
      <c r="AI9" s="66"/>
      <c r="AJ9" s="66"/>
      <c r="AK9" s="66"/>
      <c r="AL9" s="66"/>
      <c r="AM9" s="66"/>
      <c r="AN9" s="66"/>
      <c r="AO9" s="66"/>
      <c r="AP9" s="66"/>
      <c r="AQ9" s="66"/>
      <c r="AR9" s="66"/>
      <c r="AS9" s="66"/>
    </row>
    <row r="10" spans="1:45">
      <c r="A10" s="198"/>
      <c r="B10" s="198"/>
      <c r="C10" s="198"/>
      <c r="D10" s="198"/>
      <c r="E10" s="198" t="s">
        <v>874</v>
      </c>
      <c r="F10" s="198"/>
      <c r="G10" s="199">
        <v>44043</v>
      </c>
      <c r="H10" s="198"/>
      <c r="I10" s="198" t="s">
        <v>670</v>
      </c>
      <c r="J10" s="198"/>
      <c r="K10" s="198"/>
      <c r="L10" s="198"/>
      <c r="M10" s="198" t="s">
        <v>882</v>
      </c>
      <c r="N10" s="198"/>
      <c r="O10" s="198" t="s">
        <v>519</v>
      </c>
      <c r="P10" s="198"/>
      <c r="Q10" s="200"/>
      <c r="R10" s="198"/>
      <c r="S10" s="198" t="s">
        <v>876</v>
      </c>
      <c r="T10" s="198"/>
      <c r="U10" s="201">
        <v>6823.74</v>
      </c>
      <c r="V10" s="198"/>
      <c r="W10" s="201"/>
      <c r="X10" s="198"/>
      <c r="Y10" s="201">
        <v>32806.49</v>
      </c>
      <c r="Z10" s="66"/>
      <c r="AA10" s="66"/>
      <c r="AB10" s="66"/>
      <c r="AC10" s="66"/>
      <c r="AD10" s="66"/>
      <c r="AE10" s="66"/>
      <c r="AF10" s="66"/>
      <c r="AG10" s="66"/>
      <c r="AH10" s="66"/>
      <c r="AI10" s="66"/>
      <c r="AJ10" s="66"/>
      <c r="AK10" s="66"/>
      <c r="AL10" s="66"/>
      <c r="AM10" s="66"/>
      <c r="AN10" s="66"/>
      <c r="AO10" s="66"/>
      <c r="AP10" s="66"/>
      <c r="AQ10" s="66"/>
      <c r="AR10" s="66"/>
      <c r="AS10" s="66"/>
    </row>
    <row r="11" spans="1:45">
      <c r="A11" s="198"/>
      <c r="B11" s="198"/>
      <c r="C11" s="198"/>
      <c r="D11" s="198"/>
      <c r="E11" s="198" t="s">
        <v>874</v>
      </c>
      <c r="F11" s="198"/>
      <c r="G11" s="199">
        <v>44043</v>
      </c>
      <c r="H11" s="198"/>
      <c r="I11" s="198" t="s">
        <v>670</v>
      </c>
      <c r="J11" s="198"/>
      <c r="K11" s="198"/>
      <c r="L11" s="198"/>
      <c r="M11" s="198" t="s">
        <v>882</v>
      </c>
      <c r="N11" s="198"/>
      <c r="O11" s="198" t="s">
        <v>519</v>
      </c>
      <c r="P11" s="198"/>
      <c r="Q11" s="200"/>
      <c r="R11" s="198"/>
      <c r="S11" s="198" t="s">
        <v>426</v>
      </c>
      <c r="T11" s="198"/>
      <c r="U11" s="201">
        <v>930.51</v>
      </c>
      <c r="V11" s="198"/>
      <c r="W11" s="201"/>
      <c r="X11" s="198"/>
      <c r="Y11" s="201">
        <v>33737</v>
      </c>
      <c r="Z11" s="66"/>
      <c r="AA11" s="66"/>
      <c r="AB11" s="66"/>
      <c r="AC11" s="66"/>
      <c r="AD11" s="66"/>
      <c r="AE11" s="66"/>
      <c r="AF11" s="66"/>
      <c r="AG11" s="66"/>
      <c r="AH11" s="66"/>
      <c r="AI11" s="66"/>
      <c r="AJ11" s="66"/>
      <c r="AK11" s="66"/>
      <c r="AL11" s="66"/>
      <c r="AM11" s="66"/>
      <c r="AN11" s="66"/>
      <c r="AO11" s="66"/>
      <c r="AP11" s="66"/>
      <c r="AQ11" s="66"/>
      <c r="AR11" s="66"/>
      <c r="AS11" s="66"/>
    </row>
    <row r="12" spans="1:45">
      <c r="A12" s="198"/>
      <c r="B12" s="198"/>
      <c r="C12" s="198"/>
      <c r="D12" s="198"/>
      <c r="E12" s="198" t="s">
        <v>772</v>
      </c>
      <c r="F12" s="198"/>
      <c r="G12" s="199">
        <v>44068</v>
      </c>
      <c r="H12" s="198"/>
      <c r="I12" s="198" t="s">
        <v>883</v>
      </c>
      <c r="J12" s="198"/>
      <c r="K12" s="198" t="s">
        <v>884</v>
      </c>
      <c r="L12" s="198"/>
      <c r="M12" s="198" t="s">
        <v>885</v>
      </c>
      <c r="N12" s="198"/>
      <c r="O12" s="198" t="s">
        <v>519</v>
      </c>
      <c r="P12" s="198"/>
      <c r="Q12" s="200"/>
      <c r="R12" s="198"/>
      <c r="S12" s="198" t="s">
        <v>775</v>
      </c>
      <c r="T12" s="198"/>
      <c r="U12" s="201">
        <v>55</v>
      </c>
      <c r="V12" s="198"/>
      <c r="W12" s="201"/>
      <c r="X12" s="198"/>
      <c r="Y12" s="201">
        <v>33792</v>
      </c>
      <c r="Z12" s="66"/>
      <c r="AA12" s="66"/>
      <c r="AB12" s="66"/>
      <c r="AC12" s="66"/>
      <c r="AD12" s="66"/>
      <c r="AE12" s="66"/>
      <c r="AF12" s="66"/>
      <c r="AG12" s="66"/>
      <c r="AH12" s="66"/>
      <c r="AI12" s="66"/>
      <c r="AJ12" s="66"/>
      <c r="AK12" s="66"/>
      <c r="AL12" s="66"/>
      <c r="AM12" s="66"/>
      <c r="AN12" s="66"/>
      <c r="AO12" s="66"/>
      <c r="AP12" s="66"/>
      <c r="AQ12" s="66"/>
      <c r="AR12" s="66"/>
      <c r="AS12" s="66"/>
    </row>
    <row r="13" spans="1:45">
      <c r="A13" s="198"/>
      <c r="B13" s="198"/>
      <c r="C13" s="198"/>
      <c r="D13" s="198"/>
      <c r="E13" s="198" t="s">
        <v>836</v>
      </c>
      <c r="F13" s="198"/>
      <c r="G13" s="199">
        <v>44071</v>
      </c>
      <c r="H13" s="198"/>
      <c r="I13" s="198" t="s">
        <v>886</v>
      </c>
      <c r="J13" s="198"/>
      <c r="K13" s="198" t="s">
        <v>887</v>
      </c>
      <c r="L13" s="198"/>
      <c r="M13" s="198" t="s">
        <v>888</v>
      </c>
      <c r="N13" s="198"/>
      <c r="O13" s="198" t="s">
        <v>519</v>
      </c>
      <c r="P13" s="198"/>
      <c r="Q13" s="200"/>
      <c r="R13" s="198"/>
      <c r="S13" s="198" t="s">
        <v>840</v>
      </c>
      <c r="T13" s="198"/>
      <c r="U13" s="201">
        <v>50</v>
      </c>
      <c r="V13" s="198"/>
      <c r="W13" s="201"/>
      <c r="X13" s="198"/>
      <c r="Y13" s="201">
        <v>33842</v>
      </c>
      <c r="Z13" s="66"/>
      <c r="AA13" s="66"/>
      <c r="AB13" s="66"/>
      <c r="AC13" s="66"/>
      <c r="AD13" s="66"/>
      <c r="AE13" s="66"/>
      <c r="AF13" s="66"/>
      <c r="AG13" s="66"/>
      <c r="AH13" s="66"/>
      <c r="AI13" s="66"/>
      <c r="AJ13" s="66"/>
      <c r="AK13" s="66"/>
      <c r="AL13" s="66"/>
      <c r="AM13" s="66"/>
      <c r="AN13" s="66"/>
      <c r="AO13" s="66"/>
      <c r="AP13" s="66"/>
      <c r="AQ13" s="66"/>
      <c r="AR13" s="66"/>
      <c r="AS13" s="66"/>
    </row>
    <row r="14" spans="1:45">
      <c r="A14" s="198"/>
      <c r="B14" s="198"/>
      <c r="C14" s="198"/>
      <c r="D14" s="198"/>
      <c r="E14" s="198" t="s">
        <v>874</v>
      </c>
      <c r="F14" s="198"/>
      <c r="G14" s="199">
        <v>44074</v>
      </c>
      <c r="H14" s="198"/>
      <c r="I14" s="198" t="s">
        <v>670</v>
      </c>
      <c r="J14" s="198"/>
      <c r="K14" s="198"/>
      <c r="L14" s="198"/>
      <c r="M14" s="198" t="s">
        <v>889</v>
      </c>
      <c r="N14" s="198"/>
      <c r="O14" s="198" t="s">
        <v>519</v>
      </c>
      <c r="P14" s="198"/>
      <c r="Q14" s="200"/>
      <c r="R14" s="198"/>
      <c r="S14" s="198" t="s">
        <v>876</v>
      </c>
      <c r="T14" s="198"/>
      <c r="U14" s="201">
        <v>6823.74</v>
      </c>
      <c r="V14" s="198"/>
      <c r="W14" s="201"/>
      <c r="X14" s="198"/>
      <c r="Y14" s="201">
        <v>40665.74</v>
      </c>
      <c r="Z14" s="66"/>
      <c r="AA14" s="66"/>
      <c r="AB14" s="66"/>
      <c r="AC14" s="66"/>
      <c r="AD14" s="66"/>
      <c r="AE14" s="66"/>
      <c r="AF14" s="66"/>
      <c r="AG14" s="66"/>
      <c r="AH14" s="66"/>
      <c r="AI14" s="66"/>
      <c r="AJ14" s="66"/>
      <c r="AK14" s="66"/>
      <c r="AL14" s="66"/>
      <c r="AM14" s="66"/>
      <c r="AN14" s="66"/>
      <c r="AO14" s="66"/>
      <c r="AP14" s="66"/>
      <c r="AQ14" s="66"/>
      <c r="AR14" s="66"/>
      <c r="AS14" s="66"/>
    </row>
    <row r="15" spans="1:45">
      <c r="A15" s="198"/>
      <c r="B15" s="198"/>
      <c r="C15" s="198"/>
      <c r="D15" s="198"/>
      <c r="E15" s="198" t="s">
        <v>874</v>
      </c>
      <c r="F15" s="198"/>
      <c r="G15" s="199">
        <v>44074</v>
      </c>
      <c r="H15" s="198"/>
      <c r="I15" s="198" t="s">
        <v>670</v>
      </c>
      <c r="J15" s="198"/>
      <c r="K15" s="198"/>
      <c r="L15" s="198"/>
      <c r="M15" s="198" t="s">
        <v>889</v>
      </c>
      <c r="N15" s="198"/>
      <c r="O15" s="198" t="s">
        <v>519</v>
      </c>
      <c r="P15" s="198"/>
      <c r="Q15" s="200"/>
      <c r="R15" s="198"/>
      <c r="S15" s="198" t="s">
        <v>426</v>
      </c>
      <c r="T15" s="198"/>
      <c r="U15" s="201">
        <v>930.51</v>
      </c>
      <c r="V15" s="198"/>
      <c r="W15" s="201"/>
      <c r="X15" s="198"/>
      <c r="Y15" s="201">
        <v>41596.25</v>
      </c>
      <c r="Z15" s="66"/>
      <c r="AA15" s="66"/>
      <c r="AB15" s="66"/>
      <c r="AC15" s="66"/>
      <c r="AD15" s="66"/>
      <c r="AE15" s="66"/>
      <c r="AF15" s="66"/>
      <c r="AG15" s="66"/>
      <c r="AH15" s="66"/>
      <c r="AI15" s="66"/>
      <c r="AJ15" s="66"/>
      <c r="AK15" s="66"/>
      <c r="AL15" s="66"/>
      <c r="AM15" s="66"/>
      <c r="AN15" s="66"/>
      <c r="AO15" s="66"/>
      <c r="AP15" s="66"/>
      <c r="AQ15" s="66"/>
      <c r="AR15" s="66"/>
      <c r="AS15" s="66"/>
    </row>
    <row r="16" spans="1:45">
      <c r="A16" s="198"/>
      <c r="B16" s="198"/>
      <c r="C16" s="198"/>
      <c r="D16" s="198"/>
      <c r="E16" s="198" t="s">
        <v>874</v>
      </c>
      <c r="F16" s="198"/>
      <c r="G16" s="199">
        <v>44104</v>
      </c>
      <c r="H16" s="198"/>
      <c r="I16" s="198" t="s">
        <v>670</v>
      </c>
      <c r="J16" s="198"/>
      <c r="K16" s="198"/>
      <c r="L16" s="198"/>
      <c r="M16" s="198" t="s">
        <v>890</v>
      </c>
      <c r="N16" s="198"/>
      <c r="O16" s="198" t="s">
        <v>519</v>
      </c>
      <c r="P16" s="198"/>
      <c r="Q16" s="200"/>
      <c r="R16" s="198"/>
      <c r="S16" s="198" t="s">
        <v>876</v>
      </c>
      <c r="T16" s="198"/>
      <c r="U16" s="201">
        <v>6823.74</v>
      </c>
      <c r="V16" s="198"/>
      <c r="W16" s="201"/>
      <c r="X16" s="198"/>
      <c r="Y16" s="201">
        <v>48419.99</v>
      </c>
      <c r="Z16" s="66"/>
      <c r="AA16" s="66"/>
      <c r="AB16" s="66"/>
      <c r="AC16" s="66"/>
      <c r="AD16" s="66"/>
      <c r="AE16" s="66"/>
      <c r="AF16" s="66"/>
      <c r="AG16" s="66"/>
      <c r="AH16" s="66"/>
      <c r="AI16" s="66"/>
      <c r="AJ16" s="66"/>
      <c r="AK16" s="66"/>
      <c r="AL16" s="66"/>
      <c r="AM16" s="66"/>
      <c r="AN16" s="66"/>
      <c r="AO16" s="66"/>
      <c r="AP16" s="66"/>
      <c r="AQ16" s="66"/>
      <c r="AR16" s="66"/>
      <c r="AS16" s="66"/>
    </row>
    <row r="17" spans="1:45">
      <c r="A17" s="198"/>
      <c r="B17" s="198"/>
      <c r="C17" s="198"/>
      <c r="D17" s="198"/>
      <c r="E17" s="198" t="s">
        <v>874</v>
      </c>
      <c r="F17" s="198"/>
      <c r="G17" s="199">
        <v>44104</v>
      </c>
      <c r="H17" s="198"/>
      <c r="I17" s="198" t="s">
        <v>670</v>
      </c>
      <c r="J17" s="198"/>
      <c r="K17" s="198"/>
      <c r="L17" s="198"/>
      <c r="M17" s="198" t="s">
        <v>890</v>
      </c>
      <c r="N17" s="198"/>
      <c r="O17" s="198" t="s">
        <v>519</v>
      </c>
      <c r="P17" s="198"/>
      <c r="Q17" s="200"/>
      <c r="R17" s="198"/>
      <c r="S17" s="198" t="s">
        <v>426</v>
      </c>
      <c r="T17" s="198"/>
      <c r="U17" s="201">
        <v>930.51</v>
      </c>
      <c r="V17" s="198"/>
      <c r="W17" s="201"/>
      <c r="X17" s="198"/>
      <c r="Y17" s="201">
        <v>49350.5</v>
      </c>
      <c r="Z17" s="66"/>
      <c r="AA17" s="66"/>
      <c r="AB17" s="66"/>
      <c r="AC17" s="66"/>
      <c r="AD17" s="66"/>
      <c r="AE17" s="66"/>
      <c r="AF17" s="66"/>
      <c r="AG17" s="66"/>
      <c r="AH17" s="66"/>
      <c r="AI17" s="66"/>
      <c r="AJ17" s="66"/>
      <c r="AK17" s="66"/>
      <c r="AL17" s="66"/>
      <c r="AM17" s="66"/>
      <c r="AN17" s="66"/>
      <c r="AO17" s="66"/>
      <c r="AP17" s="66"/>
      <c r="AQ17" s="66"/>
      <c r="AR17" s="66"/>
      <c r="AS17" s="66"/>
    </row>
    <row r="18" spans="1:45">
      <c r="A18" s="198"/>
      <c r="B18" s="198"/>
      <c r="C18" s="198"/>
      <c r="D18" s="198"/>
      <c r="E18" s="198" t="s">
        <v>874</v>
      </c>
      <c r="F18" s="198"/>
      <c r="G18" s="199">
        <v>44134</v>
      </c>
      <c r="H18" s="198"/>
      <c r="I18" s="198" t="s">
        <v>891</v>
      </c>
      <c r="J18" s="198"/>
      <c r="K18" s="198"/>
      <c r="L18" s="198"/>
      <c r="M18" s="198" t="s">
        <v>892</v>
      </c>
      <c r="N18" s="198"/>
      <c r="O18" s="198" t="s">
        <v>519</v>
      </c>
      <c r="P18" s="198"/>
      <c r="Q18" s="200"/>
      <c r="R18" s="198"/>
      <c r="S18" s="198" t="s">
        <v>840</v>
      </c>
      <c r="T18" s="198"/>
      <c r="U18" s="201"/>
      <c r="V18" s="198"/>
      <c r="W18" s="201">
        <v>5341.92</v>
      </c>
      <c r="X18" s="198"/>
      <c r="Y18" s="201">
        <v>44008.58</v>
      </c>
      <c r="Z18" s="66"/>
      <c r="AA18" s="66"/>
      <c r="AB18" s="66"/>
      <c r="AC18" s="66"/>
      <c r="AD18" s="66"/>
      <c r="AE18" s="66"/>
      <c r="AF18" s="66"/>
      <c r="AG18" s="66"/>
      <c r="AH18" s="66"/>
      <c r="AI18" s="66"/>
      <c r="AJ18" s="66"/>
      <c r="AK18" s="66"/>
      <c r="AL18" s="66"/>
      <c r="AM18" s="66"/>
      <c r="AN18" s="66"/>
      <c r="AO18" s="66"/>
      <c r="AP18" s="66"/>
      <c r="AQ18" s="66"/>
      <c r="AR18" s="66"/>
      <c r="AS18" s="66"/>
    </row>
    <row r="19" spans="1:45">
      <c r="A19" s="198"/>
      <c r="B19" s="198"/>
      <c r="C19" s="198"/>
      <c r="D19" s="198"/>
      <c r="E19" s="198" t="s">
        <v>874</v>
      </c>
      <c r="F19" s="198"/>
      <c r="G19" s="199">
        <v>44135</v>
      </c>
      <c r="H19" s="198"/>
      <c r="I19" s="198" t="s">
        <v>670</v>
      </c>
      <c r="J19" s="198"/>
      <c r="K19" s="198"/>
      <c r="L19" s="198"/>
      <c r="M19" s="198" t="s">
        <v>893</v>
      </c>
      <c r="N19" s="198"/>
      <c r="O19" s="198" t="s">
        <v>519</v>
      </c>
      <c r="P19" s="198"/>
      <c r="Q19" s="200"/>
      <c r="R19" s="198"/>
      <c r="S19" s="198" t="s">
        <v>876</v>
      </c>
      <c r="T19" s="198"/>
      <c r="U19" s="201">
        <v>6823.74</v>
      </c>
      <c r="V19" s="198"/>
      <c r="W19" s="201"/>
      <c r="X19" s="198"/>
      <c r="Y19" s="201">
        <v>50832.32</v>
      </c>
      <c r="Z19" s="66"/>
      <c r="AA19" s="66"/>
      <c r="AB19" s="66"/>
      <c r="AC19" s="66"/>
      <c r="AD19" s="66"/>
      <c r="AE19" s="66"/>
      <c r="AF19" s="66"/>
      <c r="AG19" s="66"/>
      <c r="AH19" s="66"/>
      <c r="AI19" s="66"/>
      <c r="AJ19" s="66"/>
      <c r="AK19" s="66"/>
      <c r="AL19" s="66"/>
      <c r="AM19" s="66"/>
      <c r="AN19" s="66"/>
      <c r="AO19" s="66"/>
      <c r="AP19" s="66"/>
      <c r="AQ19" s="66"/>
      <c r="AR19" s="66"/>
      <c r="AS19" s="66"/>
    </row>
    <row r="20" spans="1:45">
      <c r="A20" s="198"/>
      <c r="B20" s="198"/>
      <c r="C20" s="198"/>
      <c r="D20" s="198"/>
      <c r="E20" s="198" t="s">
        <v>874</v>
      </c>
      <c r="F20" s="198"/>
      <c r="G20" s="199">
        <v>44135</v>
      </c>
      <c r="H20" s="198"/>
      <c r="I20" s="198" t="s">
        <v>670</v>
      </c>
      <c r="J20" s="198"/>
      <c r="K20" s="198"/>
      <c r="L20" s="198"/>
      <c r="M20" s="198" t="s">
        <v>893</v>
      </c>
      <c r="N20" s="198"/>
      <c r="O20" s="198" t="s">
        <v>519</v>
      </c>
      <c r="P20" s="198"/>
      <c r="Q20" s="200"/>
      <c r="R20" s="198"/>
      <c r="S20" s="198" t="s">
        <v>426</v>
      </c>
      <c r="T20" s="198"/>
      <c r="U20" s="201">
        <v>930.51</v>
      </c>
      <c r="V20" s="198"/>
      <c r="W20" s="201"/>
      <c r="X20" s="198"/>
      <c r="Y20" s="201">
        <v>51762.83</v>
      </c>
      <c r="Z20" s="66"/>
      <c r="AA20" s="66"/>
      <c r="AB20" s="66"/>
      <c r="AC20" s="66"/>
      <c r="AD20" s="66"/>
      <c r="AE20" s="66"/>
      <c r="AF20" s="66"/>
      <c r="AG20" s="66"/>
      <c r="AH20" s="66"/>
      <c r="AI20" s="66"/>
      <c r="AJ20" s="66"/>
      <c r="AK20" s="66"/>
      <c r="AL20" s="66"/>
      <c r="AM20" s="66"/>
      <c r="AN20" s="66"/>
      <c r="AO20" s="66"/>
      <c r="AP20" s="66"/>
      <c r="AQ20" s="66"/>
      <c r="AR20" s="66"/>
      <c r="AS20" s="66"/>
    </row>
    <row r="21" spans="1:45">
      <c r="A21" s="198"/>
      <c r="B21" s="198"/>
      <c r="C21" s="198"/>
      <c r="D21" s="198"/>
      <c r="E21" s="198" t="s">
        <v>874</v>
      </c>
      <c r="F21" s="198"/>
      <c r="G21" s="199">
        <v>44165</v>
      </c>
      <c r="H21" s="198"/>
      <c r="I21" s="198" t="s">
        <v>670</v>
      </c>
      <c r="J21" s="198"/>
      <c r="K21" s="198"/>
      <c r="L21" s="198"/>
      <c r="M21" s="198" t="s">
        <v>894</v>
      </c>
      <c r="N21" s="198"/>
      <c r="O21" s="198" t="s">
        <v>519</v>
      </c>
      <c r="P21" s="198"/>
      <c r="Q21" s="200"/>
      <c r="R21" s="198"/>
      <c r="S21" s="198" t="s">
        <v>876</v>
      </c>
      <c r="T21" s="198"/>
      <c r="U21" s="201">
        <v>6823.74</v>
      </c>
      <c r="V21" s="198"/>
      <c r="W21" s="201"/>
      <c r="X21" s="198"/>
      <c r="Y21" s="201">
        <v>58586.57</v>
      </c>
      <c r="Z21" s="66"/>
      <c r="AA21" s="66"/>
      <c r="AB21" s="66"/>
      <c r="AC21" s="66"/>
      <c r="AD21" s="66"/>
      <c r="AE21" s="66"/>
      <c r="AF21" s="66"/>
      <c r="AG21" s="66"/>
      <c r="AH21" s="66"/>
      <c r="AI21" s="66"/>
      <c r="AJ21" s="66"/>
      <c r="AK21" s="66"/>
      <c r="AL21" s="66"/>
      <c r="AM21" s="66"/>
      <c r="AN21" s="66"/>
      <c r="AO21" s="66"/>
      <c r="AP21" s="66"/>
      <c r="AQ21" s="66"/>
      <c r="AR21" s="66"/>
      <c r="AS21" s="66"/>
    </row>
    <row r="22" spans="1:45">
      <c r="A22" s="198"/>
      <c r="B22" s="198"/>
      <c r="C22" s="198"/>
      <c r="D22" s="198"/>
      <c r="E22" s="198" t="s">
        <v>874</v>
      </c>
      <c r="F22" s="198"/>
      <c r="G22" s="199">
        <v>44165</v>
      </c>
      <c r="H22" s="198"/>
      <c r="I22" s="198" t="s">
        <v>670</v>
      </c>
      <c r="J22" s="198"/>
      <c r="K22" s="198"/>
      <c r="L22" s="198"/>
      <c r="M22" s="198" t="s">
        <v>894</v>
      </c>
      <c r="N22" s="198"/>
      <c r="O22" s="198" t="s">
        <v>519</v>
      </c>
      <c r="P22" s="198"/>
      <c r="Q22" s="200"/>
      <c r="R22" s="198"/>
      <c r="S22" s="198" t="s">
        <v>426</v>
      </c>
      <c r="T22" s="198"/>
      <c r="U22" s="201">
        <v>930.51</v>
      </c>
      <c r="V22" s="198"/>
      <c r="W22" s="201"/>
      <c r="X22" s="198"/>
      <c r="Y22" s="201">
        <v>59517.08</v>
      </c>
      <c r="Z22" s="66"/>
      <c r="AA22" s="66"/>
      <c r="AB22" s="66"/>
      <c r="AC22" s="66"/>
      <c r="AD22" s="66"/>
      <c r="AE22" s="66"/>
      <c r="AF22" s="66"/>
      <c r="AG22" s="66"/>
      <c r="AH22" s="66"/>
      <c r="AI22" s="66"/>
      <c r="AJ22" s="66"/>
      <c r="AK22" s="66"/>
      <c r="AL22" s="66"/>
      <c r="AM22" s="66"/>
      <c r="AN22" s="66"/>
      <c r="AO22" s="66"/>
      <c r="AP22" s="66"/>
      <c r="AQ22" s="66"/>
      <c r="AR22" s="66"/>
      <c r="AS22" s="66"/>
    </row>
    <row r="23" spans="1:45">
      <c r="A23" s="198"/>
      <c r="B23" s="198"/>
      <c r="C23" s="198"/>
      <c r="D23" s="198"/>
      <c r="E23" s="198" t="s">
        <v>874</v>
      </c>
      <c r="F23" s="198"/>
      <c r="G23" s="199">
        <v>44196</v>
      </c>
      <c r="H23" s="198"/>
      <c r="I23" s="198" t="s">
        <v>670</v>
      </c>
      <c r="J23" s="198"/>
      <c r="K23" s="198"/>
      <c r="L23" s="198"/>
      <c r="M23" s="198" t="s">
        <v>895</v>
      </c>
      <c r="N23" s="198"/>
      <c r="O23" s="198" t="s">
        <v>519</v>
      </c>
      <c r="P23" s="198"/>
      <c r="Q23" s="200"/>
      <c r="R23" s="198"/>
      <c r="S23" s="198" t="s">
        <v>876</v>
      </c>
      <c r="T23" s="198"/>
      <c r="U23" s="201">
        <v>6823.74</v>
      </c>
      <c r="V23" s="198"/>
      <c r="W23" s="201"/>
      <c r="X23" s="198"/>
      <c r="Y23" s="201">
        <v>66340.820000000007</v>
      </c>
      <c r="Z23" s="66"/>
      <c r="AA23" s="66"/>
      <c r="AB23" s="66"/>
      <c r="AC23" s="66"/>
      <c r="AD23" s="66"/>
      <c r="AE23" s="66"/>
      <c r="AF23" s="66"/>
      <c r="AG23" s="66"/>
      <c r="AH23" s="66"/>
      <c r="AI23" s="66"/>
      <c r="AJ23" s="66"/>
      <c r="AK23" s="66"/>
      <c r="AL23" s="66"/>
      <c r="AM23" s="66"/>
      <c r="AN23" s="66"/>
      <c r="AO23" s="66"/>
      <c r="AP23" s="66"/>
      <c r="AQ23" s="66"/>
      <c r="AR23" s="66"/>
      <c r="AS23" s="66"/>
    </row>
    <row r="24" spans="1:45">
      <c r="A24" s="198"/>
      <c r="B24" s="198"/>
      <c r="C24" s="198"/>
      <c r="D24" s="198"/>
      <c r="E24" s="198" t="s">
        <v>874</v>
      </c>
      <c r="F24" s="198"/>
      <c r="G24" s="199">
        <v>44196</v>
      </c>
      <c r="H24" s="198"/>
      <c r="I24" s="198" t="s">
        <v>670</v>
      </c>
      <c r="J24" s="198"/>
      <c r="K24" s="198"/>
      <c r="L24" s="198"/>
      <c r="M24" s="198" t="s">
        <v>895</v>
      </c>
      <c r="N24" s="198"/>
      <c r="O24" s="198" t="s">
        <v>519</v>
      </c>
      <c r="P24" s="198"/>
      <c r="Q24" s="200"/>
      <c r="R24" s="198"/>
      <c r="S24" s="198" t="s">
        <v>426</v>
      </c>
      <c r="T24" s="198"/>
      <c r="U24" s="201">
        <v>930.51</v>
      </c>
      <c r="V24" s="198"/>
      <c r="W24" s="201"/>
      <c r="X24" s="198"/>
      <c r="Y24" s="201">
        <v>67271.33</v>
      </c>
      <c r="Z24" s="66"/>
      <c r="AA24" s="66"/>
      <c r="AB24" s="66"/>
      <c r="AC24" s="66"/>
      <c r="AD24" s="66"/>
      <c r="AE24" s="66"/>
      <c r="AF24" s="66"/>
      <c r="AG24" s="66"/>
      <c r="AH24" s="66"/>
      <c r="AI24" s="66"/>
      <c r="AJ24" s="66"/>
      <c r="AK24" s="66"/>
      <c r="AL24" s="66"/>
      <c r="AM24" s="66"/>
      <c r="AN24" s="66"/>
      <c r="AO24" s="66"/>
      <c r="AP24" s="66"/>
      <c r="AQ24" s="66"/>
      <c r="AR24" s="66"/>
      <c r="AS24" s="66"/>
    </row>
    <row r="25" spans="1:45">
      <c r="A25" s="198"/>
      <c r="B25" s="198"/>
      <c r="C25" s="198"/>
      <c r="D25" s="198"/>
      <c r="E25" s="198" t="s">
        <v>874</v>
      </c>
      <c r="F25" s="198"/>
      <c r="G25" s="199">
        <v>44196</v>
      </c>
      <c r="H25" s="198"/>
      <c r="I25" s="198" t="s">
        <v>670</v>
      </c>
      <c r="J25" s="198"/>
      <c r="K25" s="198"/>
      <c r="L25" s="198"/>
      <c r="M25" s="198" t="s">
        <v>896</v>
      </c>
      <c r="N25" s="198"/>
      <c r="O25" s="198" t="s">
        <v>519</v>
      </c>
      <c r="P25" s="198"/>
      <c r="Q25" s="200"/>
      <c r="R25" s="198"/>
      <c r="S25" s="198" t="s">
        <v>426</v>
      </c>
      <c r="T25" s="198"/>
      <c r="U25" s="201">
        <v>12445.84</v>
      </c>
      <c r="V25" s="198"/>
      <c r="W25" s="201"/>
      <c r="X25" s="198"/>
      <c r="Y25" s="201">
        <v>79717.17</v>
      </c>
      <c r="Z25" s="66"/>
      <c r="AA25" s="66"/>
      <c r="AB25" s="66"/>
      <c r="AC25" s="66"/>
      <c r="AD25" s="66"/>
      <c r="AE25" s="66"/>
      <c r="AF25" s="66"/>
      <c r="AG25" s="66"/>
      <c r="AH25" s="66"/>
      <c r="AI25" s="66"/>
      <c r="AJ25" s="66"/>
      <c r="AK25" s="66"/>
      <c r="AL25" s="66"/>
      <c r="AM25" s="66"/>
      <c r="AN25" s="66"/>
      <c r="AO25" s="66"/>
      <c r="AP25" s="66"/>
      <c r="AQ25" s="66"/>
      <c r="AR25" s="66"/>
      <c r="AS25" s="66"/>
    </row>
    <row r="26" spans="1:45">
      <c r="A26" s="198"/>
      <c r="B26" s="198"/>
      <c r="C26" s="198"/>
      <c r="D26" s="198"/>
      <c r="E26" s="198" t="s">
        <v>874</v>
      </c>
      <c r="F26" s="198"/>
      <c r="G26" s="199">
        <v>44196</v>
      </c>
      <c r="H26" s="198"/>
      <c r="I26" s="198" t="s">
        <v>670</v>
      </c>
      <c r="J26" s="198"/>
      <c r="K26" s="198"/>
      <c r="L26" s="198"/>
      <c r="M26" s="198" t="s">
        <v>896</v>
      </c>
      <c r="N26" s="198"/>
      <c r="O26" s="198" t="s">
        <v>519</v>
      </c>
      <c r="P26" s="198"/>
      <c r="Q26" s="200"/>
      <c r="R26" s="198"/>
      <c r="S26" s="198" t="s">
        <v>426</v>
      </c>
      <c r="T26" s="198"/>
      <c r="U26" s="201">
        <v>1697.16</v>
      </c>
      <c r="V26" s="198"/>
      <c r="W26" s="201"/>
      <c r="X26" s="198"/>
      <c r="Y26" s="201">
        <v>81414.33</v>
      </c>
      <c r="Z26" s="66"/>
      <c r="AA26" s="66"/>
      <c r="AB26" s="66"/>
      <c r="AC26" s="66"/>
      <c r="AD26" s="66"/>
      <c r="AE26" s="66"/>
      <c r="AF26" s="66"/>
      <c r="AG26" s="66"/>
      <c r="AH26" s="66"/>
      <c r="AI26" s="66"/>
      <c r="AJ26" s="66"/>
      <c r="AK26" s="66"/>
      <c r="AL26" s="66"/>
      <c r="AM26" s="66"/>
      <c r="AN26" s="66"/>
      <c r="AO26" s="66"/>
      <c r="AP26" s="66"/>
      <c r="AQ26" s="66"/>
      <c r="AR26" s="66"/>
      <c r="AS26" s="66"/>
    </row>
    <row r="27" spans="1:45">
      <c r="A27" s="198"/>
      <c r="B27" s="198"/>
      <c r="C27" s="198"/>
      <c r="D27" s="198"/>
      <c r="E27" s="198" t="s">
        <v>874</v>
      </c>
      <c r="F27" s="198"/>
      <c r="G27" s="199">
        <v>44227</v>
      </c>
      <c r="H27" s="198"/>
      <c r="I27" s="198" t="s">
        <v>670</v>
      </c>
      <c r="J27" s="198"/>
      <c r="K27" s="198"/>
      <c r="L27" s="198"/>
      <c r="M27" s="198" t="s">
        <v>897</v>
      </c>
      <c r="N27" s="198"/>
      <c r="O27" s="198" t="s">
        <v>519</v>
      </c>
      <c r="P27" s="198"/>
      <c r="Q27" s="200"/>
      <c r="R27" s="198"/>
      <c r="S27" s="198" t="s">
        <v>898</v>
      </c>
      <c r="T27" s="198"/>
      <c r="U27" s="201">
        <v>8393.58</v>
      </c>
      <c r="V27" s="198"/>
      <c r="W27" s="201"/>
      <c r="X27" s="198"/>
      <c r="Y27" s="201">
        <v>89807.91</v>
      </c>
      <c r="Z27" s="66"/>
      <c r="AA27" s="66"/>
      <c r="AB27" s="66"/>
      <c r="AC27" s="66"/>
      <c r="AD27" s="66"/>
      <c r="AE27" s="66"/>
      <c r="AF27" s="66"/>
      <c r="AG27" s="66"/>
      <c r="AH27" s="66"/>
      <c r="AI27" s="66"/>
      <c r="AJ27" s="66"/>
      <c r="AK27" s="66"/>
      <c r="AL27" s="66"/>
      <c r="AM27" s="66"/>
      <c r="AN27" s="66"/>
      <c r="AO27" s="66"/>
      <c r="AP27" s="66"/>
      <c r="AQ27" s="66"/>
      <c r="AR27" s="66"/>
      <c r="AS27" s="66"/>
    </row>
    <row r="28" spans="1:45">
      <c r="A28" s="198"/>
      <c r="B28" s="198"/>
      <c r="C28" s="198"/>
      <c r="D28" s="198"/>
      <c r="E28" s="198" t="s">
        <v>874</v>
      </c>
      <c r="F28" s="198"/>
      <c r="G28" s="199">
        <v>44255</v>
      </c>
      <c r="H28" s="198"/>
      <c r="I28" s="198" t="s">
        <v>670</v>
      </c>
      <c r="J28" s="198"/>
      <c r="K28" s="198"/>
      <c r="L28" s="198"/>
      <c r="M28" s="198" t="s">
        <v>897</v>
      </c>
      <c r="N28" s="198"/>
      <c r="O28" s="198" t="s">
        <v>519</v>
      </c>
      <c r="P28" s="198"/>
      <c r="Q28" s="200"/>
      <c r="R28" s="198"/>
      <c r="S28" s="198" t="s">
        <v>898</v>
      </c>
      <c r="T28" s="198"/>
      <c r="U28" s="201">
        <v>8393.58</v>
      </c>
      <c r="V28" s="198"/>
      <c r="W28" s="201"/>
      <c r="X28" s="198"/>
      <c r="Y28" s="201">
        <v>98201.49</v>
      </c>
      <c r="Z28" s="66"/>
      <c r="AA28" s="66"/>
      <c r="AB28" s="66"/>
      <c r="AC28" s="66"/>
      <c r="AD28" s="66"/>
      <c r="AE28" s="66"/>
      <c r="AF28" s="66"/>
      <c r="AG28" s="66"/>
      <c r="AH28" s="66"/>
      <c r="AI28" s="66"/>
      <c r="AJ28" s="66"/>
      <c r="AK28" s="66"/>
      <c r="AL28" s="66"/>
      <c r="AM28" s="66"/>
      <c r="AN28" s="66"/>
      <c r="AO28" s="66"/>
      <c r="AP28" s="66"/>
      <c r="AQ28" s="66"/>
      <c r="AR28" s="66"/>
      <c r="AS28" s="66"/>
    </row>
    <row r="29" spans="1:45" ht="15.75" thickBot="1">
      <c r="A29" s="198"/>
      <c r="B29" s="198"/>
      <c r="C29" s="198"/>
      <c r="D29" s="198"/>
      <c r="E29" s="198" t="s">
        <v>874</v>
      </c>
      <c r="F29" s="198"/>
      <c r="G29" s="199">
        <v>44285</v>
      </c>
      <c r="H29" s="198"/>
      <c r="I29" s="198" t="s">
        <v>670</v>
      </c>
      <c r="J29" s="198"/>
      <c r="K29" s="198"/>
      <c r="L29" s="198"/>
      <c r="M29" s="198" t="s">
        <v>897</v>
      </c>
      <c r="N29" s="198"/>
      <c r="O29" s="198" t="s">
        <v>519</v>
      </c>
      <c r="P29" s="198"/>
      <c r="Q29" s="200"/>
      <c r="R29" s="198"/>
      <c r="S29" s="198" t="s">
        <v>898</v>
      </c>
      <c r="T29" s="198"/>
      <c r="U29" s="201">
        <v>8393.58</v>
      </c>
      <c r="V29" s="198"/>
      <c r="W29" s="201"/>
      <c r="X29" s="198"/>
      <c r="Y29" s="201">
        <v>106595.07</v>
      </c>
      <c r="Z29" s="66"/>
      <c r="AA29" s="66"/>
      <c r="AB29" s="66"/>
      <c r="AC29" s="66"/>
      <c r="AD29" s="66"/>
      <c r="AE29" s="66"/>
      <c r="AF29" s="66"/>
      <c r="AG29" s="66"/>
      <c r="AH29" s="66"/>
      <c r="AI29" s="66"/>
      <c r="AJ29" s="66"/>
      <c r="AK29" s="66"/>
      <c r="AL29" s="66"/>
      <c r="AM29" s="66"/>
      <c r="AN29" s="66"/>
      <c r="AO29" s="66"/>
      <c r="AP29" s="66"/>
      <c r="AQ29" s="66"/>
      <c r="AR29" s="66"/>
      <c r="AS29" s="66"/>
    </row>
    <row r="30" spans="1:45" ht="15.75" thickBot="1">
      <c r="A30" s="198"/>
      <c r="B30" s="198" t="s">
        <v>899</v>
      </c>
      <c r="C30" s="198"/>
      <c r="D30" s="198"/>
      <c r="E30" s="198"/>
      <c r="F30" s="198"/>
      <c r="G30" s="199"/>
      <c r="H30" s="198"/>
      <c r="I30" s="198"/>
      <c r="J30" s="198"/>
      <c r="K30" s="198"/>
      <c r="L30" s="198"/>
      <c r="M30" s="198"/>
      <c r="N30" s="198"/>
      <c r="O30" s="198"/>
      <c r="P30" s="198"/>
      <c r="Q30" s="198"/>
      <c r="R30" s="198"/>
      <c r="S30" s="198"/>
      <c r="T30" s="198"/>
      <c r="U30" s="202">
        <f>ROUND(SUM(U2:U29),5)</f>
        <v>111936.99</v>
      </c>
      <c r="V30" s="198"/>
      <c r="W30" s="202">
        <f>ROUND(SUM(W2:W29),5)</f>
        <v>5341.92</v>
      </c>
      <c r="X30" s="198"/>
      <c r="Y30" s="202">
        <f>U30-W30</f>
        <v>106595.07</v>
      </c>
      <c r="Z30" s="66"/>
      <c r="AA30" s="66"/>
      <c r="AB30" s="66"/>
      <c r="AC30" s="66"/>
      <c r="AD30" s="66"/>
      <c r="AE30" s="66"/>
      <c r="AF30" s="66"/>
      <c r="AG30" s="66"/>
      <c r="AH30" s="66"/>
      <c r="AI30" s="66"/>
      <c r="AJ30" s="66"/>
      <c r="AK30" s="66"/>
      <c r="AL30" s="66"/>
      <c r="AM30" s="66"/>
      <c r="AN30" s="66"/>
      <c r="AO30" s="66"/>
      <c r="AP30" s="66"/>
      <c r="AQ30" s="66"/>
      <c r="AR30" s="66"/>
      <c r="AS30" s="66"/>
    </row>
    <row r="31" spans="1:45" ht="15.75" thickBot="1">
      <c r="A31" s="195" t="s">
        <v>215</v>
      </c>
      <c r="B31" s="195"/>
      <c r="C31" s="195"/>
      <c r="D31" s="195"/>
      <c r="E31" s="195"/>
      <c r="F31" s="195"/>
      <c r="G31" s="196"/>
      <c r="H31" s="195"/>
      <c r="I31" s="195"/>
      <c r="J31" s="195"/>
      <c r="K31" s="195"/>
      <c r="L31" s="195"/>
      <c r="M31" s="195"/>
      <c r="N31" s="195"/>
      <c r="O31" s="195"/>
      <c r="P31" s="195"/>
      <c r="Q31" s="195"/>
      <c r="R31" s="195"/>
      <c r="S31" s="195"/>
      <c r="T31" s="195"/>
      <c r="U31" s="203">
        <f>U30</f>
        <v>111936.99</v>
      </c>
      <c r="V31" s="195"/>
      <c r="W31" s="203">
        <f>W30</f>
        <v>5341.92</v>
      </c>
      <c r="X31" s="195"/>
      <c r="Y31" s="203">
        <f>Y30</f>
        <v>106595.07</v>
      </c>
      <c r="Z31" s="66"/>
      <c r="AA31" s="66"/>
      <c r="AB31" s="66"/>
      <c r="AC31" s="66"/>
      <c r="AD31" s="66"/>
      <c r="AE31" s="66"/>
      <c r="AF31" s="66"/>
      <c r="AG31" s="66"/>
      <c r="AH31" s="66"/>
      <c r="AI31" s="66"/>
      <c r="AJ31" s="66"/>
      <c r="AK31" s="66"/>
      <c r="AL31" s="66"/>
      <c r="AM31" s="66"/>
      <c r="AN31" s="66"/>
      <c r="AO31" s="66"/>
      <c r="AP31" s="66"/>
      <c r="AQ31" s="66"/>
      <c r="AR31" s="66"/>
      <c r="AS31" s="66"/>
    </row>
    <row r="32" spans="1:45" ht="15.75" thickTop="1">
      <c r="A32" s="204"/>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66"/>
      <c r="AA32" s="66"/>
      <c r="AB32" s="66"/>
      <c r="AC32" s="66"/>
      <c r="AD32" s="66"/>
      <c r="AE32" s="66"/>
      <c r="AF32" s="66"/>
      <c r="AG32" s="66"/>
      <c r="AH32" s="66"/>
      <c r="AI32" s="66"/>
      <c r="AJ32" s="66"/>
      <c r="AK32" s="66"/>
      <c r="AL32" s="66"/>
      <c r="AM32" s="66"/>
      <c r="AN32" s="66"/>
      <c r="AO32" s="66"/>
      <c r="AP32" s="66"/>
      <c r="AQ32" s="66"/>
      <c r="AR32" s="66"/>
      <c r="AS32" s="66"/>
    </row>
    <row r="33" spans="1:45">
      <c r="A33" s="195"/>
      <c r="B33" s="195"/>
      <c r="C33" s="195"/>
      <c r="D33" s="195"/>
      <c r="E33" s="195"/>
      <c r="F33" s="195"/>
      <c r="G33" s="196"/>
      <c r="H33" s="195"/>
      <c r="I33" s="195"/>
      <c r="J33" s="195"/>
      <c r="K33" s="195"/>
      <c r="L33" s="195"/>
      <c r="M33" s="195"/>
      <c r="N33" s="195"/>
      <c r="O33" s="195"/>
      <c r="P33" s="195"/>
      <c r="Q33" s="195"/>
      <c r="R33" s="195"/>
      <c r="S33" s="195"/>
      <c r="T33" s="195"/>
      <c r="U33" s="197"/>
      <c r="V33" s="195"/>
      <c r="W33" s="197"/>
      <c r="X33" s="195"/>
      <c r="Y33" s="197"/>
      <c r="Z33" s="66"/>
      <c r="AA33" s="66"/>
      <c r="AB33" s="66"/>
      <c r="AC33" s="66"/>
      <c r="AD33" s="66"/>
      <c r="AE33" s="66"/>
      <c r="AF33" s="66"/>
      <c r="AG33" s="66"/>
      <c r="AH33" s="66"/>
      <c r="AI33" s="66"/>
      <c r="AJ33" s="66"/>
      <c r="AK33" s="66"/>
      <c r="AL33" s="66"/>
      <c r="AM33" s="66"/>
      <c r="AN33" s="66"/>
      <c r="AO33" s="66"/>
      <c r="AP33" s="66"/>
      <c r="AQ33" s="66"/>
      <c r="AR33" s="66"/>
      <c r="AS33" s="66"/>
    </row>
    <row r="34" spans="1:45">
      <c r="A34" s="204"/>
      <c r="B34" s="204"/>
      <c r="C34" s="204"/>
      <c r="D34" s="204"/>
      <c r="E34" s="204"/>
      <c r="F34" s="204"/>
      <c r="G34" s="204"/>
      <c r="H34" s="204"/>
      <c r="I34" s="204"/>
      <c r="J34" s="204"/>
      <c r="K34" s="204" t="s">
        <v>130</v>
      </c>
      <c r="L34" s="204"/>
      <c r="M34" s="204"/>
      <c r="N34" s="204"/>
      <c r="O34" s="204"/>
      <c r="P34" s="204"/>
      <c r="Q34" s="204"/>
      <c r="R34" s="204"/>
      <c r="S34" s="204"/>
      <c r="T34" s="204"/>
      <c r="U34" s="204"/>
      <c r="V34" s="204"/>
      <c r="W34" s="204"/>
      <c r="X34" s="204"/>
      <c r="Y34" s="204"/>
      <c r="Z34" s="66"/>
      <c r="AA34" s="66"/>
      <c r="AB34" s="66"/>
      <c r="AC34" s="66"/>
      <c r="AD34" s="66"/>
      <c r="AE34" s="66"/>
      <c r="AF34" s="66"/>
      <c r="AG34" s="66"/>
      <c r="AH34" s="66"/>
      <c r="AI34" s="66"/>
      <c r="AJ34" s="66"/>
      <c r="AK34" s="66"/>
      <c r="AL34" s="66"/>
      <c r="AM34" s="66"/>
      <c r="AN34" s="66"/>
      <c r="AO34" s="66"/>
      <c r="AP34" s="66"/>
      <c r="AQ34" s="66"/>
      <c r="AR34" s="66"/>
      <c r="AS34" s="66"/>
    </row>
    <row r="35" spans="1:45">
      <c r="A35" s="204"/>
      <c r="B35" s="204"/>
      <c r="C35" s="204"/>
      <c r="D35" s="204"/>
      <c r="E35" s="204"/>
      <c r="F35" s="204"/>
      <c r="G35" s="204"/>
      <c r="H35" s="204"/>
      <c r="I35" s="204"/>
      <c r="J35" s="204"/>
      <c r="K35" s="205" t="s">
        <v>900</v>
      </c>
      <c r="L35" s="205"/>
      <c r="M35" s="205"/>
      <c r="N35" s="205"/>
      <c r="O35" s="205"/>
      <c r="P35" s="205"/>
      <c r="Q35" s="205"/>
      <c r="R35" s="205"/>
      <c r="S35" s="205"/>
      <c r="T35" s="205"/>
      <c r="U35" s="206">
        <v>2720</v>
      </c>
      <c r="V35" s="204"/>
      <c r="W35" s="204"/>
      <c r="X35" s="204"/>
      <c r="Y35" s="204"/>
      <c r="Z35" s="66"/>
      <c r="AA35" s="66"/>
      <c r="AB35" s="66"/>
      <c r="AC35" s="66"/>
      <c r="AD35" s="66"/>
      <c r="AE35" s="66"/>
      <c r="AF35" s="66"/>
      <c r="AG35" s="66"/>
      <c r="AH35" s="66"/>
      <c r="AI35" s="66"/>
      <c r="AJ35" s="66"/>
      <c r="AK35" s="66"/>
      <c r="AL35" s="66"/>
      <c r="AM35" s="66"/>
      <c r="AN35" s="66"/>
      <c r="AO35" s="66"/>
      <c r="AP35" s="66"/>
      <c r="AQ35" s="66"/>
      <c r="AR35" s="66"/>
      <c r="AS35" s="66"/>
    </row>
    <row r="36" spans="1:45">
      <c r="A36" s="204"/>
      <c r="B36" s="204"/>
      <c r="C36" s="204"/>
      <c r="D36" s="204"/>
      <c r="E36" s="204"/>
      <c r="F36" s="204"/>
      <c r="G36" s="204"/>
      <c r="H36" s="204"/>
      <c r="I36" s="204"/>
      <c r="J36" s="204"/>
      <c r="K36" s="205" t="s">
        <v>1068</v>
      </c>
      <c r="L36" s="205"/>
      <c r="M36" s="205" t="s">
        <v>1486</v>
      </c>
      <c r="N36" s="205"/>
      <c r="O36" s="205"/>
      <c r="P36" s="205"/>
      <c r="Q36" s="205"/>
      <c r="R36" s="205"/>
      <c r="S36" s="206">
        <v>102519.95</v>
      </c>
      <c r="T36" s="205"/>
      <c r="U36" s="206">
        <v>109111.99</v>
      </c>
      <c r="V36" s="204"/>
      <c r="W36" s="295">
        <f>+S36-U36</f>
        <v>-6592.0400000000081</v>
      </c>
      <c r="X36" s="204"/>
      <c r="Y36" s="204"/>
      <c r="Z36" s="66"/>
      <c r="AA36" s="66"/>
      <c r="AB36" s="66"/>
      <c r="AC36" s="66"/>
      <c r="AD36" s="66"/>
      <c r="AE36" s="66"/>
      <c r="AF36" s="66"/>
      <c r="AG36" s="66"/>
      <c r="AH36" s="66"/>
      <c r="AI36" s="66"/>
      <c r="AJ36" s="66"/>
      <c r="AK36" s="66"/>
      <c r="AL36" s="66"/>
      <c r="AM36" s="66"/>
      <c r="AN36" s="66"/>
      <c r="AO36" s="66"/>
      <c r="AP36" s="66"/>
      <c r="AQ36" s="66"/>
      <c r="AR36" s="66"/>
      <c r="AS36" s="66"/>
    </row>
    <row r="37" spans="1:45">
      <c r="A37" s="204"/>
      <c r="B37" s="204"/>
      <c r="C37" s="204"/>
      <c r="D37" s="204"/>
      <c r="E37" s="204"/>
      <c r="F37" s="204"/>
      <c r="G37" s="204"/>
      <c r="H37" s="204"/>
      <c r="I37" s="204"/>
      <c r="J37" s="204"/>
      <c r="K37" s="205" t="s">
        <v>901</v>
      </c>
      <c r="L37" s="205"/>
      <c r="M37" s="205"/>
      <c r="N37" s="205"/>
      <c r="O37" s="205"/>
      <c r="P37" s="205"/>
      <c r="Q37" s="205"/>
      <c r="R37" s="205"/>
      <c r="S37" s="205"/>
      <c r="T37" s="205"/>
      <c r="U37" s="206">
        <v>55</v>
      </c>
      <c r="V37" s="204"/>
      <c r="W37" s="204"/>
      <c r="X37" s="204"/>
      <c r="Y37" s="204"/>
      <c r="Z37" s="66"/>
      <c r="AA37" s="66"/>
      <c r="AB37" s="66"/>
      <c r="AC37" s="66"/>
      <c r="AD37" s="66"/>
      <c r="AE37" s="66"/>
      <c r="AF37" s="66"/>
      <c r="AG37" s="66"/>
      <c r="AH37" s="66"/>
      <c r="AI37" s="66"/>
      <c r="AJ37" s="66"/>
      <c r="AK37" s="66"/>
      <c r="AL37" s="66"/>
      <c r="AM37" s="66"/>
      <c r="AN37" s="66"/>
      <c r="AO37" s="66"/>
      <c r="AP37" s="66"/>
      <c r="AQ37" s="66"/>
      <c r="AR37" s="66"/>
      <c r="AS37" s="66"/>
    </row>
    <row r="38" spans="1:45">
      <c r="A38" s="204"/>
      <c r="B38" s="204"/>
      <c r="C38" s="204"/>
      <c r="D38" s="204"/>
      <c r="E38" s="204"/>
      <c r="F38" s="204"/>
      <c r="G38" s="204"/>
      <c r="H38" s="204"/>
      <c r="I38" s="204"/>
      <c r="J38" s="204"/>
      <c r="K38" s="205" t="s">
        <v>902</v>
      </c>
      <c r="L38" s="205"/>
      <c r="M38" s="205"/>
      <c r="N38" s="205"/>
      <c r="O38" s="205"/>
      <c r="P38" s="205"/>
      <c r="Q38" s="205"/>
      <c r="R38" s="205"/>
      <c r="S38" s="205"/>
      <c r="T38" s="205"/>
      <c r="U38" s="432">
        <v>50</v>
      </c>
      <c r="V38" s="204"/>
      <c r="W38" s="204"/>
      <c r="X38" s="204"/>
      <c r="Y38" s="204"/>
      <c r="Z38" s="66"/>
      <c r="AA38" s="66"/>
      <c r="AB38" s="66"/>
      <c r="AC38" s="66"/>
      <c r="AD38" s="66"/>
      <c r="AE38" s="66"/>
      <c r="AF38" s="66"/>
      <c r="AG38" s="66"/>
      <c r="AH38" s="66"/>
      <c r="AI38" s="66"/>
      <c r="AJ38" s="66"/>
      <c r="AK38" s="66"/>
      <c r="AL38" s="66"/>
      <c r="AM38" s="66"/>
      <c r="AN38" s="66"/>
      <c r="AO38" s="66"/>
      <c r="AP38" s="66"/>
      <c r="AQ38" s="66"/>
      <c r="AR38" s="66"/>
      <c r="AS38" s="66"/>
    </row>
    <row r="39" spans="1:45">
      <c r="A39" s="204"/>
      <c r="B39" s="204"/>
      <c r="C39" s="204"/>
      <c r="D39" s="204"/>
      <c r="E39" s="204"/>
      <c r="F39" s="204"/>
      <c r="G39" s="204"/>
      <c r="H39" s="204"/>
      <c r="I39" s="204"/>
      <c r="J39" s="204"/>
      <c r="K39" s="205"/>
      <c r="L39" s="205"/>
      <c r="M39" s="205"/>
      <c r="N39" s="205"/>
      <c r="O39" s="205"/>
      <c r="P39" s="205"/>
      <c r="Q39" s="205"/>
      <c r="R39" s="205"/>
      <c r="S39" s="205"/>
      <c r="T39" s="205"/>
      <c r="U39" s="206">
        <f>SUM(U35:U38)</f>
        <v>111936.99</v>
      </c>
      <c r="V39" s="204"/>
      <c r="W39" s="204"/>
      <c r="X39" s="204"/>
      <c r="Y39" s="204"/>
      <c r="Z39" s="66"/>
      <c r="AA39" s="66"/>
      <c r="AB39" s="66"/>
      <c r="AC39" s="66"/>
      <c r="AD39" s="66"/>
      <c r="AE39" s="66"/>
      <c r="AF39" s="66"/>
      <c r="AG39" s="66"/>
      <c r="AH39" s="66"/>
      <c r="AI39" s="66"/>
      <c r="AJ39" s="66"/>
      <c r="AK39" s="66"/>
      <c r="AL39" s="66"/>
      <c r="AM39" s="66"/>
      <c r="AN39" s="66"/>
      <c r="AO39" s="66"/>
      <c r="AP39" s="66"/>
      <c r="AQ39" s="66"/>
      <c r="AR39" s="66"/>
      <c r="AS39" s="66"/>
    </row>
    <row r="40" spans="1:45">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66"/>
      <c r="AA40" s="66"/>
      <c r="AB40" s="66"/>
      <c r="AC40" s="66"/>
      <c r="AD40" s="66"/>
      <c r="AE40" s="66"/>
      <c r="AF40" s="66"/>
      <c r="AG40" s="66"/>
      <c r="AH40" s="66"/>
      <c r="AI40" s="66"/>
      <c r="AJ40" s="66"/>
      <c r="AK40" s="66"/>
      <c r="AL40" s="66"/>
      <c r="AM40" s="66"/>
      <c r="AN40" s="66"/>
      <c r="AO40" s="66"/>
      <c r="AP40" s="66"/>
      <c r="AQ40" s="66"/>
      <c r="AR40" s="66"/>
      <c r="AS40" s="66"/>
    </row>
    <row r="41" spans="1:4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row>
    <row r="42" spans="1:4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row>
    <row r="43" spans="1:4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row>
    <row r="44" spans="1:4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row>
    <row r="45" spans="1:4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row>
    <row r="46" spans="1:4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row>
    <row r="47" spans="1:4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row>
    <row r="48" spans="1:4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row>
    <row r="49" spans="1:4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row>
    <row r="50" spans="1:45">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row>
    <row r="51" spans="1:4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row>
    <row r="52" spans="1:45">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row>
    <row r="53" spans="1:4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row>
    <row r="54" spans="1:45">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row>
    <row r="55" spans="1:4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row>
    <row r="56" spans="1:45">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row>
    <row r="57" spans="1:4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row>
    <row r="58" spans="1:45">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row>
    <row r="59" spans="1:4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row>
    <row r="60" spans="1:4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row>
    <row r="61" spans="1:4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row>
    <row r="62" spans="1:45">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row>
    <row r="63" spans="1:4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row>
    <row r="64" spans="1:45">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row>
    <row r="65" spans="1:4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row>
    <row r="66" spans="1:45">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row>
    <row r="67" spans="1:4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row>
    <row r="68" spans="1:45">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row>
    <row r="69" spans="1:4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row>
    <row r="70" spans="1:4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row>
    <row r="71" spans="1:4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row>
    <row r="72" spans="1:45">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row>
    <row r="73" spans="1:4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row>
    <row r="74" spans="1:4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row>
    <row r="75" spans="1:4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row>
    <row r="76" spans="1:4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row>
    <row r="77" spans="1:4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row>
    <row r="78" spans="1:4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row>
    <row r="79" spans="1:4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row>
    <row r="80" spans="1:4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row>
    <row r="81" spans="1:4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row>
    <row r="82" spans="1:4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row>
    <row r="83" spans="1:4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row>
    <row r="84" spans="1:4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row>
    <row r="85" spans="1:4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row>
    <row r="86" spans="1:45">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row>
    <row r="87" spans="1:45">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row>
    <row r="88" spans="1:45">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row>
    <row r="89" spans="1:45">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row>
    <row r="90" spans="1:45">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row>
    <row r="91" spans="1:45">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row>
    <row r="92" spans="1:45">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row>
    <row r="93" spans="1:45">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row>
    <row r="94" spans="1:45">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row>
    <row r="95" spans="1:45">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row>
    <row r="96" spans="1:45">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row>
    <row r="97" spans="1:45">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row>
    <row r="98" spans="1:45">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row>
    <row r="99" spans="1:4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row>
    <row r="100" spans="1:4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row>
    <row r="101" spans="1:4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row>
    <row r="102" spans="1:4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row>
    <row r="103" spans="1:4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row>
    <row r="104" spans="1:4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row>
    <row r="105" spans="1:4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row>
    <row r="106" spans="1:4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row>
    <row r="107" spans="1:4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row>
    <row r="108" spans="1:4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row>
    <row r="109" spans="1:4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row>
    <row r="110" spans="1:4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row>
    <row r="111" spans="1:4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row>
    <row r="112" spans="1:4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row>
    <row r="113" spans="1:4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row>
    <row r="114" spans="1:4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row>
    <row r="115" spans="1:4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row>
    <row r="116" spans="1:4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row>
    <row r="117" spans="1:4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row>
    <row r="118" spans="1:4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row>
    <row r="119" spans="1:45">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4963E-9BAE-4ADD-934D-9A700AA95BE6}">
  <sheetPr codeName="Sheet31"/>
  <dimension ref="A1:T42"/>
  <sheetViews>
    <sheetView topLeftCell="A8" workbookViewId="0">
      <selection activeCell="G23" sqref="G23"/>
    </sheetView>
  </sheetViews>
  <sheetFormatPr defaultRowHeight="15"/>
  <cols>
    <col min="2" max="2" width="2.77734375" customWidth="1"/>
    <col min="3" max="3" width="10.33203125" bestFit="1" customWidth="1"/>
    <col min="4" max="4" width="8.21875" bestFit="1" customWidth="1"/>
    <col min="5" max="5" width="9.33203125" bestFit="1" customWidth="1"/>
    <col min="6" max="6" width="3" customWidth="1"/>
    <col min="7" max="7" width="8.21875" bestFit="1" customWidth="1"/>
    <col min="8" max="8" width="7.21875" bestFit="1" customWidth="1"/>
    <col min="9" max="10" width="10.33203125" bestFit="1" customWidth="1"/>
    <col min="11" max="11" width="8.88671875" customWidth="1"/>
  </cols>
  <sheetData>
    <row r="1" spans="1:20">
      <c r="A1" s="283" t="s">
        <v>128</v>
      </c>
      <c r="B1" s="283"/>
      <c r="C1" s="283"/>
      <c r="D1" s="283"/>
      <c r="E1" s="283"/>
      <c r="F1" s="283"/>
      <c r="G1" s="283"/>
      <c r="H1" s="283"/>
      <c r="I1" s="283"/>
      <c r="J1" s="283"/>
      <c r="K1" s="283"/>
      <c r="L1" s="66"/>
      <c r="M1" s="66"/>
      <c r="N1" s="66"/>
      <c r="O1" s="66"/>
      <c r="P1" s="66"/>
      <c r="Q1" s="66"/>
      <c r="R1" s="66"/>
      <c r="S1" s="66"/>
      <c r="T1" s="66"/>
    </row>
    <row r="2" spans="1:20">
      <c r="A2" s="283" t="s">
        <v>1044</v>
      </c>
      <c r="B2" s="283"/>
      <c r="C2" s="283"/>
      <c r="D2" s="283"/>
      <c r="E2" s="283"/>
      <c r="F2" s="283"/>
      <c r="G2" s="283"/>
      <c r="H2" s="283"/>
      <c r="I2" s="283"/>
      <c r="J2" s="283"/>
      <c r="K2" s="283"/>
      <c r="L2" s="66"/>
      <c r="M2" s="66"/>
      <c r="N2" s="66"/>
      <c r="O2" s="66"/>
      <c r="P2" s="66"/>
      <c r="Q2" s="66"/>
      <c r="R2" s="66"/>
      <c r="S2" s="66"/>
      <c r="T2" s="66"/>
    </row>
    <row r="3" spans="1:20">
      <c r="A3" s="283"/>
      <c r="B3" s="283"/>
      <c r="C3" s="283"/>
      <c r="D3" s="283"/>
      <c r="E3" s="283"/>
      <c r="F3" s="283"/>
      <c r="G3" s="283"/>
      <c r="H3" s="283"/>
      <c r="I3" s="283"/>
      <c r="J3" s="283"/>
      <c r="K3" s="283"/>
      <c r="L3" s="66"/>
      <c r="M3" s="66"/>
      <c r="N3" s="66"/>
      <c r="O3" s="66"/>
      <c r="P3" s="66"/>
      <c r="Q3" s="66"/>
      <c r="R3" s="66"/>
      <c r="S3" s="66"/>
      <c r="T3" s="66"/>
    </row>
    <row r="4" spans="1:20">
      <c r="A4" s="284"/>
      <c r="B4" s="284"/>
      <c r="C4" s="284"/>
      <c r="D4" s="284"/>
      <c r="E4" s="284"/>
      <c r="F4" s="284"/>
      <c r="G4" s="284"/>
      <c r="H4" s="284"/>
      <c r="I4" s="284"/>
      <c r="J4" s="284"/>
      <c r="K4" s="284"/>
      <c r="L4" s="66"/>
      <c r="M4" s="66"/>
      <c r="N4" s="66"/>
      <c r="O4" s="66"/>
      <c r="P4" s="66"/>
      <c r="Q4" s="66"/>
      <c r="R4" s="66"/>
      <c r="S4" s="66"/>
      <c r="T4" s="66"/>
    </row>
    <row r="5" spans="1:20">
      <c r="A5" s="284"/>
      <c r="B5" s="284"/>
      <c r="C5" s="284"/>
      <c r="D5" s="284"/>
      <c r="E5" s="284"/>
      <c r="F5" s="284"/>
      <c r="G5" s="284"/>
      <c r="H5" s="284"/>
      <c r="I5" s="284"/>
      <c r="J5" s="284"/>
      <c r="K5" s="284"/>
      <c r="L5" s="66"/>
      <c r="M5" s="66"/>
      <c r="N5" s="66"/>
      <c r="O5" s="66"/>
      <c r="P5" s="66"/>
      <c r="Q5" s="66"/>
      <c r="R5" s="66"/>
      <c r="S5" s="66"/>
      <c r="T5" s="66"/>
    </row>
    <row r="6" spans="1:20">
      <c r="A6" s="284"/>
      <c r="B6" s="284"/>
      <c r="C6" s="285" t="s">
        <v>1045</v>
      </c>
      <c r="D6" s="285"/>
      <c r="E6" s="285"/>
      <c r="F6" s="284"/>
      <c r="G6" s="283" t="s">
        <v>1046</v>
      </c>
      <c r="H6" s="283"/>
      <c r="I6" s="283"/>
      <c r="J6" s="284"/>
      <c r="K6" s="284"/>
      <c r="L6" s="66"/>
      <c r="M6" s="66"/>
      <c r="N6" s="66"/>
      <c r="O6" s="66"/>
      <c r="P6" s="66"/>
      <c r="Q6" s="66"/>
      <c r="R6" s="66"/>
      <c r="S6" s="66"/>
      <c r="T6" s="66"/>
    </row>
    <row r="7" spans="1:20">
      <c r="A7" s="284"/>
      <c r="B7" s="284"/>
      <c r="C7" s="285" t="s">
        <v>1047</v>
      </c>
      <c r="D7" s="285"/>
      <c r="E7" s="285"/>
      <c r="F7" s="284"/>
      <c r="G7" s="286" t="s">
        <v>1048</v>
      </c>
      <c r="H7" s="286"/>
      <c r="I7" s="286"/>
      <c r="J7" s="284"/>
      <c r="K7" s="284"/>
      <c r="L7" s="66"/>
      <c r="M7" s="66"/>
      <c r="N7" s="66"/>
      <c r="O7" s="66"/>
      <c r="P7" s="66"/>
      <c r="Q7" s="66"/>
      <c r="R7" s="66"/>
      <c r="S7" s="66"/>
      <c r="T7" s="66"/>
    </row>
    <row r="8" spans="1:20">
      <c r="A8" s="284"/>
      <c r="B8" s="284"/>
      <c r="C8" s="285" t="s">
        <v>1049</v>
      </c>
      <c r="D8" s="285" t="s">
        <v>1050</v>
      </c>
      <c r="E8" s="285" t="s">
        <v>1051</v>
      </c>
      <c r="F8" s="284"/>
      <c r="G8" s="285" t="s">
        <v>1052</v>
      </c>
      <c r="H8" s="285" t="s">
        <v>1053</v>
      </c>
      <c r="I8" s="285" t="s">
        <v>1054</v>
      </c>
      <c r="J8" s="285" t="s">
        <v>103</v>
      </c>
      <c r="K8" s="284" t="s">
        <v>1055</v>
      </c>
      <c r="L8" s="66"/>
      <c r="M8" s="66"/>
      <c r="N8" s="66"/>
      <c r="O8" s="66"/>
      <c r="P8" s="66"/>
      <c r="Q8" s="66"/>
      <c r="R8" s="66"/>
      <c r="S8" s="66"/>
      <c r="T8" s="66"/>
    </row>
    <row r="9" spans="1:20">
      <c r="A9" s="284" t="s">
        <v>1056</v>
      </c>
      <c r="B9" s="287"/>
      <c r="C9" s="287">
        <v>1588396.28</v>
      </c>
      <c r="D9" s="287"/>
      <c r="E9" s="287">
        <f>ROUND(C9*0.06,2)</f>
        <v>95303.78</v>
      </c>
      <c r="F9" s="287"/>
      <c r="G9" s="287"/>
      <c r="H9" s="287"/>
      <c r="I9" s="287"/>
      <c r="J9" s="287"/>
      <c r="K9" s="284"/>
      <c r="L9" s="66"/>
      <c r="M9" s="66"/>
      <c r="N9" s="66"/>
      <c r="O9" s="66"/>
      <c r="P9" s="66"/>
      <c r="Q9" s="66"/>
      <c r="R9" s="66"/>
      <c r="S9" s="66"/>
      <c r="T9" s="66"/>
    </row>
    <row r="10" spans="1:20">
      <c r="A10" s="284" t="s">
        <v>1020</v>
      </c>
      <c r="B10" s="287"/>
      <c r="C10" s="287">
        <v>1555824.77</v>
      </c>
      <c r="D10" s="287"/>
      <c r="E10" s="287">
        <f t="shared" ref="E10:E20" si="0">ROUND(C10*0.06,2)</f>
        <v>93349.49</v>
      </c>
      <c r="F10" s="287"/>
      <c r="G10" s="287"/>
      <c r="H10" s="287"/>
      <c r="I10" s="287"/>
      <c r="J10" s="287"/>
      <c r="K10" s="284"/>
      <c r="L10" s="66"/>
      <c r="M10" s="66"/>
      <c r="N10" s="66"/>
      <c r="O10" s="66"/>
      <c r="P10" s="66"/>
      <c r="Q10" s="66"/>
      <c r="R10" s="66"/>
      <c r="S10" s="66"/>
      <c r="T10" s="66"/>
    </row>
    <row r="11" spans="1:20">
      <c r="A11" s="284" t="s">
        <v>1006</v>
      </c>
      <c r="B11" s="287"/>
      <c r="C11" s="287">
        <v>1712378.35</v>
      </c>
      <c r="D11" s="287"/>
      <c r="E11" s="287">
        <f t="shared" si="0"/>
        <v>102742.7</v>
      </c>
      <c r="F11" s="287"/>
      <c r="G11" s="287">
        <v>12090.51</v>
      </c>
      <c r="H11" s="287">
        <v>3943.15</v>
      </c>
      <c r="I11" s="287">
        <v>4724197.7699999996</v>
      </c>
      <c r="J11" s="287">
        <f>SUM(G11:I11)</f>
        <v>4740231.43</v>
      </c>
      <c r="K11" s="287">
        <f>J11*0.001</f>
        <v>4740.2314299999998</v>
      </c>
      <c r="L11" s="66"/>
      <c r="M11" s="66"/>
      <c r="N11" s="66"/>
      <c r="O11" s="66"/>
      <c r="P11" s="66"/>
      <c r="Q11" s="66"/>
      <c r="R11" s="66"/>
      <c r="S11" s="66"/>
      <c r="T11" s="66"/>
    </row>
    <row r="12" spans="1:20">
      <c r="A12" s="284" t="s">
        <v>1007</v>
      </c>
      <c r="B12" s="287"/>
      <c r="C12" s="287">
        <v>1620696.83</v>
      </c>
      <c r="D12" s="287"/>
      <c r="E12" s="287">
        <f t="shared" si="0"/>
        <v>97241.81</v>
      </c>
      <c r="F12" s="287"/>
      <c r="G12" s="287"/>
      <c r="H12" s="287"/>
      <c r="I12" s="287"/>
      <c r="J12" s="287"/>
      <c r="K12" s="287"/>
      <c r="L12" s="66"/>
      <c r="M12" s="66"/>
      <c r="N12" s="66"/>
      <c r="O12" s="66"/>
      <c r="P12" s="66"/>
      <c r="Q12" s="66"/>
      <c r="R12" s="66"/>
      <c r="S12" s="66"/>
      <c r="T12" s="66"/>
    </row>
    <row r="13" spans="1:20">
      <c r="A13" s="284" t="s">
        <v>1008</v>
      </c>
      <c r="B13" s="287"/>
      <c r="C13" s="287">
        <v>1613946.24</v>
      </c>
      <c r="D13" s="287"/>
      <c r="E13" s="287">
        <f t="shared" si="0"/>
        <v>96836.77</v>
      </c>
      <c r="F13" s="287"/>
      <c r="G13" s="287"/>
      <c r="H13" s="287"/>
      <c r="I13" s="287"/>
      <c r="J13" s="287"/>
      <c r="K13" s="287"/>
      <c r="L13" s="66"/>
      <c r="M13" s="66"/>
      <c r="N13" s="66"/>
      <c r="O13" s="66"/>
      <c r="P13" s="66"/>
      <c r="Q13" s="66"/>
      <c r="R13" s="66"/>
      <c r="S13" s="66"/>
      <c r="T13" s="66"/>
    </row>
    <row r="14" spans="1:20">
      <c r="A14" s="284" t="s">
        <v>1009</v>
      </c>
      <c r="B14" s="287"/>
      <c r="C14" s="287">
        <v>1647061.11</v>
      </c>
      <c r="D14" s="287"/>
      <c r="E14" s="287">
        <f t="shared" si="0"/>
        <v>98823.67</v>
      </c>
      <c r="F14" s="287"/>
      <c r="G14" s="287">
        <v>121283</v>
      </c>
      <c r="H14" s="287">
        <v>4404.1899999999996</v>
      </c>
      <c r="I14" s="287">
        <v>4843189.0599999996</v>
      </c>
      <c r="J14" s="287">
        <f>SUM(G14:I14)</f>
        <v>4968876.25</v>
      </c>
      <c r="K14" s="287">
        <f>J14*0.001</f>
        <v>4968.8762500000003</v>
      </c>
      <c r="L14" s="66"/>
      <c r="M14" s="66"/>
      <c r="N14" s="66"/>
      <c r="O14" s="66"/>
      <c r="P14" s="66"/>
      <c r="Q14" s="66"/>
      <c r="R14" s="66"/>
      <c r="S14" s="66"/>
      <c r="T14" s="66"/>
    </row>
    <row r="15" spans="1:20">
      <c r="A15" s="284" t="s">
        <v>1010</v>
      </c>
      <c r="B15" s="287"/>
      <c r="C15" s="287">
        <v>1690150.07</v>
      </c>
      <c r="D15" s="287"/>
      <c r="E15" s="287">
        <f t="shared" si="0"/>
        <v>101409</v>
      </c>
      <c r="F15" s="287"/>
      <c r="G15" s="287"/>
      <c r="H15" s="287"/>
      <c r="I15" s="287"/>
      <c r="J15" s="287"/>
      <c r="K15" s="287"/>
      <c r="L15" s="66"/>
      <c r="M15" s="66"/>
      <c r="N15" s="66"/>
      <c r="O15" s="66"/>
      <c r="P15" s="66"/>
      <c r="Q15" s="66"/>
      <c r="R15" s="66"/>
      <c r="S15" s="66"/>
      <c r="T15" s="66"/>
    </row>
    <row r="16" spans="1:20">
      <c r="A16" s="284" t="s">
        <v>1011</v>
      </c>
      <c r="B16" s="287"/>
      <c r="C16" s="287">
        <v>1586246.37</v>
      </c>
      <c r="D16" s="287"/>
      <c r="E16" s="287">
        <f t="shared" si="0"/>
        <v>95174.78</v>
      </c>
      <c r="F16" s="287"/>
      <c r="G16" s="287"/>
      <c r="H16" s="287"/>
      <c r="I16" s="287"/>
      <c r="J16" s="287"/>
      <c r="K16" s="287"/>
      <c r="L16" s="66"/>
      <c r="M16" s="66"/>
      <c r="N16" s="66"/>
      <c r="O16" s="66"/>
      <c r="P16" s="66"/>
      <c r="Q16" s="66"/>
      <c r="R16" s="66"/>
      <c r="S16" s="66"/>
      <c r="T16" s="66"/>
    </row>
    <row r="17" spans="1:20">
      <c r="A17" s="284" t="s">
        <v>1012</v>
      </c>
      <c r="B17" s="287"/>
      <c r="C17" s="287">
        <v>1804123.28</v>
      </c>
      <c r="D17" s="287"/>
      <c r="E17" s="287">
        <f t="shared" si="0"/>
        <v>108247.4</v>
      </c>
      <c r="F17" s="287"/>
      <c r="G17" s="287">
        <v>27219.8</v>
      </c>
      <c r="H17" s="287">
        <v>4259.28</v>
      </c>
      <c r="I17" s="287">
        <v>5218027.5199999996</v>
      </c>
      <c r="J17" s="287">
        <f>SUM(G17:I17)</f>
        <v>5249506.5999999996</v>
      </c>
      <c r="K17" s="287">
        <f>J17*0.001</f>
        <v>5249.5065999999997</v>
      </c>
      <c r="L17" s="66"/>
      <c r="M17" s="66"/>
      <c r="N17" s="66"/>
      <c r="O17" s="66"/>
      <c r="P17" s="66"/>
      <c r="Q17" s="66"/>
      <c r="R17" s="66"/>
      <c r="S17" s="66"/>
      <c r="T17" s="66"/>
    </row>
    <row r="18" spans="1:20">
      <c r="A18" s="284" t="s">
        <v>1013</v>
      </c>
      <c r="B18" s="287"/>
      <c r="C18" s="287">
        <v>1519687.13</v>
      </c>
      <c r="D18" s="287"/>
      <c r="E18" s="287">
        <f t="shared" si="0"/>
        <v>91181.23</v>
      </c>
      <c r="F18" s="287"/>
      <c r="G18" s="287"/>
      <c r="H18" s="287"/>
      <c r="I18" s="287"/>
      <c r="J18" s="287"/>
      <c r="K18" s="287"/>
      <c r="L18" s="66"/>
      <c r="M18" s="66"/>
      <c r="N18" s="66"/>
      <c r="O18" s="66"/>
      <c r="P18" s="66"/>
      <c r="Q18" s="66"/>
      <c r="R18" s="66"/>
      <c r="S18" s="66"/>
      <c r="T18" s="66"/>
    </row>
    <row r="19" spans="1:20">
      <c r="A19" s="284" t="s">
        <v>1014</v>
      </c>
      <c r="B19" s="287"/>
      <c r="C19" s="287">
        <v>1529352.33</v>
      </c>
      <c r="D19" s="287"/>
      <c r="E19" s="287">
        <f t="shared" si="0"/>
        <v>91761.14</v>
      </c>
      <c r="F19" s="287"/>
      <c r="G19" s="287"/>
      <c r="H19" s="287"/>
      <c r="I19" s="287"/>
      <c r="J19" s="287"/>
      <c r="K19" s="287"/>
      <c r="L19" s="66"/>
      <c r="M19" s="66"/>
      <c r="N19" s="66"/>
      <c r="O19" s="66"/>
      <c r="P19" s="66"/>
      <c r="Q19" s="66"/>
      <c r="R19" s="66"/>
      <c r="S19" s="66"/>
      <c r="T19" s="66"/>
    </row>
    <row r="20" spans="1:20">
      <c r="A20" s="284" t="s">
        <v>1015</v>
      </c>
      <c r="B20" s="287"/>
      <c r="C20" s="288">
        <v>1758900.11</v>
      </c>
      <c r="D20" s="288"/>
      <c r="E20" s="288">
        <f t="shared" si="0"/>
        <v>105534.01</v>
      </c>
      <c r="F20" s="287"/>
      <c r="G20" s="288">
        <v>14912.49</v>
      </c>
      <c r="H20" s="288">
        <v>3015.83</v>
      </c>
      <c r="I20" s="288">
        <v>5401196.1399999997</v>
      </c>
      <c r="J20" s="288">
        <f>SUM(G20:I20)</f>
        <v>5419124.46</v>
      </c>
      <c r="K20" s="288">
        <f>J20*0.001</f>
        <v>5419.12446</v>
      </c>
      <c r="L20" s="66"/>
      <c r="M20" s="66"/>
      <c r="N20" s="66"/>
      <c r="O20" s="66"/>
      <c r="P20" s="66"/>
      <c r="Q20" s="66"/>
      <c r="R20" s="66"/>
      <c r="S20" s="66"/>
      <c r="T20" s="66"/>
    </row>
    <row r="21" spans="1:20">
      <c r="A21" s="284"/>
      <c r="B21" s="287"/>
      <c r="C21" s="287">
        <f>SUM(C9:C20)</f>
        <v>19626762.869999997</v>
      </c>
      <c r="D21" s="287">
        <f>SUM(D9:D20)</f>
        <v>0</v>
      </c>
      <c r="E21" s="287">
        <f>SUM(E9:E20)</f>
        <v>1177605.78</v>
      </c>
      <c r="F21" s="287"/>
      <c r="G21" s="287">
        <f>SUM(G9:G20)</f>
        <v>175505.8</v>
      </c>
      <c r="H21" s="287">
        <f>SUM(H9:H20)</f>
        <v>15622.449999999999</v>
      </c>
      <c r="I21" s="287">
        <f>SUM(I9:I20)</f>
        <v>20186610.489999998</v>
      </c>
      <c r="J21" s="287">
        <f>SUM(J9:J20)</f>
        <v>20377738.739999998</v>
      </c>
      <c r="K21" s="287">
        <f>SUM(K9:K20)</f>
        <v>20377.738740000001</v>
      </c>
      <c r="L21" s="66"/>
      <c r="M21" s="66"/>
      <c r="N21" s="66"/>
      <c r="O21" s="66"/>
      <c r="P21" s="66"/>
      <c r="Q21" s="66"/>
      <c r="R21" s="66"/>
      <c r="S21" s="66"/>
      <c r="T21" s="66"/>
    </row>
    <row r="22" spans="1:20">
      <c r="A22" s="284" t="s">
        <v>1484</v>
      </c>
      <c r="B22" s="287"/>
      <c r="C22" s="287"/>
      <c r="D22" s="287"/>
      <c r="E22" s="287"/>
      <c r="F22" s="287"/>
      <c r="G22" s="287"/>
      <c r="H22" s="287"/>
      <c r="I22" s="287"/>
      <c r="J22" s="287"/>
      <c r="K22" s="287"/>
      <c r="L22" s="66"/>
      <c r="M22" s="66"/>
      <c r="N22" s="66"/>
      <c r="O22" s="66"/>
      <c r="P22" s="66"/>
      <c r="Q22" s="66"/>
      <c r="R22" s="66"/>
      <c r="S22" s="66"/>
      <c r="T22" s="66"/>
    </row>
    <row r="23" spans="1:20">
      <c r="A23" s="284"/>
      <c r="B23" s="287"/>
      <c r="C23" s="287"/>
      <c r="D23" s="287"/>
      <c r="E23" s="287"/>
      <c r="F23" s="287"/>
      <c r="G23" s="287"/>
      <c r="H23" s="287"/>
      <c r="I23" s="287"/>
      <c r="J23" s="287"/>
      <c r="K23" s="284"/>
      <c r="L23" s="66"/>
      <c r="M23" s="66"/>
      <c r="N23" s="66"/>
      <c r="O23" s="66"/>
      <c r="P23" s="66"/>
      <c r="Q23" s="66"/>
      <c r="R23" s="66"/>
      <c r="S23" s="66"/>
      <c r="T23" s="66"/>
    </row>
    <row r="24" spans="1:20">
      <c r="A24" s="284" t="s">
        <v>1057</v>
      </c>
      <c r="B24" s="284"/>
      <c r="C24" s="284"/>
      <c r="D24" s="284"/>
      <c r="E24" s="287">
        <f>+E21+K21</f>
        <v>1197983.51874</v>
      </c>
      <c r="F24" s="284"/>
      <c r="G24" s="284"/>
      <c r="H24" s="284"/>
      <c r="I24" s="284"/>
      <c r="J24" s="284"/>
      <c r="K24" s="284"/>
      <c r="L24" s="66"/>
      <c r="M24" s="66"/>
      <c r="N24" s="66"/>
      <c r="O24" s="66"/>
      <c r="P24" s="66"/>
      <c r="Q24" s="66"/>
      <c r="R24" s="66"/>
      <c r="S24" s="66"/>
      <c r="T24" s="66"/>
    </row>
    <row r="25" spans="1:20">
      <c r="A25" s="68"/>
      <c r="B25" s="68"/>
      <c r="C25" s="68"/>
      <c r="D25" s="68"/>
      <c r="E25" s="68"/>
      <c r="F25" s="68"/>
      <c r="G25" s="68"/>
      <c r="H25" s="68"/>
      <c r="I25" s="68"/>
      <c r="J25" s="68"/>
      <c r="K25" s="68"/>
      <c r="L25" s="66"/>
      <c r="M25" s="66"/>
      <c r="N25" s="66"/>
      <c r="O25" s="66"/>
      <c r="P25" s="66"/>
      <c r="Q25" s="66"/>
      <c r="R25" s="66"/>
      <c r="S25" s="66"/>
      <c r="T25" s="66"/>
    </row>
    <row r="26" spans="1:20">
      <c r="A26" s="68" t="s">
        <v>1058</v>
      </c>
      <c r="B26" s="68"/>
      <c r="C26" s="68"/>
      <c r="D26" s="68"/>
      <c r="E26" s="68"/>
      <c r="F26" s="68"/>
      <c r="G26" s="68"/>
      <c r="H26" s="68"/>
      <c r="I26" s="68"/>
      <c r="J26" s="68"/>
      <c r="K26" s="68"/>
      <c r="L26" s="66"/>
      <c r="M26" s="66"/>
      <c r="N26" s="66"/>
      <c r="O26" s="66"/>
      <c r="P26" s="66"/>
      <c r="Q26" s="66"/>
      <c r="R26" s="66"/>
      <c r="S26" s="66"/>
      <c r="T26" s="66"/>
    </row>
    <row r="27" spans="1:20">
      <c r="A27" s="66"/>
      <c r="B27" s="66"/>
      <c r="C27" s="66"/>
      <c r="D27" s="66"/>
      <c r="E27" s="66"/>
      <c r="F27" s="66"/>
      <c r="G27" s="66"/>
      <c r="H27" s="66"/>
      <c r="I27" s="66"/>
      <c r="J27" s="66"/>
      <c r="K27" s="66"/>
      <c r="L27" s="66"/>
      <c r="M27" s="66"/>
      <c r="N27" s="66"/>
      <c r="O27" s="66"/>
      <c r="P27" s="66"/>
      <c r="Q27" s="66"/>
      <c r="R27" s="66"/>
      <c r="S27" s="66"/>
      <c r="T27" s="66"/>
    </row>
    <row r="28" spans="1:20">
      <c r="A28" s="66"/>
      <c r="B28" s="66"/>
      <c r="C28" s="66"/>
      <c r="D28" s="66"/>
      <c r="E28" s="66"/>
      <c r="F28" s="66"/>
      <c r="G28" s="66"/>
      <c r="H28" s="66"/>
      <c r="I28" s="66"/>
      <c r="J28" s="66"/>
      <c r="K28" s="66"/>
      <c r="L28" s="66"/>
      <c r="M28" s="66"/>
      <c r="N28" s="66"/>
      <c r="O28" s="66"/>
      <c r="P28" s="66"/>
      <c r="Q28" s="66"/>
      <c r="R28" s="66"/>
      <c r="S28" s="66"/>
      <c r="T28" s="66"/>
    </row>
    <row r="29" spans="1:20">
      <c r="A29" s="66"/>
      <c r="B29" s="66"/>
      <c r="C29" s="66"/>
      <c r="D29" s="66"/>
      <c r="E29" s="66"/>
      <c r="F29" s="66"/>
      <c r="G29" s="66"/>
      <c r="H29" s="66"/>
      <c r="I29" s="66"/>
      <c r="J29" s="66"/>
      <c r="K29" s="66"/>
      <c r="L29" s="66"/>
      <c r="M29" s="66"/>
      <c r="N29" s="66"/>
      <c r="O29" s="66"/>
      <c r="P29" s="66"/>
      <c r="Q29" s="66"/>
      <c r="R29" s="66"/>
      <c r="S29" s="66"/>
      <c r="T29" s="66"/>
    </row>
    <row r="30" spans="1:20">
      <c r="A30" s="66"/>
      <c r="B30" s="66"/>
      <c r="C30" s="66"/>
      <c r="D30" s="66"/>
      <c r="E30" s="66"/>
      <c r="F30" s="66"/>
      <c r="G30" s="66"/>
      <c r="H30" s="66"/>
      <c r="I30" s="66"/>
      <c r="J30" s="66"/>
      <c r="K30" s="66"/>
      <c r="L30" s="66"/>
      <c r="M30" s="66"/>
      <c r="N30" s="66"/>
      <c r="O30" s="66"/>
      <c r="P30" s="66"/>
      <c r="Q30" s="66"/>
      <c r="R30" s="66"/>
      <c r="S30" s="66"/>
      <c r="T30" s="66"/>
    </row>
    <row r="31" spans="1:20">
      <c r="A31" s="66"/>
      <c r="B31" s="66"/>
      <c r="C31" s="66"/>
      <c r="D31" s="66"/>
      <c r="E31" s="66"/>
      <c r="F31" s="66"/>
      <c r="G31" s="66"/>
      <c r="H31" s="66"/>
      <c r="I31" s="66"/>
      <c r="J31" s="66"/>
      <c r="K31" s="66"/>
      <c r="L31" s="66"/>
      <c r="M31" s="66"/>
      <c r="N31" s="66"/>
      <c r="O31" s="66"/>
      <c r="P31" s="66"/>
      <c r="Q31" s="66"/>
      <c r="R31" s="66"/>
      <c r="S31" s="66"/>
      <c r="T31" s="66"/>
    </row>
    <row r="32" spans="1:20">
      <c r="A32" s="66"/>
      <c r="B32" s="66"/>
      <c r="C32" s="66"/>
      <c r="D32" s="66"/>
      <c r="E32" s="66"/>
      <c r="F32" s="66"/>
      <c r="G32" s="66"/>
      <c r="H32" s="66"/>
      <c r="I32" s="66"/>
      <c r="J32" s="66"/>
      <c r="K32" s="66"/>
      <c r="L32" s="66"/>
      <c r="M32" s="66"/>
      <c r="N32" s="66"/>
      <c r="O32" s="66"/>
      <c r="P32" s="66"/>
      <c r="Q32" s="66"/>
      <c r="R32" s="66"/>
      <c r="S32" s="66"/>
      <c r="T32" s="66"/>
    </row>
    <row r="33" spans="1:20">
      <c r="A33" s="66"/>
      <c r="B33" s="66"/>
      <c r="C33" s="66"/>
      <c r="D33" s="66"/>
      <c r="E33" s="66"/>
      <c r="F33" s="66"/>
      <c r="G33" s="66"/>
      <c r="H33" s="66"/>
      <c r="I33" s="66"/>
      <c r="J33" s="66"/>
      <c r="K33" s="66"/>
      <c r="L33" s="66"/>
      <c r="M33" s="66"/>
      <c r="N33" s="66"/>
      <c r="O33" s="66"/>
      <c r="P33" s="66"/>
      <c r="Q33" s="66"/>
      <c r="R33" s="66"/>
      <c r="S33" s="66"/>
      <c r="T33" s="66"/>
    </row>
    <row r="34" spans="1:20">
      <c r="A34" s="66"/>
      <c r="B34" s="66"/>
      <c r="C34" s="66"/>
      <c r="D34" s="66"/>
      <c r="E34" s="66"/>
      <c r="F34" s="66"/>
      <c r="G34" s="66"/>
      <c r="H34" s="66"/>
      <c r="I34" s="66"/>
      <c r="J34" s="66"/>
      <c r="K34" s="66"/>
      <c r="L34" s="66"/>
      <c r="M34" s="66"/>
      <c r="N34" s="66"/>
      <c r="O34" s="66"/>
      <c r="P34" s="66"/>
      <c r="Q34" s="66"/>
      <c r="R34" s="66"/>
      <c r="S34" s="66"/>
      <c r="T34" s="66"/>
    </row>
    <row r="35" spans="1:20">
      <c r="A35" s="66"/>
      <c r="B35" s="66"/>
      <c r="C35" s="66"/>
      <c r="D35" s="66"/>
      <c r="E35" s="66"/>
      <c r="F35" s="66"/>
      <c r="G35" s="66"/>
      <c r="H35" s="66"/>
      <c r="I35" s="66"/>
      <c r="J35" s="66"/>
      <c r="K35" s="66"/>
      <c r="L35" s="66"/>
      <c r="M35" s="66"/>
      <c r="N35" s="66"/>
      <c r="O35" s="66"/>
      <c r="P35" s="66"/>
      <c r="Q35" s="66"/>
      <c r="R35" s="66"/>
      <c r="S35" s="66"/>
      <c r="T35" s="66"/>
    </row>
    <row r="36" spans="1:20">
      <c r="A36" s="66"/>
      <c r="B36" s="66"/>
      <c r="C36" s="66"/>
      <c r="D36" s="66"/>
      <c r="E36" s="66"/>
      <c r="F36" s="66"/>
      <c r="G36" s="66"/>
      <c r="H36" s="66"/>
      <c r="I36" s="66"/>
      <c r="J36" s="66"/>
      <c r="K36" s="66"/>
      <c r="L36" s="66"/>
      <c r="M36" s="66"/>
      <c r="N36" s="66"/>
      <c r="O36" s="66"/>
      <c r="P36" s="66"/>
      <c r="Q36" s="66"/>
      <c r="R36" s="66"/>
      <c r="S36" s="66"/>
      <c r="T36" s="66"/>
    </row>
    <row r="37" spans="1:20">
      <c r="A37" s="66"/>
      <c r="B37" s="66"/>
      <c r="C37" s="66"/>
      <c r="D37" s="66"/>
      <c r="E37" s="66"/>
      <c r="F37" s="66"/>
      <c r="G37" s="66"/>
      <c r="H37" s="66"/>
      <c r="I37" s="66"/>
      <c r="J37" s="66"/>
      <c r="K37" s="66"/>
      <c r="L37" s="66"/>
      <c r="M37" s="66"/>
      <c r="N37" s="66"/>
      <c r="O37" s="66"/>
      <c r="P37" s="66"/>
      <c r="Q37" s="66"/>
      <c r="R37" s="66"/>
      <c r="S37" s="66"/>
      <c r="T37" s="66"/>
    </row>
    <row r="38" spans="1:20">
      <c r="A38" s="66"/>
      <c r="B38" s="66"/>
      <c r="C38" s="66"/>
      <c r="D38" s="66"/>
      <c r="E38" s="66"/>
      <c r="F38" s="66"/>
      <c r="G38" s="66"/>
      <c r="H38" s="66"/>
      <c r="I38" s="66"/>
      <c r="J38" s="66"/>
      <c r="K38" s="66"/>
      <c r="L38" s="66"/>
      <c r="M38" s="66"/>
      <c r="N38" s="66"/>
      <c r="O38" s="66"/>
      <c r="P38" s="66"/>
      <c r="Q38" s="66"/>
      <c r="R38" s="66"/>
      <c r="S38" s="66"/>
      <c r="T38" s="66"/>
    </row>
    <row r="39" spans="1:20">
      <c r="A39" s="66"/>
      <c r="B39" s="66"/>
      <c r="C39" s="66"/>
      <c r="D39" s="66"/>
      <c r="E39" s="66"/>
      <c r="F39" s="66"/>
      <c r="G39" s="66"/>
      <c r="H39" s="66"/>
      <c r="I39" s="66"/>
      <c r="J39" s="66"/>
      <c r="K39" s="66"/>
      <c r="L39" s="66"/>
      <c r="M39" s="66"/>
      <c r="N39" s="66"/>
      <c r="O39" s="66"/>
      <c r="P39" s="66"/>
      <c r="Q39" s="66"/>
      <c r="R39" s="66"/>
      <c r="S39" s="66"/>
      <c r="T39" s="66"/>
    </row>
    <row r="40" spans="1:20">
      <c r="A40" s="66"/>
      <c r="B40" s="66"/>
      <c r="C40" s="66"/>
      <c r="D40" s="66"/>
      <c r="E40" s="66"/>
      <c r="F40" s="66"/>
      <c r="G40" s="66"/>
      <c r="H40" s="66"/>
      <c r="I40" s="66"/>
      <c r="J40" s="66"/>
      <c r="K40" s="66"/>
      <c r="L40" s="66"/>
      <c r="M40" s="66"/>
      <c r="N40" s="66"/>
      <c r="O40" s="66"/>
      <c r="P40" s="66"/>
      <c r="Q40" s="66"/>
      <c r="R40" s="66"/>
      <c r="S40" s="66"/>
      <c r="T40" s="66"/>
    </row>
    <row r="41" spans="1:20">
      <c r="A41" s="66"/>
      <c r="B41" s="66"/>
      <c r="C41" s="66"/>
      <c r="D41" s="66"/>
      <c r="E41" s="66"/>
      <c r="F41" s="66"/>
      <c r="G41" s="66"/>
      <c r="H41" s="66"/>
      <c r="I41" s="66"/>
      <c r="J41" s="66"/>
      <c r="K41" s="66"/>
      <c r="L41" s="66"/>
      <c r="M41" s="66"/>
      <c r="N41" s="66"/>
      <c r="O41" s="66"/>
      <c r="P41" s="66"/>
      <c r="Q41" s="66"/>
      <c r="R41" s="66"/>
      <c r="S41" s="66"/>
      <c r="T41" s="66"/>
    </row>
    <row r="42" spans="1:20">
      <c r="A42" s="66"/>
      <c r="B42" s="66"/>
      <c r="C42" s="66"/>
      <c r="D42" s="66"/>
      <c r="E42" s="66"/>
      <c r="F42" s="66"/>
      <c r="G42" s="66"/>
      <c r="H42" s="66"/>
      <c r="I42" s="66"/>
      <c r="J42" s="66"/>
      <c r="K42" s="66"/>
      <c r="L42" s="66"/>
      <c r="M42" s="66"/>
      <c r="N42" s="66"/>
      <c r="O42" s="66"/>
      <c r="P42" s="66"/>
      <c r="Q42" s="66"/>
      <c r="R42" s="66"/>
      <c r="S42" s="66"/>
      <c r="T42" s="6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44E1-A2CE-48B0-8FFB-B4A1B00F6B65}">
  <sheetPr codeName="Sheet32"/>
  <dimension ref="A1:R37"/>
  <sheetViews>
    <sheetView topLeftCell="A13" workbookViewId="0">
      <selection activeCell="J27" sqref="J27"/>
    </sheetView>
  </sheetViews>
  <sheetFormatPr defaultRowHeight="15"/>
  <cols>
    <col min="2" max="2" width="5.77734375" customWidth="1"/>
    <col min="3" max="3" width="8.88671875" bestFit="1" customWidth="1"/>
    <col min="4" max="4" width="10.88671875" customWidth="1"/>
    <col min="5" max="7" width="8.88671875" bestFit="1" customWidth="1"/>
    <col min="8" max="8" width="8.88671875" customWidth="1"/>
    <col min="9" max="9" width="8.88671875" bestFit="1" customWidth="1"/>
    <col min="10" max="10" width="14.21875" customWidth="1"/>
    <col min="11" max="12" width="2.88671875" customWidth="1"/>
    <col min="13" max="13" width="10.6640625" customWidth="1"/>
  </cols>
  <sheetData>
    <row r="1" spans="1:18" ht="15.75">
      <c r="A1" s="248" t="s">
        <v>128</v>
      </c>
      <c r="B1" s="248"/>
      <c r="C1" s="248"/>
      <c r="D1" s="248"/>
      <c r="E1" s="248"/>
      <c r="F1" s="248"/>
      <c r="G1" s="248"/>
      <c r="H1" s="248"/>
      <c r="I1" s="248"/>
      <c r="J1" s="248"/>
      <c r="K1" s="207"/>
      <c r="L1" s="207"/>
      <c r="M1" s="207"/>
      <c r="N1" s="291"/>
      <c r="O1" s="291"/>
      <c r="P1" s="291"/>
      <c r="Q1" s="291"/>
      <c r="R1" s="291"/>
    </row>
    <row r="2" spans="1:18" ht="15.75">
      <c r="A2" s="248" t="s">
        <v>1059</v>
      </c>
      <c r="B2" s="248"/>
      <c r="C2" s="248"/>
      <c r="D2" s="248"/>
      <c r="E2" s="248"/>
      <c r="F2" s="248"/>
      <c r="G2" s="248"/>
      <c r="H2" s="248"/>
      <c r="I2" s="248"/>
      <c r="J2" s="248"/>
      <c r="K2" s="207"/>
      <c r="L2" s="207"/>
      <c r="M2" s="207"/>
      <c r="N2" s="291"/>
      <c r="O2" s="291"/>
      <c r="P2" s="291"/>
      <c r="Q2" s="291"/>
      <c r="R2" s="291"/>
    </row>
    <row r="3" spans="1:18" ht="15.75">
      <c r="A3" s="248"/>
      <c r="B3" s="248"/>
      <c r="C3" s="248"/>
      <c r="D3" s="248"/>
      <c r="E3" s="248"/>
      <c r="F3" s="248"/>
      <c r="G3" s="248"/>
      <c r="H3" s="248"/>
      <c r="I3" s="248"/>
      <c r="J3" s="248"/>
      <c r="K3" s="207"/>
      <c r="L3" s="207"/>
      <c r="M3" s="207"/>
      <c r="N3" s="291"/>
      <c r="O3" s="291"/>
      <c r="P3" s="291"/>
      <c r="Q3" s="291"/>
      <c r="R3" s="291"/>
    </row>
    <row r="4" spans="1:18" ht="15.75">
      <c r="A4" s="207"/>
      <c r="B4" s="207"/>
      <c r="C4" s="207"/>
      <c r="D4" s="207"/>
      <c r="E4" s="207"/>
      <c r="F4" s="207"/>
      <c r="G4" s="207"/>
      <c r="H4" s="207"/>
      <c r="I4" s="207"/>
      <c r="J4" s="207"/>
      <c r="K4" s="207"/>
      <c r="L4" s="207"/>
      <c r="M4" s="207"/>
      <c r="N4" s="291"/>
      <c r="O4" s="291"/>
      <c r="P4" s="291"/>
      <c r="Q4" s="291"/>
      <c r="R4" s="291"/>
    </row>
    <row r="5" spans="1:18" ht="15.75">
      <c r="A5" s="207"/>
      <c r="B5" s="207"/>
      <c r="C5" s="207"/>
      <c r="D5" s="207"/>
      <c r="E5" s="207"/>
      <c r="F5" s="207"/>
      <c r="G5" s="207"/>
      <c r="H5" s="207"/>
      <c r="I5" s="207"/>
      <c r="J5" s="207"/>
      <c r="K5" s="207"/>
      <c r="L5" s="207"/>
      <c r="M5" s="207"/>
      <c r="N5" s="291"/>
      <c r="O5" s="291"/>
      <c r="P5" s="291"/>
      <c r="Q5" s="291"/>
      <c r="R5" s="291"/>
    </row>
    <row r="6" spans="1:18" ht="15.75">
      <c r="A6" s="207"/>
      <c r="B6" s="207"/>
      <c r="C6" s="246"/>
      <c r="D6" s="246"/>
      <c r="E6" s="246"/>
      <c r="F6" s="207"/>
      <c r="G6" s="207"/>
      <c r="H6" s="207"/>
      <c r="I6" s="207"/>
      <c r="J6" s="207"/>
      <c r="K6" s="207"/>
      <c r="L6" s="207"/>
      <c r="M6" s="207"/>
      <c r="N6" s="291"/>
      <c r="O6" s="291"/>
      <c r="P6" s="291"/>
      <c r="Q6" s="291"/>
      <c r="R6" s="291"/>
    </row>
    <row r="7" spans="1:18" ht="15.75">
      <c r="A7" s="207"/>
      <c r="B7" s="207"/>
      <c r="C7" s="246"/>
      <c r="D7" s="246"/>
      <c r="E7" s="246"/>
      <c r="F7" s="248" t="s">
        <v>1060</v>
      </c>
      <c r="G7" s="248"/>
      <c r="H7" s="248"/>
      <c r="I7" s="248"/>
      <c r="J7" s="246"/>
      <c r="K7" s="207"/>
      <c r="L7" s="207"/>
      <c r="M7" s="207"/>
      <c r="N7" s="291"/>
      <c r="O7" s="291"/>
      <c r="P7" s="291"/>
      <c r="Q7" s="291"/>
      <c r="R7" s="291"/>
    </row>
    <row r="8" spans="1:18" ht="30">
      <c r="A8" s="207"/>
      <c r="B8" s="207"/>
      <c r="C8" s="246" t="s">
        <v>1061</v>
      </c>
      <c r="D8" s="246" t="s">
        <v>1054</v>
      </c>
      <c r="E8" s="246" t="s">
        <v>1052</v>
      </c>
      <c r="F8" s="246" t="s">
        <v>1061</v>
      </c>
      <c r="G8" s="246" t="s">
        <v>1062</v>
      </c>
      <c r="H8" s="292" t="s">
        <v>1063</v>
      </c>
      <c r="I8" s="246" t="s">
        <v>1064</v>
      </c>
      <c r="J8" s="246" t="s">
        <v>1065</v>
      </c>
      <c r="K8" s="207"/>
      <c r="L8" s="207"/>
      <c r="M8" s="292" t="s">
        <v>1066</v>
      </c>
      <c r="N8" s="291"/>
      <c r="O8" s="291"/>
      <c r="P8" s="291"/>
      <c r="Q8" s="291"/>
      <c r="R8" s="291"/>
    </row>
    <row r="9" spans="1:18" ht="15.75">
      <c r="A9" s="207" t="s">
        <v>1056</v>
      </c>
      <c r="B9" s="293"/>
      <c r="C9" s="293">
        <v>722.07</v>
      </c>
      <c r="D9" s="293">
        <v>1588396.28</v>
      </c>
      <c r="E9" s="293"/>
      <c r="F9" s="293">
        <v>145.69999999999999</v>
      </c>
      <c r="G9" s="293"/>
      <c r="H9" s="293">
        <v>19.03</v>
      </c>
      <c r="I9" s="293">
        <v>50.15</v>
      </c>
      <c r="J9" s="293">
        <v>1391370.43</v>
      </c>
      <c r="K9" s="207"/>
      <c r="L9" s="207"/>
      <c r="M9" s="293">
        <f>(C9*$C$23)+(D9*$D$23)+F9+H9+I9+(J9*$J$23)</f>
        <v>78104.5513297</v>
      </c>
      <c r="N9" s="291"/>
      <c r="O9" s="291"/>
      <c r="P9" s="291"/>
      <c r="Q9" s="291"/>
      <c r="R9" s="291"/>
    </row>
    <row r="10" spans="1:18" ht="15.75">
      <c r="A10" s="207" t="s">
        <v>1020</v>
      </c>
      <c r="B10" s="293"/>
      <c r="C10" s="293">
        <v>1029.94</v>
      </c>
      <c r="D10" s="293">
        <v>1555824.77</v>
      </c>
      <c r="E10" s="293"/>
      <c r="F10" s="207">
        <v>177.45</v>
      </c>
      <c r="G10" s="207"/>
      <c r="H10" s="207">
        <v>29.05</v>
      </c>
      <c r="I10" s="293">
        <v>56.1</v>
      </c>
      <c r="J10" s="293">
        <v>1381275.71</v>
      </c>
      <c r="K10" s="207"/>
      <c r="L10" s="207"/>
      <c r="M10" s="293">
        <f t="shared" ref="M10:M20" si="0">(C10*$C$23)+(D10*$D$23)+F10+H10+I10+(J10*$J$23)</f>
        <v>77220.310052399989</v>
      </c>
      <c r="N10" s="291"/>
      <c r="O10" s="291"/>
      <c r="P10" s="291"/>
      <c r="Q10" s="291"/>
      <c r="R10" s="291"/>
    </row>
    <row r="11" spans="1:18" ht="15.75">
      <c r="A11" s="207" t="s">
        <v>1006</v>
      </c>
      <c r="B11" s="293"/>
      <c r="C11" s="293">
        <v>924.86</v>
      </c>
      <c r="D11" s="293">
        <v>1539451.73</v>
      </c>
      <c r="E11" s="293"/>
      <c r="F11" s="207">
        <v>60.12</v>
      </c>
      <c r="G11" s="207"/>
      <c r="H11" s="207">
        <v>27.21</v>
      </c>
      <c r="I11" s="293"/>
      <c r="J11" s="293">
        <v>1389750.79</v>
      </c>
      <c r="K11" s="207"/>
      <c r="L11" s="207"/>
      <c r="M11" s="293">
        <f t="shared" si="0"/>
        <v>77063.119805599999</v>
      </c>
      <c r="N11" s="291"/>
      <c r="O11" s="291"/>
      <c r="P11" s="291"/>
      <c r="Q11" s="291"/>
      <c r="R11" s="291"/>
    </row>
    <row r="12" spans="1:18" ht="15.75">
      <c r="A12" s="207" t="s">
        <v>1007</v>
      </c>
      <c r="B12" s="293"/>
      <c r="C12" s="293">
        <v>455.87</v>
      </c>
      <c r="D12" s="293">
        <v>1620696.83</v>
      </c>
      <c r="E12" s="293"/>
      <c r="F12" s="293">
        <v>29.63</v>
      </c>
      <c r="G12" s="293"/>
      <c r="H12" s="293">
        <v>13.47</v>
      </c>
      <c r="I12" s="293"/>
      <c r="J12" s="293">
        <v>1431883.09</v>
      </c>
      <c r="K12" s="207"/>
      <c r="L12" s="207"/>
      <c r="M12" s="293">
        <f t="shared" si="0"/>
        <v>79955.232912700012</v>
      </c>
      <c r="N12" s="291"/>
      <c r="O12" s="291"/>
      <c r="P12" s="291"/>
      <c r="Q12" s="291"/>
      <c r="R12" s="291"/>
    </row>
    <row r="13" spans="1:18" ht="15.75">
      <c r="A13" s="207" t="s">
        <v>1008</v>
      </c>
      <c r="B13" s="293"/>
      <c r="C13" s="293">
        <v>1271.48</v>
      </c>
      <c r="D13" s="293">
        <v>1613946.24</v>
      </c>
      <c r="E13" s="293"/>
      <c r="F13" s="207">
        <v>82.65</v>
      </c>
      <c r="G13" s="207"/>
      <c r="H13" s="207">
        <v>38.21</v>
      </c>
      <c r="I13" s="293"/>
      <c r="J13" s="293">
        <v>1455569.18</v>
      </c>
      <c r="K13" s="207"/>
      <c r="L13" s="207"/>
      <c r="M13" s="293">
        <f t="shared" si="0"/>
        <v>80771.398350799995</v>
      </c>
      <c r="N13" s="291"/>
      <c r="O13" s="291"/>
      <c r="P13" s="291"/>
      <c r="Q13" s="291"/>
      <c r="R13" s="291"/>
    </row>
    <row r="14" spans="1:18" ht="15.75">
      <c r="A14" s="207" t="s">
        <v>1009</v>
      </c>
      <c r="B14" s="293"/>
      <c r="C14" s="293">
        <v>1348.45</v>
      </c>
      <c r="D14" s="293">
        <v>1647061.11</v>
      </c>
      <c r="E14" s="293"/>
      <c r="F14" s="207">
        <v>234.4</v>
      </c>
      <c r="G14" s="207"/>
      <c r="H14" s="207">
        <v>33.61</v>
      </c>
      <c r="I14" s="293">
        <v>74.5</v>
      </c>
      <c r="J14" s="293">
        <v>1465822.13</v>
      </c>
      <c r="K14" s="207"/>
      <c r="L14" s="207"/>
      <c r="M14" s="293">
        <f t="shared" si="0"/>
        <v>81942.027304500007</v>
      </c>
      <c r="N14" s="291"/>
      <c r="O14" s="291"/>
      <c r="P14" s="291"/>
      <c r="Q14" s="291"/>
      <c r="R14" s="291"/>
    </row>
    <row r="15" spans="1:18" ht="15.75">
      <c r="A15" s="207" t="s">
        <v>1010</v>
      </c>
      <c r="B15" s="293"/>
      <c r="C15" s="293">
        <v>799.59</v>
      </c>
      <c r="D15" s="293">
        <v>1690150.07</v>
      </c>
      <c r="E15" s="293"/>
      <c r="F15" s="207">
        <v>51.97</v>
      </c>
      <c r="G15" s="207"/>
      <c r="H15" s="207">
        <v>19.079999999999998</v>
      </c>
      <c r="I15" s="293"/>
      <c r="J15" s="293">
        <v>1506531.26</v>
      </c>
      <c r="K15" s="207"/>
      <c r="L15" s="207"/>
      <c r="M15" s="293">
        <f t="shared" si="0"/>
        <v>83887.567653900012</v>
      </c>
      <c r="N15" s="291"/>
      <c r="O15" s="291"/>
      <c r="P15" s="291"/>
      <c r="Q15" s="291"/>
      <c r="R15" s="291"/>
    </row>
    <row r="16" spans="1:18" ht="15.75">
      <c r="A16" s="207" t="s">
        <v>1011</v>
      </c>
      <c r="B16" s="293"/>
      <c r="C16" s="293">
        <v>589.85</v>
      </c>
      <c r="D16" s="293">
        <v>1586246.37</v>
      </c>
      <c r="E16" s="293"/>
      <c r="F16" s="207">
        <v>38.340000000000003</v>
      </c>
      <c r="G16" s="207"/>
      <c r="H16" s="207">
        <v>17.47</v>
      </c>
      <c r="I16" s="293"/>
      <c r="J16" s="293">
        <v>1403768.96</v>
      </c>
      <c r="K16" s="207"/>
      <c r="L16" s="207"/>
      <c r="M16" s="293">
        <f t="shared" si="0"/>
        <v>78353.582228500003</v>
      </c>
      <c r="N16" s="291"/>
      <c r="O16" s="291"/>
      <c r="P16" s="291"/>
      <c r="Q16" s="291"/>
      <c r="R16" s="291"/>
    </row>
    <row r="17" spans="1:18" ht="15.75">
      <c r="A17" s="207" t="s">
        <v>1012</v>
      </c>
      <c r="B17" s="293"/>
      <c r="C17" s="293">
        <v>668.55</v>
      </c>
      <c r="D17" s="293">
        <v>1804123.28</v>
      </c>
      <c r="E17" s="293"/>
      <c r="F17" s="207">
        <v>43.46</v>
      </c>
      <c r="G17" s="207"/>
      <c r="H17" s="207">
        <v>19.600000000000001</v>
      </c>
      <c r="I17" s="293"/>
      <c r="J17" s="293">
        <v>1602939.23</v>
      </c>
      <c r="K17" s="207"/>
      <c r="L17" s="207"/>
      <c r="M17" s="293">
        <f t="shared" si="0"/>
        <v>89344.178550500001</v>
      </c>
      <c r="N17" s="291"/>
      <c r="O17" s="291"/>
      <c r="P17" s="291"/>
      <c r="Q17" s="291"/>
      <c r="R17" s="291"/>
    </row>
    <row r="18" spans="1:18" ht="15.75">
      <c r="A18" s="207" t="s">
        <v>1013</v>
      </c>
      <c r="B18" s="293"/>
      <c r="C18" s="293">
        <v>542.27</v>
      </c>
      <c r="D18" s="293">
        <v>1519687.13</v>
      </c>
      <c r="E18" s="293"/>
      <c r="F18" s="207">
        <v>35.25</v>
      </c>
      <c r="G18" s="207"/>
      <c r="H18" s="207">
        <v>16.739999999999998</v>
      </c>
      <c r="I18" s="293"/>
      <c r="J18" s="293">
        <v>1346722.28</v>
      </c>
      <c r="K18" s="207"/>
      <c r="L18" s="207"/>
      <c r="M18" s="293">
        <f t="shared" si="0"/>
        <v>75131.070946699998</v>
      </c>
      <c r="N18" s="291"/>
      <c r="O18" s="291"/>
      <c r="P18" s="291"/>
      <c r="Q18" s="291"/>
      <c r="R18" s="291"/>
    </row>
    <row r="19" spans="1:18" ht="15.75">
      <c r="A19" s="207" t="s">
        <v>1014</v>
      </c>
      <c r="B19" s="293"/>
      <c r="C19" s="293">
        <v>911.09</v>
      </c>
      <c r="D19" s="293">
        <v>1635262.46</v>
      </c>
      <c r="E19" s="293"/>
      <c r="F19" s="207">
        <v>59.22</v>
      </c>
      <c r="G19" s="207"/>
      <c r="H19" s="207">
        <v>27.93</v>
      </c>
      <c r="I19" s="293"/>
      <c r="J19" s="293">
        <v>1442779.3</v>
      </c>
      <c r="K19" s="207"/>
      <c r="L19" s="207"/>
      <c r="M19" s="293">
        <f t="shared" si="0"/>
        <v>80648.589083900006</v>
      </c>
      <c r="N19" s="291"/>
      <c r="O19" s="291"/>
      <c r="P19" s="291"/>
      <c r="Q19" s="291"/>
      <c r="R19" s="291"/>
    </row>
    <row r="20" spans="1:18" ht="15.75">
      <c r="A20" s="207" t="s">
        <v>1015</v>
      </c>
      <c r="B20" s="293"/>
      <c r="C20" s="267">
        <v>520.15</v>
      </c>
      <c r="D20" s="267">
        <v>1838641.94</v>
      </c>
      <c r="E20" s="267"/>
      <c r="F20" s="268">
        <v>33.81</v>
      </c>
      <c r="G20" s="268"/>
      <c r="H20" s="268">
        <v>14.42</v>
      </c>
      <c r="I20" s="267"/>
      <c r="J20" s="267">
        <v>1626382.51</v>
      </c>
      <c r="K20" s="207"/>
      <c r="L20" s="207"/>
      <c r="M20" s="267">
        <f t="shared" si="0"/>
        <v>90776.684216499998</v>
      </c>
      <c r="N20" s="291"/>
      <c r="O20" s="291"/>
      <c r="P20" s="291"/>
      <c r="Q20" s="291"/>
      <c r="R20" s="291"/>
    </row>
    <row r="21" spans="1:18" ht="15.75">
      <c r="A21" s="207"/>
      <c r="B21" s="293"/>
      <c r="C21" s="293">
        <f t="shared" ref="C21:I21" si="1">SUM(C9:C20)</f>
        <v>9784.17</v>
      </c>
      <c r="D21" s="293">
        <f t="shared" si="1"/>
        <v>19639488.210000001</v>
      </c>
      <c r="E21" s="293">
        <f t="shared" si="1"/>
        <v>0</v>
      </c>
      <c r="F21" s="293">
        <f t="shared" si="1"/>
        <v>992</v>
      </c>
      <c r="G21" s="293">
        <f t="shared" si="1"/>
        <v>0</v>
      </c>
      <c r="H21" s="293">
        <f t="shared" si="1"/>
        <v>275.82</v>
      </c>
      <c r="I21" s="293">
        <f t="shared" si="1"/>
        <v>180.75</v>
      </c>
      <c r="J21" s="293">
        <f>SUM(J9:J20)</f>
        <v>17444794.869999997</v>
      </c>
      <c r="K21" s="207"/>
      <c r="L21" s="207"/>
      <c r="M21" s="293">
        <f>SUM(M9:M20)</f>
        <v>973198.31243570009</v>
      </c>
      <c r="N21" s="291"/>
      <c r="O21" s="291"/>
      <c r="P21" s="291"/>
      <c r="Q21" s="291"/>
      <c r="R21" s="291"/>
    </row>
    <row r="22" spans="1:18" ht="15.75">
      <c r="A22" s="207"/>
      <c r="B22" s="207"/>
      <c r="C22" s="207"/>
      <c r="D22" s="207"/>
      <c r="E22" s="207"/>
      <c r="F22" s="207"/>
      <c r="G22" s="207"/>
      <c r="H22" s="207"/>
      <c r="I22" s="207"/>
      <c r="J22" s="207"/>
      <c r="K22" s="207"/>
      <c r="L22" s="207"/>
      <c r="M22" s="207"/>
      <c r="N22" s="291"/>
      <c r="O22" s="291"/>
      <c r="P22" s="291"/>
      <c r="Q22" s="291"/>
      <c r="R22" s="291"/>
    </row>
    <row r="23" spans="1:18" ht="15.75">
      <c r="A23" s="207" t="s">
        <v>58</v>
      </c>
      <c r="B23" s="207"/>
      <c r="C23" s="294">
        <v>4.7099999999999998E-3</v>
      </c>
      <c r="D23" s="294">
        <v>1.7500000000000002E-2</v>
      </c>
      <c r="E23" s="294">
        <v>4.8399999999999997E-3</v>
      </c>
      <c r="F23" s="294"/>
      <c r="G23" s="294"/>
      <c r="H23" s="294"/>
      <c r="I23" s="294"/>
      <c r="J23" s="294">
        <v>3.5999999999999997E-2</v>
      </c>
      <c r="K23" s="207"/>
      <c r="L23" s="207"/>
      <c r="M23" s="207"/>
      <c r="N23" s="291"/>
      <c r="O23" s="291"/>
      <c r="P23" s="291"/>
      <c r="Q23" s="291"/>
      <c r="R23" s="291"/>
    </row>
    <row r="24" spans="1:18" ht="15.75">
      <c r="A24" s="207" t="s">
        <v>1067</v>
      </c>
      <c r="B24" s="207"/>
      <c r="C24" s="293">
        <f>+C21*C23</f>
        <v>46.083440699999997</v>
      </c>
      <c r="D24" s="293">
        <f>+D21*D23</f>
        <v>343691.04367500002</v>
      </c>
      <c r="E24" s="293">
        <f>+E21*E23</f>
        <v>0</v>
      </c>
      <c r="F24" s="293">
        <f>+F21</f>
        <v>992</v>
      </c>
      <c r="G24" s="293">
        <f>+G21</f>
        <v>0</v>
      </c>
      <c r="H24" s="293">
        <f>H21</f>
        <v>275.82</v>
      </c>
      <c r="I24" s="293">
        <f>+I21</f>
        <v>180.75</v>
      </c>
      <c r="J24" s="293">
        <f>+J21*J23</f>
        <v>628012.61531999987</v>
      </c>
      <c r="K24" s="207"/>
      <c r="L24" s="207"/>
      <c r="M24" s="207"/>
      <c r="N24" s="291"/>
      <c r="O24" s="291"/>
      <c r="P24" s="291"/>
      <c r="Q24" s="291"/>
      <c r="R24" s="291"/>
    </row>
    <row r="25" spans="1:18" ht="15.75">
      <c r="A25" s="207"/>
      <c r="B25" s="207"/>
      <c r="C25" s="207"/>
      <c r="D25" s="207"/>
      <c r="E25" s="207"/>
      <c r="F25" s="207"/>
      <c r="G25" s="207"/>
      <c r="H25" s="207"/>
      <c r="I25" s="207"/>
      <c r="J25" s="207"/>
      <c r="K25" s="207"/>
      <c r="L25" s="207"/>
      <c r="M25" s="207"/>
      <c r="N25" s="291"/>
      <c r="O25" s="291"/>
      <c r="P25" s="291"/>
      <c r="Q25" s="291"/>
      <c r="R25" s="291"/>
    </row>
    <row r="26" spans="1:18" ht="15.75">
      <c r="A26" s="207" t="s">
        <v>1057</v>
      </c>
      <c r="B26" s="207"/>
      <c r="C26" s="207"/>
      <c r="D26" s="293">
        <f>J26+'[4]City of Everett'!E24</f>
        <v>1825996.1340599998</v>
      </c>
      <c r="E26" s="207"/>
      <c r="F26" s="207"/>
      <c r="G26" s="207"/>
      <c r="H26" s="207"/>
      <c r="I26" s="207"/>
      <c r="J26" s="293">
        <f>+J24</f>
        <v>628012.61531999987</v>
      </c>
      <c r="K26" s="207"/>
      <c r="L26" s="207"/>
      <c r="M26" s="293"/>
      <c r="N26" s="291"/>
      <c r="O26" s="291"/>
      <c r="P26" s="291"/>
      <c r="Q26" s="291"/>
      <c r="R26" s="291"/>
    </row>
    <row r="27" spans="1:18" ht="15.75">
      <c r="A27" s="291"/>
      <c r="B27" s="291"/>
      <c r="C27" s="291"/>
      <c r="D27" s="291"/>
      <c r="E27" s="291"/>
      <c r="F27" s="291"/>
      <c r="G27" s="291"/>
      <c r="H27" s="291"/>
      <c r="I27" s="291"/>
      <c r="J27" s="291"/>
      <c r="K27" s="291"/>
      <c r="L27" s="291"/>
      <c r="M27" s="291"/>
      <c r="N27" s="291"/>
      <c r="O27" s="291"/>
      <c r="P27" s="291"/>
      <c r="Q27" s="291"/>
      <c r="R27" s="291"/>
    </row>
    <row r="28" spans="1:18" ht="15.75">
      <c r="A28" s="291"/>
      <c r="B28" s="291"/>
      <c r="C28" s="291"/>
      <c r="D28" s="291"/>
      <c r="E28" s="291"/>
      <c r="F28" s="291"/>
      <c r="G28" s="291"/>
      <c r="H28" s="291"/>
      <c r="I28" s="291"/>
      <c r="J28" s="291"/>
      <c r="K28" s="291"/>
      <c r="L28" s="291"/>
      <c r="M28" s="291"/>
      <c r="N28" s="291"/>
      <c r="O28" s="291"/>
      <c r="P28" s="291"/>
      <c r="Q28" s="291"/>
      <c r="R28" s="291"/>
    </row>
    <row r="29" spans="1:18" ht="15.75">
      <c r="A29" s="291"/>
      <c r="B29" s="291"/>
      <c r="C29" s="291"/>
      <c r="D29" s="291"/>
      <c r="E29" s="291"/>
      <c r="F29" s="291"/>
      <c r="G29" s="291"/>
      <c r="H29" s="291"/>
      <c r="I29" s="291"/>
      <c r="J29" s="291"/>
      <c r="K29" s="291"/>
      <c r="L29" s="291"/>
      <c r="M29" s="291"/>
      <c r="N29" s="291"/>
      <c r="O29" s="291"/>
      <c r="P29" s="291"/>
      <c r="Q29" s="291"/>
      <c r="R29" s="291"/>
    </row>
    <row r="30" spans="1:18" ht="15.75">
      <c r="A30" s="291"/>
      <c r="B30" s="291"/>
      <c r="C30" s="291"/>
      <c r="D30" s="291"/>
      <c r="E30" s="291"/>
      <c r="F30" s="291"/>
      <c r="G30" s="291"/>
      <c r="H30" s="291"/>
      <c r="I30" s="291"/>
      <c r="J30" s="291"/>
      <c r="K30" s="291"/>
      <c r="L30" s="291"/>
      <c r="M30" s="291"/>
      <c r="N30" s="291"/>
      <c r="O30" s="291"/>
      <c r="P30" s="291"/>
      <c r="Q30" s="291"/>
      <c r="R30" s="291"/>
    </row>
    <row r="31" spans="1:18" ht="15.75">
      <c r="A31" s="291"/>
      <c r="B31" s="291"/>
      <c r="C31" s="291"/>
      <c r="D31" s="291"/>
      <c r="E31" s="291"/>
      <c r="F31" s="291"/>
      <c r="G31" s="291"/>
      <c r="H31" s="291"/>
      <c r="I31" s="291"/>
      <c r="J31" s="291"/>
      <c r="K31" s="291"/>
      <c r="L31" s="291"/>
      <c r="M31" s="291"/>
      <c r="N31" s="291"/>
      <c r="O31" s="291"/>
      <c r="P31" s="291"/>
      <c r="Q31" s="291"/>
      <c r="R31" s="291"/>
    </row>
    <row r="32" spans="1:18" ht="15.75">
      <c r="A32" s="291"/>
      <c r="B32" s="291"/>
      <c r="C32" s="291"/>
      <c r="D32" s="291"/>
      <c r="E32" s="291"/>
      <c r="F32" s="291"/>
      <c r="G32" s="291"/>
      <c r="H32" s="291"/>
      <c r="I32" s="291"/>
      <c r="J32" s="291"/>
      <c r="K32" s="291"/>
      <c r="L32" s="291"/>
      <c r="M32" s="291"/>
      <c r="N32" s="291"/>
      <c r="O32" s="291"/>
      <c r="P32" s="291"/>
      <c r="Q32" s="291"/>
      <c r="R32" s="291"/>
    </row>
    <row r="33" spans="1:18" ht="15.75">
      <c r="A33" s="291"/>
      <c r="B33" s="291"/>
      <c r="C33" s="291"/>
      <c r="D33" s="291"/>
      <c r="E33" s="291"/>
      <c r="F33" s="291"/>
      <c r="G33" s="291"/>
      <c r="H33" s="291"/>
      <c r="I33" s="291"/>
      <c r="J33" s="291"/>
      <c r="K33" s="291"/>
      <c r="L33" s="291"/>
      <c r="M33" s="291"/>
      <c r="N33" s="291"/>
      <c r="O33" s="291"/>
      <c r="P33" s="291"/>
      <c r="Q33" s="291"/>
      <c r="R33" s="291"/>
    </row>
    <row r="34" spans="1:18" ht="15.75">
      <c r="A34" s="291"/>
      <c r="B34" s="291"/>
      <c r="C34" s="291"/>
      <c r="D34" s="291"/>
      <c r="E34" s="291"/>
      <c r="F34" s="291"/>
      <c r="G34" s="291"/>
      <c r="H34" s="291"/>
      <c r="I34" s="291"/>
      <c r="J34" s="291"/>
      <c r="K34" s="291"/>
      <c r="L34" s="291"/>
      <c r="M34" s="291"/>
      <c r="N34" s="291"/>
      <c r="O34" s="291"/>
      <c r="P34" s="291"/>
      <c r="Q34" s="291"/>
      <c r="R34" s="291"/>
    </row>
    <row r="35" spans="1:18" ht="15.75">
      <c r="A35" s="291"/>
      <c r="B35" s="291"/>
      <c r="C35" s="291"/>
      <c r="D35" s="291"/>
      <c r="E35" s="291"/>
      <c r="F35" s="291"/>
      <c r="G35" s="291"/>
      <c r="H35" s="291"/>
      <c r="I35" s="291"/>
      <c r="J35" s="291"/>
      <c r="K35" s="291"/>
      <c r="L35" s="291"/>
      <c r="M35" s="291"/>
      <c r="N35" s="291"/>
      <c r="O35" s="291"/>
      <c r="P35" s="291"/>
      <c r="Q35" s="291"/>
      <c r="R35" s="291"/>
    </row>
    <row r="36" spans="1:18" ht="15.75">
      <c r="A36" s="291"/>
      <c r="B36" s="291"/>
      <c r="C36" s="291"/>
      <c r="D36" s="291"/>
      <c r="E36" s="291"/>
      <c r="F36" s="291"/>
      <c r="G36" s="291"/>
      <c r="H36" s="291"/>
      <c r="I36" s="291"/>
      <c r="J36" s="291"/>
      <c r="K36" s="291"/>
      <c r="L36" s="291"/>
      <c r="M36" s="291"/>
      <c r="N36" s="291"/>
      <c r="O36" s="291"/>
      <c r="P36" s="291"/>
      <c r="Q36" s="291"/>
      <c r="R36" s="291"/>
    </row>
    <row r="37" spans="1:18" ht="15.75">
      <c r="A37" s="291"/>
      <c r="B37" s="291"/>
      <c r="C37" s="291"/>
      <c r="D37" s="291"/>
      <c r="E37" s="291"/>
      <c r="F37" s="291"/>
      <c r="G37" s="291"/>
      <c r="H37" s="291"/>
      <c r="I37" s="291"/>
      <c r="J37" s="291"/>
      <c r="K37" s="291"/>
      <c r="L37" s="291"/>
      <c r="M37" s="291"/>
      <c r="N37" s="291"/>
      <c r="O37" s="291"/>
      <c r="P37" s="291"/>
      <c r="Q37" s="291"/>
      <c r="R37" s="291"/>
    </row>
  </sheetData>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39899-037B-4CDA-A243-B5EE26579FFB}">
  <sheetPr codeName="Sheet33"/>
  <dimension ref="A1:Y80"/>
  <sheetViews>
    <sheetView topLeftCell="A58" zoomScale="83" zoomScaleNormal="83" workbookViewId="0">
      <selection activeCell="Q80" sqref="Q80"/>
    </sheetView>
  </sheetViews>
  <sheetFormatPr defaultRowHeight="15"/>
  <cols>
    <col min="1" max="1" width="17.77734375" customWidth="1"/>
    <col min="2" max="2" width="10.109375" customWidth="1"/>
    <col min="3" max="3" width="8.6640625" customWidth="1"/>
    <col min="4" max="4" width="8.33203125" bestFit="1" customWidth="1"/>
    <col min="5" max="5" width="6.77734375" customWidth="1"/>
    <col min="6" max="6" width="8.6640625" customWidth="1"/>
    <col min="7" max="7" width="8.88671875" customWidth="1"/>
    <col min="8" max="8" width="9.33203125" customWidth="1"/>
    <col min="9" max="9" width="8.44140625" customWidth="1"/>
    <col min="10" max="10" width="9.109375" customWidth="1"/>
    <col min="11" max="11" width="9.88671875" bestFit="1" customWidth="1"/>
    <col min="14" max="16" width="8.44140625" bestFit="1" customWidth="1"/>
    <col min="17" max="17" width="10.33203125" bestFit="1" customWidth="1"/>
    <col min="19" max="19" width="11.44140625" customWidth="1"/>
  </cols>
  <sheetData>
    <row r="1" spans="1:25" ht="15.75">
      <c r="A1" s="296" t="s">
        <v>128</v>
      </c>
      <c r="B1" s="297"/>
      <c r="C1" s="297"/>
      <c r="D1" s="297"/>
      <c r="E1" s="297"/>
      <c r="F1" s="297"/>
      <c r="G1" s="298"/>
      <c r="H1" s="299"/>
      <c r="I1" s="299"/>
      <c r="J1" s="299"/>
      <c r="K1" s="297"/>
      <c r="L1" s="300"/>
      <c r="M1" s="300"/>
      <c r="N1" s="300"/>
      <c r="O1" s="300"/>
      <c r="P1" s="300"/>
      <c r="Q1" s="300"/>
      <c r="R1" s="300"/>
      <c r="S1" s="300" t="s">
        <v>1069</v>
      </c>
      <c r="T1" s="301">
        <v>0.17469999999999999</v>
      </c>
      <c r="U1" s="300"/>
      <c r="V1" s="300"/>
      <c r="W1" s="300"/>
      <c r="X1" s="300"/>
      <c r="Y1" s="300"/>
    </row>
    <row r="2" spans="1:25" ht="15.75">
      <c r="A2" s="296" t="s">
        <v>1070</v>
      </c>
      <c r="B2" s="297"/>
      <c r="C2" s="297"/>
      <c r="D2" s="297"/>
      <c r="E2" s="297"/>
      <c r="F2" s="297"/>
      <c r="G2" s="297"/>
      <c r="H2" s="297"/>
      <c r="I2" s="297"/>
      <c r="J2" s="297"/>
      <c r="K2" s="302"/>
      <c r="L2" s="300"/>
      <c r="M2" s="300"/>
      <c r="N2" s="300"/>
      <c r="O2" s="300"/>
      <c r="P2" s="300"/>
      <c r="Q2" s="300"/>
      <c r="R2" s="300"/>
      <c r="S2" s="300" t="s">
        <v>1695</v>
      </c>
      <c r="T2" s="300"/>
      <c r="U2" s="300"/>
      <c r="V2" s="300"/>
      <c r="W2" s="300"/>
      <c r="X2" s="300"/>
      <c r="Y2" s="300"/>
    </row>
    <row r="3" spans="1:25" ht="15.75">
      <c r="A3" s="296" t="s">
        <v>1071</v>
      </c>
      <c r="B3" s="297"/>
      <c r="C3" s="297"/>
      <c r="D3" s="297"/>
      <c r="E3" s="297"/>
      <c r="F3" s="297"/>
      <c r="G3" s="297"/>
      <c r="H3" s="297"/>
      <c r="I3" s="297"/>
      <c r="J3" s="297"/>
      <c r="K3" s="297"/>
      <c r="L3" s="300"/>
      <c r="M3" s="300"/>
      <c r="N3" s="300"/>
      <c r="O3" s="300"/>
      <c r="P3" s="300"/>
      <c r="Q3" s="300"/>
      <c r="R3" s="300"/>
      <c r="S3" s="300" t="s">
        <v>1079</v>
      </c>
      <c r="T3" s="301">
        <v>0.99719999999999998</v>
      </c>
      <c r="U3" s="300"/>
      <c r="V3" s="300"/>
      <c r="W3" s="300"/>
      <c r="X3" s="300"/>
      <c r="Y3" s="300"/>
    </row>
    <row r="4" spans="1:25" ht="15.75">
      <c r="A4" s="296"/>
      <c r="B4" s="297"/>
      <c r="C4" s="297"/>
      <c r="D4" s="297"/>
      <c r="E4" s="297"/>
      <c r="F4" s="297"/>
      <c r="G4" s="297"/>
      <c r="H4" s="297"/>
      <c r="I4" s="297"/>
      <c r="J4" s="297"/>
      <c r="K4" s="297"/>
      <c r="L4" s="300"/>
      <c r="M4" s="300"/>
      <c r="N4" s="300"/>
      <c r="O4" s="300"/>
      <c r="P4" s="300"/>
      <c r="Q4" s="300"/>
      <c r="R4" s="300"/>
      <c r="S4" s="300"/>
      <c r="T4" s="300"/>
      <c r="U4" s="300"/>
      <c r="V4" s="300"/>
      <c r="W4" s="300"/>
      <c r="X4" s="300"/>
      <c r="Y4" s="300"/>
    </row>
    <row r="5" spans="1:25" ht="15.75">
      <c r="A5" s="303"/>
      <c r="B5" s="303"/>
      <c r="C5" s="303"/>
      <c r="D5" s="304"/>
      <c r="E5" s="304"/>
      <c r="F5" s="304"/>
      <c r="G5" s="304"/>
      <c r="H5" s="304"/>
      <c r="I5" s="304"/>
      <c r="J5" s="304"/>
      <c r="K5" s="304" t="s">
        <v>1072</v>
      </c>
      <c r="L5" s="304" t="s">
        <v>1072</v>
      </c>
      <c r="M5" s="304" t="s">
        <v>1072</v>
      </c>
      <c r="N5" s="302" t="s">
        <v>1073</v>
      </c>
      <c r="O5" s="302"/>
      <c r="P5" s="302"/>
      <c r="Q5" s="300"/>
      <c r="R5" s="300"/>
      <c r="S5" s="300"/>
      <c r="T5" s="300"/>
      <c r="U5" s="300"/>
      <c r="V5" s="300"/>
      <c r="W5" s="300"/>
      <c r="X5" s="300"/>
      <c r="Y5" s="300"/>
    </row>
    <row r="6" spans="1:25" ht="15.75">
      <c r="A6" s="303"/>
      <c r="B6" s="304" t="s">
        <v>1074</v>
      </c>
      <c r="C6" s="304" t="s">
        <v>944</v>
      </c>
      <c r="D6" s="304" t="s">
        <v>677</v>
      </c>
      <c r="E6" s="304" t="s">
        <v>1075</v>
      </c>
      <c r="F6" s="304" t="s">
        <v>1076</v>
      </c>
      <c r="G6" s="304" t="s">
        <v>103</v>
      </c>
      <c r="H6" s="304" t="s">
        <v>677</v>
      </c>
      <c r="I6" s="304" t="s">
        <v>1075</v>
      </c>
      <c r="J6" s="304" t="s">
        <v>1076</v>
      </c>
      <c r="K6" s="304" t="s">
        <v>677</v>
      </c>
      <c r="L6" s="304" t="s">
        <v>1075</v>
      </c>
      <c r="M6" s="304" t="s">
        <v>1076</v>
      </c>
      <c r="N6" s="304" t="s">
        <v>677</v>
      </c>
      <c r="O6" s="304" t="s">
        <v>1075</v>
      </c>
      <c r="P6" s="304" t="s">
        <v>1076</v>
      </c>
      <c r="Q6" s="300"/>
      <c r="R6" s="300"/>
      <c r="S6" s="300"/>
      <c r="T6" s="300"/>
      <c r="U6" s="300"/>
      <c r="V6" s="300"/>
      <c r="W6" s="300"/>
      <c r="X6" s="300"/>
      <c r="Y6" s="300"/>
    </row>
    <row r="7" spans="1:25" ht="15.75">
      <c r="A7" s="305" t="s">
        <v>1077</v>
      </c>
      <c r="B7" s="305" t="s">
        <v>1078</v>
      </c>
      <c r="C7" s="305" t="s">
        <v>1079</v>
      </c>
      <c r="D7" s="305" t="s">
        <v>1080</v>
      </c>
      <c r="E7" s="305" t="s">
        <v>48</v>
      </c>
      <c r="F7" s="305" t="s">
        <v>48</v>
      </c>
      <c r="G7" s="305" t="s">
        <v>48</v>
      </c>
      <c r="H7" s="305" t="s">
        <v>12</v>
      </c>
      <c r="I7" s="305" t="s">
        <v>12</v>
      </c>
      <c r="J7" s="305" t="s">
        <v>12</v>
      </c>
      <c r="K7" s="305" t="s">
        <v>1080</v>
      </c>
      <c r="L7" s="305" t="s">
        <v>1080</v>
      </c>
      <c r="M7" s="305" t="s">
        <v>1080</v>
      </c>
      <c r="N7" s="305" t="s">
        <v>12</v>
      </c>
      <c r="O7" s="305" t="s">
        <v>12</v>
      </c>
      <c r="P7" s="305" t="s">
        <v>12</v>
      </c>
      <c r="Q7" s="300"/>
      <c r="R7" s="300"/>
      <c r="S7" s="300"/>
      <c r="T7" s="300"/>
      <c r="U7" s="300"/>
      <c r="V7" s="300"/>
      <c r="W7" s="300"/>
      <c r="X7" s="300"/>
      <c r="Y7" s="300"/>
    </row>
    <row r="8" spans="1:25" ht="15.75">
      <c r="A8" s="306" t="s">
        <v>1081</v>
      </c>
      <c r="B8" s="307">
        <v>100</v>
      </c>
      <c r="C8" s="303">
        <f>(6441*$T$3)</f>
        <v>6422.9651999999996</v>
      </c>
      <c r="D8" s="308">
        <v>9.4499999999999993</v>
      </c>
      <c r="E8" s="308">
        <v>6.75</v>
      </c>
      <c r="F8" s="308">
        <v>10.4</v>
      </c>
      <c r="G8" s="309">
        <f>SUM(D8:F8)</f>
        <v>26.6</v>
      </c>
      <c r="H8" s="310">
        <f>D8*C8</f>
        <v>60697.02113999999</v>
      </c>
      <c r="I8" s="310">
        <f>C8*E8</f>
        <v>43355.015099999997</v>
      </c>
      <c r="J8" s="310"/>
      <c r="K8" s="308">
        <f t="shared" ref="K8:K38" si="0">(+D8*$T$1)+D8</f>
        <v>11.100914999999999</v>
      </c>
      <c r="L8" s="308">
        <f t="shared" ref="L8:M8" si="1">(+E8*$T$1)+E8</f>
        <v>7.9292249999999997</v>
      </c>
      <c r="M8" s="308">
        <f t="shared" si="1"/>
        <v>12.21688</v>
      </c>
      <c r="N8" s="165">
        <f>+C8*K8</f>
        <v>71300.790733157992</v>
      </c>
      <c r="O8" s="165">
        <f>+C8*L8</f>
        <v>50929.136237969993</v>
      </c>
      <c r="P8" s="300"/>
      <c r="Q8" s="165">
        <f>-H8+N8</f>
        <v>10603.769593158002</v>
      </c>
      <c r="R8" s="300"/>
      <c r="S8" s="300"/>
      <c r="T8" s="300"/>
      <c r="U8" s="300"/>
      <c r="V8" s="300"/>
      <c r="W8" s="300"/>
      <c r="X8" s="300"/>
      <c r="Y8" s="300"/>
    </row>
    <row r="9" spans="1:25" ht="15.75">
      <c r="A9" s="306" t="s">
        <v>1082</v>
      </c>
      <c r="B9" s="307">
        <v>100</v>
      </c>
      <c r="C9" s="303">
        <f>(3689*T3)</f>
        <v>3678.6707999999999</v>
      </c>
      <c r="D9" s="308">
        <v>7.14</v>
      </c>
      <c r="E9" s="308">
        <v>2.75</v>
      </c>
      <c r="F9" s="308">
        <v>10.4</v>
      </c>
      <c r="G9" s="309">
        <f t="shared" ref="G9:G38" si="2">SUM(D9:F9)</f>
        <v>20.29</v>
      </c>
      <c r="H9" s="310">
        <f t="shared" ref="H9:H38" si="3">D9*C9</f>
        <v>26265.709511999998</v>
      </c>
      <c r="I9" s="310">
        <f t="shared" ref="I9:I37" si="4">C9*E9</f>
        <v>10116.3447</v>
      </c>
      <c r="J9" s="310"/>
      <c r="K9" s="308">
        <f t="shared" si="0"/>
        <v>8.387357999999999</v>
      </c>
      <c r="L9" s="308">
        <f t="shared" ref="L9:L38" si="5">(+E9*$T$1)+E9</f>
        <v>3.2304249999999999</v>
      </c>
      <c r="M9" s="308">
        <f t="shared" ref="M9:M38" si="6">(+F9*$T$1)+F9</f>
        <v>12.21688</v>
      </c>
      <c r="N9" s="165">
        <f t="shared" ref="N9:N38" si="7">+C9*K9</f>
        <v>30854.328963746397</v>
      </c>
      <c r="O9" s="165">
        <f t="shared" ref="O9:O30" si="8">+C9*L9</f>
        <v>11883.670119089998</v>
      </c>
      <c r="P9" s="300"/>
      <c r="Q9" s="165">
        <f t="shared" ref="Q9:Q38" si="9">-H9+N9</f>
        <v>4588.6194517463991</v>
      </c>
      <c r="R9" s="300"/>
      <c r="S9" s="300"/>
      <c r="T9" s="300"/>
      <c r="U9" s="300"/>
      <c r="V9" s="300"/>
      <c r="W9" s="300"/>
      <c r="X9" s="300"/>
      <c r="Y9" s="300"/>
    </row>
    <row r="10" spans="1:25" ht="15.75">
      <c r="A10" s="306" t="s">
        <v>1083</v>
      </c>
      <c r="B10" s="307">
        <v>100</v>
      </c>
      <c r="C10" s="303">
        <f>53158*T3</f>
        <v>53009.157599999999</v>
      </c>
      <c r="D10" s="308">
        <v>14.12</v>
      </c>
      <c r="E10" s="308">
        <v>6.75</v>
      </c>
      <c r="F10" s="308">
        <v>10.4</v>
      </c>
      <c r="G10" s="309">
        <f t="shared" si="2"/>
        <v>31.269999999999996</v>
      </c>
      <c r="H10" s="310">
        <f t="shared" si="3"/>
        <v>748489.30531199998</v>
      </c>
      <c r="I10" s="310">
        <f t="shared" si="4"/>
        <v>357811.8138</v>
      </c>
      <c r="J10" s="310"/>
      <c r="K10" s="308">
        <f t="shared" si="0"/>
        <v>16.586763999999999</v>
      </c>
      <c r="L10" s="308">
        <f t="shared" si="5"/>
        <v>7.9292249999999997</v>
      </c>
      <c r="M10" s="308">
        <f t="shared" si="6"/>
        <v>12.21688</v>
      </c>
      <c r="N10" s="165">
        <f t="shared" si="7"/>
        <v>879250.38695000636</v>
      </c>
      <c r="O10" s="165">
        <f t="shared" si="8"/>
        <v>420321.53767085995</v>
      </c>
      <c r="P10" s="300"/>
      <c r="Q10" s="165">
        <f t="shared" si="9"/>
        <v>130761.08163800638</v>
      </c>
      <c r="R10" s="300"/>
      <c r="S10" s="300"/>
      <c r="T10" s="300"/>
      <c r="U10" s="300"/>
      <c r="V10" s="300"/>
      <c r="W10" s="300"/>
      <c r="X10" s="300"/>
      <c r="Y10" s="300"/>
    </row>
    <row r="11" spans="1:25" ht="15.75">
      <c r="A11" s="306" t="s">
        <v>1084</v>
      </c>
      <c r="B11" s="307">
        <v>100</v>
      </c>
      <c r="C11" s="303">
        <f>7356*T3</f>
        <v>7335.4031999999997</v>
      </c>
      <c r="D11" s="308">
        <v>20.29</v>
      </c>
      <c r="E11" s="308">
        <v>6.75</v>
      </c>
      <c r="F11" s="308">
        <v>10.4</v>
      </c>
      <c r="G11" s="309">
        <f t="shared" si="2"/>
        <v>37.44</v>
      </c>
      <c r="H11" s="310">
        <f t="shared" si="3"/>
        <v>148835.33092799998</v>
      </c>
      <c r="I11" s="310">
        <f t="shared" si="4"/>
        <v>49513.971599999997</v>
      </c>
      <c r="J11" s="310"/>
      <c r="K11" s="308">
        <f t="shared" si="0"/>
        <v>23.834662999999999</v>
      </c>
      <c r="L11" s="308">
        <f t="shared" si="5"/>
        <v>7.9292249999999997</v>
      </c>
      <c r="M11" s="308">
        <f t="shared" si="6"/>
        <v>12.21688</v>
      </c>
      <c r="N11" s="165">
        <f t="shared" si="7"/>
        <v>174836.86324112158</v>
      </c>
      <c r="O11" s="165">
        <f t="shared" si="8"/>
        <v>58164.062438519999</v>
      </c>
      <c r="P11" s="300"/>
      <c r="Q11" s="165">
        <f t="shared" si="9"/>
        <v>26001.532313121599</v>
      </c>
      <c r="R11" s="300"/>
      <c r="S11" s="300"/>
      <c r="T11" s="300"/>
      <c r="U11" s="300"/>
      <c r="V11" s="300"/>
      <c r="W11" s="300"/>
      <c r="X11" s="300"/>
      <c r="Y11" s="300"/>
    </row>
    <row r="12" spans="1:25" ht="15.75">
      <c r="A12" s="306" t="s">
        <v>1085</v>
      </c>
      <c r="B12" s="307">
        <v>100</v>
      </c>
      <c r="C12" s="303">
        <f>725*T3</f>
        <v>722.97</v>
      </c>
      <c r="D12" s="308">
        <v>25.94</v>
      </c>
      <c r="E12" s="308">
        <v>6.75</v>
      </c>
      <c r="F12" s="308">
        <v>10.4</v>
      </c>
      <c r="G12" s="309">
        <f t="shared" si="2"/>
        <v>43.089999999999996</v>
      </c>
      <c r="H12" s="310">
        <f t="shared" si="3"/>
        <v>18753.841800000002</v>
      </c>
      <c r="I12" s="310">
        <f t="shared" si="4"/>
        <v>4880.0475000000006</v>
      </c>
      <c r="J12" s="310"/>
      <c r="K12" s="308">
        <f t="shared" si="0"/>
        <v>30.471718000000003</v>
      </c>
      <c r="L12" s="308">
        <f t="shared" si="5"/>
        <v>7.9292249999999997</v>
      </c>
      <c r="M12" s="308">
        <f t="shared" si="6"/>
        <v>12.21688</v>
      </c>
      <c r="N12" s="165">
        <f t="shared" si="7"/>
        <v>22030.137962460001</v>
      </c>
      <c r="O12" s="165">
        <f t="shared" si="8"/>
        <v>5732.5917982500005</v>
      </c>
      <c r="P12" s="300"/>
      <c r="Q12" s="165">
        <f t="shared" si="9"/>
        <v>3276.2961624599993</v>
      </c>
      <c r="R12" s="300"/>
      <c r="S12" s="300"/>
      <c r="T12" s="300"/>
      <c r="U12" s="300"/>
      <c r="V12" s="300"/>
      <c r="W12" s="300"/>
      <c r="X12" s="300"/>
      <c r="Y12" s="300"/>
    </row>
    <row r="13" spans="1:25" ht="15.75">
      <c r="A13" s="306" t="s">
        <v>1086</v>
      </c>
      <c r="B13" s="307">
        <v>100</v>
      </c>
      <c r="C13" s="303">
        <f>361*T3</f>
        <v>359.98919999999998</v>
      </c>
      <c r="D13" s="308">
        <v>32</v>
      </c>
      <c r="E13" s="308">
        <v>6.75</v>
      </c>
      <c r="F13" s="308">
        <v>10.4</v>
      </c>
      <c r="G13" s="309">
        <f t="shared" si="2"/>
        <v>49.15</v>
      </c>
      <c r="H13" s="310">
        <f t="shared" si="3"/>
        <v>11519.654399999999</v>
      </c>
      <c r="I13" s="310">
        <f t="shared" si="4"/>
        <v>2429.9270999999999</v>
      </c>
      <c r="J13" s="310"/>
      <c r="K13" s="308">
        <f t="shared" si="0"/>
        <v>37.590400000000002</v>
      </c>
      <c r="L13" s="308">
        <f t="shared" si="5"/>
        <v>7.9292249999999997</v>
      </c>
      <c r="M13" s="308">
        <f t="shared" si="6"/>
        <v>12.21688</v>
      </c>
      <c r="N13" s="165">
        <f t="shared" si="7"/>
        <v>13532.13802368</v>
      </c>
      <c r="O13" s="165">
        <f t="shared" si="8"/>
        <v>2854.4353643699997</v>
      </c>
      <c r="P13" s="300"/>
      <c r="Q13" s="165">
        <f t="shared" si="9"/>
        <v>2012.4836236800002</v>
      </c>
      <c r="R13" s="300"/>
      <c r="S13" s="300"/>
      <c r="T13" s="300"/>
      <c r="U13" s="300"/>
      <c r="V13" s="300"/>
      <c r="W13" s="300"/>
      <c r="X13" s="300"/>
      <c r="Y13" s="300"/>
    </row>
    <row r="14" spans="1:25" ht="15.75">
      <c r="A14" s="306" t="s">
        <v>1087</v>
      </c>
      <c r="B14" s="307">
        <v>100</v>
      </c>
      <c r="C14" s="303">
        <f>4*T3</f>
        <v>3.9887999999999999</v>
      </c>
      <c r="D14" s="308">
        <v>38.07</v>
      </c>
      <c r="E14" s="308">
        <v>6.75</v>
      </c>
      <c r="F14" s="308">
        <v>10.4</v>
      </c>
      <c r="G14" s="309">
        <f t="shared" si="2"/>
        <v>55.22</v>
      </c>
      <c r="H14" s="310">
        <f t="shared" si="3"/>
        <v>151.85361599999999</v>
      </c>
      <c r="I14" s="310">
        <f t="shared" si="4"/>
        <v>26.924399999999999</v>
      </c>
      <c r="J14" s="310"/>
      <c r="K14" s="308">
        <f t="shared" si="0"/>
        <v>44.720829000000002</v>
      </c>
      <c r="L14" s="308">
        <f t="shared" si="5"/>
        <v>7.9292249999999997</v>
      </c>
      <c r="M14" s="308">
        <f t="shared" si="6"/>
        <v>12.21688</v>
      </c>
      <c r="N14" s="165">
        <f t="shared" si="7"/>
        <v>178.3824427152</v>
      </c>
      <c r="O14" s="165">
        <f t="shared" si="8"/>
        <v>31.628092679999998</v>
      </c>
      <c r="P14" s="300"/>
      <c r="Q14" s="165">
        <f t="shared" si="9"/>
        <v>26.528826715200012</v>
      </c>
      <c r="R14" s="300"/>
      <c r="S14" s="300"/>
      <c r="T14" s="300"/>
      <c r="U14" s="300"/>
      <c r="V14" s="300"/>
      <c r="W14" s="300"/>
      <c r="X14" s="300"/>
      <c r="Y14" s="300"/>
    </row>
    <row r="15" spans="1:25" ht="15.75">
      <c r="A15" s="306" t="s">
        <v>1088</v>
      </c>
      <c r="B15" s="307">
        <v>100</v>
      </c>
      <c r="C15" s="303">
        <f>25*T3</f>
        <v>24.93</v>
      </c>
      <c r="D15" s="308">
        <v>41.68</v>
      </c>
      <c r="E15" s="308">
        <v>6.75</v>
      </c>
      <c r="F15" s="308">
        <v>10.4</v>
      </c>
      <c r="G15" s="309">
        <f t="shared" si="2"/>
        <v>58.83</v>
      </c>
      <c r="H15" s="310">
        <f t="shared" si="3"/>
        <v>1039.0824</v>
      </c>
      <c r="I15" s="310">
        <f t="shared" si="4"/>
        <v>168.2775</v>
      </c>
      <c r="J15" s="310"/>
      <c r="K15" s="308">
        <f t="shared" si="0"/>
        <v>48.961495999999997</v>
      </c>
      <c r="L15" s="308">
        <f t="shared" si="5"/>
        <v>7.9292249999999997</v>
      </c>
      <c r="M15" s="308">
        <f t="shared" si="6"/>
        <v>12.21688</v>
      </c>
      <c r="N15" s="165">
        <f t="shared" si="7"/>
        <v>1220.61009528</v>
      </c>
      <c r="O15" s="165">
        <f t="shared" si="8"/>
        <v>197.67557925</v>
      </c>
      <c r="P15" s="300"/>
      <c r="Q15" s="165">
        <f t="shared" si="9"/>
        <v>181.52769527999999</v>
      </c>
      <c r="R15" s="300"/>
      <c r="S15" s="300"/>
      <c r="T15" s="300"/>
      <c r="U15" s="300"/>
      <c r="V15" s="300"/>
      <c r="W15" s="300"/>
      <c r="X15" s="300"/>
      <c r="Y15" s="300"/>
    </row>
    <row r="16" spans="1:25" ht="15.75">
      <c r="A16" s="306" t="s">
        <v>1089</v>
      </c>
      <c r="B16" s="307">
        <v>100</v>
      </c>
      <c r="C16" s="303">
        <f>330*T3</f>
        <v>329.07599999999996</v>
      </c>
      <c r="D16" s="308"/>
      <c r="E16" s="308">
        <v>8.0399999999999991</v>
      </c>
      <c r="F16" s="308">
        <v>10.4</v>
      </c>
      <c r="G16" s="309">
        <f t="shared" si="2"/>
        <v>18.439999999999998</v>
      </c>
      <c r="H16" s="310">
        <f t="shared" si="3"/>
        <v>0</v>
      </c>
      <c r="I16" s="310">
        <f t="shared" si="4"/>
        <v>2645.7710399999996</v>
      </c>
      <c r="J16" s="310"/>
      <c r="K16" s="308"/>
      <c r="L16" s="308">
        <f t="shared" si="5"/>
        <v>9.4445879999999995</v>
      </c>
      <c r="M16" s="308">
        <f t="shared" si="6"/>
        <v>12.21688</v>
      </c>
      <c r="N16" s="165"/>
      <c r="O16" s="165">
        <f t="shared" si="8"/>
        <v>3107.9872406879995</v>
      </c>
      <c r="P16" s="300"/>
      <c r="Q16" s="165">
        <f t="shared" si="9"/>
        <v>0</v>
      </c>
      <c r="R16" s="300"/>
      <c r="S16" s="300"/>
      <c r="T16" s="300"/>
      <c r="U16" s="300"/>
      <c r="V16" s="300"/>
      <c r="W16" s="300"/>
      <c r="X16" s="300"/>
      <c r="Y16" s="300"/>
    </row>
    <row r="17" spans="1:25" ht="15.75">
      <c r="A17" s="306" t="s">
        <v>1090</v>
      </c>
      <c r="B17" s="307">
        <v>100</v>
      </c>
      <c r="C17" s="303">
        <f>16165*T3</f>
        <v>16119.737999999999</v>
      </c>
      <c r="D17" s="308">
        <v>10.74</v>
      </c>
      <c r="E17" s="308">
        <v>6.75</v>
      </c>
      <c r="F17" s="308">
        <v>10.4</v>
      </c>
      <c r="G17" s="309">
        <f t="shared" si="2"/>
        <v>27.89</v>
      </c>
      <c r="H17" s="310">
        <f t="shared" si="3"/>
        <v>173125.98611999999</v>
      </c>
      <c r="I17" s="310">
        <f t="shared" si="4"/>
        <v>108808.23149999999</v>
      </c>
      <c r="J17" s="310"/>
      <c r="K17" s="308">
        <f t="shared" si="0"/>
        <v>12.616277999999999</v>
      </c>
      <c r="L17" s="308">
        <f t="shared" si="5"/>
        <v>7.9292249999999997</v>
      </c>
      <c r="M17" s="308">
        <f t="shared" si="6"/>
        <v>12.21688</v>
      </c>
      <c r="N17" s="165">
        <f t="shared" si="7"/>
        <v>203371.09589516398</v>
      </c>
      <c r="O17" s="165">
        <f t="shared" si="8"/>
        <v>127817.02954305</v>
      </c>
      <c r="P17" s="300"/>
      <c r="Q17" s="165">
        <f t="shared" si="9"/>
        <v>30245.10977516399</v>
      </c>
      <c r="R17" s="300"/>
      <c r="S17" s="300"/>
      <c r="T17" s="300"/>
      <c r="U17" s="300"/>
      <c r="V17" s="300"/>
      <c r="W17" s="300"/>
      <c r="X17" s="300"/>
      <c r="Y17" s="300"/>
    </row>
    <row r="18" spans="1:25" ht="15.75">
      <c r="A18" s="306" t="s">
        <v>1091</v>
      </c>
      <c r="B18" s="307">
        <v>100</v>
      </c>
      <c r="C18" s="303">
        <f>50463*T3</f>
        <v>50321.703600000001</v>
      </c>
      <c r="D18" s="308">
        <v>15.41</v>
      </c>
      <c r="E18" s="308">
        <v>6.75</v>
      </c>
      <c r="F18" s="308">
        <v>10.4</v>
      </c>
      <c r="G18" s="309">
        <f t="shared" si="2"/>
        <v>32.56</v>
      </c>
      <c r="H18" s="310">
        <f t="shared" si="3"/>
        <v>775457.45247600006</v>
      </c>
      <c r="I18" s="310">
        <f t="shared" si="4"/>
        <v>339671.49930000002</v>
      </c>
      <c r="J18" s="310"/>
      <c r="K18" s="308">
        <f t="shared" si="0"/>
        <v>18.102126999999999</v>
      </c>
      <c r="L18" s="308">
        <f t="shared" si="5"/>
        <v>7.9292249999999997</v>
      </c>
      <c r="M18" s="308">
        <f t="shared" si="6"/>
        <v>12.21688</v>
      </c>
      <c r="N18" s="165">
        <f t="shared" si="7"/>
        <v>910929.86942355719</v>
      </c>
      <c r="O18" s="165">
        <f t="shared" si="8"/>
        <v>399012.11022770999</v>
      </c>
      <c r="P18" s="300"/>
      <c r="Q18" s="165">
        <f t="shared" si="9"/>
        <v>135472.41694755713</v>
      </c>
      <c r="R18" s="300"/>
      <c r="S18" s="300"/>
      <c r="T18" s="300"/>
      <c r="U18" s="300"/>
      <c r="V18" s="300"/>
      <c r="W18" s="300"/>
      <c r="X18" s="300"/>
      <c r="Y18" s="300"/>
    </row>
    <row r="19" spans="1:25" ht="15.75">
      <c r="A19" s="306" t="s">
        <v>1092</v>
      </c>
      <c r="B19" s="307">
        <v>100</v>
      </c>
      <c r="C19" s="303">
        <f>1059*T3</f>
        <v>1056.0347999999999</v>
      </c>
      <c r="D19" s="308">
        <v>30.04</v>
      </c>
      <c r="E19" s="308">
        <v>6.75</v>
      </c>
      <c r="F19" s="308">
        <v>10.4</v>
      </c>
      <c r="G19" s="309">
        <f t="shared" si="2"/>
        <v>47.19</v>
      </c>
      <c r="H19" s="310">
        <f t="shared" si="3"/>
        <v>31723.285391999998</v>
      </c>
      <c r="I19" s="310">
        <f t="shared" si="4"/>
        <v>7128.2348999999995</v>
      </c>
      <c r="J19" s="310"/>
      <c r="K19" s="308">
        <f t="shared" si="0"/>
        <v>35.287987999999999</v>
      </c>
      <c r="L19" s="308">
        <f t="shared" si="5"/>
        <v>7.9292249999999997</v>
      </c>
      <c r="M19" s="308">
        <f t="shared" si="6"/>
        <v>12.21688</v>
      </c>
      <c r="N19" s="165">
        <f t="shared" si="7"/>
        <v>37265.343349982395</v>
      </c>
      <c r="O19" s="165">
        <f>+C19-L19</f>
        <v>1048.1055749999998</v>
      </c>
      <c r="P19" s="300"/>
      <c r="Q19" s="165">
        <f t="shared" si="9"/>
        <v>5542.0579579823971</v>
      </c>
      <c r="R19" s="300"/>
      <c r="S19" s="300"/>
      <c r="T19" s="300"/>
      <c r="U19" s="300"/>
      <c r="V19" s="300"/>
      <c r="W19" s="300"/>
      <c r="X19" s="300"/>
      <c r="Y19" s="300"/>
    </row>
    <row r="20" spans="1:25" ht="15.75">
      <c r="A20" s="306" t="s">
        <v>1093</v>
      </c>
      <c r="B20" s="307">
        <v>100</v>
      </c>
      <c r="C20" s="303">
        <f>725*T3</f>
        <v>722.97</v>
      </c>
      <c r="D20" s="308">
        <v>44.68</v>
      </c>
      <c r="E20" s="308">
        <v>6.75</v>
      </c>
      <c r="F20" s="308">
        <v>10.4</v>
      </c>
      <c r="G20" s="309">
        <f t="shared" si="2"/>
        <v>61.83</v>
      </c>
      <c r="H20" s="310">
        <f t="shared" si="3"/>
        <v>32302.299600000002</v>
      </c>
      <c r="I20" s="310">
        <f t="shared" si="4"/>
        <v>4880.0475000000006</v>
      </c>
      <c r="J20" s="310"/>
      <c r="K20" s="308">
        <f t="shared" si="0"/>
        <v>52.485596000000001</v>
      </c>
      <c r="L20" s="308">
        <f t="shared" si="5"/>
        <v>7.9292249999999997</v>
      </c>
      <c r="M20" s="308">
        <f t="shared" si="6"/>
        <v>12.21688</v>
      </c>
      <c r="N20" s="165">
        <f t="shared" si="7"/>
        <v>37945.51134012</v>
      </c>
      <c r="O20" s="165">
        <f>+C20*L20</f>
        <v>5732.5917982500005</v>
      </c>
      <c r="P20" s="300"/>
      <c r="Q20" s="165">
        <f t="shared" si="9"/>
        <v>5643.2117401199976</v>
      </c>
      <c r="R20" s="300"/>
      <c r="S20" s="300"/>
      <c r="T20" s="300"/>
      <c r="U20" s="300"/>
      <c r="V20" s="300"/>
      <c r="W20" s="300"/>
      <c r="X20" s="300"/>
      <c r="Y20" s="300"/>
    </row>
    <row r="21" spans="1:25" ht="15.75">
      <c r="A21" s="306" t="s">
        <v>1094</v>
      </c>
      <c r="B21" s="307">
        <v>100</v>
      </c>
      <c r="C21" s="303">
        <f>30019*T3</f>
        <v>29934.946799999998</v>
      </c>
      <c r="D21" s="308">
        <v>18.8</v>
      </c>
      <c r="E21" s="308">
        <v>6.75</v>
      </c>
      <c r="F21" s="308">
        <v>10.4</v>
      </c>
      <c r="G21" s="309">
        <f t="shared" si="2"/>
        <v>35.950000000000003</v>
      </c>
      <c r="H21" s="310">
        <f>D21*C21</f>
        <v>562776.99983999995</v>
      </c>
      <c r="I21" s="310">
        <f t="shared" si="4"/>
        <v>202060.8909</v>
      </c>
      <c r="J21" s="310"/>
      <c r="K21" s="308">
        <f t="shared" si="0"/>
        <v>22.08436</v>
      </c>
      <c r="L21" s="308">
        <f t="shared" si="5"/>
        <v>7.9292249999999997</v>
      </c>
      <c r="M21" s="308">
        <f t="shared" si="6"/>
        <v>12.21688</v>
      </c>
      <c r="N21" s="165">
        <f t="shared" si="7"/>
        <v>661094.14171204797</v>
      </c>
      <c r="O21" s="165">
        <f t="shared" si="8"/>
        <v>237360.92854022997</v>
      </c>
      <c r="P21" s="300"/>
      <c r="Q21" s="165">
        <f t="shared" si="9"/>
        <v>98317.141872048029</v>
      </c>
      <c r="R21" s="300"/>
      <c r="S21" s="300"/>
      <c r="T21" s="300"/>
      <c r="U21" s="300"/>
      <c r="V21" s="300"/>
      <c r="W21" s="300"/>
      <c r="X21" s="300"/>
      <c r="Y21" s="300"/>
    </row>
    <row r="22" spans="1:25" ht="15.75">
      <c r="A22" s="306" t="s">
        <v>1095</v>
      </c>
      <c r="B22" s="307">
        <v>100</v>
      </c>
      <c r="C22" s="303">
        <f>585*T3</f>
        <v>583.36199999999997</v>
      </c>
      <c r="D22" s="308">
        <v>37.6</v>
      </c>
      <c r="E22" s="308">
        <v>6.75</v>
      </c>
      <c r="F22" s="308">
        <v>10.4</v>
      </c>
      <c r="G22" s="309">
        <f t="shared" ref="G22" si="10">SUM(D22:F22)</f>
        <v>54.75</v>
      </c>
      <c r="H22" s="310">
        <f>D22*C22</f>
        <v>21934.411199999999</v>
      </c>
      <c r="I22" s="310">
        <f t="shared" si="4"/>
        <v>3937.6934999999999</v>
      </c>
      <c r="J22" s="310"/>
      <c r="K22" s="308">
        <f t="shared" si="0"/>
        <v>44.16872</v>
      </c>
      <c r="L22" s="308">
        <f t="shared" si="5"/>
        <v>7.9292249999999997</v>
      </c>
      <c r="M22" s="308">
        <f t="shared" si="6"/>
        <v>12.21688</v>
      </c>
      <c r="N22" s="165">
        <f t="shared" si="7"/>
        <v>25766.352836639999</v>
      </c>
      <c r="O22" s="165">
        <f t="shared" si="8"/>
        <v>4625.6085544499992</v>
      </c>
      <c r="P22" s="300"/>
      <c r="Q22" s="165">
        <f t="shared" si="9"/>
        <v>3831.9416366400001</v>
      </c>
      <c r="R22" s="300"/>
      <c r="S22" s="300"/>
      <c r="T22" s="300"/>
      <c r="U22" s="300"/>
      <c r="V22" s="300"/>
      <c r="W22" s="300"/>
      <c r="X22" s="300"/>
      <c r="Y22" s="300"/>
    </row>
    <row r="23" spans="1:25" ht="15.75">
      <c r="A23" s="306" t="s">
        <v>1096</v>
      </c>
      <c r="B23" s="307">
        <v>100</v>
      </c>
      <c r="C23" s="303">
        <f>40*T3</f>
        <v>39.887999999999998</v>
      </c>
      <c r="D23" s="308">
        <v>54.52</v>
      </c>
      <c r="E23" s="308">
        <v>6.75</v>
      </c>
      <c r="F23" s="308">
        <v>10.4</v>
      </c>
      <c r="G23" s="309">
        <f t="shared" si="2"/>
        <v>71.67</v>
      </c>
      <c r="H23" s="310">
        <f>D23*C23</f>
        <v>2174.6937600000001</v>
      </c>
      <c r="I23" s="310">
        <f t="shared" si="4"/>
        <v>269.24399999999997</v>
      </c>
      <c r="J23" s="310"/>
      <c r="K23" s="308">
        <f t="shared" si="0"/>
        <v>64.044644000000005</v>
      </c>
      <c r="L23" s="308">
        <f t="shared" si="5"/>
        <v>7.9292249999999997</v>
      </c>
      <c r="M23" s="308">
        <f t="shared" si="6"/>
        <v>12.21688</v>
      </c>
      <c r="N23" s="165">
        <f t="shared" si="7"/>
        <v>2554.612759872</v>
      </c>
      <c r="O23" s="165">
        <f>+C23*L23</f>
        <v>316.28092679999997</v>
      </c>
      <c r="P23" s="300"/>
      <c r="Q23" s="165">
        <f t="shared" si="9"/>
        <v>379.91899987199986</v>
      </c>
      <c r="R23" s="300"/>
      <c r="S23" s="300"/>
      <c r="T23" s="300"/>
      <c r="U23" s="300"/>
      <c r="V23" s="300"/>
      <c r="W23" s="300"/>
      <c r="X23" s="300"/>
      <c r="Y23" s="300"/>
    </row>
    <row r="24" spans="1:25" ht="15.75">
      <c r="A24" s="306" t="s">
        <v>1097</v>
      </c>
      <c r="B24" s="307">
        <v>100</v>
      </c>
      <c r="C24" s="303">
        <f>22120*T3</f>
        <v>22058.063999999998</v>
      </c>
      <c r="D24" s="308">
        <v>21.8</v>
      </c>
      <c r="E24" s="308">
        <v>6.75</v>
      </c>
      <c r="F24" s="308">
        <v>10.4</v>
      </c>
      <c r="G24" s="309">
        <f t="shared" si="2"/>
        <v>38.950000000000003</v>
      </c>
      <c r="H24" s="310">
        <f>D24*C24</f>
        <v>480865.79519999999</v>
      </c>
      <c r="I24" s="310">
        <f t="shared" si="4"/>
        <v>148891.932</v>
      </c>
      <c r="J24" s="310"/>
      <c r="K24" s="308">
        <f t="shared" si="0"/>
        <v>25.608460000000001</v>
      </c>
      <c r="L24" s="308">
        <f t="shared" si="5"/>
        <v>7.9292249999999997</v>
      </c>
      <c r="M24" s="308">
        <f t="shared" si="6"/>
        <v>12.21688</v>
      </c>
      <c r="N24" s="165">
        <f t="shared" si="7"/>
        <v>564873.04962144</v>
      </c>
      <c r="O24" s="165">
        <f t="shared" si="8"/>
        <v>174903.35252039999</v>
      </c>
      <c r="P24" s="300"/>
      <c r="Q24" s="165">
        <f t="shared" si="9"/>
        <v>84007.254421440011</v>
      </c>
      <c r="R24" s="300"/>
      <c r="S24" s="300"/>
      <c r="T24" s="300"/>
      <c r="U24" s="300"/>
      <c r="V24" s="300"/>
      <c r="W24" s="300"/>
      <c r="X24" s="300"/>
      <c r="Y24" s="300"/>
    </row>
    <row r="25" spans="1:25" ht="15.75">
      <c r="A25" s="306" t="s">
        <v>1098</v>
      </c>
      <c r="B25" s="307">
        <v>100</v>
      </c>
      <c r="C25" s="303">
        <f>713*T3</f>
        <v>711.00360000000001</v>
      </c>
      <c r="D25" s="308">
        <v>42.19</v>
      </c>
      <c r="E25" s="308">
        <v>6.75</v>
      </c>
      <c r="F25" s="308">
        <v>10.4</v>
      </c>
      <c r="G25" s="309">
        <f t="shared" si="2"/>
        <v>59.339999999999996</v>
      </c>
      <c r="H25" s="310">
        <f t="shared" ref="H25:H26" si="11">D25*C25</f>
        <v>29997.241883999999</v>
      </c>
      <c r="I25" s="310">
        <f t="shared" si="4"/>
        <v>4799.2743</v>
      </c>
      <c r="J25" s="310"/>
      <c r="K25" s="308">
        <f t="shared" si="0"/>
        <v>49.560592999999997</v>
      </c>
      <c r="L25" s="308">
        <f t="shared" si="5"/>
        <v>7.9292249999999997</v>
      </c>
      <c r="M25" s="308">
        <f t="shared" si="6"/>
        <v>12.21688</v>
      </c>
      <c r="N25" s="165">
        <f t="shared" si="7"/>
        <v>35237.760041134796</v>
      </c>
      <c r="O25" s="165">
        <f>+C25*L25</f>
        <v>5637.7075202099995</v>
      </c>
      <c r="P25" s="300"/>
      <c r="Q25" s="165">
        <f t="shared" si="9"/>
        <v>5240.5181571347966</v>
      </c>
      <c r="R25" s="300"/>
      <c r="S25" s="300"/>
      <c r="T25" s="300"/>
      <c r="U25" s="300"/>
      <c r="V25" s="300"/>
      <c r="W25" s="300"/>
      <c r="X25" s="300"/>
      <c r="Y25" s="300"/>
    </row>
    <row r="26" spans="1:25" ht="15.75">
      <c r="A26" s="306" t="s">
        <v>1099</v>
      </c>
      <c r="B26" s="307">
        <v>100</v>
      </c>
      <c r="C26" s="303">
        <f>57*T3</f>
        <v>56.840399999999995</v>
      </c>
      <c r="D26" s="308">
        <v>54.88</v>
      </c>
      <c r="E26" s="308">
        <v>6.75</v>
      </c>
      <c r="F26" s="308">
        <v>10.4</v>
      </c>
      <c r="G26" s="309">
        <f t="shared" si="2"/>
        <v>72.03</v>
      </c>
      <c r="H26" s="310">
        <f t="shared" si="11"/>
        <v>3119.4011519999999</v>
      </c>
      <c r="I26" s="310">
        <f t="shared" si="4"/>
        <v>383.67269999999996</v>
      </c>
      <c r="J26" s="310"/>
      <c r="K26" s="308">
        <f t="shared" si="0"/>
        <v>64.467535999999996</v>
      </c>
      <c r="L26" s="308">
        <f t="shared" si="5"/>
        <v>7.9292249999999997</v>
      </c>
      <c r="M26" s="308">
        <f t="shared" si="6"/>
        <v>12.21688</v>
      </c>
      <c r="N26" s="165">
        <f t="shared" si="7"/>
        <v>3664.3605332543993</v>
      </c>
      <c r="O26" s="165">
        <f t="shared" si="8"/>
        <v>450.70032068999996</v>
      </c>
      <c r="P26" s="300"/>
      <c r="Q26" s="165">
        <f t="shared" si="9"/>
        <v>544.95938125439943</v>
      </c>
      <c r="R26" s="300"/>
      <c r="S26" s="300"/>
      <c r="T26" s="300"/>
      <c r="U26" s="300"/>
      <c r="V26" s="300"/>
      <c r="W26" s="300"/>
      <c r="X26" s="300"/>
      <c r="Y26" s="300"/>
    </row>
    <row r="27" spans="1:25" ht="15.75">
      <c r="A27" s="306" t="s">
        <v>1100</v>
      </c>
      <c r="B27" s="307">
        <v>100</v>
      </c>
      <c r="C27" s="303">
        <f>10998*T3</f>
        <v>10967.205599999999</v>
      </c>
      <c r="D27" s="308">
        <v>27.43</v>
      </c>
      <c r="E27" s="308">
        <v>6.75</v>
      </c>
      <c r="F27" s="308">
        <v>10.4</v>
      </c>
      <c r="G27" s="309">
        <f t="shared" si="2"/>
        <v>44.58</v>
      </c>
      <c r="H27" s="310">
        <f>D27*C27</f>
        <v>300830.449608</v>
      </c>
      <c r="I27" s="310">
        <f t="shared" si="4"/>
        <v>74028.637799999997</v>
      </c>
      <c r="J27" s="310"/>
      <c r="K27" s="308">
        <f t="shared" si="0"/>
        <v>32.222020999999998</v>
      </c>
      <c r="L27" s="308">
        <f t="shared" si="5"/>
        <v>7.9292249999999997</v>
      </c>
      <c r="M27" s="308">
        <f t="shared" si="6"/>
        <v>12.21688</v>
      </c>
      <c r="N27" s="165">
        <f t="shared" si="7"/>
        <v>353385.52915451757</v>
      </c>
      <c r="O27" s="165">
        <f t="shared" si="8"/>
        <v>86961.440823659985</v>
      </c>
      <c r="P27" s="300"/>
      <c r="Q27" s="165">
        <f t="shared" si="9"/>
        <v>52555.079546517576</v>
      </c>
      <c r="R27" s="300"/>
      <c r="S27" s="300"/>
      <c r="T27" s="300"/>
      <c r="U27" s="300"/>
      <c r="V27" s="300"/>
      <c r="W27" s="300"/>
      <c r="X27" s="300"/>
      <c r="Y27" s="300"/>
    </row>
    <row r="28" spans="1:25" ht="15.75">
      <c r="A28" s="306" t="s">
        <v>1101</v>
      </c>
      <c r="B28" s="307">
        <v>100</v>
      </c>
      <c r="C28" s="303">
        <f>929*T3</f>
        <v>926.39879999999994</v>
      </c>
      <c r="D28" s="308">
        <v>54.33</v>
      </c>
      <c r="E28" s="308">
        <v>6.75</v>
      </c>
      <c r="F28" s="308">
        <v>10.4</v>
      </c>
      <c r="G28" s="309">
        <f t="shared" si="2"/>
        <v>71.48</v>
      </c>
      <c r="H28" s="310">
        <f>D28*C28</f>
        <v>50331.246803999995</v>
      </c>
      <c r="I28" s="310">
        <f t="shared" si="4"/>
        <v>6253.1918999999998</v>
      </c>
      <c r="J28" s="310"/>
      <c r="K28" s="308">
        <f t="shared" si="0"/>
        <v>63.821450999999996</v>
      </c>
      <c r="L28" s="308">
        <f t="shared" si="5"/>
        <v>7.9292249999999997</v>
      </c>
      <c r="M28" s="308">
        <f t="shared" si="6"/>
        <v>12.21688</v>
      </c>
      <c r="N28" s="165">
        <f t="shared" si="7"/>
        <v>59124.115620658791</v>
      </c>
      <c r="O28" s="165">
        <f>+C28*L28</f>
        <v>7345.6245249299991</v>
      </c>
      <c r="P28" s="300"/>
      <c r="Q28" s="165">
        <f t="shared" si="9"/>
        <v>8792.8688166587963</v>
      </c>
      <c r="R28" s="300"/>
      <c r="S28" s="300"/>
      <c r="T28" s="300"/>
      <c r="U28" s="300"/>
      <c r="V28" s="300"/>
      <c r="W28" s="300"/>
      <c r="X28" s="300"/>
      <c r="Y28" s="300"/>
    </row>
    <row r="29" spans="1:25" ht="15.75">
      <c r="A29" s="306" t="s">
        <v>1102</v>
      </c>
      <c r="B29" s="307">
        <v>100</v>
      </c>
      <c r="C29" s="303">
        <f>61*T3</f>
        <v>60.8292</v>
      </c>
      <c r="D29" s="308">
        <v>74.05</v>
      </c>
      <c r="E29" s="308">
        <v>6.75</v>
      </c>
      <c r="F29" s="308">
        <v>10.4</v>
      </c>
      <c r="G29" s="309">
        <f t="shared" si="2"/>
        <v>91.2</v>
      </c>
      <c r="H29" s="310">
        <f>D29*C29</f>
        <v>4504.4022599999998</v>
      </c>
      <c r="I29" s="310">
        <f t="shared" si="4"/>
        <v>410.59710000000001</v>
      </c>
      <c r="J29" s="310"/>
      <c r="K29" s="308">
        <f t="shared" si="0"/>
        <v>86.986535000000003</v>
      </c>
      <c r="L29" s="308">
        <f t="shared" si="5"/>
        <v>7.9292249999999997</v>
      </c>
      <c r="M29" s="308">
        <f t="shared" si="6"/>
        <v>12.21688</v>
      </c>
      <c r="N29" s="165">
        <f t="shared" si="7"/>
        <v>5291.3213348220006</v>
      </c>
      <c r="O29" s="165">
        <f>+C29*L29</f>
        <v>482.32841336999996</v>
      </c>
      <c r="P29" s="300"/>
      <c r="Q29" s="165">
        <f t="shared" si="9"/>
        <v>786.91907482200077</v>
      </c>
      <c r="R29" s="300"/>
      <c r="S29" s="300"/>
      <c r="T29" s="300"/>
      <c r="U29" s="300"/>
      <c r="V29" s="300"/>
      <c r="W29" s="300"/>
      <c r="X29" s="300"/>
      <c r="Y29" s="300"/>
    </row>
    <row r="30" spans="1:25" ht="15.75">
      <c r="A30" s="306" t="s">
        <v>1103</v>
      </c>
      <c r="B30" s="307">
        <v>100</v>
      </c>
      <c r="C30" s="303">
        <f>1526*T3</f>
        <v>1521.7272</v>
      </c>
      <c r="D30" s="308">
        <v>7.71</v>
      </c>
      <c r="E30" s="308">
        <v>6.75</v>
      </c>
      <c r="F30" s="308">
        <v>10.4</v>
      </c>
      <c r="G30" s="309">
        <f t="shared" si="2"/>
        <v>24.86</v>
      </c>
      <c r="H30" s="310">
        <f>D30*C30</f>
        <v>11732.516712000001</v>
      </c>
      <c r="I30" s="310">
        <f t="shared" si="4"/>
        <v>10271.658600000001</v>
      </c>
      <c r="J30" s="310"/>
      <c r="K30" s="308">
        <f t="shared" si="0"/>
        <v>9.0569369999999996</v>
      </c>
      <c r="L30" s="308">
        <f t="shared" si="5"/>
        <v>7.9292249999999997</v>
      </c>
      <c r="M30" s="308">
        <f t="shared" si="6"/>
        <v>12.21688</v>
      </c>
      <c r="N30" s="165">
        <f t="shared" si="7"/>
        <v>13782.1873815864</v>
      </c>
      <c r="O30" s="165">
        <f t="shared" si="8"/>
        <v>12066.11735742</v>
      </c>
      <c r="P30" s="300"/>
      <c r="Q30" s="165">
        <f t="shared" si="9"/>
        <v>2049.6706695863995</v>
      </c>
      <c r="R30" s="300"/>
      <c r="S30" s="300"/>
      <c r="T30" s="300"/>
      <c r="U30" s="300"/>
      <c r="V30" s="300"/>
      <c r="W30" s="300"/>
      <c r="X30" s="300"/>
      <c r="Y30" s="300"/>
    </row>
    <row r="31" spans="1:25" ht="15.75">
      <c r="A31" s="306" t="s">
        <v>1076</v>
      </c>
      <c r="B31" s="307">
        <v>100</v>
      </c>
      <c r="C31" s="303">
        <f>129088*T3</f>
        <v>128726.5536</v>
      </c>
      <c r="D31" s="308"/>
      <c r="E31" s="308"/>
      <c r="F31" s="308">
        <v>10.4</v>
      </c>
      <c r="G31" s="309"/>
      <c r="H31" s="310"/>
      <c r="I31" s="310">
        <f t="shared" si="4"/>
        <v>0</v>
      </c>
      <c r="J31" s="310">
        <f>+F31*C31</f>
        <v>1338756.15744</v>
      </c>
      <c r="K31" s="308">
        <f t="shared" si="0"/>
        <v>0</v>
      </c>
      <c r="L31" s="308">
        <f t="shared" si="5"/>
        <v>0</v>
      </c>
      <c r="M31" s="308">
        <f t="shared" si="6"/>
        <v>12.21688</v>
      </c>
      <c r="N31" s="165"/>
      <c r="O31" s="165"/>
      <c r="P31" s="165">
        <f>+C31*M31</f>
        <v>1572636.858144768</v>
      </c>
      <c r="Q31" s="165">
        <f t="shared" si="9"/>
        <v>0</v>
      </c>
      <c r="R31" s="300"/>
      <c r="S31" s="300"/>
      <c r="T31" s="300"/>
      <c r="U31" s="300"/>
      <c r="V31" s="300"/>
      <c r="W31" s="300"/>
      <c r="X31" s="300"/>
      <c r="Y31" s="300"/>
    </row>
    <row r="32" spans="1:25" ht="15.75">
      <c r="A32" s="306" t="s">
        <v>1104</v>
      </c>
      <c r="B32" s="307">
        <v>52</v>
      </c>
      <c r="C32" s="303">
        <f>48*T3</f>
        <v>47.865600000000001</v>
      </c>
      <c r="D32" s="308">
        <v>14.73</v>
      </c>
      <c r="E32" s="308"/>
      <c r="F32" s="308"/>
      <c r="G32" s="309">
        <f t="shared" ref="G32" si="12">SUM(D32:F32)</f>
        <v>14.73</v>
      </c>
      <c r="H32" s="310">
        <f>D32*C32</f>
        <v>705.06028800000001</v>
      </c>
      <c r="I32" s="310">
        <f t="shared" si="4"/>
        <v>0</v>
      </c>
      <c r="J32" s="310"/>
      <c r="K32" s="308">
        <f t="shared" si="0"/>
        <v>17.303331</v>
      </c>
      <c r="L32" s="308">
        <f t="shared" si="5"/>
        <v>0</v>
      </c>
      <c r="M32" s="308">
        <f t="shared" si="6"/>
        <v>0</v>
      </c>
      <c r="N32" s="165">
        <f t="shared" ref="N32" si="13">+C32*K32</f>
        <v>828.23432031360005</v>
      </c>
      <c r="O32" s="165">
        <f t="shared" ref="O32" si="14">+C32*L32</f>
        <v>0</v>
      </c>
      <c r="P32" s="300"/>
      <c r="Q32" s="165">
        <f t="shared" si="9"/>
        <v>123.17403231360004</v>
      </c>
      <c r="R32" s="300"/>
      <c r="S32" s="300"/>
      <c r="T32" s="300"/>
      <c r="U32" s="300"/>
      <c r="V32" s="300"/>
      <c r="W32" s="300"/>
      <c r="X32" s="300"/>
      <c r="Y32" s="300"/>
    </row>
    <row r="33" spans="1:25" ht="15.75">
      <c r="A33" s="306" t="s">
        <v>1105</v>
      </c>
      <c r="B33" s="307">
        <v>100</v>
      </c>
      <c r="C33" s="303">
        <f>20240*T3</f>
        <v>20183.327999999998</v>
      </c>
      <c r="D33" s="308">
        <v>4.09</v>
      </c>
      <c r="E33" s="308"/>
      <c r="F33" s="308"/>
      <c r="G33" s="309">
        <f t="shared" si="2"/>
        <v>4.09</v>
      </c>
      <c r="H33" s="310">
        <f>D33*C33</f>
        <v>82549.811519999988</v>
      </c>
      <c r="I33" s="310">
        <f t="shared" si="4"/>
        <v>0</v>
      </c>
      <c r="J33" s="310"/>
      <c r="K33" s="308">
        <f t="shared" si="0"/>
        <v>4.8045229999999997</v>
      </c>
      <c r="L33" s="308">
        <f t="shared" si="5"/>
        <v>0</v>
      </c>
      <c r="M33" s="308">
        <f t="shared" si="6"/>
        <v>0</v>
      </c>
      <c r="N33" s="165">
        <f t="shared" si="7"/>
        <v>96971.263592543983</v>
      </c>
      <c r="O33" s="165"/>
      <c r="P33" s="300"/>
      <c r="Q33" s="165">
        <f t="shared" si="9"/>
        <v>14421.452072543994</v>
      </c>
      <c r="R33" s="300"/>
      <c r="S33" s="300"/>
      <c r="T33" s="300"/>
      <c r="U33" s="300"/>
      <c r="V33" s="300"/>
      <c r="W33" s="300"/>
      <c r="X33" s="300"/>
      <c r="Y33" s="300"/>
    </row>
    <row r="34" spans="1:25" ht="15.75">
      <c r="A34" s="306" t="s">
        <v>1106</v>
      </c>
      <c r="B34" s="307"/>
      <c r="C34" s="822">
        <v>260867</v>
      </c>
      <c r="D34" s="308">
        <v>2.34</v>
      </c>
      <c r="E34" s="308"/>
      <c r="F34" s="308"/>
      <c r="G34" s="309">
        <f t="shared" si="2"/>
        <v>2.34</v>
      </c>
      <c r="H34" s="310">
        <f>D34*C34</f>
        <v>610428.77999999991</v>
      </c>
      <c r="I34" s="310"/>
      <c r="J34" s="310"/>
      <c r="K34" s="308">
        <v>1.48</v>
      </c>
      <c r="L34" s="308">
        <f t="shared" si="5"/>
        <v>0</v>
      </c>
      <c r="M34" s="308">
        <f t="shared" si="6"/>
        <v>0</v>
      </c>
      <c r="N34" s="165">
        <f>+C34*K34</f>
        <v>386083.16</v>
      </c>
      <c r="P34" s="300"/>
      <c r="Q34" s="165">
        <f t="shared" si="9"/>
        <v>-224345.61999999994</v>
      </c>
      <c r="R34" s="300"/>
      <c r="S34" s="300"/>
      <c r="T34" s="300"/>
      <c r="U34" s="300"/>
      <c r="V34" s="300"/>
      <c r="W34" s="300"/>
      <c r="X34" s="300"/>
      <c r="Y34" s="300"/>
    </row>
    <row r="35" spans="1:25" ht="15.75">
      <c r="A35" s="306" t="s">
        <v>1107</v>
      </c>
      <c r="B35" s="307">
        <v>50</v>
      </c>
      <c r="C35" s="303">
        <f>176*T3</f>
        <v>175.50719999999998</v>
      </c>
      <c r="D35" s="308">
        <v>10.63</v>
      </c>
      <c r="E35" s="308"/>
      <c r="F35" s="308"/>
      <c r="G35" s="309">
        <f t="shared" si="2"/>
        <v>10.63</v>
      </c>
      <c r="H35" s="310">
        <f>D35*C35</f>
        <v>1865.6415359999999</v>
      </c>
      <c r="I35" s="310">
        <f t="shared" si="4"/>
        <v>0</v>
      </c>
      <c r="J35" s="310"/>
      <c r="K35" s="308">
        <f t="shared" si="0"/>
        <v>12.487061000000001</v>
      </c>
      <c r="L35" s="308">
        <f t="shared" si="5"/>
        <v>0</v>
      </c>
      <c r="M35" s="308">
        <f t="shared" si="6"/>
        <v>0</v>
      </c>
      <c r="N35" s="165">
        <f t="shared" si="7"/>
        <v>2191.5691123391998</v>
      </c>
      <c r="O35" s="165"/>
      <c r="P35" s="300"/>
      <c r="Q35" s="165">
        <f t="shared" si="9"/>
        <v>325.92757633919996</v>
      </c>
      <c r="R35" s="300"/>
      <c r="S35" s="300"/>
      <c r="T35" s="300"/>
      <c r="U35" s="300"/>
      <c r="V35" s="300"/>
      <c r="W35" s="300"/>
      <c r="X35" s="300"/>
      <c r="Y35" s="300"/>
    </row>
    <row r="36" spans="1:25" ht="15.75">
      <c r="A36" s="306" t="s">
        <v>1108</v>
      </c>
      <c r="B36" s="307"/>
      <c r="C36" s="303">
        <f>59769*T3</f>
        <v>59601.646799999995</v>
      </c>
      <c r="D36" s="308">
        <v>1</v>
      </c>
      <c r="E36" s="308"/>
      <c r="F36" s="308"/>
      <c r="G36" s="309"/>
      <c r="H36" s="310">
        <f>+D36*C36</f>
        <v>59601.646799999995</v>
      </c>
      <c r="I36" s="310"/>
      <c r="J36" s="310"/>
      <c r="K36" s="308">
        <f>+D36</f>
        <v>1</v>
      </c>
      <c r="L36" s="308">
        <f t="shared" si="5"/>
        <v>0</v>
      </c>
      <c r="M36" s="308">
        <f t="shared" si="6"/>
        <v>0</v>
      </c>
      <c r="N36" s="165">
        <f>+C36*K36</f>
        <v>59601.646799999995</v>
      </c>
      <c r="O36" s="165"/>
      <c r="P36" s="300"/>
      <c r="Q36" s="165">
        <f t="shared" si="9"/>
        <v>0</v>
      </c>
      <c r="R36" s="300"/>
      <c r="S36" s="300"/>
      <c r="T36" s="300"/>
      <c r="U36" s="300"/>
      <c r="V36" s="300"/>
      <c r="W36" s="300"/>
      <c r="X36" s="300"/>
      <c r="Y36" s="300"/>
    </row>
    <row r="37" spans="1:25" ht="15.75">
      <c r="A37" s="306" t="s">
        <v>1109</v>
      </c>
      <c r="B37" s="307">
        <v>51</v>
      </c>
      <c r="C37" s="303">
        <f>237*T3</f>
        <v>236.3364</v>
      </c>
      <c r="D37" s="308">
        <v>5.31</v>
      </c>
      <c r="E37" s="308"/>
      <c r="F37" s="308"/>
      <c r="G37" s="309">
        <f t="shared" si="2"/>
        <v>5.31</v>
      </c>
      <c r="H37" s="310">
        <f>D37*C37</f>
        <v>1254.9462839999999</v>
      </c>
      <c r="I37" s="310">
        <f t="shared" si="4"/>
        <v>0</v>
      </c>
      <c r="J37" s="310"/>
      <c r="K37" s="308">
        <f t="shared" si="0"/>
        <v>6.2376569999999996</v>
      </c>
      <c r="L37" s="308">
        <f t="shared" si="5"/>
        <v>0</v>
      </c>
      <c r="M37" s="308">
        <f t="shared" si="6"/>
        <v>0</v>
      </c>
      <c r="N37" s="165">
        <f t="shared" si="7"/>
        <v>1474.1853998147999</v>
      </c>
      <c r="O37" s="165"/>
      <c r="P37" s="300"/>
      <c r="Q37" s="165">
        <f t="shared" si="9"/>
        <v>219.23911581480002</v>
      </c>
      <c r="R37" s="300"/>
      <c r="S37" s="300"/>
      <c r="T37" s="300"/>
      <c r="U37" s="300"/>
      <c r="V37" s="300"/>
      <c r="W37" s="300"/>
      <c r="X37" s="300"/>
      <c r="Y37" s="300"/>
    </row>
    <row r="38" spans="1:25" ht="15.75">
      <c r="A38" s="306" t="s">
        <v>1110</v>
      </c>
      <c r="B38" s="307">
        <v>80</v>
      </c>
      <c r="C38" s="311">
        <f>1335*T3</f>
        <v>1331.2619999999999</v>
      </c>
      <c r="D38" s="308">
        <v>1.76</v>
      </c>
      <c r="E38" s="308"/>
      <c r="F38" s="308"/>
      <c r="G38" s="309">
        <f t="shared" si="2"/>
        <v>1.76</v>
      </c>
      <c r="H38" s="312">
        <f t="shared" si="3"/>
        <v>2343.0211199999999</v>
      </c>
      <c r="I38" s="312"/>
      <c r="J38" s="312"/>
      <c r="K38" s="308">
        <f t="shared" si="0"/>
        <v>2.067472</v>
      </c>
      <c r="L38" s="308">
        <f t="shared" si="5"/>
        <v>0</v>
      </c>
      <c r="M38" s="308">
        <f t="shared" si="6"/>
        <v>0</v>
      </c>
      <c r="N38" s="165">
        <f t="shared" si="7"/>
        <v>2752.3469096639997</v>
      </c>
      <c r="O38" s="313"/>
      <c r="P38" s="313"/>
      <c r="Q38" s="165">
        <f t="shared" si="9"/>
        <v>409.32578966399979</v>
      </c>
      <c r="R38" s="300"/>
      <c r="S38" s="300"/>
      <c r="T38" s="300"/>
      <c r="U38" s="300"/>
      <c r="V38" s="300"/>
      <c r="W38" s="300"/>
      <c r="X38" s="300"/>
      <c r="Y38" s="300"/>
    </row>
    <row r="39" spans="1:25" ht="15.75">
      <c r="A39" s="306" t="s">
        <v>1111</v>
      </c>
      <c r="B39" s="306"/>
      <c r="C39" s="303"/>
      <c r="D39" s="303"/>
      <c r="E39" s="303"/>
      <c r="F39" s="303"/>
      <c r="G39" s="314"/>
      <c r="H39" s="303">
        <f>SUM(H8:H38)</f>
        <v>4255376.8886639997</v>
      </c>
      <c r="I39" s="303">
        <f t="shared" ref="I39:J39" si="15">SUM(I8:I38)</f>
        <v>1382742.8987399999</v>
      </c>
      <c r="J39" s="303">
        <f t="shared" si="15"/>
        <v>1338756.15744</v>
      </c>
      <c r="K39" s="303"/>
      <c r="L39" s="300"/>
      <c r="M39" s="300"/>
      <c r="N39" s="303">
        <f>SUM(N8:N38)</f>
        <v>4657391.29555164</v>
      </c>
      <c r="O39" s="303">
        <f>SUM(O8:O38)</f>
        <v>1616982.6511878481</v>
      </c>
      <c r="P39" s="303">
        <f>SUM(P8:P38)</f>
        <v>1572636.858144768</v>
      </c>
      <c r="Q39" s="165">
        <f>SUM(Q8:Q38)</f>
        <v>402014.40688764083</v>
      </c>
      <c r="R39" s="300"/>
      <c r="S39" s="300"/>
      <c r="T39" s="300"/>
      <c r="U39" s="300"/>
      <c r="V39" s="300"/>
      <c r="W39" s="300"/>
      <c r="X39" s="300"/>
      <c r="Y39" s="300"/>
    </row>
    <row r="40" spans="1:25" ht="15.75">
      <c r="A40" s="315"/>
      <c r="B40" s="315"/>
      <c r="C40" s="303"/>
      <c r="D40" s="314"/>
      <c r="E40" s="303"/>
      <c r="F40" s="303"/>
      <c r="G40" s="316"/>
      <c r="H40" s="303"/>
      <c r="I40" s="303"/>
      <c r="J40" s="303"/>
      <c r="K40" s="303"/>
      <c r="L40" s="300"/>
      <c r="M40" s="300"/>
      <c r="N40" s="300"/>
      <c r="O40" s="300"/>
      <c r="P40" s="300"/>
      <c r="Q40" s="300"/>
      <c r="R40" s="300"/>
      <c r="S40" s="300"/>
      <c r="T40" s="300"/>
      <c r="U40" s="300"/>
      <c r="V40" s="300"/>
      <c r="W40" s="300"/>
      <c r="X40" s="300"/>
      <c r="Y40" s="300"/>
    </row>
    <row r="41" spans="1:25" ht="15.75">
      <c r="A41" s="315"/>
      <c r="B41" s="315"/>
      <c r="C41" s="303"/>
      <c r="D41" s="314"/>
      <c r="E41" s="303"/>
      <c r="F41" s="303"/>
      <c r="G41" s="316"/>
      <c r="H41" s="303"/>
      <c r="I41" s="303"/>
      <c r="J41" s="303"/>
      <c r="K41" s="303"/>
      <c r="L41" s="300"/>
      <c r="M41" s="300"/>
      <c r="N41" s="300"/>
      <c r="O41" s="300"/>
      <c r="P41" s="300"/>
      <c r="Q41" s="300"/>
      <c r="R41" s="300"/>
      <c r="S41" s="300"/>
      <c r="T41" s="300"/>
      <c r="U41" s="300"/>
      <c r="V41" s="300"/>
      <c r="W41" s="300"/>
      <c r="X41" s="300"/>
      <c r="Y41" s="300"/>
    </row>
    <row r="42" spans="1:25" ht="15.75">
      <c r="A42" s="317" t="s">
        <v>1112</v>
      </c>
      <c r="B42" s="317"/>
      <c r="C42" s="317"/>
      <c r="D42" s="318"/>
      <c r="E42" s="317"/>
      <c r="F42" s="317"/>
      <c r="G42" s="319"/>
      <c r="H42" s="317"/>
      <c r="I42" s="317"/>
      <c r="J42" s="317"/>
      <c r="K42" s="317"/>
      <c r="L42" s="320"/>
      <c r="M42" s="296"/>
      <c r="N42" s="300"/>
      <c r="O42" s="300"/>
      <c r="P42" s="300"/>
      <c r="Q42" s="300"/>
      <c r="R42" s="300"/>
      <c r="S42" s="300"/>
      <c r="T42" s="300"/>
      <c r="U42" s="300"/>
      <c r="V42" s="300"/>
      <c r="W42" s="300"/>
      <c r="X42" s="300"/>
      <c r="Y42" s="300"/>
    </row>
    <row r="43" spans="1:25" ht="15.75">
      <c r="A43" s="300"/>
      <c r="B43" s="303"/>
      <c r="C43" s="303"/>
      <c r="D43" s="304"/>
      <c r="E43" s="304"/>
      <c r="F43" s="304"/>
      <c r="G43" s="304"/>
      <c r="H43" s="304"/>
      <c r="I43" s="304"/>
      <c r="J43" s="304"/>
      <c r="K43" s="303" t="s">
        <v>1072</v>
      </c>
      <c r="L43" s="303" t="s">
        <v>1072</v>
      </c>
      <c r="M43" s="303" t="s">
        <v>1072</v>
      </c>
      <c r="N43" s="302" t="s">
        <v>1073</v>
      </c>
      <c r="O43" s="302"/>
      <c r="P43" s="302"/>
      <c r="Q43" s="300"/>
      <c r="R43" s="300"/>
      <c r="S43" s="300"/>
      <c r="T43" s="300"/>
      <c r="U43" s="300"/>
      <c r="V43" s="300"/>
      <c r="W43" s="300"/>
      <c r="X43" s="300"/>
      <c r="Y43" s="300"/>
    </row>
    <row r="44" spans="1:25" ht="15.75">
      <c r="A44" s="303"/>
      <c r="B44" s="304" t="s">
        <v>1074</v>
      </c>
      <c r="C44" s="304" t="s">
        <v>944</v>
      </c>
      <c r="D44" s="304" t="s">
        <v>677</v>
      </c>
      <c r="E44" s="304" t="s">
        <v>1075</v>
      </c>
      <c r="F44" s="304" t="s">
        <v>1076</v>
      </c>
      <c r="G44" s="304" t="s">
        <v>103</v>
      </c>
      <c r="H44" s="304" t="s">
        <v>677</v>
      </c>
      <c r="I44" s="304" t="s">
        <v>1075</v>
      </c>
      <c r="J44" s="304" t="s">
        <v>1076</v>
      </c>
      <c r="K44" s="304" t="s">
        <v>677</v>
      </c>
      <c r="L44" s="304" t="s">
        <v>1075</v>
      </c>
      <c r="M44" s="304" t="s">
        <v>1076</v>
      </c>
      <c r="N44" s="304" t="s">
        <v>677</v>
      </c>
      <c r="O44" s="304" t="s">
        <v>1075</v>
      </c>
      <c r="P44" s="304" t="s">
        <v>1076</v>
      </c>
      <c r="Q44" s="300"/>
      <c r="R44" s="300"/>
      <c r="S44" s="300"/>
      <c r="T44" s="300"/>
      <c r="U44" s="300"/>
      <c r="V44" s="300"/>
      <c r="W44" s="300"/>
      <c r="X44" s="300"/>
      <c r="Y44" s="300"/>
    </row>
    <row r="45" spans="1:25" ht="15.75">
      <c r="A45" s="305" t="s">
        <v>1077</v>
      </c>
      <c r="B45" s="305" t="s">
        <v>1078</v>
      </c>
      <c r="C45" s="305" t="s">
        <v>1079</v>
      </c>
      <c r="D45" s="305" t="s">
        <v>1080</v>
      </c>
      <c r="E45" s="305" t="s">
        <v>48</v>
      </c>
      <c r="F45" s="305" t="s">
        <v>48</v>
      </c>
      <c r="G45" s="305" t="s">
        <v>48</v>
      </c>
      <c r="H45" s="305" t="s">
        <v>12</v>
      </c>
      <c r="I45" s="305" t="s">
        <v>12</v>
      </c>
      <c r="J45" s="305" t="s">
        <v>12</v>
      </c>
      <c r="K45" s="305" t="s">
        <v>1080</v>
      </c>
      <c r="L45" s="305" t="s">
        <v>1080</v>
      </c>
      <c r="M45" s="305" t="s">
        <v>1080</v>
      </c>
      <c r="N45" s="305" t="s">
        <v>12</v>
      </c>
      <c r="O45" s="305" t="s">
        <v>12</v>
      </c>
      <c r="P45" s="305" t="s">
        <v>12</v>
      </c>
      <c r="Q45" s="300"/>
      <c r="R45" s="300"/>
      <c r="S45" s="300"/>
      <c r="T45" s="300"/>
      <c r="U45" s="300"/>
      <c r="V45" s="300"/>
      <c r="W45" s="300"/>
      <c r="X45" s="300"/>
      <c r="Y45" s="300"/>
    </row>
    <row r="46" spans="1:25" ht="15.75">
      <c r="A46" s="306" t="s">
        <v>1081</v>
      </c>
      <c r="B46" s="307">
        <v>100</v>
      </c>
      <c r="C46" s="303">
        <f>349*T3</f>
        <v>348.02280000000002</v>
      </c>
      <c r="D46" s="308">
        <v>9.4499999999999993</v>
      </c>
      <c r="E46" s="308"/>
      <c r="F46" s="308"/>
      <c r="G46" s="309">
        <f>SUM(D46:F46)</f>
        <v>9.4499999999999993</v>
      </c>
      <c r="H46" s="310">
        <f>D46*C46</f>
        <v>3288.8154599999998</v>
      </c>
      <c r="I46" s="310">
        <f>C46*E46</f>
        <v>0</v>
      </c>
      <c r="J46" s="310"/>
      <c r="K46" s="308">
        <f t="shared" ref="K46:K68" si="16">(+D46*$T$1)+D46</f>
        <v>11.100914999999999</v>
      </c>
      <c r="L46" s="308"/>
      <c r="M46" s="308">
        <f t="shared" ref="M46:M68" si="17">+F46*$T$1</f>
        <v>0</v>
      </c>
      <c r="N46" s="165">
        <f>+C46*K46</f>
        <v>3863.3715208619997</v>
      </c>
      <c r="O46" s="321"/>
      <c r="P46" s="300"/>
      <c r="Q46" s="165">
        <f t="shared" ref="Q46:Q68" si="18">-H46+N46</f>
        <v>574.55606086199987</v>
      </c>
      <c r="R46" s="300"/>
      <c r="S46" s="300"/>
      <c r="T46" s="300"/>
      <c r="U46" s="300"/>
      <c r="V46" s="300"/>
      <c r="W46" s="300"/>
      <c r="X46" s="300"/>
      <c r="Y46" s="300"/>
    </row>
    <row r="47" spans="1:25" ht="15.75">
      <c r="A47" s="306" t="s">
        <v>1082</v>
      </c>
      <c r="B47" s="307">
        <v>100</v>
      </c>
      <c r="C47" s="303">
        <f>326*T3</f>
        <v>325.0872</v>
      </c>
      <c r="D47" s="308">
        <v>7.14</v>
      </c>
      <c r="E47" s="308"/>
      <c r="F47" s="308"/>
      <c r="G47" s="309">
        <f t="shared" ref="G47:G58" si="19">SUM(D47:F47)</f>
        <v>7.14</v>
      </c>
      <c r="H47" s="310">
        <f t="shared" ref="H47:H68" si="20">D47*C47</f>
        <v>2321.1226079999997</v>
      </c>
      <c r="I47" s="310">
        <f>C47*E47</f>
        <v>0</v>
      </c>
      <c r="J47" s="310"/>
      <c r="K47" s="308">
        <f t="shared" si="16"/>
        <v>8.387357999999999</v>
      </c>
      <c r="L47" s="308"/>
      <c r="M47" s="308">
        <f t="shared" si="17"/>
        <v>0</v>
      </c>
      <c r="N47" s="165">
        <f>+C47*K47</f>
        <v>2726.6227276175996</v>
      </c>
      <c r="O47" s="321"/>
      <c r="P47" s="300"/>
      <c r="Q47" s="165">
        <f t="shared" si="18"/>
        <v>405.50011961759992</v>
      </c>
      <c r="R47" s="300"/>
      <c r="S47" s="300"/>
      <c r="T47" s="300"/>
      <c r="U47" s="300"/>
      <c r="V47" s="300"/>
      <c r="W47" s="300"/>
      <c r="X47" s="300"/>
      <c r="Y47" s="300"/>
    </row>
    <row r="48" spans="1:25" ht="15.75">
      <c r="A48" s="306" t="s">
        <v>1083</v>
      </c>
      <c r="B48" s="307">
        <v>100</v>
      </c>
      <c r="C48" s="303">
        <f>3330*T3</f>
        <v>3320.6759999999999</v>
      </c>
      <c r="D48" s="308">
        <v>14.12</v>
      </c>
      <c r="E48" s="308"/>
      <c r="F48" s="308"/>
      <c r="G48" s="309">
        <f t="shared" si="19"/>
        <v>14.12</v>
      </c>
      <c r="H48" s="310">
        <f t="shared" si="20"/>
        <v>46887.945119999997</v>
      </c>
      <c r="I48" s="310">
        <f t="shared" ref="I48:I68" si="21">C48*E48</f>
        <v>0</v>
      </c>
      <c r="J48" s="310"/>
      <c r="K48" s="308">
        <f t="shared" si="16"/>
        <v>16.586763999999999</v>
      </c>
      <c r="L48" s="308"/>
      <c r="M48" s="308">
        <f t="shared" si="17"/>
        <v>0</v>
      </c>
      <c r="N48" s="165">
        <f t="shared" ref="N48:N68" si="22">+C48*K48</f>
        <v>55079.269132463996</v>
      </c>
      <c r="O48" s="321"/>
      <c r="P48" s="300"/>
      <c r="Q48" s="165">
        <f t="shared" si="18"/>
        <v>8191.3240124639997</v>
      </c>
      <c r="R48" s="300"/>
      <c r="S48" s="300"/>
      <c r="T48" s="300"/>
      <c r="U48" s="300"/>
      <c r="V48" s="300"/>
      <c r="W48" s="300"/>
      <c r="X48" s="300"/>
      <c r="Y48" s="300"/>
    </row>
    <row r="49" spans="1:25" ht="15.75">
      <c r="A49" s="306" t="s">
        <v>1084</v>
      </c>
      <c r="B49" s="307">
        <v>100</v>
      </c>
      <c r="C49" s="165">
        <f>1263*T3</f>
        <v>1259.4636</v>
      </c>
      <c r="D49" s="308">
        <v>20.29</v>
      </c>
      <c r="E49" s="308"/>
      <c r="F49" s="308"/>
      <c r="G49" s="309">
        <f t="shared" si="19"/>
        <v>20.29</v>
      </c>
      <c r="H49" s="310">
        <f t="shared" si="20"/>
        <v>25554.516444000001</v>
      </c>
      <c r="I49" s="310">
        <f t="shared" si="21"/>
        <v>0</v>
      </c>
      <c r="J49" s="310"/>
      <c r="K49" s="308">
        <f t="shared" si="16"/>
        <v>23.834662999999999</v>
      </c>
      <c r="L49" s="308"/>
      <c r="M49" s="308">
        <f t="shared" si="17"/>
        <v>0</v>
      </c>
      <c r="N49" s="165">
        <f t="shared" si="22"/>
        <v>30018.890466766799</v>
      </c>
      <c r="O49" s="321"/>
      <c r="P49" s="300"/>
      <c r="Q49" s="165">
        <f t="shared" si="18"/>
        <v>4464.3740227667986</v>
      </c>
      <c r="R49" s="300"/>
      <c r="S49" s="300"/>
      <c r="T49" s="300"/>
      <c r="U49" s="300"/>
      <c r="V49" s="300"/>
      <c r="W49" s="300"/>
      <c r="X49" s="300"/>
      <c r="Y49" s="300"/>
    </row>
    <row r="50" spans="1:25" ht="15.75">
      <c r="A50" s="306" t="s">
        <v>1085</v>
      </c>
      <c r="B50" s="307">
        <v>100</v>
      </c>
      <c r="C50" s="823">
        <f>198*T3</f>
        <v>197.44559999999998</v>
      </c>
      <c r="D50" s="308">
        <v>25.94</v>
      </c>
      <c r="E50" s="308"/>
      <c r="F50" s="308"/>
      <c r="G50" s="309">
        <f t="shared" si="19"/>
        <v>25.94</v>
      </c>
      <c r="H50" s="310">
        <f t="shared" si="20"/>
        <v>5121.7388639999999</v>
      </c>
      <c r="I50" s="310">
        <f t="shared" si="21"/>
        <v>0</v>
      </c>
      <c r="J50" s="310"/>
      <c r="K50" s="308">
        <f t="shared" si="16"/>
        <v>30.471718000000003</v>
      </c>
      <c r="L50" s="308"/>
      <c r="M50" s="308">
        <f t="shared" si="17"/>
        <v>0</v>
      </c>
      <c r="N50" s="165">
        <f t="shared" si="22"/>
        <v>6016.5066435407998</v>
      </c>
      <c r="O50" s="321"/>
      <c r="P50" s="300"/>
      <c r="Q50" s="165">
        <f t="shared" si="18"/>
        <v>894.76777954079989</v>
      </c>
      <c r="R50" s="300"/>
      <c r="S50" s="300"/>
      <c r="T50" s="300"/>
      <c r="U50" s="300"/>
      <c r="V50" s="300"/>
      <c r="W50" s="300"/>
      <c r="X50" s="300"/>
      <c r="Y50" s="300"/>
    </row>
    <row r="51" spans="1:25" ht="15.75">
      <c r="A51" s="306" t="s">
        <v>1086</v>
      </c>
      <c r="B51" s="307">
        <v>100</v>
      </c>
      <c r="C51" s="823">
        <f>48*T3</f>
        <v>47.865600000000001</v>
      </c>
      <c r="D51" s="308">
        <v>32</v>
      </c>
      <c r="E51" s="308"/>
      <c r="F51" s="308"/>
      <c r="G51" s="309">
        <f t="shared" si="19"/>
        <v>32</v>
      </c>
      <c r="H51" s="310">
        <f t="shared" si="20"/>
        <v>1531.6992</v>
      </c>
      <c r="I51" s="310">
        <f t="shared" si="21"/>
        <v>0</v>
      </c>
      <c r="J51" s="310"/>
      <c r="K51" s="308">
        <f t="shared" si="16"/>
        <v>37.590400000000002</v>
      </c>
      <c r="L51" s="308"/>
      <c r="M51" s="308">
        <f t="shared" si="17"/>
        <v>0</v>
      </c>
      <c r="N51" s="165">
        <f t="shared" si="22"/>
        <v>1799.2870502400001</v>
      </c>
      <c r="O51" s="321"/>
      <c r="P51" s="300"/>
      <c r="Q51" s="165">
        <f t="shared" si="18"/>
        <v>267.58785024000008</v>
      </c>
      <c r="R51" s="300"/>
      <c r="S51" s="300"/>
      <c r="T51" s="300"/>
      <c r="U51" s="300"/>
      <c r="V51" s="300"/>
      <c r="W51" s="300"/>
      <c r="X51" s="300"/>
      <c r="Y51" s="300"/>
    </row>
    <row r="52" spans="1:25" ht="15.75">
      <c r="A52" s="306" t="s">
        <v>1113</v>
      </c>
      <c r="B52" s="307">
        <v>100</v>
      </c>
      <c r="C52" s="823">
        <f>62*T3</f>
        <v>61.8264</v>
      </c>
      <c r="D52" s="308">
        <v>38.07</v>
      </c>
      <c r="E52" s="308"/>
      <c r="F52" s="308"/>
      <c r="G52" s="309">
        <f t="shared" si="19"/>
        <v>38.07</v>
      </c>
      <c r="H52" s="310">
        <f t="shared" si="20"/>
        <v>2353.7310480000001</v>
      </c>
      <c r="I52" s="310">
        <f t="shared" si="21"/>
        <v>0</v>
      </c>
      <c r="J52" s="310"/>
      <c r="K52" s="308">
        <f t="shared" si="16"/>
        <v>44.720829000000002</v>
      </c>
      <c r="L52" s="308"/>
      <c r="M52" s="308">
        <f t="shared" si="17"/>
        <v>0</v>
      </c>
      <c r="N52" s="165">
        <f t="shared" si="22"/>
        <v>2764.9278620856003</v>
      </c>
      <c r="O52" s="321"/>
      <c r="P52" s="300"/>
      <c r="Q52" s="165">
        <f t="shared" si="18"/>
        <v>411.19681408560018</v>
      </c>
      <c r="R52" s="300"/>
      <c r="S52" s="300"/>
      <c r="T52" s="300"/>
      <c r="U52" s="300"/>
      <c r="V52" s="300"/>
      <c r="W52" s="300"/>
      <c r="X52" s="300"/>
      <c r="Y52" s="300"/>
    </row>
    <row r="53" spans="1:25" ht="15.75">
      <c r="A53" s="306" t="s">
        <v>1114</v>
      </c>
      <c r="B53" s="307">
        <v>100</v>
      </c>
      <c r="C53" s="823">
        <f>66*T3</f>
        <v>65.815200000000004</v>
      </c>
      <c r="D53" s="308">
        <v>41.68</v>
      </c>
      <c r="E53" s="308"/>
      <c r="F53" s="308"/>
      <c r="G53" s="309">
        <f t="shared" si="19"/>
        <v>41.68</v>
      </c>
      <c r="H53" s="310">
        <f t="shared" si="20"/>
        <v>2743.1775360000001</v>
      </c>
      <c r="I53" s="310">
        <f t="shared" si="21"/>
        <v>0</v>
      </c>
      <c r="J53" s="310"/>
      <c r="K53" s="308">
        <f t="shared" si="16"/>
        <v>48.961495999999997</v>
      </c>
      <c r="L53" s="308"/>
      <c r="M53" s="308">
        <f t="shared" si="17"/>
        <v>0</v>
      </c>
      <c r="N53" s="165">
        <f t="shared" si="22"/>
        <v>3222.4106515392</v>
      </c>
      <c r="O53" s="321"/>
      <c r="P53" s="300"/>
      <c r="Q53" s="165">
        <f t="shared" si="18"/>
        <v>479.23311553919984</v>
      </c>
      <c r="R53" s="300"/>
      <c r="S53" s="300"/>
      <c r="T53" s="300"/>
      <c r="U53" s="300"/>
      <c r="V53" s="300"/>
      <c r="W53" s="300"/>
      <c r="X53" s="300"/>
      <c r="Y53" s="300"/>
    </row>
    <row r="54" spans="1:25" ht="15.75">
      <c r="A54" s="306" t="s">
        <v>1090</v>
      </c>
      <c r="B54" s="307">
        <v>100</v>
      </c>
      <c r="C54" s="823">
        <f>1138*T3</f>
        <v>1134.8136</v>
      </c>
      <c r="D54" s="308">
        <v>10.74</v>
      </c>
      <c r="E54" s="308"/>
      <c r="F54" s="308"/>
      <c r="G54" s="309">
        <f t="shared" si="19"/>
        <v>10.74</v>
      </c>
      <c r="H54" s="310">
        <f t="shared" si="20"/>
        <v>12187.898063999999</v>
      </c>
      <c r="I54" s="310">
        <f t="shared" si="21"/>
        <v>0</v>
      </c>
      <c r="J54" s="310"/>
      <c r="K54" s="308">
        <f t="shared" si="16"/>
        <v>12.616277999999999</v>
      </c>
      <c r="L54" s="308"/>
      <c r="M54" s="308">
        <f t="shared" si="17"/>
        <v>0</v>
      </c>
      <c r="N54" s="165">
        <f t="shared" si="22"/>
        <v>14317.123855780799</v>
      </c>
      <c r="O54" s="321"/>
      <c r="P54" s="300"/>
      <c r="Q54" s="165">
        <f t="shared" si="18"/>
        <v>2129.2257917808001</v>
      </c>
      <c r="R54" s="300"/>
      <c r="S54" s="300"/>
      <c r="T54" s="300"/>
      <c r="U54" s="300"/>
      <c r="V54" s="300"/>
      <c r="W54" s="300"/>
      <c r="X54" s="300"/>
      <c r="Y54" s="300"/>
    </row>
    <row r="55" spans="1:25" ht="15.75">
      <c r="A55" s="306" t="s">
        <v>1091</v>
      </c>
      <c r="B55" s="307">
        <v>100</v>
      </c>
      <c r="C55" s="823">
        <f>302*T3</f>
        <v>301.15440000000001</v>
      </c>
      <c r="D55" s="308">
        <v>15.41</v>
      </c>
      <c r="E55" s="308"/>
      <c r="F55" s="308"/>
      <c r="G55" s="309">
        <f t="shared" si="19"/>
        <v>15.41</v>
      </c>
      <c r="H55" s="310">
        <f t="shared" si="20"/>
        <v>4640.7893039999999</v>
      </c>
      <c r="I55" s="310">
        <f t="shared" si="21"/>
        <v>0</v>
      </c>
      <c r="J55" s="310"/>
      <c r="K55" s="308">
        <f t="shared" si="16"/>
        <v>18.102126999999999</v>
      </c>
      <c r="L55" s="308"/>
      <c r="M55" s="308">
        <f t="shared" si="17"/>
        <v>0</v>
      </c>
      <c r="N55" s="165">
        <f t="shared" si="22"/>
        <v>5451.5351954088001</v>
      </c>
      <c r="O55" s="321"/>
      <c r="P55" s="300"/>
      <c r="Q55" s="165">
        <f t="shared" si="18"/>
        <v>810.74589140880016</v>
      </c>
      <c r="R55" s="300"/>
      <c r="S55" s="300"/>
      <c r="T55" s="300"/>
      <c r="U55" s="300"/>
      <c r="V55" s="300"/>
      <c r="W55" s="300"/>
      <c r="X55" s="300"/>
      <c r="Y55" s="300"/>
    </row>
    <row r="56" spans="1:25" ht="15.75">
      <c r="A56" s="306" t="s">
        <v>1092</v>
      </c>
      <c r="B56" s="307">
        <v>100</v>
      </c>
      <c r="C56" s="823">
        <f>201*T3</f>
        <v>200.43719999999999</v>
      </c>
      <c r="D56" s="308">
        <v>30.04</v>
      </c>
      <c r="E56" s="308"/>
      <c r="F56" s="308"/>
      <c r="G56" s="309">
        <f t="shared" si="19"/>
        <v>30.04</v>
      </c>
      <c r="H56" s="310">
        <f t="shared" si="20"/>
        <v>6021.1334879999995</v>
      </c>
      <c r="I56" s="310">
        <f t="shared" si="21"/>
        <v>0</v>
      </c>
      <c r="J56" s="310"/>
      <c r="K56" s="308">
        <f t="shared" si="16"/>
        <v>35.287987999999999</v>
      </c>
      <c r="L56" s="308"/>
      <c r="M56" s="308">
        <f t="shared" si="17"/>
        <v>0</v>
      </c>
      <c r="N56" s="165">
        <f t="shared" si="22"/>
        <v>7073.0255083535994</v>
      </c>
      <c r="O56" s="321"/>
      <c r="P56" s="300"/>
      <c r="Q56" s="165">
        <f t="shared" si="18"/>
        <v>1051.8920203535999</v>
      </c>
      <c r="R56" s="300"/>
      <c r="S56" s="300"/>
      <c r="T56" s="300"/>
      <c r="U56" s="300"/>
      <c r="V56" s="300"/>
      <c r="W56" s="300"/>
      <c r="X56" s="300"/>
      <c r="Y56" s="300"/>
    </row>
    <row r="57" spans="1:25" ht="15.75">
      <c r="A57" s="306" t="s">
        <v>1093</v>
      </c>
      <c r="B57" s="307">
        <v>100</v>
      </c>
      <c r="C57" s="165">
        <f>51*T3</f>
        <v>50.857199999999999</v>
      </c>
      <c r="D57" s="308">
        <v>44.68</v>
      </c>
      <c r="E57" s="308"/>
      <c r="F57" s="308"/>
      <c r="G57" s="309">
        <f t="shared" si="19"/>
        <v>44.68</v>
      </c>
      <c r="H57" s="310">
        <f t="shared" si="20"/>
        <v>2272.299696</v>
      </c>
      <c r="I57" s="310">
        <f t="shared" si="21"/>
        <v>0</v>
      </c>
      <c r="J57" s="310"/>
      <c r="K57" s="308">
        <f t="shared" si="16"/>
        <v>52.485596000000001</v>
      </c>
      <c r="L57" s="308"/>
      <c r="M57" s="308">
        <f t="shared" si="17"/>
        <v>0</v>
      </c>
      <c r="N57" s="165">
        <f t="shared" si="22"/>
        <v>2669.2704528912</v>
      </c>
      <c r="O57" s="321"/>
      <c r="P57" s="300"/>
      <c r="Q57" s="165">
        <f t="shared" si="18"/>
        <v>396.97075689119993</v>
      </c>
      <c r="R57" s="300"/>
      <c r="S57" s="300"/>
      <c r="T57" s="300"/>
      <c r="U57" s="300"/>
      <c r="V57" s="300"/>
      <c r="W57" s="300"/>
      <c r="X57" s="300"/>
      <c r="Y57" s="300"/>
    </row>
    <row r="58" spans="1:25" ht="15.75">
      <c r="A58" s="306" t="s">
        <v>1115</v>
      </c>
      <c r="B58" s="307">
        <v>100</v>
      </c>
      <c r="C58" s="823">
        <f>13*T3</f>
        <v>12.9636</v>
      </c>
      <c r="D58" s="308">
        <v>61.63</v>
      </c>
      <c r="E58" s="308"/>
      <c r="F58" s="308"/>
      <c r="G58" s="309">
        <f t="shared" si="19"/>
        <v>61.63</v>
      </c>
      <c r="H58" s="310">
        <f t="shared" si="20"/>
        <v>798.94666800000005</v>
      </c>
      <c r="I58" s="310">
        <f t="shared" si="21"/>
        <v>0</v>
      </c>
      <c r="J58" s="310"/>
      <c r="K58" s="308">
        <f t="shared" si="16"/>
        <v>72.396760999999998</v>
      </c>
      <c r="L58" s="308"/>
      <c r="M58" s="308">
        <f t="shared" si="17"/>
        <v>0</v>
      </c>
      <c r="N58" s="165">
        <f t="shared" si="22"/>
        <v>938.52265089959997</v>
      </c>
      <c r="O58" s="321"/>
      <c r="P58" s="300"/>
      <c r="Q58" s="165">
        <f t="shared" si="18"/>
        <v>139.57598289959992</v>
      </c>
      <c r="R58" s="300"/>
      <c r="S58" s="300"/>
      <c r="T58" s="300"/>
      <c r="U58" s="300"/>
      <c r="V58" s="300"/>
      <c r="W58" s="300"/>
      <c r="X58" s="300"/>
      <c r="Y58" s="300"/>
    </row>
    <row r="59" spans="1:25" ht="15.75">
      <c r="A59" s="306" t="s">
        <v>1094</v>
      </c>
      <c r="B59" s="307">
        <v>100</v>
      </c>
      <c r="C59" s="823">
        <f>148*T3</f>
        <v>147.5856</v>
      </c>
      <c r="D59" s="308">
        <v>18.8</v>
      </c>
      <c r="E59" s="308"/>
      <c r="F59" s="308"/>
      <c r="G59" s="309">
        <f t="shared" ref="G59:G64" si="23">SUM(D59:F59)</f>
        <v>18.8</v>
      </c>
      <c r="H59" s="310">
        <f t="shared" si="20"/>
        <v>2774.6092800000001</v>
      </c>
      <c r="I59" s="310">
        <f t="shared" si="21"/>
        <v>0</v>
      </c>
      <c r="J59" s="310"/>
      <c r="K59" s="308">
        <f t="shared" si="16"/>
        <v>22.08436</v>
      </c>
      <c r="L59" s="308"/>
      <c r="M59" s="308">
        <f t="shared" si="17"/>
        <v>0</v>
      </c>
      <c r="N59" s="165">
        <f t="shared" si="22"/>
        <v>3259.333521216</v>
      </c>
      <c r="O59" s="321"/>
      <c r="P59" s="300"/>
      <c r="Q59" s="165">
        <f t="shared" si="18"/>
        <v>484.72424121599988</v>
      </c>
      <c r="R59" s="300"/>
      <c r="S59" s="300"/>
      <c r="T59" s="300"/>
      <c r="U59" s="300"/>
      <c r="V59" s="300"/>
      <c r="W59" s="300"/>
      <c r="X59" s="300"/>
      <c r="Y59" s="300"/>
    </row>
    <row r="60" spans="1:25" ht="15.75">
      <c r="A60" s="306" t="s">
        <v>1095</v>
      </c>
      <c r="B60" s="307">
        <v>100</v>
      </c>
      <c r="C60" s="823">
        <f>22*T3</f>
        <v>21.938399999999998</v>
      </c>
      <c r="D60" s="308">
        <v>37.6</v>
      </c>
      <c r="E60" s="308"/>
      <c r="F60" s="308"/>
      <c r="G60" s="309">
        <f t="shared" si="23"/>
        <v>37.6</v>
      </c>
      <c r="H60" s="310">
        <f t="shared" si="20"/>
        <v>824.88383999999996</v>
      </c>
      <c r="I60" s="310"/>
      <c r="J60" s="310"/>
      <c r="K60" s="308">
        <f t="shared" si="16"/>
        <v>44.16872</v>
      </c>
      <c r="L60" s="308"/>
      <c r="M60" s="308">
        <f t="shared" si="17"/>
        <v>0</v>
      </c>
      <c r="N60" s="165">
        <f t="shared" si="22"/>
        <v>968.99104684799988</v>
      </c>
      <c r="O60" s="321"/>
      <c r="P60" s="300"/>
      <c r="Q60" s="165">
        <f t="shared" si="18"/>
        <v>144.10720684799992</v>
      </c>
      <c r="R60" s="300"/>
      <c r="S60" s="300"/>
      <c r="T60" s="300"/>
      <c r="U60" s="300"/>
      <c r="V60" s="300"/>
      <c r="W60" s="300"/>
      <c r="X60" s="300"/>
      <c r="Y60" s="300"/>
    </row>
    <row r="61" spans="1:25" ht="15.75">
      <c r="A61" s="306" t="s">
        <v>1096</v>
      </c>
      <c r="B61" s="307">
        <v>100</v>
      </c>
      <c r="C61" s="823">
        <f>30*T3</f>
        <v>29.916</v>
      </c>
      <c r="D61" s="308">
        <v>54.52</v>
      </c>
      <c r="E61" s="308"/>
      <c r="F61" s="308"/>
      <c r="G61" s="309">
        <f t="shared" si="23"/>
        <v>54.52</v>
      </c>
      <c r="H61" s="310">
        <f t="shared" si="20"/>
        <v>1631.0203200000001</v>
      </c>
      <c r="I61" s="310">
        <f t="shared" si="21"/>
        <v>0</v>
      </c>
      <c r="J61" s="310"/>
      <c r="K61" s="308">
        <f t="shared" si="16"/>
        <v>64.044644000000005</v>
      </c>
      <c r="L61" s="308"/>
      <c r="M61" s="308">
        <f t="shared" si="17"/>
        <v>0</v>
      </c>
      <c r="N61" s="165">
        <f t="shared" si="22"/>
        <v>1915.9595699040001</v>
      </c>
      <c r="O61" s="321"/>
      <c r="P61" s="300"/>
      <c r="Q61" s="165">
        <f t="shared" si="18"/>
        <v>284.93924990400001</v>
      </c>
      <c r="R61" s="300"/>
      <c r="S61" s="300"/>
      <c r="T61" s="300"/>
      <c r="U61" s="300"/>
      <c r="V61" s="300"/>
      <c r="W61" s="300"/>
      <c r="X61" s="300"/>
      <c r="Y61" s="300"/>
    </row>
    <row r="62" spans="1:25" ht="15.75">
      <c r="A62" s="306" t="s">
        <v>1116</v>
      </c>
      <c r="B62" s="307">
        <v>100</v>
      </c>
      <c r="C62" s="823">
        <f>35*T3</f>
        <v>34.902000000000001</v>
      </c>
      <c r="D62" s="308">
        <v>75.180000000000007</v>
      </c>
      <c r="E62" s="308"/>
      <c r="F62" s="308"/>
      <c r="G62" s="309">
        <f t="shared" si="23"/>
        <v>75.180000000000007</v>
      </c>
      <c r="H62" s="310">
        <f t="shared" si="20"/>
        <v>2623.9323600000002</v>
      </c>
      <c r="I62" s="310">
        <f t="shared" si="21"/>
        <v>0</v>
      </c>
      <c r="J62" s="310"/>
      <c r="K62" s="308">
        <f t="shared" si="16"/>
        <v>88.313946000000001</v>
      </c>
      <c r="L62" s="308"/>
      <c r="M62" s="308">
        <f t="shared" si="17"/>
        <v>0</v>
      </c>
      <c r="N62" s="165">
        <f t="shared" si="22"/>
        <v>3082.3333432920003</v>
      </c>
      <c r="O62" s="321"/>
      <c r="P62" s="300"/>
      <c r="Q62" s="165">
        <f t="shared" si="18"/>
        <v>458.40098329200009</v>
      </c>
      <c r="R62" s="300"/>
      <c r="S62" s="300"/>
      <c r="T62" s="300"/>
      <c r="U62" s="300"/>
      <c r="V62" s="300"/>
      <c r="W62" s="300"/>
      <c r="X62" s="300"/>
      <c r="Y62" s="300"/>
    </row>
    <row r="63" spans="1:25" ht="15.75">
      <c r="A63" s="306" t="s">
        <v>1097</v>
      </c>
      <c r="B63" s="307">
        <v>100</v>
      </c>
      <c r="C63" s="823">
        <f>81*T3</f>
        <v>80.773200000000003</v>
      </c>
      <c r="D63" s="308">
        <v>21.8</v>
      </c>
      <c r="E63" s="308"/>
      <c r="F63" s="308"/>
      <c r="G63" s="309">
        <f t="shared" si="23"/>
        <v>21.8</v>
      </c>
      <c r="H63" s="310">
        <f t="shared" si="20"/>
        <v>1760.8557600000001</v>
      </c>
      <c r="I63" s="310">
        <f t="shared" si="21"/>
        <v>0</v>
      </c>
      <c r="J63" s="310"/>
      <c r="K63" s="308">
        <f t="shared" si="16"/>
        <v>25.608460000000001</v>
      </c>
      <c r="L63" s="308"/>
      <c r="M63" s="308">
        <f t="shared" si="17"/>
        <v>0</v>
      </c>
      <c r="N63" s="165">
        <f t="shared" si="22"/>
        <v>2068.4772612720003</v>
      </c>
      <c r="O63" s="321"/>
      <c r="P63" s="300"/>
      <c r="Q63" s="165">
        <f t="shared" si="18"/>
        <v>307.62150127200016</v>
      </c>
      <c r="R63" s="300"/>
      <c r="S63" s="300"/>
      <c r="T63" s="300"/>
      <c r="U63" s="300"/>
      <c r="V63" s="300"/>
      <c r="W63" s="300"/>
      <c r="X63" s="300"/>
      <c r="Y63" s="300"/>
    </row>
    <row r="64" spans="1:25" ht="15.75">
      <c r="A64" s="306" t="s">
        <v>1098</v>
      </c>
      <c r="B64" s="307">
        <v>100</v>
      </c>
      <c r="C64" s="823">
        <f>182*T3</f>
        <v>181.49039999999999</v>
      </c>
      <c r="D64" s="308">
        <v>42.19</v>
      </c>
      <c r="E64" s="308"/>
      <c r="F64" s="308"/>
      <c r="G64" s="309">
        <f t="shared" si="23"/>
        <v>42.19</v>
      </c>
      <c r="H64" s="310">
        <f t="shared" si="20"/>
        <v>7657.0799759999991</v>
      </c>
      <c r="I64" s="310">
        <f t="shared" si="21"/>
        <v>0</v>
      </c>
      <c r="J64" s="310"/>
      <c r="K64" s="308">
        <f t="shared" si="16"/>
        <v>49.560592999999997</v>
      </c>
      <c r="L64" s="308"/>
      <c r="M64" s="308">
        <f t="shared" si="17"/>
        <v>0</v>
      </c>
      <c r="N64" s="165">
        <f t="shared" si="22"/>
        <v>8994.7718478071984</v>
      </c>
      <c r="O64" s="321"/>
      <c r="P64" s="300"/>
      <c r="Q64" s="165">
        <f t="shared" si="18"/>
        <v>1337.6918718071993</v>
      </c>
      <c r="R64" s="300"/>
      <c r="S64" s="300"/>
      <c r="T64" s="300"/>
      <c r="U64" s="300"/>
      <c r="V64" s="300"/>
      <c r="W64" s="300"/>
      <c r="X64" s="300"/>
      <c r="Y64" s="300"/>
    </row>
    <row r="65" spans="1:25" ht="15.75">
      <c r="A65" s="306" t="s">
        <v>1100</v>
      </c>
      <c r="B65" s="307">
        <v>100</v>
      </c>
      <c r="C65" s="823">
        <f>351*T3</f>
        <v>350.0172</v>
      </c>
      <c r="D65" s="308">
        <v>27.43</v>
      </c>
      <c r="E65" s="308"/>
      <c r="F65" s="308"/>
      <c r="G65" s="309">
        <f t="shared" ref="G65:G68" si="24">SUM(D65:F65)</f>
        <v>27.43</v>
      </c>
      <c r="H65" s="310">
        <f t="shared" si="20"/>
        <v>9600.9717959999998</v>
      </c>
      <c r="I65" s="310">
        <f t="shared" si="21"/>
        <v>0</v>
      </c>
      <c r="J65" s="310"/>
      <c r="K65" s="308">
        <f t="shared" si="16"/>
        <v>32.222020999999998</v>
      </c>
      <c r="L65" s="308"/>
      <c r="M65" s="308">
        <f t="shared" si="17"/>
        <v>0</v>
      </c>
      <c r="N65" s="165">
        <f t="shared" si="22"/>
        <v>11278.2615687612</v>
      </c>
      <c r="O65" s="321"/>
      <c r="P65" s="300"/>
      <c r="Q65" s="165">
        <f t="shared" si="18"/>
        <v>1677.2897727611999</v>
      </c>
      <c r="R65" s="300"/>
      <c r="S65" s="300"/>
      <c r="T65" s="300"/>
      <c r="U65" s="300"/>
      <c r="V65" s="300"/>
      <c r="W65" s="300"/>
      <c r="X65" s="300"/>
      <c r="Y65" s="300"/>
    </row>
    <row r="66" spans="1:25" ht="15.75">
      <c r="A66" s="306" t="s">
        <v>1101</v>
      </c>
      <c r="B66" s="307">
        <v>100</v>
      </c>
      <c r="C66" s="823">
        <f>557*T3</f>
        <v>555.44039999999995</v>
      </c>
      <c r="D66" s="308">
        <v>54.33</v>
      </c>
      <c r="E66" s="308"/>
      <c r="F66" s="308"/>
      <c r="G66" s="309">
        <f t="shared" si="24"/>
        <v>54.33</v>
      </c>
      <c r="H66" s="310">
        <f t="shared" si="20"/>
        <v>30177.076931999996</v>
      </c>
      <c r="I66" s="310">
        <f t="shared" si="21"/>
        <v>0</v>
      </c>
      <c r="J66" s="310"/>
      <c r="K66" s="308">
        <f t="shared" si="16"/>
        <v>63.821450999999996</v>
      </c>
      <c r="L66" s="308"/>
      <c r="M66" s="308">
        <f t="shared" si="17"/>
        <v>0</v>
      </c>
      <c r="N66" s="165">
        <f t="shared" si="22"/>
        <v>35449.012272020394</v>
      </c>
      <c r="O66" s="321"/>
      <c r="P66" s="300"/>
      <c r="Q66" s="165">
        <f t="shared" si="18"/>
        <v>5271.9353400203981</v>
      </c>
      <c r="R66" s="300"/>
      <c r="S66" s="300"/>
      <c r="T66" s="300"/>
      <c r="U66" s="300"/>
      <c r="V66" s="300"/>
      <c r="W66" s="300"/>
      <c r="X66" s="300"/>
      <c r="Y66" s="300"/>
    </row>
    <row r="67" spans="1:25" ht="15.75">
      <c r="A67" s="306" t="s">
        <v>1102</v>
      </c>
      <c r="B67" s="307">
        <v>100</v>
      </c>
      <c r="C67" s="823">
        <f>72*T3</f>
        <v>71.798400000000001</v>
      </c>
      <c r="D67" s="308">
        <v>74.05</v>
      </c>
      <c r="E67" s="308"/>
      <c r="F67" s="308"/>
      <c r="G67" s="309">
        <f t="shared" si="24"/>
        <v>74.05</v>
      </c>
      <c r="H67" s="310">
        <f t="shared" si="20"/>
        <v>5316.6715199999999</v>
      </c>
      <c r="I67" s="310">
        <f t="shared" si="21"/>
        <v>0</v>
      </c>
      <c r="J67" s="310"/>
      <c r="K67" s="308">
        <f t="shared" si="16"/>
        <v>86.986535000000003</v>
      </c>
      <c r="L67" s="308"/>
      <c r="M67" s="308">
        <f t="shared" si="17"/>
        <v>0</v>
      </c>
      <c r="N67" s="165">
        <f t="shared" si="22"/>
        <v>6245.494034544</v>
      </c>
      <c r="O67" s="321"/>
      <c r="P67" s="300"/>
      <c r="Q67" s="165">
        <f t="shared" si="18"/>
        <v>928.82251454400011</v>
      </c>
      <c r="R67" s="300"/>
      <c r="S67" s="300"/>
      <c r="T67" s="300"/>
      <c r="U67" s="300"/>
      <c r="V67" s="300"/>
      <c r="W67" s="300"/>
      <c r="X67" s="300"/>
      <c r="Y67" s="300"/>
    </row>
    <row r="68" spans="1:25" ht="15.75">
      <c r="A68" s="306" t="s">
        <v>1117</v>
      </c>
      <c r="B68" s="307">
        <v>70</v>
      </c>
      <c r="C68" s="823">
        <f>18*T3</f>
        <v>17.9496</v>
      </c>
      <c r="D68" s="308">
        <v>16.09</v>
      </c>
      <c r="E68" s="308"/>
      <c r="F68" s="308"/>
      <c r="G68" s="309">
        <f t="shared" si="24"/>
        <v>16.09</v>
      </c>
      <c r="H68" s="312">
        <f t="shared" si="20"/>
        <v>288.80906399999998</v>
      </c>
      <c r="I68" s="312">
        <f t="shared" si="21"/>
        <v>0</v>
      </c>
      <c r="J68" s="312"/>
      <c r="K68" s="322">
        <f t="shared" si="16"/>
        <v>18.900922999999999</v>
      </c>
      <c r="L68" s="322"/>
      <c r="M68" s="322">
        <f t="shared" si="17"/>
        <v>0</v>
      </c>
      <c r="N68" s="323">
        <f t="shared" si="22"/>
        <v>339.26400748079999</v>
      </c>
      <c r="O68" s="324"/>
      <c r="P68" s="324"/>
      <c r="Q68" s="165">
        <f t="shared" si="18"/>
        <v>50.454943480800011</v>
      </c>
      <c r="R68" s="300"/>
      <c r="S68" s="300"/>
      <c r="T68" s="300"/>
      <c r="U68" s="300"/>
      <c r="V68" s="300"/>
      <c r="W68" s="300"/>
      <c r="X68" s="300"/>
      <c r="Y68" s="300"/>
    </row>
    <row r="69" spans="1:25" ht="15.75">
      <c r="A69" s="306" t="s">
        <v>1111</v>
      </c>
      <c r="B69" s="306"/>
      <c r="C69" s="303"/>
      <c r="D69" s="303"/>
      <c r="E69" s="303"/>
      <c r="F69" s="303"/>
      <c r="G69" s="314"/>
      <c r="H69" s="303">
        <f>SUM(H46:H68)</f>
        <v>178379.72434800002</v>
      </c>
      <c r="I69" s="303">
        <f t="shared" ref="I69:J69" si="25">SUM(I46:I68)</f>
        <v>0</v>
      </c>
      <c r="J69" s="303">
        <f t="shared" si="25"/>
        <v>0</v>
      </c>
      <c r="K69" s="303"/>
      <c r="L69" s="300"/>
      <c r="M69" s="303">
        <f t="shared" ref="M69:P69" si="26">SUM(M46:M68)</f>
        <v>0</v>
      </c>
      <c r="N69" s="303">
        <f t="shared" si="26"/>
        <v>209542.66219159556</v>
      </c>
      <c r="O69" s="303">
        <f t="shared" si="26"/>
        <v>0</v>
      </c>
      <c r="P69" s="303">
        <f t="shared" si="26"/>
        <v>0</v>
      </c>
      <c r="Q69" s="165">
        <f>SUM(Q46:Q68)</f>
        <v>31162.937843595595</v>
      </c>
      <c r="R69" s="300"/>
      <c r="S69" s="300"/>
      <c r="T69" s="300"/>
      <c r="U69" s="300"/>
      <c r="V69" s="300"/>
      <c r="W69" s="300"/>
      <c r="X69" s="300"/>
      <c r="Y69" s="300"/>
    </row>
    <row r="70" spans="1:25" ht="15.75">
      <c r="A70" s="315"/>
      <c r="B70" s="315"/>
      <c r="C70" s="303"/>
      <c r="D70" s="314"/>
      <c r="E70" s="303"/>
      <c r="F70" s="303"/>
      <c r="G70" s="316"/>
      <c r="H70" s="303"/>
      <c r="I70" s="303"/>
      <c r="J70" s="303"/>
      <c r="K70" s="303"/>
      <c r="L70" s="300"/>
      <c r="M70" s="300"/>
      <c r="N70" s="300"/>
      <c r="O70" s="300"/>
      <c r="P70" s="300"/>
      <c r="Q70" s="300"/>
      <c r="R70" s="300"/>
      <c r="S70" s="300"/>
      <c r="T70" s="300"/>
      <c r="U70" s="300"/>
      <c r="V70" s="300"/>
      <c r="W70" s="300"/>
      <c r="X70" s="300"/>
      <c r="Y70" s="300"/>
    </row>
    <row r="71" spans="1:25" ht="15.75">
      <c r="A71" s="300"/>
      <c r="B71" s="300"/>
      <c r="C71" s="300"/>
      <c r="D71" s="300"/>
      <c r="E71" s="300"/>
      <c r="F71" s="300"/>
      <c r="G71" s="300"/>
      <c r="H71" s="325"/>
      <c r="I71" s="300"/>
      <c r="J71" s="300"/>
      <c r="K71" s="300"/>
      <c r="L71" s="300"/>
      <c r="M71" s="300"/>
      <c r="N71" s="300"/>
      <c r="O71" s="300"/>
      <c r="P71" s="300"/>
      <c r="Q71" s="300"/>
      <c r="R71" s="300"/>
      <c r="S71" s="300"/>
      <c r="T71" s="300"/>
      <c r="U71" s="300"/>
      <c r="V71" s="300"/>
      <c r="W71" s="300"/>
      <c r="X71" s="300"/>
      <c r="Y71" s="300"/>
    </row>
    <row r="72" spans="1:25" ht="15.75">
      <c r="A72" s="300"/>
      <c r="B72" s="300"/>
      <c r="C72" s="300"/>
      <c r="D72" s="300"/>
      <c r="E72" s="300"/>
      <c r="F72" s="300"/>
      <c r="G72" s="300"/>
      <c r="H72" s="300" t="s">
        <v>677</v>
      </c>
      <c r="I72" s="300" t="s">
        <v>1075</v>
      </c>
      <c r="J72" s="300" t="s">
        <v>1076</v>
      </c>
      <c r="K72" s="300"/>
      <c r="L72" s="300"/>
      <c r="M72" s="300"/>
      <c r="N72" s="300" t="s">
        <v>677</v>
      </c>
      <c r="O72" s="300" t="s">
        <v>1075</v>
      </c>
      <c r="P72" s="300" t="s">
        <v>1076</v>
      </c>
      <c r="Q72" s="300"/>
      <c r="R72" s="300"/>
      <c r="S72" s="300"/>
      <c r="T72" s="300"/>
      <c r="U72" s="300"/>
      <c r="V72" s="300"/>
      <c r="W72" s="300"/>
      <c r="X72" s="300"/>
      <c r="Y72" s="300"/>
    </row>
    <row r="73" spans="1:25" ht="15.75">
      <c r="A73" s="300" t="s">
        <v>1690</v>
      </c>
      <c r="B73" s="300"/>
      <c r="C73" s="300"/>
      <c r="D73" s="300"/>
      <c r="E73" s="300"/>
      <c r="F73" s="300"/>
      <c r="G73" s="300"/>
      <c r="H73" s="165">
        <f>+H39+H69</f>
        <v>4433756.613012</v>
      </c>
      <c r="I73" s="165">
        <f>+I39</f>
        <v>1382742.8987399999</v>
      </c>
      <c r="J73" s="165">
        <f>+J39</f>
        <v>1338756.15744</v>
      </c>
      <c r="K73" s="821">
        <f t="shared" ref="K73:K77" si="27">SUM(H73:J73)</f>
        <v>7155255.6691920003</v>
      </c>
      <c r="L73" s="300"/>
      <c r="M73" s="300"/>
      <c r="N73" s="165">
        <f>+N39+N69</f>
        <v>4866933.9577432359</v>
      </c>
      <c r="O73" s="165">
        <f>+O39</f>
        <v>1616982.6511878481</v>
      </c>
      <c r="P73" s="165">
        <f>+P39</f>
        <v>1572636.858144768</v>
      </c>
      <c r="Q73" s="165">
        <f>SUM(N73:P73)</f>
        <v>8056553.4670758527</v>
      </c>
      <c r="R73" s="300"/>
      <c r="S73" s="300"/>
      <c r="T73" s="300"/>
      <c r="U73" s="300"/>
      <c r="V73" s="300"/>
      <c r="W73" s="300"/>
      <c r="X73" s="300"/>
      <c r="Y73" s="300"/>
    </row>
    <row r="74" spans="1:25" ht="15.75">
      <c r="A74" s="300" t="s">
        <v>1691</v>
      </c>
      <c r="B74" s="300"/>
      <c r="C74" s="300"/>
      <c r="D74" s="300"/>
      <c r="E74" s="300"/>
      <c r="F74" s="300"/>
      <c r="G74" s="300"/>
      <c r="H74" s="165">
        <f>+'Comm Cust Count'!E71</f>
        <v>4615715.315100003</v>
      </c>
      <c r="I74" s="165"/>
      <c r="J74" s="165"/>
      <c r="K74" s="821">
        <f t="shared" si="27"/>
        <v>4615715.315100003</v>
      </c>
      <c r="L74" s="300"/>
      <c r="M74" s="300"/>
      <c r="N74" s="325">
        <f>+'Comm Cust Count'!G71</f>
        <v>5422080.7806479707</v>
      </c>
      <c r="O74" s="300"/>
      <c r="P74" s="300"/>
      <c r="Q74" s="821">
        <f t="shared" ref="Q74:Q77" si="28">SUM(N74:P74)</f>
        <v>5422080.7806479707</v>
      </c>
      <c r="R74" s="300"/>
      <c r="S74" s="300"/>
      <c r="T74" s="300"/>
      <c r="U74" s="300"/>
      <c r="V74" s="300"/>
      <c r="W74" s="300"/>
      <c r="X74" s="300"/>
      <c r="Y74" s="300"/>
    </row>
    <row r="75" spans="1:25" ht="15.75">
      <c r="A75" s="300" t="s">
        <v>1694</v>
      </c>
      <c r="B75" s="300"/>
      <c r="C75" s="300"/>
      <c r="D75" s="300"/>
      <c r="E75" s="300"/>
      <c r="F75" s="300"/>
      <c r="G75" s="300"/>
      <c r="H75" s="165">
        <f>+'Comm Cust Count'!E112</f>
        <v>1491001.5900000005</v>
      </c>
      <c r="I75" s="165"/>
      <c r="J75" s="165"/>
      <c r="K75" s="821">
        <f t="shared" si="27"/>
        <v>1491001.5900000005</v>
      </c>
      <c r="L75" s="300"/>
      <c r="M75" s="300"/>
      <c r="N75" s="325">
        <f>+'Comm Cust Count'!G112</f>
        <v>1751482.880773</v>
      </c>
      <c r="O75" s="300"/>
      <c r="P75" s="300"/>
      <c r="Q75" s="821">
        <f t="shared" si="28"/>
        <v>1751482.880773</v>
      </c>
      <c r="R75" s="300"/>
      <c r="S75" s="300"/>
      <c r="T75" s="300"/>
      <c r="U75" s="300"/>
      <c r="V75" s="300"/>
      <c r="W75" s="300"/>
      <c r="X75" s="300"/>
      <c r="Y75" s="300"/>
    </row>
    <row r="76" spans="1:25" ht="15.75">
      <c r="A76" s="300" t="s">
        <v>1692</v>
      </c>
      <c r="B76" s="300"/>
      <c r="C76" s="300"/>
      <c r="D76" s="300"/>
      <c r="E76" s="300"/>
      <c r="F76" s="300"/>
      <c r="G76" s="300"/>
      <c r="H76" s="325">
        <f>+'M-F Cust Count'!E32</f>
        <v>902464.02000000014</v>
      </c>
      <c r="I76" s="300"/>
      <c r="J76" s="300"/>
      <c r="K76" s="821">
        <f t="shared" si="27"/>
        <v>902464.02000000014</v>
      </c>
      <c r="L76" s="300"/>
      <c r="M76" s="300"/>
      <c r="N76" s="165">
        <f>+'M-F Cust Count'!G32</f>
        <v>1061071.0288</v>
      </c>
      <c r="O76" s="165"/>
      <c r="P76" s="165"/>
      <c r="Q76" s="821">
        <f t="shared" si="28"/>
        <v>1061071.0288</v>
      </c>
      <c r="R76" s="300"/>
      <c r="S76" s="300"/>
      <c r="T76" s="300"/>
      <c r="U76" s="300"/>
      <c r="V76" s="300"/>
      <c r="W76" s="300"/>
      <c r="X76" s="300"/>
      <c r="Y76" s="300"/>
    </row>
    <row r="77" spans="1:25" ht="15.75">
      <c r="A77" s="300" t="s">
        <v>1693</v>
      </c>
      <c r="B77" s="300"/>
      <c r="C77" s="300"/>
      <c r="D77" s="300"/>
      <c r="E77" s="300"/>
      <c r="F77" s="300"/>
      <c r="G77" s="300"/>
      <c r="H77" s="323">
        <f>+'Pro Forma'!F10</f>
        <v>3340241.42</v>
      </c>
      <c r="I77" s="324"/>
      <c r="J77" s="324"/>
      <c r="K77" s="824">
        <f t="shared" si="27"/>
        <v>3340241.42</v>
      </c>
      <c r="L77" s="300"/>
      <c r="M77" s="300"/>
      <c r="N77" s="323">
        <f>+'Pro Forma'!F10</f>
        <v>3340241.42</v>
      </c>
      <c r="O77" s="324"/>
      <c r="P77" s="324"/>
      <c r="Q77" s="824">
        <f t="shared" si="28"/>
        <v>3340241.42</v>
      </c>
      <c r="R77" s="300"/>
      <c r="S77" s="300"/>
      <c r="T77" s="300"/>
      <c r="U77" s="300"/>
      <c r="V77" s="300"/>
      <c r="W77" s="300"/>
      <c r="X77" s="300"/>
      <c r="Y77" s="300"/>
    </row>
    <row r="78" spans="1:25" ht="15.75">
      <c r="H78" s="165">
        <f>SUM(H73:H77)</f>
        <v>14783178.958112003</v>
      </c>
      <c r="I78" s="165">
        <f t="shared" ref="I78:J78" si="29">SUM(I73:I77)</f>
        <v>1382742.8987399999</v>
      </c>
      <c r="J78" s="165">
        <f t="shared" si="29"/>
        <v>1338756.15744</v>
      </c>
      <c r="K78" s="821">
        <f>SUM(H78:J78)</f>
        <v>17504678.014292002</v>
      </c>
      <c r="L78" s="543"/>
      <c r="M78" s="543"/>
      <c r="N78" s="165">
        <f>SUM(N73:N77)</f>
        <v>16441810.067964206</v>
      </c>
      <c r="O78" s="165">
        <f t="shared" ref="O78" si="30">SUM(O73:O77)</f>
        <v>1616982.6511878481</v>
      </c>
      <c r="P78" s="165">
        <f t="shared" ref="P78" si="31">SUM(P73:P77)</f>
        <v>1572636.858144768</v>
      </c>
      <c r="Q78" s="821">
        <f>SUM(N78:P78)</f>
        <v>19631429.57729682</v>
      </c>
      <c r="R78" s="821">
        <f>+Q78-K78</f>
        <v>2126751.5630048178</v>
      </c>
    </row>
    <row r="79" spans="1:25" ht="15.75">
      <c r="K79" s="543"/>
      <c r="L79" s="543"/>
      <c r="M79" s="543"/>
      <c r="N79" s="543"/>
      <c r="O79" s="543"/>
      <c r="P79" s="543"/>
      <c r="Q79" s="543"/>
      <c r="R79" s="543"/>
    </row>
    <row r="80" spans="1:25" ht="15.75">
      <c r="A80" s="861" t="s">
        <v>1700</v>
      </c>
      <c r="K80" s="543"/>
      <c r="L80" s="543"/>
      <c r="M80" s="543"/>
      <c r="N80" s="543"/>
      <c r="O80" s="543"/>
      <c r="P80" s="543"/>
      <c r="Q80" s="862">
        <f ca="1">+'LG Nonpublic Consolidated'!J21</f>
        <v>19631886.058765739</v>
      </c>
      <c r="R80" s="5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CFAE0-2361-45D8-A9BA-B07E570B75BF}">
  <sheetPr codeName="Sheet45">
    <pageSetUpPr fitToPage="1"/>
  </sheetPr>
  <dimension ref="A1:AT113"/>
  <sheetViews>
    <sheetView showGridLines="0" showOutlineSymbols="0" zoomScale="120" zoomScaleNormal="120" workbookViewId="0">
      <selection activeCell="C9" sqref="C9"/>
    </sheetView>
  </sheetViews>
  <sheetFormatPr defaultColWidth="13" defaultRowHeight="15"/>
  <cols>
    <col min="1" max="1" width="3.77734375" style="67" customWidth="1"/>
    <col min="2" max="2" width="26.109375" style="681" bestFit="1" customWidth="1"/>
    <col min="3" max="3" width="16.5546875" style="681" customWidth="1"/>
    <col min="4" max="4" width="16.5546875" style="681" hidden="1" customWidth="1"/>
    <col min="5" max="5" width="5.6640625" style="681" customWidth="1"/>
    <col min="6" max="6" width="4.44140625" style="67" customWidth="1"/>
    <col min="7" max="7" width="6.6640625" style="67" customWidth="1"/>
    <col min="8" max="8" width="11.6640625" style="67" customWidth="1"/>
    <col min="9" max="9" width="13.77734375" style="67" customWidth="1"/>
    <col min="10" max="10" width="10.33203125" style="67" customWidth="1"/>
    <col min="11" max="11" width="11.77734375" style="67" bestFit="1" customWidth="1"/>
    <col min="12" max="13" width="14.33203125" style="67" customWidth="1"/>
    <col min="14" max="14" width="4.77734375" style="67" customWidth="1"/>
    <col min="15" max="15" width="4.88671875" style="681" customWidth="1"/>
    <col min="16" max="16" width="31.44140625" style="681" customWidth="1"/>
    <col min="17" max="17" width="13" style="563"/>
    <col min="18" max="18" width="10.77734375" style="570" customWidth="1"/>
    <col min="19" max="19" width="13" style="67"/>
    <col min="20" max="20" width="10.44140625" style="67" customWidth="1"/>
    <col min="21" max="21" width="12.21875" style="67" customWidth="1"/>
    <col min="22" max="22" width="13" style="67"/>
    <col min="23" max="24" width="13.77734375" style="67" customWidth="1"/>
    <col min="25" max="25" width="12.44140625" style="67" customWidth="1"/>
    <col min="26" max="26" width="13" style="67"/>
    <col min="27" max="27" width="12.33203125" style="67" customWidth="1"/>
    <col min="28" max="29" width="13" style="67"/>
    <col min="30" max="30" width="12.77734375" style="67" customWidth="1"/>
    <col min="31" max="31" width="13.44140625" style="67" customWidth="1"/>
    <col min="32" max="32" width="16.109375" style="67" customWidth="1"/>
    <col min="33" max="33" width="14.109375" style="67" customWidth="1"/>
    <col min="34" max="34" width="12.77734375" style="67" customWidth="1"/>
    <col min="35" max="35" width="13" style="67"/>
    <col min="36" max="36" width="10.77734375" style="67" customWidth="1"/>
    <col min="37" max="37" width="12.77734375" style="67" customWidth="1"/>
    <col min="38" max="49" width="11.77734375" style="67" customWidth="1"/>
    <col min="50" max="16384" width="13" style="67"/>
  </cols>
  <sheetData>
    <row r="1" spans="1:35" s="562" customFormat="1" ht="15.75" thickBot="1">
      <c r="A1" s="557"/>
      <c r="B1" s="558"/>
      <c r="C1" s="558"/>
      <c r="D1" s="558"/>
      <c r="E1" s="558"/>
      <c r="F1" s="558"/>
      <c r="G1" s="558"/>
      <c r="H1" s="558"/>
      <c r="I1" s="559"/>
      <c r="J1" s="559"/>
      <c r="K1" s="559"/>
      <c r="L1" s="559"/>
      <c r="M1" s="559"/>
      <c r="N1" s="559"/>
      <c r="O1" s="558"/>
      <c r="P1" s="558"/>
      <c r="Q1" s="560"/>
      <c r="R1" s="561"/>
    </row>
    <row r="2" spans="1:35" ht="19.5" thickBot="1">
      <c r="A2" s="557"/>
      <c r="B2" s="829" t="s">
        <v>106</v>
      </c>
      <c r="C2" s="829"/>
      <c r="D2" s="557"/>
      <c r="E2" s="557"/>
      <c r="F2" s="58" t="s">
        <v>112</v>
      </c>
      <c r="G2" s="28"/>
      <c r="H2" s="28"/>
      <c r="I2" s="29" t="s">
        <v>123</v>
      </c>
      <c r="J2" s="28"/>
      <c r="K2" s="28"/>
      <c r="L2" s="28"/>
      <c r="M2" s="58" t="s">
        <v>112</v>
      </c>
      <c r="O2" s="557"/>
      <c r="P2" s="557"/>
      <c r="R2" s="719" t="s">
        <v>1</v>
      </c>
      <c r="S2" s="720"/>
      <c r="T2" s="721"/>
      <c r="AF2" s="830" t="s">
        <v>92</v>
      </c>
      <c r="AG2" s="831"/>
      <c r="AH2" s="831"/>
      <c r="AI2" s="832"/>
    </row>
    <row r="3" spans="1:35" ht="15.75">
      <c r="A3" s="557"/>
      <c r="B3" s="557"/>
      <c r="C3" s="557"/>
      <c r="D3" s="557"/>
      <c r="E3" s="557"/>
      <c r="F3" s="567"/>
      <c r="G3" s="568"/>
      <c r="K3" s="569" t="s">
        <v>121</v>
      </c>
      <c r="M3" s="569" t="s">
        <v>120</v>
      </c>
      <c r="O3" s="557"/>
      <c r="P3" s="557"/>
      <c r="R3" s="67"/>
      <c r="T3" s="67" t="s">
        <v>8</v>
      </c>
      <c r="V3" s="570" t="s">
        <v>8</v>
      </c>
      <c r="W3" s="570" t="s">
        <v>8</v>
      </c>
      <c r="X3" s="570" t="s">
        <v>8</v>
      </c>
      <c r="Y3" s="570" t="s">
        <v>9</v>
      </c>
      <c r="Z3" s="570" t="s">
        <v>9</v>
      </c>
      <c r="AA3" s="570" t="s">
        <v>9</v>
      </c>
      <c r="AB3" s="570" t="s">
        <v>9</v>
      </c>
      <c r="AC3" s="570" t="s">
        <v>9</v>
      </c>
      <c r="AD3" s="570" t="s">
        <v>9</v>
      </c>
      <c r="AE3" s="570" t="s">
        <v>86</v>
      </c>
      <c r="AF3" s="570" t="s">
        <v>12</v>
      </c>
      <c r="AG3" s="570" t="s">
        <v>89</v>
      </c>
      <c r="AH3" s="570"/>
    </row>
    <row r="4" spans="1:35" ht="19.5" thickBot="1">
      <c r="A4" s="557"/>
      <c r="B4" s="48" t="s">
        <v>115</v>
      </c>
      <c r="C4" s="722"/>
      <c r="D4" s="571"/>
      <c r="E4" s="557"/>
      <c r="F4" s="572"/>
      <c r="G4" s="568"/>
      <c r="H4" s="573" t="s">
        <v>2</v>
      </c>
      <c r="I4" s="573" t="s">
        <v>3</v>
      </c>
      <c r="J4" s="573" t="s">
        <v>4</v>
      </c>
      <c r="K4" s="573" t="s">
        <v>5</v>
      </c>
      <c r="L4" s="573" t="s">
        <v>6</v>
      </c>
      <c r="M4" s="573" t="s">
        <v>7</v>
      </c>
      <c r="O4" s="574"/>
      <c r="P4" s="557"/>
      <c r="R4" s="67"/>
      <c r="T4" s="570" t="s">
        <v>14</v>
      </c>
      <c r="V4" s="570" t="s">
        <v>15</v>
      </c>
      <c r="W4" s="570" t="s">
        <v>16</v>
      </c>
      <c r="X4" s="570" t="s">
        <v>17</v>
      </c>
      <c r="Y4" s="570" t="s">
        <v>18</v>
      </c>
      <c r="Z4" s="570" t="s">
        <v>18</v>
      </c>
      <c r="AA4" s="570" t="s">
        <v>18</v>
      </c>
      <c r="AB4" s="570" t="s">
        <v>16</v>
      </c>
      <c r="AC4" s="570" t="s">
        <v>14</v>
      </c>
      <c r="AD4" s="570" t="s">
        <v>14</v>
      </c>
      <c r="AE4" s="570" t="s">
        <v>93</v>
      </c>
      <c r="AF4" s="570" t="s">
        <v>88</v>
      </c>
      <c r="AG4" s="570" t="s">
        <v>90</v>
      </c>
      <c r="AH4" s="570" t="s">
        <v>91</v>
      </c>
      <c r="AI4" s="570" t="s">
        <v>87</v>
      </c>
    </row>
    <row r="5" spans="1:35" ht="15.75">
      <c r="A5" s="557"/>
      <c r="B5" s="575" t="s">
        <v>32</v>
      </c>
      <c r="C5" s="44">
        <f>+Allocations!F21</f>
        <v>2096804.1209686066</v>
      </c>
      <c r="D5" s="571"/>
      <c r="E5" s="557"/>
      <c r="F5" s="576" t="s">
        <v>10</v>
      </c>
      <c r="G5" s="577"/>
      <c r="H5" s="577"/>
      <c r="I5" s="573" t="s">
        <v>11</v>
      </c>
      <c r="J5" s="573" t="s">
        <v>12</v>
      </c>
      <c r="K5" s="578" t="s">
        <v>13</v>
      </c>
      <c r="L5" s="578" t="s">
        <v>118</v>
      </c>
      <c r="M5" s="578" t="s">
        <v>12</v>
      </c>
      <c r="O5" s="12"/>
      <c r="P5" s="557"/>
      <c r="R5" s="579"/>
      <c r="T5" s="570" t="s">
        <v>22</v>
      </c>
      <c r="U5" s="570" t="s">
        <v>23</v>
      </c>
      <c r="V5" s="570" t="s">
        <v>24</v>
      </c>
      <c r="W5" s="570" t="s">
        <v>25</v>
      </c>
      <c r="X5" s="570" t="s">
        <v>26</v>
      </c>
      <c r="Y5" s="570" t="s">
        <v>27</v>
      </c>
      <c r="Z5" s="570" t="s">
        <v>28</v>
      </c>
      <c r="AA5" s="570" t="s">
        <v>29</v>
      </c>
      <c r="AB5" s="570" t="s">
        <v>30</v>
      </c>
      <c r="AC5" s="570" t="s">
        <v>22</v>
      </c>
      <c r="AD5" s="570" t="s">
        <v>31</v>
      </c>
      <c r="AE5" s="570" t="s">
        <v>20</v>
      </c>
      <c r="AF5" s="570" t="s">
        <v>85</v>
      </c>
      <c r="AG5" s="570" t="s">
        <v>85</v>
      </c>
      <c r="AH5" s="570" t="s">
        <v>20</v>
      </c>
      <c r="AI5" s="570" t="s">
        <v>86</v>
      </c>
    </row>
    <row r="6" spans="1:35" ht="15.75">
      <c r="A6" s="557"/>
      <c r="B6" s="575" t="s">
        <v>33</v>
      </c>
      <c r="C6" s="723">
        <f>+Allocations!F71</f>
        <v>2855442.2363555655</v>
      </c>
      <c r="D6" s="571"/>
      <c r="E6" s="557"/>
      <c r="F6" s="580" t="s">
        <v>19</v>
      </c>
      <c r="G6" s="577"/>
      <c r="H6" s="577"/>
      <c r="I6" s="581"/>
      <c r="J6" s="582" t="s">
        <v>117</v>
      </c>
      <c r="K6" s="583"/>
      <c r="L6" s="582" t="s">
        <v>119</v>
      </c>
      <c r="M6" s="582" t="s">
        <v>21</v>
      </c>
      <c r="O6" s="12"/>
      <c r="P6" s="557"/>
      <c r="R6" s="695">
        <v>1</v>
      </c>
      <c r="S6" s="696">
        <f>Revenue/Investment*100</f>
        <v>1480.4057074529821</v>
      </c>
      <c r="T6" s="697">
        <f>EXP(y_inter1-(slope*LN(+S6)))</f>
        <v>2.0787362725087699</v>
      </c>
      <c r="U6" s="698">
        <f>(+S6*T6/100)/100</f>
        <v>0.30773730421115209</v>
      </c>
      <c r="V6" s="698">
        <f>regDebt_weighted</f>
        <v>3.5860000000000003E-2</v>
      </c>
      <c r="W6" s="698">
        <f>+U6-V6</f>
        <v>0.27187730421115208</v>
      </c>
      <c r="X6" s="698">
        <f>+((W6*(1-0.34))-Pfd_weighted)/Equity_percent</f>
        <v>0.50363087435860576</v>
      </c>
      <c r="Y6" s="698">
        <f>X6*equityP</f>
        <v>0.30217852461516342</v>
      </c>
      <c r="Z6" s="698">
        <f>+Y6/(1-taxrate)</f>
        <v>0.38250446153818152</v>
      </c>
      <c r="AA6" s="698">
        <f>debtP*Debt_Rate</f>
        <v>1.5959999999999998E-2</v>
      </c>
      <c r="AB6" s="698">
        <f>AA6+Z6</f>
        <v>0.39846446153818149</v>
      </c>
      <c r="AC6" s="698">
        <f>AB6/(S6/100)</f>
        <v>2.6915896063636108E-2</v>
      </c>
      <c r="AD6" s="698">
        <f>1-AC6</f>
        <v>0.97308410393636391</v>
      </c>
      <c r="AE6" s="699">
        <f>expenses/(AD6)</f>
        <v>2934424.9123016205</v>
      </c>
      <c r="AF6" s="700">
        <f>+AE6-Revenue</f>
        <v>837620.79133301391</v>
      </c>
      <c r="AG6" s="701">
        <f ca="1">+AF6/$J$49</f>
        <v>875615.44810238434</v>
      </c>
      <c r="AH6" s="701">
        <f ca="1">+AG6*$J$47</f>
        <v>19788.90912711389</v>
      </c>
      <c r="AI6" s="699">
        <f ca="1">ROUND(+AH6+AE6,5)</f>
        <v>2954213.82143</v>
      </c>
    </row>
    <row r="7" spans="1:35" ht="15.75">
      <c r="A7" s="557"/>
      <c r="B7" s="575" t="s">
        <v>104</v>
      </c>
      <c r="C7" s="723">
        <f>+'Regulatory Depreciation'!L219</f>
        <v>141637.12760714287</v>
      </c>
      <c r="D7" s="571"/>
      <c r="E7" s="557"/>
      <c r="F7" s="724">
        <v>1</v>
      </c>
      <c r="G7" s="577"/>
      <c r="H7" s="586" t="s">
        <v>32</v>
      </c>
      <c r="I7" s="20">
        <f>IF(A65=TRUE,C5,0)</f>
        <v>2096804.1209686066</v>
      </c>
      <c r="J7" s="20">
        <f ca="1">(+$I8/($R51))-I7</f>
        <v>819680.13077597297</v>
      </c>
      <c r="K7" s="20">
        <f ca="1">+I7+J7</f>
        <v>2916484.2517445795</v>
      </c>
      <c r="L7" s="20">
        <f ca="1">((+J7/J49*K35)-J7)</f>
        <v>19365.058495518751</v>
      </c>
      <c r="M7" s="20">
        <f ca="1">IFERROR(+K7+L7,0.00001)</f>
        <v>2935849.3102400983</v>
      </c>
      <c r="O7" s="12"/>
      <c r="P7" s="557"/>
      <c r="R7" s="587">
        <v>2</v>
      </c>
      <c r="S7" s="40">
        <f>Revenue/Investment*100</f>
        <v>1480.4057074529821</v>
      </c>
      <c r="T7" s="3">
        <f>EXP(y_inter1-(slope*LN(+S7)))</f>
        <v>2.0787362725087699</v>
      </c>
      <c r="U7" s="588">
        <f t="shared" ref="U7:U9" si="0">(+S7*T7/100)/100</f>
        <v>0.30773730421115209</v>
      </c>
      <c r="V7" s="588">
        <f>regDebt_weighted</f>
        <v>3.5860000000000003E-2</v>
      </c>
      <c r="W7" s="588">
        <f t="shared" ref="W7:W9" si="1">+U7-V7</f>
        <v>0.27187730421115208</v>
      </c>
      <c r="X7" s="588">
        <f>+((W7*(1-0.34))-Pfd_weighted)/Equity_percent</f>
        <v>0.50363087435860576</v>
      </c>
      <c r="Y7" s="588">
        <f>X7*equityP</f>
        <v>0.30217852461516342</v>
      </c>
      <c r="Z7" s="588">
        <f>+Y7/(1-taxrate)</f>
        <v>0.38250446153818152</v>
      </c>
      <c r="AA7" s="588">
        <f>debtP*Debt_Rate</f>
        <v>1.5959999999999998E-2</v>
      </c>
      <c r="AB7" s="588">
        <f t="shared" ref="AB7:AB9" si="2">AA7+Z7</f>
        <v>0.39846446153818149</v>
      </c>
      <c r="AC7" s="588">
        <f t="shared" ref="AC7:AC9" si="3">AB7/(S7/100)</f>
        <v>2.6915896063636108E-2</v>
      </c>
      <c r="AD7" s="588">
        <f t="shared" ref="AD7:AD9" si="4">1-AC7</f>
        <v>0.97308410393636391</v>
      </c>
      <c r="AE7" s="41">
        <f>expenses/(AD7)</f>
        <v>2934424.9123016205</v>
      </c>
      <c r="AF7" s="42">
        <f>+AE7-Revenue</f>
        <v>837620.79133301391</v>
      </c>
      <c r="AG7" s="4">
        <f ca="1">+AF7/$J$49</f>
        <v>875615.44810238434</v>
      </c>
      <c r="AH7" s="4">
        <f ca="1">+AG7*$J$47</f>
        <v>19788.90912711389</v>
      </c>
      <c r="AI7" s="41">
        <f t="shared" ref="AI7:AI9" ca="1" si="5">ROUND(+AH7+AE7,5)</f>
        <v>2954213.82143</v>
      </c>
    </row>
    <row r="8" spans="1:35" ht="15.75">
      <c r="A8" s="557"/>
      <c r="B8" s="575" t="s">
        <v>114</v>
      </c>
      <c r="C8" s="725">
        <v>0.4</v>
      </c>
      <c r="D8" s="571"/>
      <c r="E8" s="557"/>
      <c r="F8" s="589">
        <f>+F7+1</f>
        <v>2</v>
      </c>
      <c r="G8" s="577"/>
      <c r="H8" s="586" t="s">
        <v>33</v>
      </c>
      <c r="I8" s="20">
        <f>IF(A65=TRUE,C6,0)</f>
        <v>2855442.2363555655</v>
      </c>
      <c r="J8" s="568"/>
      <c r="K8" s="20">
        <f>+I8</f>
        <v>2855442.2363555655</v>
      </c>
      <c r="L8" s="20">
        <f ca="1">+L7</f>
        <v>19365.058495518751</v>
      </c>
      <c r="M8" s="20">
        <f ca="1">IFERROR(+K8+L8,0.00001)</f>
        <v>2874807.2948510842</v>
      </c>
      <c r="O8" s="12"/>
      <c r="P8" s="557"/>
      <c r="R8" s="590">
        <v>3</v>
      </c>
      <c r="S8" s="40">
        <f>Revenue/Investment*100</f>
        <v>1480.4057074529821</v>
      </c>
      <c r="T8" s="3">
        <f>EXP(y_inter1-(slope*LN(+S8)))</f>
        <v>2.0787362725087699</v>
      </c>
      <c r="U8" s="588">
        <f t="shared" si="0"/>
        <v>0.30773730421115209</v>
      </c>
      <c r="V8" s="588">
        <f>regDebt_weighted</f>
        <v>3.5860000000000003E-2</v>
      </c>
      <c r="W8" s="588">
        <f t="shared" si="1"/>
        <v>0.27187730421115208</v>
      </c>
      <c r="X8" s="588">
        <f>+((W8*(1-0.34))-Pfd_weighted)/Equity_percent</f>
        <v>0.50363087435860576</v>
      </c>
      <c r="Y8" s="588">
        <f>X8*equityP</f>
        <v>0.30217852461516342</v>
      </c>
      <c r="Z8" s="588">
        <f>+Y8/(1-taxrate)</f>
        <v>0.38250446153818152</v>
      </c>
      <c r="AA8" s="588">
        <f>debtP*Debt_Rate</f>
        <v>1.5959999999999998E-2</v>
      </c>
      <c r="AB8" s="588">
        <f t="shared" si="2"/>
        <v>0.39846446153818149</v>
      </c>
      <c r="AC8" s="588">
        <f t="shared" si="3"/>
        <v>2.6915896063636108E-2</v>
      </c>
      <c r="AD8" s="588">
        <f t="shared" si="4"/>
        <v>0.97308410393636391</v>
      </c>
      <c r="AE8" s="41">
        <f>expenses/(AD8)</f>
        <v>2934424.9123016205</v>
      </c>
      <c r="AF8" s="42">
        <f>+AE8-Revenue</f>
        <v>837620.79133301391</v>
      </c>
      <c r="AG8" s="4">
        <f ca="1">+AF8/$J$49</f>
        <v>875615.44810238434</v>
      </c>
      <c r="AH8" s="4">
        <f ca="1">+AG8*$J$47</f>
        <v>19788.90912711389</v>
      </c>
      <c r="AI8" s="41">
        <f t="shared" ca="1" si="5"/>
        <v>2954213.82143</v>
      </c>
    </row>
    <row r="9" spans="1:35" ht="15.75">
      <c r="A9" s="557"/>
      <c r="B9" s="575" t="s">
        <v>113</v>
      </c>
      <c r="C9" s="725">
        <v>3.9899999999999998E-2</v>
      </c>
      <c r="D9" s="571"/>
      <c r="E9" s="557"/>
      <c r="F9" s="589">
        <f t="shared" ref="F9:F49" si="6">+F8+1</f>
        <v>3</v>
      </c>
      <c r="G9" s="577"/>
      <c r="H9" s="586" t="s">
        <v>34</v>
      </c>
      <c r="I9" s="726">
        <f>+I7-I8</f>
        <v>-758638.11538695893</v>
      </c>
      <c r="J9" s="568"/>
      <c r="K9" s="726">
        <f ca="1">+K7-K8</f>
        <v>61042.015389014035</v>
      </c>
      <c r="L9" s="577"/>
      <c r="M9" s="727">
        <f ca="1">+M7-M8</f>
        <v>61042.015389014035</v>
      </c>
      <c r="O9" s="12"/>
      <c r="P9" s="557"/>
      <c r="R9" s="593">
        <v>4</v>
      </c>
      <c r="S9" s="40">
        <f>Revenue/Investment*100</f>
        <v>1480.4057074529821</v>
      </c>
      <c r="T9" s="3">
        <f>EXP(y_inter1-(slope*LN(+S9)))</f>
        <v>2.0787362725087699</v>
      </c>
      <c r="U9" s="588">
        <f t="shared" si="0"/>
        <v>0.30773730421115209</v>
      </c>
      <c r="V9" s="588">
        <f>regDebt_weighted</f>
        <v>3.5860000000000003E-2</v>
      </c>
      <c r="W9" s="588">
        <f t="shared" si="1"/>
        <v>0.27187730421115208</v>
      </c>
      <c r="X9" s="588">
        <f>+((W9*(1-0.34))-Pfd_weighted)/Equity_percent</f>
        <v>0.50363087435860576</v>
      </c>
      <c r="Y9" s="588">
        <f>X9*equityP</f>
        <v>0.30217852461516342</v>
      </c>
      <c r="Z9" s="588">
        <f>+Y9/(1-taxrate)</f>
        <v>0.38250446153818152</v>
      </c>
      <c r="AA9" s="588">
        <f>debtP*Debt_Rate</f>
        <v>1.5959999999999998E-2</v>
      </c>
      <c r="AB9" s="588">
        <f t="shared" si="2"/>
        <v>0.39846446153818149</v>
      </c>
      <c r="AC9" s="588">
        <f t="shared" si="3"/>
        <v>2.6915896063636108E-2</v>
      </c>
      <c r="AD9" s="588">
        <f t="shared" si="4"/>
        <v>0.97308410393636391</v>
      </c>
      <c r="AE9" s="41">
        <f>expenses/(AD9)</f>
        <v>2934424.9123016205</v>
      </c>
      <c r="AF9" s="42">
        <f>+AE9-Revenue</f>
        <v>837620.79133301391</v>
      </c>
      <c r="AG9" s="4">
        <f ca="1">+AF9/$J$49</f>
        <v>875615.44810238434</v>
      </c>
      <c r="AH9" s="4">
        <f ca="1">+AG9*$J$47</f>
        <v>19788.90912711389</v>
      </c>
      <c r="AI9" s="41">
        <f t="shared" ca="1" si="5"/>
        <v>2954213.82143</v>
      </c>
    </row>
    <row r="10" spans="1:35" ht="15.75">
      <c r="A10" s="557"/>
      <c r="B10" s="594" t="s">
        <v>98</v>
      </c>
      <c r="C10" s="725">
        <v>0.21</v>
      </c>
      <c r="D10" s="571"/>
      <c r="E10" s="557"/>
      <c r="F10" s="589">
        <f t="shared" si="6"/>
        <v>4</v>
      </c>
      <c r="G10" s="577"/>
      <c r="H10" s="577"/>
      <c r="I10" s="568"/>
      <c r="J10" s="568"/>
      <c r="K10" s="20"/>
      <c r="L10" s="577"/>
      <c r="M10" s="577"/>
      <c r="N10" s="577"/>
      <c r="O10" s="12"/>
      <c r="P10" s="557"/>
      <c r="R10" s="570" t="s">
        <v>36</v>
      </c>
    </row>
    <row r="11" spans="1:35" ht="15.75">
      <c r="A11" s="557"/>
      <c r="B11" s="575" t="s">
        <v>97</v>
      </c>
      <c r="C11" s="728">
        <v>1.7500000000000002E-2</v>
      </c>
      <c r="D11" s="571"/>
      <c r="E11" s="557"/>
      <c r="F11" s="589">
        <f t="shared" si="6"/>
        <v>5</v>
      </c>
      <c r="G11" s="577"/>
      <c r="H11" s="586" t="s">
        <v>35</v>
      </c>
      <c r="I11" s="20">
        <f>+K11</f>
        <v>2260.5285566100001</v>
      </c>
      <c r="J11" s="568"/>
      <c r="K11" s="20">
        <f>+M27</f>
        <v>2260.5285566100001</v>
      </c>
      <c r="L11" s="577"/>
      <c r="M11" s="20">
        <f>+K11</f>
        <v>2260.5285566100001</v>
      </c>
      <c r="O11" s="12"/>
      <c r="P11" s="557"/>
      <c r="R11" s="695">
        <v>1</v>
      </c>
      <c r="S11" s="696">
        <f ca="1">IF((AI6/Investment*100)&gt;0,(AI6/Investment*100),0)</f>
        <v>2085.7623077644344</v>
      </c>
      <c r="T11" s="697">
        <f ca="1">EXP(y_inter1-(slope*LN(S11)))</f>
        <v>1.6444165010174414</v>
      </c>
      <c r="U11" s="698">
        <f ca="1">(+S11*T11/100)/100</f>
        <v>0.34298619560880544</v>
      </c>
      <c r="V11" s="698">
        <f>regDebt_weighted</f>
        <v>3.5860000000000003E-2</v>
      </c>
      <c r="W11" s="698">
        <f ca="1">+U11-V11</f>
        <v>0.30712619560880544</v>
      </c>
      <c r="X11" s="698">
        <f ca="1">+((W11*(1-0.34))-Pfd_weighted)/Equity_percent</f>
        <v>0.57125956134247557</v>
      </c>
      <c r="Y11" s="698">
        <f ca="1">+X11*equityP</f>
        <v>0.34275573680548532</v>
      </c>
      <c r="Z11" s="698">
        <f ca="1">+Y11/(1-taxrate)</f>
        <v>0.43386802127276619</v>
      </c>
      <c r="AA11" s="698">
        <f>debtP*Debt_Rate</f>
        <v>1.5959999999999998E-2</v>
      </c>
      <c r="AB11" s="698">
        <f ca="1">+AA11+Z11</f>
        <v>0.44982802127276617</v>
      </c>
      <c r="AC11" s="698">
        <f ca="1">+AB11/(S11/100)</f>
        <v>2.1566600355095191E-2</v>
      </c>
      <c r="AD11" s="698">
        <f ca="1">1-AC11</f>
        <v>0.97843339964490483</v>
      </c>
      <c r="AE11" s="699">
        <f ca="1">expenses/(AD11)</f>
        <v>2918381.8105472163</v>
      </c>
      <c r="AF11" s="700">
        <f ca="1">+AE11-Revenue</f>
        <v>821577.68957860977</v>
      </c>
      <c r="AG11" s="701">
        <f ca="1">+AF11/$J$49</f>
        <v>858844.62784936861</v>
      </c>
      <c r="AH11" s="701">
        <f ca="1">+AG11*$J$47</f>
        <v>19409.888589395734</v>
      </c>
      <c r="AI11" s="699">
        <f ca="1">ROUND(+AH11+AE11,5)</f>
        <v>2937791.6991400002</v>
      </c>
    </row>
    <row r="12" spans="1:35" ht="15.75">
      <c r="A12" s="557"/>
      <c r="B12" s="575" t="s">
        <v>99</v>
      </c>
      <c r="C12" s="728">
        <v>5.1000000000000004E-3</v>
      </c>
      <c r="D12" s="571"/>
      <c r="E12" s="557"/>
      <c r="F12" s="589">
        <f t="shared" si="6"/>
        <v>6</v>
      </c>
      <c r="G12" s="577"/>
      <c r="H12" s="586" t="s">
        <v>37</v>
      </c>
      <c r="I12" s="820">
        <f>+J38*I9</f>
        <v>-159314.00423126138</v>
      </c>
      <c r="J12" s="20">
        <f ca="1">+K12-I12</f>
        <v>171658.11646606622</v>
      </c>
      <c r="K12" s="20">
        <f ca="1">+(K9-K11)*taxrate</f>
        <v>12344.112234804847</v>
      </c>
      <c r="L12" s="577"/>
      <c r="M12" s="20">
        <f ca="1">+K12</f>
        <v>12344.112234804847</v>
      </c>
      <c r="O12" s="12"/>
      <c r="P12" s="557"/>
      <c r="R12" s="587">
        <v>2</v>
      </c>
      <c r="S12" s="40">
        <f ca="1">IF((AI7/Investment*100)&gt;0,(AI7/Investment*100),0)</f>
        <v>2085.7623077644344</v>
      </c>
      <c r="T12" s="595">
        <f ca="1">EXP(y_inter2-(slope*LN(+S12)))</f>
        <v>1.6210200485083672</v>
      </c>
      <c r="U12" s="588">
        <f ca="1">(+S12*T12/100)/100</f>
        <v>0.33810625173092268</v>
      </c>
      <c r="V12" s="588">
        <f>regDebt_weighted</f>
        <v>3.5860000000000003E-2</v>
      </c>
      <c r="W12" s="588">
        <f ca="1">+U12-V12</f>
        <v>0.30224625173092268</v>
      </c>
      <c r="X12" s="588">
        <f ca="1">+((W12*(1-0.34))-Pfd_weighted)/Equity_percent</f>
        <v>0.56189687832095625</v>
      </c>
      <c r="Y12" s="588">
        <f ca="1">+X12*equityP</f>
        <v>0.33713812699257373</v>
      </c>
      <c r="Z12" s="588">
        <f ca="1">+Y12/(1-taxrate)</f>
        <v>0.42675712277540978</v>
      </c>
      <c r="AA12" s="588">
        <f>debtP*Debt_Rate</f>
        <v>1.5959999999999998E-2</v>
      </c>
      <c r="AB12" s="588">
        <f ca="1">+AA12+Z12</f>
        <v>0.44271712277540975</v>
      </c>
      <c r="AC12" s="588">
        <f ca="1">+AB12/(S12/100)</f>
        <v>2.1225674715060108E-2</v>
      </c>
      <c r="AD12" s="588">
        <f ca="1">1-AC12</f>
        <v>0.97877432528493991</v>
      </c>
      <c r="AE12" s="41">
        <f ca="1">expenses/(AD12)</f>
        <v>2917365.2828748771</v>
      </c>
      <c r="AF12" s="42">
        <f ca="1">+AE12-Revenue</f>
        <v>820561.16190627054</v>
      </c>
      <c r="AG12" s="4">
        <f ca="1">+AF12/$J$49</f>
        <v>857781.99026618816</v>
      </c>
      <c r="AH12" s="4">
        <f ca="1">+AG12*$J$47</f>
        <v>19385.872980015854</v>
      </c>
      <c r="AI12" s="41">
        <f t="shared" ref="AI12:AI14" ca="1" si="7">ROUND(+AH12+AE12,5)</f>
        <v>2936751.1558500002</v>
      </c>
    </row>
    <row r="13" spans="1:35" ht="15.75">
      <c r="A13" s="557"/>
      <c r="B13" s="575" t="s">
        <v>100</v>
      </c>
      <c r="C13" s="728">
        <v>0</v>
      </c>
      <c r="D13" s="571"/>
      <c r="E13" s="557"/>
      <c r="F13" s="589">
        <f t="shared" si="6"/>
        <v>7</v>
      </c>
      <c r="G13" s="577"/>
      <c r="H13" s="577"/>
      <c r="I13" s="568"/>
      <c r="J13" s="568"/>
      <c r="K13" s="20"/>
      <c r="L13" s="577"/>
      <c r="M13" s="577"/>
      <c r="O13" s="12"/>
      <c r="P13" s="557"/>
      <c r="R13" s="590">
        <v>3</v>
      </c>
      <c r="S13" s="40">
        <f ca="1">IF((AI8/Investment*100)&gt;0,(AI8/Investment*100),0)</f>
        <v>2085.7623077644344</v>
      </c>
      <c r="T13" s="3">
        <f ca="1">EXP(y_inter3-(slope*LN(S13)))</f>
        <v>1.6052597968271816</v>
      </c>
      <c r="U13" s="588">
        <f ca="1">(+S13*T13/100)/100</f>
        <v>0.33481903783917288</v>
      </c>
      <c r="V13" s="588">
        <f>regDebt_weighted</f>
        <v>3.5860000000000003E-2</v>
      </c>
      <c r="W13" s="588">
        <f ca="1">+U13-V13</f>
        <v>0.29895903783917288</v>
      </c>
      <c r="X13" s="588">
        <f ca="1">+((W13*(1-0.34))-Pfd_weighted)/Equity_percent</f>
        <v>0.55559001445887823</v>
      </c>
      <c r="Y13" s="588">
        <f ca="1">+X13*equityP</f>
        <v>0.33335400867532694</v>
      </c>
      <c r="Z13" s="588">
        <f ca="1">+Y13/(1-taxrate)</f>
        <v>0.4219670995890214</v>
      </c>
      <c r="AA13" s="588">
        <f>debtP*Debt_Rate</f>
        <v>1.5959999999999998E-2</v>
      </c>
      <c r="AB13" s="588">
        <f ca="1">+AA13+Z13</f>
        <v>0.43792709958902137</v>
      </c>
      <c r="AC13" s="588">
        <f ca="1">+AB13/(S13/100)</f>
        <v>2.0996021356738448E-2</v>
      </c>
      <c r="AD13" s="588">
        <f ca="1">1-AC13</f>
        <v>0.97900397864326161</v>
      </c>
      <c r="AE13" s="41">
        <f ca="1">expenses/(AD13)</f>
        <v>2916680.9314837907</v>
      </c>
      <c r="AF13" s="42">
        <f ca="1">+AE13-Revenue</f>
        <v>819876.81051518419</v>
      </c>
      <c r="AG13" s="4">
        <f ca="1">+AF13/$J$49</f>
        <v>857066.59655083891</v>
      </c>
      <c r="AH13" s="4">
        <f ca="1">+AG13*$J$47</f>
        <v>19369.70508204896</v>
      </c>
      <c r="AI13" s="41">
        <f t="shared" ca="1" si="7"/>
        <v>2936050.6365700001</v>
      </c>
    </row>
    <row r="14" spans="1:35" ht="16.5" thickBot="1">
      <c r="A14" s="557"/>
      <c r="B14" s="596" t="s">
        <v>101</v>
      </c>
      <c r="C14" s="728">
        <v>0</v>
      </c>
      <c r="D14" s="571"/>
      <c r="E14" s="557"/>
      <c r="F14" s="589">
        <f t="shared" si="6"/>
        <v>8</v>
      </c>
      <c r="G14" s="577"/>
      <c r="H14" s="577" t="s">
        <v>38</v>
      </c>
      <c r="I14" s="729">
        <f>+I9-SUM(I11:I13)</f>
        <v>-601584.6397123076</v>
      </c>
      <c r="J14" s="568"/>
      <c r="K14" s="729">
        <f ca="1">+K9-SUM(K11:K13)</f>
        <v>46437.374597599191</v>
      </c>
      <c r="L14" s="577"/>
      <c r="M14" s="729">
        <f ca="1">+M9-SUM(M11:M13)</f>
        <v>46437.374597599191</v>
      </c>
      <c r="O14" s="12"/>
      <c r="P14" s="557"/>
      <c r="R14" s="593">
        <v>4</v>
      </c>
      <c r="S14" s="40">
        <f ca="1">IF((AI9/Investment*100)&gt;0,(AI9/Investment*100),0)</f>
        <v>2085.7623077644344</v>
      </c>
      <c r="T14" s="1">
        <f ca="1">EXP(y_inter4-(slope*LN(S14)))</f>
        <v>1.5951784496946706</v>
      </c>
      <c r="U14" s="588">
        <f ca="1">(+S14*T14/100)/100</f>
        <v>0.33271630845312489</v>
      </c>
      <c r="V14" s="588">
        <f>regDebt_weighted</f>
        <v>3.5860000000000003E-2</v>
      </c>
      <c r="W14" s="588">
        <f ca="1">+U14-V14</f>
        <v>0.29685630845312488</v>
      </c>
      <c r="X14" s="588">
        <f ca="1">+((W14*(1-0.34))-Pfd_weighted)/Equity_percent</f>
        <v>0.55155570807866983</v>
      </c>
      <c r="Y14" s="588">
        <f ca="1">+X14*equityP</f>
        <v>0.3309334248472019</v>
      </c>
      <c r="Z14" s="588">
        <f ca="1">+Y14/(1-taxrate)</f>
        <v>0.4189030694268378</v>
      </c>
      <c r="AA14" s="588">
        <f>debtP*Debt_Rate</f>
        <v>1.5959999999999998E-2</v>
      </c>
      <c r="AB14" s="588">
        <f ca="1">+AA14+Z14</f>
        <v>0.43486306942683778</v>
      </c>
      <c r="AC14" s="588">
        <f ca="1">+AB14/(S14/100)</f>
        <v>2.0849119183332713E-2</v>
      </c>
      <c r="AD14" s="588">
        <f ca="1">1-AC14</f>
        <v>0.97915088081666724</v>
      </c>
      <c r="AE14" s="41">
        <f ca="1">expenses/(AD14)</f>
        <v>2916243.3413469079</v>
      </c>
      <c r="AF14" s="42">
        <f ca="1">+AE14-Revenue</f>
        <v>819439.22037830134</v>
      </c>
      <c r="AG14" s="4">
        <f ca="1">+AF14/$J$49</f>
        <v>856609.15723252622</v>
      </c>
      <c r="AH14" s="4">
        <f ca="1">+AG14*$J$47</f>
        <v>19359.366953455094</v>
      </c>
      <c r="AI14" s="41">
        <f t="shared" ca="1" si="7"/>
        <v>2935602.7083000001</v>
      </c>
    </row>
    <row r="15" spans="1:35" ht="16.5" thickTop="1">
      <c r="A15" s="557"/>
      <c r="B15" s="833"/>
      <c r="C15" s="833"/>
      <c r="D15" s="557"/>
      <c r="E15" s="557"/>
      <c r="F15" s="589">
        <f t="shared" si="6"/>
        <v>9</v>
      </c>
      <c r="G15" s="568"/>
      <c r="H15" s="568"/>
      <c r="I15" s="568"/>
      <c r="J15" s="568"/>
      <c r="K15" s="19"/>
      <c r="L15" s="568"/>
      <c r="M15" s="568"/>
      <c r="O15" s="12"/>
      <c r="P15" s="557"/>
      <c r="R15" s="570" t="s">
        <v>40</v>
      </c>
    </row>
    <row r="16" spans="1:35" ht="15.75">
      <c r="A16" s="557"/>
      <c r="B16" s="730" t="s">
        <v>124</v>
      </c>
      <c r="C16" s="833"/>
      <c r="D16" s="833"/>
      <c r="E16" s="557"/>
      <c r="F16" s="589">
        <f t="shared" si="6"/>
        <v>10</v>
      </c>
      <c r="G16" s="568"/>
      <c r="H16" s="598" t="s">
        <v>39</v>
      </c>
      <c r="I16" s="60">
        <f>+I8/I7</f>
        <v>1.3618068601641771</v>
      </c>
      <c r="J16" s="61"/>
      <c r="K16" s="60">
        <f ca="1">+K8/K7</f>
        <v>0.97907</v>
      </c>
      <c r="L16" s="599"/>
      <c r="M16" s="60">
        <f ca="1">+M8/M7</f>
        <v>0.97920805568047975</v>
      </c>
      <c r="O16" s="12"/>
      <c r="P16" s="557"/>
      <c r="R16" s="731">
        <v>1</v>
      </c>
      <c r="S16" s="732">
        <f ca="1">AI11/Investment*100</f>
        <v>2074.1678038603804</v>
      </c>
      <c r="T16" s="733">
        <f ca="1">EXP(y_inter1-(slope*LN(+S16)))</f>
        <v>1.6506953989935385</v>
      </c>
      <c r="U16" s="734">
        <f ca="1">(+S16*T16/100)/100</f>
        <v>0.34238192505728621</v>
      </c>
      <c r="V16" s="734">
        <f>regDebt_weighted</f>
        <v>3.5860000000000003E-2</v>
      </c>
      <c r="W16" s="734">
        <f ca="1">+U16-V16</f>
        <v>0.3065219250572862</v>
      </c>
      <c r="X16" s="734">
        <f ca="1">+((W16*(1-0.34))-Pfd_weighted)/Equity_percent</f>
        <v>0.57010020505177006</v>
      </c>
      <c r="Y16" s="734">
        <f ca="1">+X16*equityP</f>
        <v>0.34206012303106204</v>
      </c>
      <c r="Z16" s="734">
        <f ca="1">+Y16/(1-taxrate)</f>
        <v>0.43298749750767346</v>
      </c>
      <c r="AA16" s="734">
        <f>debtP*Debt_Rate</f>
        <v>1.5959999999999998E-2</v>
      </c>
      <c r="AB16" s="734">
        <f ca="1">+AA16+Z16</f>
        <v>0.44894749750767343</v>
      </c>
      <c r="AC16" s="734">
        <f ca="1">+AB16/(S16/100)</f>
        <v>2.1644704766514332E-2</v>
      </c>
      <c r="AD16" s="734">
        <f ca="1">1-AC16</f>
        <v>0.97835529523348563</v>
      </c>
      <c r="AE16" s="735">
        <f ca="1">expenses/(AD16)</f>
        <v>2918614.7918523923</v>
      </c>
      <c r="AF16" s="736">
        <f ca="1">+AE16-Revenue</f>
        <v>821810.6708837857</v>
      </c>
      <c r="AG16" s="737">
        <f ca="1">+AF16/$J$49</f>
        <v>859088.1772359669</v>
      </c>
      <c r="AH16" s="737">
        <f ca="1">+AG16*$J$47</f>
        <v>19415.392805532854</v>
      </c>
      <c r="AI16" s="735">
        <f ca="1">ROUND(+AH16+AE16,5)</f>
        <v>2938030.1846599998</v>
      </c>
    </row>
    <row r="17" spans="1:35" ht="15.75">
      <c r="A17" s="557"/>
      <c r="B17" s="838"/>
      <c r="C17" s="833"/>
      <c r="D17" s="557" t="s">
        <v>102</v>
      </c>
      <c r="E17" s="557"/>
      <c r="F17" s="589">
        <f t="shared" si="6"/>
        <v>11</v>
      </c>
      <c r="G17" s="568"/>
      <c r="H17" s="607"/>
      <c r="I17" s="607"/>
      <c r="J17" s="608"/>
      <c r="K17" s="607"/>
      <c r="L17" s="598"/>
      <c r="M17" s="598"/>
      <c r="N17" s="21"/>
      <c r="O17" s="557"/>
      <c r="P17" s="557"/>
      <c r="R17" s="587">
        <v>2</v>
      </c>
      <c r="S17" s="40">
        <f ca="1">AI12/Investment*100</f>
        <v>2073.433149530983</v>
      </c>
      <c r="T17" s="595">
        <f ca="1">EXP(y_inter2-(slope*LN(+S17)))</f>
        <v>1.6276037589153614</v>
      </c>
      <c r="U17" s="588">
        <f ca="1">(+S17*T17/100)/100</f>
        <v>0.33747275880363448</v>
      </c>
      <c r="V17" s="588">
        <f>regDebt_weighted</f>
        <v>3.5860000000000003E-2</v>
      </c>
      <c r="W17" s="588">
        <f ca="1">+U17-V17</f>
        <v>0.30161275880363447</v>
      </c>
      <c r="X17" s="588">
        <f ca="1">+((W17*(1-0.34))-Pfd_weighted)/Equity_percent</f>
        <v>0.56068145584418239</v>
      </c>
      <c r="Y17" s="588">
        <f ca="1">+X17*equityP</f>
        <v>0.33640887350650944</v>
      </c>
      <c r="Z17" s="588">
        <f ca="1">+Y17/(1-taxrate)</f>
        <v>0.42583401709684737</v>
      </c>
      <c r="AA17" s="588">
        <f>debtP*Debt_Rate</f>
        <v>1.5959999999999998E-2</v>
      </c>
      <c r="AB17" s="588">
        <f ca="1">+AA17+Z17</f>
        <v>0.44179401709684735</v>
      </c>
      <c r="AC17" s="588">
        <f ca="1">+AB17/(S17/100)</f>
        <v>2.1307367309950771E-2</v>
      </c>
      <c r="AD17" s="588">
        <f ca="1">1-AC17</f>
        <v>0.97869263269004925</v>
      </c>
      <c r="AE17" s="41">
        <f ca="1">expenses/(AD17)</f>
        <v>2917608.7986961282</v>
      </c>
      <c r="AF17" s="42">
        <f ca="1">+AE17-Revenue</f>
        <v>820804.67772752163</v>
      </c>
      <c r="AG17" s="4">
        <f ca="1">+AF17/$J$49</f>
        <v>858036.55201674532</v>
      </c>
      <c r="AH17" s="4">
        <f ca="1">+AG17*$J$47</f>
        <v>19391.626075578446</v>
      </c>
      <c r="AI17" s="41">
        <f t="shared" ref="AI17:AI19" ca="1" si="8">ROUND(+AH17+AE17,5)</f>
        <v>2937000.4247699999</v>
      </c>
    </row>
    <row r="18" spans="1:35" ht="15.75">
      <c r="A18" s="557"/>
      <c r="B18" s="837" t="s">
        <v>125</v>
      </c>
      <c r="C18" s="837"/>
      <c r="D18" s="557"/>
      <c r="E18" s="557"/>
      <c r="F18" s="589">
        <f t="shared" si="6"/>
        <v>12</v>
      </c>
      <c r="G18" s="568"/>
      <c r="H18" s="738" t="s">
        <v>83</v>
      </c>
      <c r="I18" s="739"/>
      <c r="J18" s="739"/>
      <c r="K18" s="739"/>
      <c r="L18" s="739"/>
      <c r="M18" s="740"/>
      <c r="N18" s="608"/>
      <c r="O18" s="557"/>
      <c r="P18" s="557"/>
      <c r="R18" s="590">
        <v>3</v>
      </c>
      <c r="S18" s="40">
        <f ca="1">AI13/Investment*100</f>
        <v>2072.9385622064342</v>
      </c>
      <c r="T18" s="3">
        <f ca="1">EXP(y_inter3-(slope*LN(S18)))</f>
        <v>1.6120423986257562</v>
      </c>
      <c r="U18" s="588">
        <f ca="1">(+S18*T18/100)/100</f>
        <v>0.33416648520230863</v>
      </c>
      <c r="V18" s="588">
        <f>regDebt_weighted</f>
        <v>3.5860000000000003E-2</v>
      </c>
      <c r="W18" s="588">
        <f ca="1">+U18-V18</f>
        <v>0.29830648520230862</v>
      </c>
      <c r="X18" s="588">
        <f ca="1">+((W18*(1-0.34))-Pfd_weighted)/Equity_percent</f>
        <v>0.55433802393466181</v>
      </c>
      <c r="Y18" s="588">
        <f ca="1">+X18*equityP</f>
        <v>0.33260281436079708</v>
      </c>
      <c r="Z18" s="588">
        <f ca="1">+Y18/(1-taxrate)</f>
        <v>0.42101622070986972</v>
      </c>
      <c r="AA18" s="588">
        <f>debtP*Debt_Rate</f>
        <v>1.5959999999999998E-2</v>
      </c>
      <c r="AB18" s="588">
        <f ca="1">+AA18+Z18</f>
        <v>0.43697622070986969</v>
      </c>
      <c r="AC18" s="588">
        <f ca="1">+AB18/(S18/100)</f>
        <v>2.1080037232012922E-2</v>
      </c>
      <c r="AD18" s="588">
        <f ca="1">1-AC18</f>
        <v>0.9789199627679871</v>
      </c>
      <c r="AE18" s="41">
        <f ca="1">expenses/(AD18)</f>
        <v>2916931.2558317203</v>
      </c>
      <c r="AF18" s="42">
        <f ca="1">+AE18-Revenue</f>
        <v>820127.13486311375</v>
      </c>
      <c r="AG18" s="4">
        <f ca="1">+AF18/$J$49</f>
        <v>857328.27566428878</v>
      </c>
      <c r="AH18" s="4">
        <f ca="1">+AG18*$J$47</f>
        <v>19375.619030012927</v>
      </c>
      <c r="AI18" s="41">
        <f t="shared" ca="1" si="8"/>
        <v>2936306.8748599999</v>
      </c>
    </row>
    <row r="19" spans="1:35" ht="15.75">
      <c r="A19" s="557"/>
      <c r="B19" s="557"/>
      <c r="C19" s="557"/>
      <c r="D19" s="557"/>
      <c r="E19" s="557"/>
      <c r="F19" s="589">
        <f t="shared" si="6"/>
        <v>13</v>
      </c>
      <c r="G19" s="568"/>
      <c r="H19" s="612"/>
      <c r="I19" s="598" t="s">
        <v>122</v>
      </c>
      <c r="J19" s="613">
        <f>+Revenue</f>
        <v>2096804.1209686066</v>
      </c>
      <c r="K19" s="614"/>
      <c r="L19" s="598" t="s">
        <v>126</v>
      </c>
      <c r="M19" s="62">
        <f ca="1">+J7</f>
        <v>819680.13077597297</v>
      </c>
      <c r="O19" s="557"/>
      <c r="P19" s="557"/>
      <c r="R19" s="593">
        <v>4</v>
      </c>
      <c r="S19" s="40">
        <f ca="1">AI14/Investment*100</f>
        <v>2072.6223116035258</v>
      </c>
      <c r="T19" s="1">
        <f ca="1">EXP(y_inter4-(slope*LN(S19)))</f>
        <v>1.6020855597262473</v>
      </c>
      <c r="U19" s="588">
        <f ca="1">(+S19*T19/100)/100</f>
        <v>0.33205182761864427</v>
      </c>
      <c r="V19" s="588">
        <f>regDebt_weighted</f>
        <v>3.5860000000000003E-2</v>
      </c>
      <c r="W19" s="588">
        <f ca="1">+U19-V19</f>
        <v>0.29619182761864427</v>
      </c>
      <c r="X19" s="588">
        <f ca="1">+((W19*(1-0.34))-Pfd_weighted)/Equity_percent</f>
        <v>0.55028083205902678</v>
      </c>
      <c r="Y19" s="588">
        <f ca="1">+X19*equityP</f>
        <v>0.33016849923541608</v>
      </c>
      <c r="Z19" s="588">
        <f ca="1">+Y19/(1-taxrate)</f>
        <v>0.41793480915875453</v>
      </c>
      <c r="AA19" s="588">
        <f>debtP*Debt_Rate</f>
        <v>1.5959999999999998E-2</v>
      </c>
      <c r="AB19" s="588">
        <f ca="1">+AA19+Z19</f>
        <v>0.4338948091587545</v>
      </c>
      <c r="AC19" s="588">
        <f ca="1">+AB19/(S19/100)</f>
        <v>2.093458160368172E-2</v>
      </c>
      <c r="AD19" s="588">
        <f ca="1">1-AC19</f>
        <v>0.97906541839631833</v>
      </c>
      <c r="AE19" s="41">
        <f ca="1">expenses/(AD19)</f>
        <v>2916497.8996323859</v>
      </c>
      <c r="AF19" s="42">
        <f ca="1">+AE19-Revenue</f>
        <v>819693.77866377938</v>
      </c>
      <c r="AG19" s="4">
        <f ca="1">+AF19/$J$49</f>
        <v>856875.26233583002</v>
      </c>
      <c r="AH19" s="4">
        <f ca="1">+AG19*$J$47</f>
        <v>19365.38092878976</v>
      </c>
      <c r="AI19" s="41">
        <f t="shared" ca="1" si="8"/>
        <v>2935863.2805599999</v>
      </c>
    </row>
    <row r="20" spans="1:35" ht="15.75">
      <c r="A20" s="557"/>
      <c r="B20" s="615"/>
      <c r="C20" s="557"/>
      <c r="D20" s="557"/>
      <c r="E20" s="557"/>
      <c r="F20" s="589">
        <f t="shared" si="6"/>
        <v>14</v>
      </c>
      <c r="G20" s="568"/>
      <c r="H20" s="612"/>
      <c r="I20" s="598" t="s">
        <v>42</v>
      </c>
      <c r="J20" s="613">
        <f ca="1">+J21-J19</f>
        <v>839045.18927149172</v>
      </c>
      <c r="K20" s="614"/>
      <c r="L20" s="598" t="s">
        <v>41</v>
      </c>
      <c r="M20" s="62">
        <f ca="1">+L8</f>
        <v>19365.058495518751</v>
      </c>
      <c r="O20" s="557"/>
      <c r="P20" s="557"/>
      <c r="R20" s="570" t="s">
        <v>43</v>
      </c>
    </row>
    <row r="21" spans="1:35" ht="16.5" thickBot="1">
      <c r="A21" s="557"/>
      <c r="B21" s="615" t="s">
        <v>0</v>
      </c>
      <c r="C21" s="557"/>
      <c r="D21" s="557"/>
      <c r="E21" s="557"/>
      <c r="F21" s="589">
        <f t="shared" si="6"/>
        <v>15</v>
      </c>
      <c r="G21" s="568"/>
      <c r="H21" s="612"/>
      <c r="I21" s="616" t="s">
        <v>83</v>
      </c>
      <c r="J21" s="63">
        <f ca="1">+M7</f>
        <v>2935849.3102400983</v>
      </c>
      <c r="K21" s="608"/>
      <c r="L21" s="616" t="s">
        <v>42</v>
      </c>
      <c r="M21" s="64">
        <f ca="1">+M19+M20</f>
        <v>839045.18927149172</v>
      </c>
      <c r="O21" s="557"/>
      <c r="P21" s="557"/>
      <c r="R21" s="731">
        <v>1</v>
      </c>
      <c r="S21" s="732">
        <f ca="1">AI16/Investment*100</f>
        <v>2074.336181689011</v>
      </c>
      <c r="T21" s="733">
        <f ca="1">EXP(y_inter1-(slope*LN(+S21)))</f>
        <v>1.6506037928075337</v>
      </c>
      <c r="U21" s="734">
        <f ca="1">(+S21*T21/100)/100</f>
        <v>0.34239071690537792</v>
      </c>
      <c r="V21" s="734">
        <f>regDebt_weighted</f>
        <v>3.5860000000000003E-2</v>
      </c>
      <c r="W21" s="734">
        <f ca="1">+U21-V21</f>
        <v>0.30653071690537792</v>
      </c>
      <c r="X21" s="734">
        <f ca="1">+((W21*(1-0.34))-Pfd_weighted)/Equity_percent</f>
        <v>0.57011707313241111</v>
      </c>
      <c r="Y21" s="734">
        <f ca="1">+X21*equityP</f>
        <v>0.34207024387944668</v>
      </c>
      <c r="Z21" s="734">
        <f ca="1">+Y21/(1-taxrate)</f>
        <v>0.43300030870816031</v>
      </c>
      <c r="AA21" s="734">
        <f>debtP*Debt_Rate</f>
        <v>1.5959999999999998E-2</v>
      </c>
      <c r="AB21" s="734">
        <f ca="1">+AA21+Z21</f>
        <v>0.44896030870816028</v>
      </c>
      <c r="AC21" s="734">
        <f ca="1">+AB21/(S21/100)</f>
        <v>2.1643565429331615E-2</v>
      </c>
      <c r="AD21" s="734">
        <f ca="1">1-AC21</f>
        <v>0.97835643457066834</v>
      </c>
      <c r="AE21" s="735">
        <f ca="1">expenses/(AD21)</f>
        <v>2918611.3930028146</v>
      </c>
      <c r="AF21" s="736">
        <f ca="1">+AE21-Revenue</f>
        <v>821807.27203420806</v>
      </c>
      <c r="AG21" s="737">
        <f ca="1">+AF21/$J$49</f>
        <v>859084.62421385141</v>
      </c>
      <c r="AH21" s="737">
        <f ca="1">+AG21*$J$47</f>
        <v>19415.312507233044</v>
      </c>
      <c r="AI21" s="735">
        <f ca="1">ROUND(+AH21+AE21,5)</f>
        <v>2938026.7055100002</v>
      </c>
    </row>
    <row r="22" spans="1:35" ht="16.5" thickTop="1">
      <c r="A22" s="557"/>
      <c r="B22" s="557" t="s">
        <v>109</v>
      </c>
      <c r="C22" s="557"/>
      <c r="D22" s="557"/>
      <c r="E22" s="557"/>
      <c r="F22" s="589">
        <f t="shared" si="6"/>
        <v>16</v>
      </c>
      <c r="G22" s="568"/>
      <c r="H22" s="617"/>
      <c r="I22" s="618"/>
      <c r="J22" s="619" t="s">
        <v>127</v>
      </c>
      <c r="K22" s="65">
        <f ca="1">+(J21/J19)-1</f>
        <v>0.40015430191156809</v>
      </c>
      <c r="L22" s="618"/>
      <c r="M22" s="620"/>
      <c r="O22" s="557"/>
      <c r="P22" s="557"/>
      <c r="R22" s="587">
        <v>2</v>
      </c>
      <c r="S22" s="40">
        <f ca="1">AI17/Investment*100</f>
        <v>2073.609140758856</v>
      </c>
      <c r="T22" s="595">
        <f ca="1">EXP(y_inter2-(slope*LN(+S22)))</f>
        <v>1.6275093169187369</v>
      </c>
      <c r="U22" s="588">
        <f ca="1">(+S22*T22/100)/100</f>
        <v>0.33748181962328949</v>
      </c>
      <c r="V22" s="588">
        <f>regDebt_weighted</f>
        <v>3.5860000000000003E-2</v>
      </c>
      <c r="W22" s="588">
        <f ca="1">+U22-V22</f>
        <v>0.30162181962328949</v>
      </c>
      <c r="X22" s="588">
        <f ca="1">+((W22*(1-0.34))-Pfd_weighted)/Equity_percent</f>
        <v>0.56069883997491587</v>
      </c>
      <c r="Y22" s="588">
        <f ca="1">+X22*equityP</f>
        <v>0.33641930398494951</v>
      </c>
      <c r="Z22" s="588">
        <f ca="1">+Y22/(1-taxrate)</f>
        <v>0.42584722023411331</v>
      </c>
      <c r="AA22" s="588">
        <f>debtP*Debt_Rate</f>
        <v>1.5959999999999998E-2</v>
      </c>
      <c r="AB22" s="588">
        <f ca="1">+AA22+Z22</f>
        <v>0.44180722023411328</v>
      </c>
      <c r="AC22" s="588">
        <f ca="1">+AB22/(S22/100)</f>
        <v>2.1306195634941596E-2</v>
      </c>
      <c r="AD22" s="588">
        <f ca="1">1-AC22</f>
        <v>0.97869380436505837</v>
      </c>
      <c r="AE22" s="41">
        <f ca="1">expenses/(AD22)</f>
        <v>2917605.3057861896</v>
      </c>
      <c r="AF22" s="42">
        <f ca="1">+AE22-Revenue</f>
        <v>820801.18481758307</v>
      </c>
      <c r="AG22" s="4">
        <f ca="1">+AF22/$J$49</f>
        <v>858032.90066767111</v>
      </c>
      <c r="AH22" s="4">
        <f ca="1">+AG22*$J$47</f>
        <v>19391.543555089367</v>
      </c>
      <c r="AI22" s="41">
        <f t="shared" ref="AI22:AI24" ca="1" si="9">ROUND(+AH22+AE22,5)</f>
        <v>2936996.8493400002</v>
      </c>
    </row>
    <row r="23" spans="1:35" ht="15.75">
      <c r="A23" s="557"/>
      <c r="B23" s="557" t="s">
        <v>108</v>
      </c>
      <c r="C23" s="557"/>
      <c r="D23" s="557"/>
      <c r="E23" s="557"/>
      <c r="F23" s="589">
        <f t="shared" si="6"/>
        <v>17</v>
      </c>
      <c r="H23" s="568"/>
      <c r="I23" s="568"/>
      <c r="J23" s="568"/>
      <c r="K23" s="568"/>
      <c r="L23" s="568"/>
      <c r="M23" s="568"/>
      <c r="N23" s="568"/>
      <c r="O23" s="557"/>
      <c r="P23" s="557"/>
      <c r="R23" s="590">
        <v>3</v>
      </c>
      <c r="S23" s="40">
        <f ca="1">AI18/Investment*100</f>
        <v>2073.1194740155966</v>
      </c>
      <c r="T23" s="3">
        <f ca="1">EXP(y_inter3-(slope*LN(S23)))</f>
        <v>1.6119462215511446</v>
      </c>
      <c r="U23" s="588">
        <f ca="1">(+S23*T23/100)/100</f>
        <v>0.33417571029635373</v>
      </c>
      <c r="V23" s="588">
        <f>regDebt_weighted</f>
        <v>3.5860000000000003E-2</v>
      </c>
      <c r="W23" s="588">
        <f ca="1">+U23-V23</f>
        <v>0.29831571029635373</v>
      </c>
      <c r="X23" s="588">
        <f ca="1">+((W23*(1-0.34))-Pfd_weighted)/Equity_percent</f>
        <v>0.55435572324300419</v>
      </c>
      <c r="Y23" s="588">
        <f ca="1">+X23*equityP</f>
        <v>0.33261343394580251</v>
      </c>
      <c r="Z23" s="588">
        <f ca="1">+Y23/(1-taxrate)</f>
        <v>0.42102966322253482</v>
      </c>
      <c r="AA23" s="588">
        <f>debtP*Debt_Rate</f>
        <v>1.5959999999999998E-2</v>
      </c>
      <c r="AB23" s="588">
        <f ca="1">+AA23+Z23</f>
        <v>0.4369896632225348</v>
      </c>
      <c r="AC23" s="588">
        <f ca="1">+AB23/(S23/100)</f>
        <v>2.1078846091590338E-2</v>
      </c>
      <c r="AD23" s="588">
        <f ca="1">1-AC23</f>
        <v>0.97892115390840961</v>
      </c>
      <c r="AE23" s="41">
        <f ca="1">expenses/(AD23)</f>
        <v>2916927.7065420612</v>
      </c>
      <c r="AF23" s="42">
        <f ca="1">+AE23-Revenue</f>
        <v>820123.58557345462</v>
      </c>
      <c r="AG23" s="4">
        <f ca="1">+AF23/$J$49</f>
        <v>857324.56537809793</v>
      </c>
      <c r="AH23" s="4">
        <f ca="1">+AG23*$J$47</f>
        <v>19375.535177545014</v>
      </c>
      <c r="AI23" s="41">
        <f t="shared" ca="1" si="9"/>
        <v>2936303.2417199998</v>
      </c>
    </row>
    <row r="24" spans="1:35" ht="15.75">
      <c r="A24" s="557"/>
      <c r="B24" s="557" t="s">
        <v>110</v>
      </c>
      <c r="C24" s="557"/>
      <c r="D24" s="557"/>
      <c r="E24" s="557"/>
      <c r="F24" s="589">
        <f t="shared" si="6"/>
        <v>18</v>
      </c>
      <c r="H24" s="568"/>
      <c r="J24" s="621" t="s">
        <v>105</v>
      </c>
      <c r="K24" s="622" t="s">
        <v>44</v>
      </c>
      <c r="L24" s="622"/>
      <c r="M24" s="622"/>
      <c r="N24" s="622"/>
      <c r="O24" s="557"/>
      <c r="P24" s="557"/>
      <c r="R24" s="593">
        <v>4</v>
      </c>
      <c r="S24" s="40">
        <f ca="1">AI19/Investment*100</f>
        <v>2072.8062833236545</v>
      </c>
      <c r="T24" s="1">
        <f ca="1">EXP(y_inter4-(slope*LN(S24)))</f>
        <v>1.6019883453087147</v>
      </c>
      <c r="U24" s="588">
        <f ca="1">(+S24*T24/100)/100</f>
        <v>0.33206115079671683</v>
      </c>
      <c r="V24" s="588">
        <f>regDebt_weighted</f>
        <v>3.5860000000000003E-2</v>
      </c>
      <c r="W24" s="588">
        <f ca="1">+U24-V24</f>
        <v>0.29620115079671683</v>
      </c>
      <c r="X24" s="588">
        <f ca="1">+((W24*(1-0.34))-Pfd_weighted)/Equity_percent</f>
        <v>0.5502987195518404</v>
      </c>
      <c r="Y24" s="588">
        <f ca="1">+X24*equityP</f>
        <v>0.33017923173110425</v>
      </c>
      <c r="Z24" s="588">
        <f ca="1">+Y24/(1-taxrate)</f>
        <v>0.41794839459633448</v>
      </c>
      <c r="AA24" s="588">
        <f>debtP*Debt_Rate</f>
        <v>1.5959999999999998E-2</v>
      </c>
      <c r="AB24" s="588">
        <f ca="1">+AA24+Z24</f>
        <v>0.43390839459633446</v>
      </c>
      <c r="AC24" s="588">
        <f ca="1">+AB24/(S24/100)</f>
        <v>2.0933378969721243E-2</v>
      </c>
      <c r="AD24" s="588">
        <f ca="1">1-AC24</f>
        <v>0.97906662103027875</v>
      </c>
      <c r="AE24" s="41">
        <f ca="1">expenses/(AD24)</f>
        <v>2916494.3171597081</v>
      </c>
      <c r="AF24" s="42">
        <f ca="1">+AE24-Revenue</f>
        <v>819690.19619110157</v>
      </c>
      <c r="AG24" s="4">
        <f ca="1">+AF24/$J$49</f>
        <v>856871.51736143162</v>
      </c>
      <c r="AH24" s="4">
        <f ca="1">+AG24*$J$47</f>
        <v>19365.296292368355</v>
      </c>
      <c r="AI24" s="41">
        <f t="shared" ca="1" si="9"/>
        <v>2935859.6134500001</v>
      </c>
    </row>
    <row r="25" spans="1:35" ht="15.75">
      <c r="A25" s="557"/>
      <c r="B25" s="557" t="s">
        <v>111</v>
      </c>
      <c r="C25" s="557"/>
      <c r="D25" s="557"/>
      <c r="E25" s="557"/>
      <c r="F25" s="589">
        <f t="shared" si="6"/>
        <v>19</v>
      </c>
      <c r="H25" s="623" t="s">
        <v>45</v>
      </c>
      <c r="I25" s="22" t="s">
        <v>46</v>
      </c>
      <c r="J25" s="624" t="s">
        <v>47</v>
      </c>
      <c r="K25" s="623" t="s">
        <v>116</v>
      </c>
      <c r="L25" s="624" t="s">
        <v>49</v>
      </c>
      <c r="M25" s="624" t="s">
        <v>47</v>
      </c>
      <c r="O25" s="557"/>
      <c r="P25" s="557"/>
      <c r="R25" s="570" t="s">
        <v>50</v>
      </c>
      <c r="W25" s="2"/>
      <c r="X25" s="6"/>
      <c r="Y25" s="3"/>
      <c r="Z25" s="3"/>
      <c r="AA25" s="6"/>
      <c r="AC25" s="6"/>
      <c r="AD25" s="6"/>
      <c r="AE25" s="3"/>
      <c r="AF25" s="2"/>
    </row>
    <row r="26" spans="1:35" ht="15.75">
      <c r="A26" s="557"/>
      <c r="B26" s="557"/>
      <c r="C26" s="557"/>
      <c r="D26" s="557"/>
      <c r="E26" s="557"/>
      <c r="F26" s="589">
        <f t="shared" si="6"/>
        <v>20</v>
      </c>
      <c r="H26" s="586" t="s">
        <v>27</v>
      </c>
      <c r="I26" s="23">
        <f>1-I27</f>
        <v>0.6</v>
      </c>
      <c r="J26" s="625">
        <f>+I26*J28</f>
        <v>84982.276564285727</v>
      </c>
      <c r="K26" s="21">
        <f ca="1">+K34</f>
        <v>0.54643599200912385</v>
      </c>
      <c r="L26" s="23">
        <f ca="1">+K26*I26</f>
        <v>0.32786159520547431</v>
      </c>
      <c r="M26" s="20">
        <f ca="1">+J26*K26</f>
        <v>46437.374597599191</v>
      </c>
      <c r="O26" s="557"/>
      <c r="P26" s="557"/>
      <c r="R26" s="731">
        <v>1</v>
      </c>
      <c r="S26" s="732">
        <f ca="1">AI21/Investment*100</f>
        <v>2074.3337253062405</v>
      </c>
      <c r="T26" s="733">
        <f ca="1">EXP(y_inter1-(slope*LN(+S26)))</f>
        <v>1.6506051291159227</v>
      </c>
      <c r="U26" s="734">
        <f ca="1">(+S26*T26/100)/100</f>
        <v>0.34239058864886202</v>
      </c>
      <c r="V26" s="734">
        <f>regDebt_weighted</f>
        <v>3.5860000000000003E-2</v>
      </c>
      <c r="W26" s="734">
        <f ca="1">+U26-V26</f>
        <v>0.30653058864886201</v>
      </c>
      <c r="X26" s="734">
        <f ca="1">+((W26*(1-0.34))-Pfd_weighted)/Equity_percent</f>
        <v>0.57011682705886313</v>
      </c>
      <c r="Y26" s="734">
        <f ca="1">+X26*equityP</f>
        <v>0.34207009623531787</v>
      </c>
      <c r="Z26" s="734">
        <f ca="1">+Y26/(1-taxrate)</f>
        <v>0.43300012181685804</v>
      </c>
      <c r="AA26" s="734">
        <f>debtP*Debt_Rate</f>
        <v>1.5959999999999998E-2</v>
      </c>
      <c r="AB26" s="734">
        <f ca="1">+AA26+Z26</f>
        <v>0.44896012181685802</v>
      </c>
      <c r="AC26" s="734">
        <f ca="1">+AB26/(S26/100)</f>
        <v>2.164358204948804E-2</v>
      </c>
      <c r="AD26" s="734">
        <f ca="1">1-AC26</f>
        <v>0.97835641795051198</v>
      </c>
      <c r="AE26" s="735">
        <f ca="1">expenses/(AD26)</f>
        <v>2918611.4425837002</v>
      </c>
      <c r="AF26" s="736">
        <f ca="1">+AE26-Revenue</f>
        <v>821807.32161509362</v>
      </c>
      <c r="AG26" s="737">
        <f ca="1">+AF26/$J$49</f>
        <v>859084.67604373652</v>
      </c>
      <c r="AH26" s="737">
        <f ca="1">+AG26*$J$47</f>
        <v>19415.313678588445</v>
      </c>
      <c r="AI26" s="735">
        <f ca="1">ROUND(+AH26+AE26,5)</f>
        <v>2938026.7562600002</v>
      </c>
    </row>
    <row r="27" spans="1:35" ht="15.75">
      <c r="A27" s="557"/>
      <c r="B27" s="557"/>
      <c r="C27" s="557"/>
      <c r="D27" s="557"/>
      <c r="E27" s="557"/>
      <c r="F27" s="589">
        <f t="shared" si="6"/>
        <v>21</v>
      </c>
      <c r="H27" s="586" t="s">
        <v>29</v>
      </c>
      <c r="I27" s="23">
        <f>IF(A65=TRUE,C8,0)</f>
        <v>0.4</v>
      </c>
      <c r="J27" s="25">
        <f>+I27*J28</f>
        <v>56654.851042857154</v>
      </c>
      <c r="K27" s="21">
        <f>IF(A65=TRUE,C9,0)</f>
        <v>3.9899999999999998E-2</v>
      </c>
      <c r="L27" s="23">
        <f>+K27*I27</f>
        <v>1.5959999999999998E-2</v>
      </c>
      <c r="M27" s="20">
        <f>+K27*J27</f>
        <v>2260.5285566100001</v>
      </c>
      <c r="O27" s="557"/>
      <c r="P27" s="557"/>
      <c r="R27" s="587">
        <v>2</v>
      </c>
      <c r="S27" s="40">
        <f ca="1">AI22/Investment*100</f>
        <v>2073.6066163995583</v>
      </c>
      <c r="T27" s="595">
        <f ca="1">EXP(y_inter2-(slope*LN(+S27)))</f>
        <v>1.6275106714677425</v>
      </c>
      <c r="U27" s="588">
        <f ca="1">(+S27*T27/100)/100</f>
        <v>0.33748168966163988</v>
      </c>
      <c r="V27" s="588">
        <f>regDebt_weighted</f>
        <v>3.5860000000000003E-2</v>
      </c>
      <c r="W27" s="588">
        <f ca="1">+U27-V27</f>
        <v>0.30162168966163988</v>
      </c>
      <c r="X27" s="588">
        <f ca="1">+((W27*(1-0.34))-Pfd_weighted)/Equity_percent</f>
        <v>0.56069859062989047</v>
      </c>
      <c r="Y27" s="588">
        <f ca="1">+X27*equityP</f>
        <v>0.33641915437793429</v>
      </c>
      <c r="Z27" s="588">
        <f ca="1">+Y27/(1-taxrate)</f>
        <v>0.42584703085814468</v>
      </c>
      <c r="AA27" s="588">
        <f>debtP*Debt_Rate</f>
        <v>1.5959999999999998E-2</v>
      </c>
      <c r="AB27" s="588">
        <f ca="1">+AA27+Z27</f>
        <v>0.44180703085814466</v>
      </c>
      <c r="AC27" s="588">
        <f ca="1">+AB27/(S27/100)</f>
        <v>2.130621243991121E-2</v>
      </c>
      <c r="AD27" s="588">
        <f ca="1">1-AC27</f>
        <v>0.97869378756008873</v>
      </c>
      <c r="AE27" s="41">
        <f ca="1">expenses/(AD27)</f>
        <v>2917605.3558838498</v>
      </c>
      <c r="AF27" s="42">
        <f ca="1">+AE27-Revenue</f>
        <v>820801.23491524323</v>
      </c>
      <c r="AG27" s="4">
        <f ca="1">+AF27/$J$49</f>
        <v>858032.95303777175</v>
      </c>
      <c r="AH27" s="4">
        <f ca="1">+AG27*$J$47</f>
        <v>19391.544738653643</v>
      </c>
      <c r="AI27" s="41">
        <f t="shared" ref="AI27:AI29" ca="1" si="10">ROUND(+AH27+AE27,5)</f>
        <v>2936996.90062</v>
      </c>
    </row>
    <row r="28" spans="1:35" ht="16.5" thickBot="1">
      <c r="A28" s="557"/>
      <c r="B28" s="557"/>
      <c r="C28" s="557"/>
      <c r="D28" s="557"/>
      <c r="E28" s="557"/>
      <c r="F28" s="589">
        <f t="shared" si="6"/>
        <v>22</v>
      </c>
      <c r="H28" s="586" t="s">
        <v>103</v>
      </c>
      <c r="I28" s="26">
        <f>SUM(I26:I27)</f>
        <v>1</v>
      </c>
      <c r="J28" s="49">
        <f>IF(A65=TRUE,C7,0)</f>
        <v>141637.12760714287</v>
      </c>
      <c r="K28" s="626"/>
      <c r="L28" s="51">
        <f ca="1">SUM(L26:L27)</f>
        <v>0.34382159520547428</v>
      </c>
      <c r="M28" s="49">
        <f ca="1">SUM(M26:M27)</f>
        <v>48697.903154209191</v>
      </c>
      <c r="O28" s="557"/>
      <c r="P28" s="557"/>
      <c r="R28" s="590">
        <v>3</v>
      </c>
      <c r="S28" s="40">
        <f ca="1">AI23/Investment*100</f>
        <v>2073.1169089113328</v>
      </c>
      <c r="T28" s="3">
        <f ca="1">EXP(y_inter3-(slope*LN(S28)))</f>
        <v>1.6119475851235865</v>
      </c>
      <c r="U28" s="588">
        <f ca="1">(+S28*T28/100)/100</f>
        <v>0.33417557949984966</v>
      </c>
      <c r="V28" s="588">
        <f>regDebt_weighted</f>
        <v>3.5860000000000003E-2</v>
      </c>
      <c r="W28" s="588">
        <f ca="1">+U28-V28</f>
        <v>0.29831557949984966</v>
      </c>
      <c r="X28" s="588">
        <f ca="1">+((W28*(1-0.34))-Pfd_weighted)/Equity_percent</f>
        <v>0.55435547229622317</v>
      </c>
      <c r="Y28" s="588">
        <f ca="1">+X28*equityP</f>
        <v>0.33261328337773388</v>
      </c>
      <c r="Z28" s="588">
        <f ca="1">+Y28/(1-taxrate)</f>
        <v>0.42102947263004287</v>
      </c>
      <c r="AA28" s="588">
        <f>debtP*Debt_Rate</f>
        <v>1.5959999999999998E-2</v>
      </c>
      <c r="AB28" s="588">
        <f ca="1">+AA28+Z28</f>
        <v>0.43698947263004284</v>
      </c>
      <c r="AC28" s="588">
        <f ca="1">+AB28/(S28/100)</f>
        <v>2.1078862979296308E-2</v>
      </c>
      <c r="AD28" s="588">
        <f ca="1">1-AC28</f>
        <v>0.97892113702070371</v>
      </c>
      <c r="AE28" s="41">
        <f ca="1">expenses/(AD28)</f>
        <v>2916927.7568629864</v>
      </c>
      <c r="AF28" s="42">
        <f ca="1">+AE28-Revenue</f>
        <v>820123.63589437981</v>
      </c>
      <c r="AG28" s="4">
        <f ca="1">+AF28/$J$49</f>
        <v>857324.61798159091</v>
      </c>
      <c r="AH28" s="4">
        <f ca="1">+AG28*$J$47</f>
        <v>19375.536366383956</v>
      </c>
      <c r="AI28" s="41">
        <f t="shared" ca="1" si="10"/>
        <v>2936303.29323</v>
      </c>
    </row>
    <row r="29" spans="1:35" ht="16.5" thickTop="1">
      <c r="A29" s="557"/>
      <c r="B29" s="557"/>
      <c r="C29" s="557"/>
      <c r="D29" s="557"/>
      <c r="E29" s="557"/>
      <c r="F29" s="589">
        <f t="shared" si="6"/>
        <v>23</v>
      </c>
      <c r="G29" s="568"/>
      <c r="H29" s="568"/>
      <c r="I29" s="568"/>
      <c r="J29" s="568"/>
      <c r="K29" s="568"/>
      <c r="L29" s="568"/>
      <c r="M29" s="568"/>
      <c r="N29" s="568"/>
      <c r="O29" s="557"/>
      <c r="P29" s="557"/>
      <c r="R29" s="593">
        <v>4</v>
      </c>
      <c r="S29" s="40">
        <f ca="1">AI24/Investment*100</f>
        <v>2072.8036942355657</v>
      </c>
      <c r="T29" s="1">
        <f ca="1">EXP(y_inter4-(slope*LN(S29)))</f>
        <v>1.6019897133350016</v>
      </c>
      <c r="U29" s="588">
        <f ca="1">(+S29*T29/100)/100</f>
        <v>0.33206101959281659</v>
      </c>
      <c r="V29" s="588">
        <f>regDebt_weighted</f>
        <v>3.5860000000000003E-2</v>
      </c>
      <c r="W29" s="588">
        <f ca="1">+U29-V29</f>
        <v>0.29620101959281658</v>
      </c>
      <c r="X29" s="588">
        <f ca="1">+((W29*(1-0.34))-Pfd_weighted)/Equity_percent</f>
        <v>0.55029846782342706</v>
      </c>
      <c r="Y29" s="588">
        <f ca="1">+X29*equityP</f>
        <v>0.33017908069405622</v>
      </c>
      <c r="Z29" s="588">
        <f ca="1">+Y29/(1-taxrate)</f>
        <v>0.41794820341019773</v>
      </c>
      <c r="AA29" s="588">
        <f>debtP*Debt_Rate</f>
        <v>1.5959999999999998E-2</v>
      </c>
      <c r="AB29" s="588">
        <f ca="1">+AA29+Z29</f>
        <v>0.4339082034101977</v>
      </c>
      <c r="AC29" s="588">
        <f ca="1">+AB29/(S29/100)</f>
        <v>2.0933395893537314E-2</v>
      </c>
      <c r="AD29" s="588">
        <f ca="1">1-AC29</f>
        <v>0.97906660410646273</v>
      </c>
      <c r="AE29" s="41">
        <f ca="1">expenses/(AD29)</f>
        <v>2916494.3675732478</v>
      </c>
      <c r="AF29" s="42">
        <f ca="1">+AE29-Revenue</f>
        <v>819690.2466046412</v>
      </c>
      <c r="AG29" s="4">
        <f ca="1">+AF29/$J$49</f>
        <v>856871.57006174012</v>
      </c>
      <c r="AH29" s="4">
        <f ca="1">+AG29*$J$47</f>
        <v>19365.297483395327</v>
      </c>
      <c r="AI29" s="41">
        <f t="shared" ca="1" si="10"/>
        <v>2935859.66506</v>
      </c>
    </row>
    <row r="30" spans="1:35" ht="15.75">
      <c r="A30" s="557"/>
      <c r="B30" s="557"/>
      <c r="C30" s="557"/>
      <c r="D30" s="557"/>
      <c r="E30" s="557"/>
      <c r="F30" s="589">
        <f t="shared" si="6"/>
        <v>24</v>
      </c>
      <c r="G30" s="568"/>
      <c r="H30" s="568"/>
      <c r="I30" s="568"/>
      <c r="J30" s="627" t="s">
        <v>94</v>
      </c>
      <c r="K30" s="627" t="s">
        <v>96</v>
      </c>
      <c r="L30" s="568"/>
      <c r="M30" s="568"/>
      <c r="N30" s="568"/>
      <c r="O30" s="557"/>
      <c r="P30" s="557"/>
      <c r="R30" s="570" t="s">
        <v>53</v>
      </c>
      <c r="W30" s="2"/>
      <c r="X30" s="6"/>
      <c r="Y30" s="3"/>
      <c r="Z30" s="3"/>
      <c r="AA30" s="6"/>
      <c r="AC30" s="6"/>
      <c r="AD30" s="6"/>
      <c r="AE30" s="3"/>
      <c r="AF30" s="2"/>
      <c r="AH30" s="3"/>
    </row>
    <row r="31" spans="1:35" ht="15.75">
      <c r="A31" s="557"/>
      <c r="B31" s="557"/>
      <c r="C31" s="557"/>
      <c r="D31" s="557"/>
      <c r="E31" s="557"/>
      <c r="F31" s="589">
        <f t="shared" si="6"/>
        <v>25</v>
      </c>
      <c r="G31" s="568"/>
      <c r="H31" s="628" t="s">
        <v>51</v>
      </c>
      <c r="I31" s="629"/>
      <c r="J31" s="630" t="s">
        <v>95</v>
      </c>
      <c r="K31" s="630" t="s">
        <v>95</v>
      </c>
      <c r="L31" s="568"/>
      <c r="M31" s="568"/>
      <c r="N31" s="568"/>
      <c r="O31" s="557"/>
      <c r="P31" s="557"/>
      <c r="R31" s="731">
        <v>1</v>
      </c>
      <c r="S31" s="732">
        <f ca="1">AI26/Investment*100</f>
        <v>2074.3337611372413</v>
      </c>
      <c r="T31" s="733">
        <f ca="1">EXP(y_inter1-(slope*LN(+S31)))</f>
        <v>1.6506051096233125</v>
      </c>
      <c r="U31" s="734">
        <f ca="1">(+S31*T31/100)/100</f>
        <v>0.34239059051972748</v>
      </c>
      <c r="V31" s="734">
        <f>regDebt_weighted</f>
        <v>3.5860000000000003E-2</v>
      </c>
      <c r="W31" s="734">
        <f ca="1">+U31-V31</f>
        <v>0.30653059051972747</v>
      </c>
      <c r="X31" s="734">
        <f ca="1">+((W31*(1-0.34))-Pfd_weighted)/Equity_percent</f>
        <v>0.57011683064831431</v>
      </c>
      <c r="Y31" s="734">
        <f ca="1">+X31*equityP</f>
        <v>0.34207009838898855</v>
      </c>
      <c r="Z31" s="734">
        <f ca="1">+Y31/(1-taxrate)</f>
        <v>0.43300012454302345</v>
      </c>
      <c r="AA31" s="734">
        <f>debtP*Debt_Rate</f>
        <v>1.5959999999999998E-2</v>
      </c>
      <c r="AB31" s="734">
        <f ca="1">+AA31+Z31</f>
        <v>0.44896012454302342</v>
      </c>
      <c r="AC31" s="734">
        <f ca="1">+AB31/(S31/100)</f>
        <v>2.1643581807051327E-2</v>
      </c>
      <c r="AD31" s="734">
        <f ca="1">1-AC31</f>
        <v>0.97835641819294872</v>
      </c>
      <c r="AE31" s="735">
        <f ca="1">expenses/(AD31)</f>
        <v>2918611.4418604686</v>
      </c>
      <c r="AF31" s="736">
        <f ca="1">+AE31-Revenue</f>
        <v>821807.32089186204</v>
      </c>
      <c r="AG31" s="737">
        <f ca="1">+AF31/$J$49</f>
        <v>859084.67528769898</v>
      </c>
      <c r="AH31" s="737">
        <f ca="1">+AG31*$J$47</f>
        <v>19415.313661501998</v>
      </c>
      <c r="AI31" s="735">
        <f ca="1">ROUND(+AH31+AE31,5)</f>
        <v>2938026.7555200001</v>
      </c>
    </row>
    <row r="32" spans="1:35" ht="15.75">
      <c r="A32" s="557"/>
      <c r="B32" s="557"/>
      <c r="C32" s="557"/>
      <c r="D32" s="557"/>
      <c r="E32" s="557"/>
      <c r="F32" s="589">
        <f t="shared" si="6"/>
        <v>26</v>
      </c>
      <c r="G32" s="568"/>
      <c r="H32" s="577"/>
      <c r="I32" s="577"/>
      <c r="J32" s="577"/>
      <c r="K32" s="577"/>
      <c r="L32" s="568"/>
      <c r="M32" s="568"/>
      <c r="N32" s="568"/>
      <c r="O32" s="557"/>
      <c r="P32" s="557"/>
      <c r="R32" s="587">
        <v>2</v>
      </c>
      <c r="S32" s="40">
        <f ca="1">AI27/Investment*100</f>
        <v>2073.6066526047543</v>
      </c>
      <c r="T32" s="595">
        <f ca="1">EXP(y_inter2-(slope*LN(+S32)))</f>
        <v>1.6275106520403331</v>
      </c>
      <c r="U32" s="588">
        <f ca="1">(+S32*T32/100)/100</f>
        <v>0.33748169152559365</v>
      </c>
      <c r="V32" s="588">
        <f>regDebt_weighted</f>
        <v>3.5860000000000003E-2</v>
      </c>
      <c r="W32" s="588">
        <f ca="1">+U32-V32</f>
        <v>0.30162169152559365</v>
      </c>
      <c r="X32" s="588">
        <f ca="1">+((W32*(1-0.34))-Pfd_weighted)/Equity_percent</f>
        <v>0.56069859420608081</v>
      </c>
      <c r="Y32" s="588">
        <f ca="1">+X32*equityP</f>
        <v>0.33641915652364845</v>
      </c>
      <c r="Z32" s="588">
        <f ca="1">+Y32/(1-taxrate)</f>
        <v>0.42584703357423853</v>
      </c>
      <c r="AA32" s="588">
        <f>debtP*Debt_Rate</f>
        <v>1.5959999999999998E-2</v>
      </c>
      <c r="AB32" s="588">
        <f ca="1">+AA32+Z32</f>
        <v>0.44180703357423851</v>
      </c>
      <c r="AC32" s="588">
        <f ca="1">+AB32/(S32/100)</f>
        <v>2.1306212198888539E-2</v>
      </c>
      <c r="AD32" s="588">
        <f ca="1">1-AC32</f>
        <v>0.97869378780111149</v>
      </c>
      <c r="AE32" s="41">
        <f ca="1">expenses/(AD32)</f>
        <v>2917605.3551653316</v>
      </c>
      <c r="AF32" s="42">
        <f ca="1">+AE32-Revenue</f>
        <v>820801.23419672507</v>
      </c>
      <c r="AG32" s="4">
        <f ca="1">+AF32/$J$49</f>
        <v>858032.95228666137</v>
      </c>
      <c r="AH32" s="4">
        <f ca="1">+AG32*$J$47</f>
        <v>19391.544721678547</v>
      </c>
      <c r="AI32" s="41">
        <f t="shared" ref="AI32:AI34" ca="1" si="11">ROUND(+AH32+AE32,5)</f>
        <v>2936996.89989</v>
      </c>
    </row>
    <row r="33" spans="1:46" ht="15.75">
      <c r="A33" s="557"/>
      <c r="B33" s="557"/>
      <c r="C33" s="557"/>
      <c r="D33" s="557"/>
      <c r="E33" s="557"/>
      <c r="F33" s="589">
        <f t="shared" si="6"/>
        <v>27</v>
      </c>
      <c r="G33" s="568"/>
      <c r="H33" s="577" t="s">
        <v>54</v>
      </c>
      <c r="I33" s="577"/>
      <c r="J33" s="24">
        <f ca="1">+K9/J28</f>
        <v>0.43097467747528395</v>
      </c>
      <c r="K33" s="24">
        <f ca="1">+(M14+M11)/J28</f>
        <v>0.34382159520547434</v>
      </c>
      <c r="L33" s="568"/>
      <c r="M33" s="568"/>
      <c r="N33" s="568"/>
      <c r="O33" s="557"/>
      <c r="P33" s="557"/>
      <c r="R33" s="590">
        <v>3</v>
      </c>
      <c r="S33" s="40">
        <f ca="1">AI28/Investment*100</f>
        <v>2073.1169452789159</v>
      </c>
      <c r="T33" s="3">
        <f ca="1">EXP(y_inter3-(slope*LN(S33)))</f>
        <v>1.6119475657910833</v>
      </c>
      <c r="U33" s="588">
        <f ca="1">(+S33*T33/100)/100</f>
        <v>0.33417558135425951</v>
      </c>
      <c r="V33" s="588">
        <f>regDebt_weighted</f>
        <v>3.5860000000000003E-2</v>
      </c>
      <c r="W33" s="588">
        <f ca="1">+U33-V33</f>
        <v>0.29831558135425951</v>
      </c>
      <c r="X33" s="588">
        <f ca="1">+((W33*(1-0.34))-Pfd_weighted)/Equity_percent</f>
        <v>0.5543554758541025</v>
      </c>
      <c r="Y33" s="588">
        <f ca="1">+X33*equityP</f>
        <v>0.3326132855124615</v>
      </c>
      <c r="Z33" s="588">
        <f ca="1">+Y33/(1-taxrate)</f>
        <v>0.42102947533222973</v>
      </c>
      <c r="AA33" s="588">
        <f>debtP*Debt_Rate</f>
        <v>1.5959999999999998E-2</v>
      </c>
      <c r="AB33" s="588">
        <f ca="1">+AA33+Z33</f>
        <v>0.4369894753322297</v>
      </c>
      <c r="AC33" s="588">
        <f ca="1">+AB33/(S33/100)</f>
        <v>2.1078862739865232E-2</v>
      </c>
      <c r="AD33" s="588">
        <f ca="1">1-AC33</f>
        <v>0.97892113726013474</v>
      </c>
      <c r="AE33" s="41">
        <f ca="1">expenses/(AD33)</f>
        <v>2916927.7561495448</v>
      </c>
      <c r="AF33" s="42">
        <f ca="1">+AE33-Revenue</f>
        <v>820123.63518093829</v>
      </c>
      <c r="AG33" s="4">
        <f ca="1">+AF33/$J$49</f>
        <v>857324.61723578756</v>
      </c>
      <c r="AH33" s="4">
        <f ca="1">+AG33*$J$47</f>
        <v>19375.5363495288</v>
      </c>
      <c r="AI33" s="41">
        <f t="shared" ca="1" si="11"/>
        <v>2936303.2925</v>
      </c>
    </row>
    <row r="34" spans="1:46" ht="15.75">
      <c r="A34" s="557"/>
      <c r="B34" s="557"/>
      <c r="C34" s="557"/>
      <c r="D34" s="557"/>
      <c r="E34" s="557"/>
      <c r="F34" s="589">
        <f t="shared" si="6"/>
        <v>28</v>
      </c>
      <c r="G34" s="568"/>
      <c r="H34" s="577" t="s">
        <v>55</v>
      </c>
      <c r="I34" s="577"/>
      <c r="J34" s="24">
        <f ca="1">+(M9-M11)/J26</f>
        <v>0.69169112912547326</v>
      </c>
      <c r="K34" s="24">
        <f ca="1">+M14/J26</f>
        <v>0.54643599200912385</v>
      </c>
      <c r="L34" s="568"/>
      <c r="M34" s="568"/>
      <c r="N34" s="568"/>
      <c r="O34" s="10"/>
      <c r="P34" s="557"/>
      <c r="R34" s="593">
        <v>4</v>
      </c>
      <c r="S34" s="40">
        <f ca="1">AI29/Investment*100</f>
        <v>2072.8037306737519</v>
      </c>
      <c r="T34" s="1">
        <f ca="1">EXP(y_inter4-(slope*LN(S34)))</f>
        <v>1.6019896940817162</v>
      </c>
      <c r="U34" s="588">
        <f ca="1">(+S34*T34/100)/100</f>
        <v>0.3320610214393484</v>
      </c>
      <c r="V34" s="588">
        <f>regDebt_weighted</f>
        <v>3.5860000000000003E-2</v>
      </c>
      <c r="W34" s="588">
        <f ca="1">+U34-V34</f>
        <v>0.2962010214393484</v>
      </c>
      <c r="X34" s="588">
        <f ca="1">+((W34*(1-0.34))-Pfd_weighted)/Equity_percent</f>
        <v>0.5502984713661917</v>
      </c>
      <c r="Y34" s="588">
        <f ca="1">+X34*equityP</f>
        <v>0.33017908281971503</v>
      </c>
      <c r="Z34" s="588">
        <f ca="1">+Y34/(1-taxrate)</f>
        <v>0.41794820610090511</v>
      </c>
      <c r="AA34" s="588">
        <f>debtP*Debt_Rate</f>
        <v>1.5959999999999998E-2</v>
      </c>
      <c r="AB34" s="588">
        <f ca="1">+AA34+Z34</f>
        <v>0.43390820610090508</v>
      </c>
      <c r="AC34" s="588">
        <f ca="1">+AB34/(S34/100)</f>
        <v>2.0933395655355461E-2</v>
      </c>
      <c r="AD34" s="588">
        <f ca="1">1-AC34</f>
        <v>0.97906660434464454</v>
      </c>
      <c r="AE34" s="41">
        <f ca="1">expenses/(AD34)</f>
        <v>2916494.3668637397</v>
      </c>
      <c r="AF34" s="42">
        <f ca="1">+AE34-Revenue</f>
        <v>819690.24589513312</v>
      </c>
      <c r="AG34" s="4">
        <f ca="1">+AF34/$J$49</f>
        <v>856871.56932004855</v>
      </c>
      <c r="AH34" s="4">
        <f ca="1">+AG34*$J$47</f>
        <v>19365.297466633099</v>
      </c>
      <c r="AI34" s="41">
        <f t="shared" ca="1" si="11"/>
        <v>2935859.6643300001</v>
      </c>
    </row>
    <row r="35" spans="1:46" ht="15.75">
      <c r="A35" s="557"/>
      <c r="B35" s="557"/>
      <c r="C35" s="557"/>
      <c r="D35" s="557"/>
      <c r="E35" s="557"/>
      <c r="F35" s="589">
        <f t="shared" si="6"/>
        <v>29</v>
      </c>
      <c r="G35" s="568"/>
      <c r="H35" s="631" t="s">
        <v>31</v>
      </c>
      <c r="I35" s="577"/>
      <c r="J35" s="24">
        <f ca="1">+K8/K7</f>
        <v>0.97907</v>
      </c>
      <c r="K35" s="24">
        <f ca="1">+M8/M7</f>
        <v>0.97920805568047975</v>
      </c>
      <c r="L35" s="568"/>
      <c r="M35" s="568"/>
      <c r="N35" s="568"/>
      <c r="O35" s="557"/>
      <c r="P35" s="557"/>
      <c r="R35" s="570" t="s">
        <v>84</v>
      </c>
      <c r="X35" s="6"/>
      <c r="Y35" s="7"/>
      <c r="Z35" s="3"/>
      <c r="AA35" s="6"/>
      <c r="AC35" s="6"/>
      <c r="AD35" s="6"/>
      <c r="AE35" s="3"/>
      <c r="AF35" s="2"/>
      <c r="AH35" s="3"/>
    </row>
    <row r="36" spans="1:46" ht="15.75">
      <c r="A36" s="557"/>
      <c r="B36" s="557"/>
      <c r="C36" s="557"/>
      <c r="D36" s="557"/>
      <c r="E36" s="557"/>
      <c r="F36" s="589">
        <f t="shared" si="6"/>
        <v>30</v>
      </c>
      <c r="G36" s="568"/>
      <c r="H36" s="577" t="s">
        <v>56</v>
      </c>
      <c r="I36" s="577"/>
      <c r="J36" s="24">
        <f ca="1">+K9/K7</f>
        <v>2.0929999999999994E-2</v>
      </c>
      <c r="K36" s="24">
        <f ca="1">+J36</f>
        <v>2.0929999999999994E-2</v>
      </c>
      <c r="L36" s="568"/>
      <c r="M36" s="568"/>
      <c r="N36" s="568"/>
      <c r="O36" s="557"/>
      <c r="P36" s="557"/>
      <c r="R36" s="731">
        <v>1</v>
      </c>
      <c r="S36" s="732">
        <f ca="1">AI31/Investment*100</f>
        <v>2074.3337606147788</v>
      </c>
      <c r="T36" s="733">
        <f ca="1">EXP(y_inter1-(slope*LN(+S36)))</f>
        <v>1.6506051099075394</v>
      </c>
      <c r="U36" s="734">
        <f ca="1">(+S36*T36/100)/100</f>
        <v>0.34239059049244763</v>
      </c>
      <c r="V36" s="734">
        <f>regDebt_weighted</f>
        <v>3.5860000000000003E-2</v>
      </c>
      <c r="W36" s="734">
        <f ca="1">+U36-V36</f>
        <v>0.30653059049244763</v>
      </c>
      <c r="X36" s="734">
        <f ca="1">+((W36*(1-0.34))-Pfd_weighted)/Equity_percent</f>
        <v>0.57011683059597507</v>
      </c>
      <c r="Y36" s="734">
        <f ca="1">+X36*equityP</f>
        <v>0.34207009835758501</v>
      </c>
      <c r="Z36" s="734">
        <f ca="1">+Y36/(1-taxrate)</f>
        <v>0.43300012450327213</v>
      </c>
      <c r="AA36" s="734">
        <f>debtP*Debt_Rate</f>
        <v>1.5959999999999998E-2</v>
      </c>
      <c r="AB36" s="734">
        <f ca="1">+AA36+Z36</f>
        <v>0.44896012450327211</v>
      </c>
      <c r="AC36" s="734">
        <f ca="1">+AB36/(S36/100)</f>
        <v>2.164358181058635E-2</v>
      </c>
      <c r="AD36" s="734">
        <f ca="1">1-AC36</f>
        <v>0.97835641818941366</v>
      </c>
      <c r="AE36" s="735">
        <f ca="1">expenses/(AD36)</f>
        <v>2918611.441871014</v>
      </c>
      <c r="AF36" s="736">
        <f ca="1">+AE36-Revenue</f>
        <v>821807.3209024074</v>
      </c>
      <c r="AG36" s="737">
        <f ca="1">+AF36/$J$49</f>
        <v>859084.67529872269</v>
      </c>
      <c r="AH36" s="737">
        <f ca="1">+AG36*$J$47</f>
        <v>19415.313661751134</v>
      </c>
      <c r="AI36" s="735">
        <f ca="1">ROUND(+AH36+AE36,5)</f>
        <v>2938026.7555300002</v>
      </c>
    </row>
    <row r="37" spans="1:46" ht="15.75">
      <c r="A37" s="557"/>
      <c r="B37" s="557"/>
      <c r="C37" s="557"/>
      <c r="D37" s="557"/>
      <c r="E37" s="557"/>
      <c r="F37" s="589">
        <f t="shared" si="6"/>
        <v>31</v>
      </c>
      <c r="G37" s="568"/>
      <c r="H37" s="577" t="s">
        <v>57</v>
      </c>
      <c r="I37" s="632"/>
      <c r="J37" s="27">
        <f ca="1">+S39/100</f>
        <v>20.728037301583505</v>
      </c>
      <c r="K37" s="27">
        <f ca="1">+J37</f>
        <v>20.728037301583505</v>
      </c>
      <c r="L37" s="568"/>
      <c r="M37" s="568"/>
      <c r="N37" s="568"/>
      <c r="O37" s="557"/>
      <c r="P37" s="557"/>
      <c r="R37" s="587">
        <v>2</v>
      </c>
      <c r="S37" s="40">
        <f ca="1">AI32/Investment*100</f>
        <v>2073.6066520893528</v>
      </c>
      <c r="T37" s="595">
        <f ca="1">EXP(y_inter2-(slope*LN(+S37)))</f>
        <v>1.627510652316893</v>
      </c>
      <c r="U37" s="588">
        <f ca="1">(+S37*T37/100)/100</f>
        <v>0.3374816914990591</v>
      </c>
      <c r="V37" s="588">
        <f>regDebt_weighted</f>
        <v>3.5860000000000003E-2</v>
      </c>
      <c r="W37" s="588">
        <f ca="1">+U37-V37</f>
        <v>0.3016216914990591</v>
      </c>
      <c r="X37" s="588">
        <f ca="1">+((W37*(1-0.34))-Pfd_weighted)/Equity_percent</f>
        <v>0.56069859415517143</v>
      </c>
      <c r="Y37" s="588">
        <f ca="1">+X37*equityP</f>
        <v>0.33641915649310283</v>
      </c>
      <c r="Z37" s="588">
        <f ca="1">+Y37/(1-taxrate)</f>
        <v>0.42584703353557318</v>
      </c>
      <c r="AA37" s="588">
        <f>debtP*Debt_Rate</f>
        <v>1.5959999999999998E-2</v>
      </c>
      <c r="AB37" s="588">
        <f ca="1">+AA37+Z37</f>
        <v>0.44180703353557316</v>
      </c>
      <c r="AC37" s="588">
        <f ca="1">+AB37/(S37/100)</f>
        <v>2.1306212202319628E-2</v>
      </c>
      <c r="AD37" s="588">
        <f ca="1">1-AC37</f>
        <v>0.97869378779768035</v>
      </c>
      <c r="AE37" s="41">
        <f ca="1">expenses/(AD37)</f>
        <v>2917605.3551755603</v>
      </c>
      <c r="AF37" s="42">
        <f ca="1">+AE37-Revenue</f>
        <v>820801.23420695378</v>
      </c>
      <c r="AG37" s="4">
        <f ca="1">+AF37/$J$49</f>
        <v>858032.95229735412</v>
      </c>
      <c r="AH37" s="4">
        <f ca="1">+AG37*$J$47</f>
        <v>19391.544721920203</v>
      </c>
      <c r="AI37" s="41">
        <f t="shared" ref="AI37:AI39" ca="1" si="12">ROUND(+AH37+AE37,5)</f>
        <v>2936996.8999000001</v>
      </c>
    </row>
    <row r="38" spans="1:46" ht="15.75">
      <c r="A38" s="557"/>
      <c r="B38" s="557"/>
      <c r="C38" s="557"/>
      <c r="D38" s="557"/>
      <c r="E38" s="557"/>
      <c r="F38" s="589">
        <f t="shared" si="6"/>
        <v>32</v>
      </c>
      <c r="G38" s="568"/>
      <c r="H38" s="577" t="s">
        <v>58</v>
      </c>
      <c r="I38" s="568"/>
      <c r="J38" s="24">
        <f>+C10</f>
        <v>0.21</v>
      </c>
      <c r="K38" s="24">
        <f>+J38</f>
        <v>0.21</v>
      </c>
      <c r="L38" s="568"/>
      <c r="M38" s="568"/>
      <c r="N38" s="568"/>
      <c r="O38" s="557"/>
      <c r="P38" s="557"/>
      <c r="Q38" s="633"/>
      <c r="R38" s="590">
        <v>3</v>
      </c>
      <c r="S38" s="40">
        <f ca="1">AI33/Investment*100</f>
        <v>2073.1169447635139</v>
      </c>
      <c r="T38" s="3">
        <f ca="1">EXP(y_inter3-(slope*LN(S38)))</f>
        <v>1.6119475660650644</v>
      </c>
      <c r="U38" s="588">
        <f ca="1">(+S38*T38/100)/100</f>
        <v>0.33417558132797887</v>
      </c>
      <c r="V38" s="588">
        <f>regDebt_weighted</f>
        <v>3.5860000000000003E-2</v>
      </c>
      <c r="W38" s="588">
        <f ca="1">+U38-V38</f>
        <v>0.29831558132797886</v>
      </c>
      <c r="X38" s="588">
        <f ca="1">+((W38*(1-0.34))-Pfd_weighted)/Equity_percent</f>
        <v>0.55435547580368028</v>
      </c>
      <c r="Y38" s="588">
        <f ca="1">+X38*equityP</f>
        <v>0.33261328548220814</v>
      </c>
      <c r="Z38" s="588">
        <f ca="1">+Y38/(1-taxrate)</f>
        <v>0.42102947529393436</v>
      </c>
      <c r="AA38" s="588">
        <f>debtP*Debt_Rate</f>
        <v>1.5959999999999998E-2</v>
      </c>
      <c r="AB38" s="588">
        <f ca="1">+AA38+Z38</f>
        <v>0.43698947529393434</v>
      </c>
      <c r="AC38" s="588">
        <f ca="1">+AB38/(S38/100)</f>
        <v>2.1078862743258459E-2</v>
      </c>
      <c r="AD38" s="588">
        <f ca="1">1-AC38</f>
        <v>0.97892113725674157</v>
      </c>
      <c r="AE38" s="41">
        <f ca="1">expenses/(AD38)</f>
        <v>2916927.7561596557</v>
      </c>
      <c r="AF38" s="42">
        <f ca="1">+AE38-Revenue</f>
        <v>820123.63519104919</v>
      </c>
      <c r="AG38" s="4">
        <f ca="1">+AF38/$J$49</f>
        <v>857324.61724635714</v>
      </c>
      <c r="AH38" s="4">
        <f ca="1">+AG38*$J$47</f>
        <v>19375.536349767674</v>
      </c>
      <c r="AI38" s="41">
        <f t="shared" ca="1" si="12"/>
        <v>2936303.2925100001</v>
      </c>
    </row>
    <row r="39" spans="1:46" ht="15.75">
      <c r="A39" s="557"/>
      <c r="B39" s="557"/>
      <c r="C39" s="557"/>
      <c r="D39" s="557"/>
      <c r="E39" s="557"/>
      <c r="F39" s="589">
        <f t="shared" si="6"/>
        <v>33</v>
      </c>
      <c r="G39" s="568"/>
      <c r="H39" s="568"/>
      <c r="I39" s="568"/>
      <c r="J39" s="568"/>
      <c r="K39" s="568"/>
      <c r="L39" s="568"/>
      <c r="M39" s="568"/>
      <c r="N39" s="568"/>
      <c r="O39" s="557"/>
      <c r="P39" s="557"/>
      <c r="R39" s="593">
        <v>4</v>
      </c>
      <c r="S39" s="40">
        <f ca="1">AI34/Investment*100</f>
        <v>2072.8037301583504</v>
      </c>
      <c r="T39" s="1">
        <f ca="1">EXP(y_inter4-(slope*LN(S39)))</f>
        <v>1.6019896943540459</v>
      </c>
      <c r="U39" s="588">
        <f ca="1">(+S39*T39/100)/100</f>
        <v>0.33206102141323024</v>
      </c>
      <c r="V39" s="588">
        <f>regDebt_weighted</f>
        <v>3.5860000000000003E-2</v>
      </c>
      <c r="W39" s="588">
        <f ca="1">+U39-V39</f>
        <v>0.29620102141323024</v>
      </c>
      <c r="X39" s="588">
        <f ca="1">+((W39*(1-0.34))-Pfd_weighted)/Equity_percent</f>
        <v>0.55029847131608123</v>
      </c>
      <c r="Y39" s="588">
        <f ca="1">+X39*equityP</f>
        <v>0.33017908278964875</v>
      </c>
      <c r="Z39" s="588">
        <f ca="1">+Y39/(1-taxrate)</f>
        <v>0.41794820606284649</v>
      </c>
      <c r="AA39" s="588">
        <f>debtP*Debt_Rate</f>
        <v>1.5959999999999998E-2</v>
      </c>
      <c r="AB39" s="588">
        <f ca="1">+AA39+Z39</f>
        <v>0.43390820606284647</v>
      </c>
      <c r="AC39" s="588">
        <f ca="1">+AB39/(S39/100)</f>
        <v>2.0933395658724444E-2</v>
      </c>
      <c r="AD39" s="588">
        <f ca="1">1-AC39</f>
        <v>0.97906660434127557</v>
      </c>
      <c r="AE39" s="41">
        <f ca="1">expenses/(AD39)</f>
        <v>2916494.3668737751</v>
      </c>
      <c r="AF39" s="42">
        <f ca="1">+AE39-Revenue</f>
        <v>819690.24590516859</v>
      </c>
      <c r="AG39" s="4">
        <f ca="1">+AF39/$J$49</f>
        <v>856871.56933053921</v>
      </c>
      <c r="AH39" s="4">
        <f ca="1">+AG39*$J$47</f>
        <v>19365.297466870186</v>
      </c>
      <c r="AI39" s="41">
        <f t="shared" ca="1" si="12"/>
        <v>2935859.6643400001</v>
      </c>
    </row>
    <row r="40" spans="1:46" ht="15.75">
      <c r="A40" s="557"/>
      <c r="B40" s="557"/>
      <c r="C40" s="557"/>
      <c r="D40" s="557"/>
      <c r="E40" s="557"/>
      <c r="F40" s="589">
        <f t="shared" si="6"/>
        <v>34</v>
      </c>
      <c r="G40" s="632"/>
      <c r="H40" s="568"/>
      <c r="I40" s="568"/>
      <c r="J40" s="568"/>
      <c r="K40" s="568"/>
      <c r="L40" s="568"/>
      <c r="M40" s="568"/>
      <c r="N40" s="568"/>
      <c r="O40" s="557"/>
      <c r="P40" s="557"/>
      <c r="X40" s="6"/>
      <c r="Y40" s="7"/>
      <c r="Z40" s="3"/>
      <c r="AA40" s="6"/>
      <c r="AC40" s="6"/>
      <c r="AD40" s="6"/>
      <c r="AE40" s="3"/>
      <c r="AF40" s="2"/>
      <c r="AH40" s="3"/>
    </row>
    <row r="41" spans="1:46" ht="15.75">
      <c r="A41" s="557"/>
      <c r="B41" s="557"/>
      <c r="C41" s="557"/>
      <c r="D41" s="557"/>
      <c r="E41" s="557"/>
      <c r="F41" s="589">
        <f t="shared" si="6"/>
        <v>35</v>
      </c>
      <c r="G41" s="568"/>
      <c r="H41" s="628" t="s">
        <v>61</v>
      </c>
      <c r="I41" s="634"/>
      <c r="J41" s="568"/>
      <c r="K41" s="568"/>
      <c r="L41" s="568"/>
      <c r="M41" s="568"/>
      <c r="N41" s="568"/>
      <c r="O41" s="557"/>
      <c r="P41" s="557"/>
      <c r="R41" s="741" t="s">
        <v>59</v>
      </c>
      <c r="S41" s="742"/>
      <c r="T41" s="743"/>
      <c r="U41" s="743"/>
      <c r="V41" s="744"/>
      <c r="X41" s="5"/>
      <c r="Y41" s="7"/>
      <c r="Z41" s="3"/>
      <c r="AA41" s="6"/>
      <c r="AC41" s="6"/>
      <c r="AD41" s="6"/>
      <c r="AE41" s="3"/>
      <c r="AF41" s="2"/>
      <c r="AH41" s="3"/>
    </row>
    <row r="42" spans="1:46" ht="15.75">
      <c r="A42" s="557"/>
      <c r="B42" s="557"/>
      <c r="C42" s="557"/>
      <c r="D42" s="557"/>
      <c r="E42" s="557"/>
      <c r="F42" s="589">
        <f t="shared" si="6"/>
        <v>36</v>
      </c>
      <c r="G42" s="568"/>
      <c r="H42" s="568"/>
      <c r="I42" s="568"/>
      <c r="J42" s="639" t="s">
        <v>48</v>
      </c>
      <c r="K42" s="640" t="s">
        <v>20</v>
      </c>
      <c r="L42" s="568"/>
      <c r="M42" s="568"/>
      <c r="N42" s="568"/>
      <c r="O42" s="557"/>
      <c r="P42" s="557"/>
      <c r="R42" s="641" t="s">
        <v>60</v>
      </c>
      <c r="S42" s="642"/>
      <c r="V42" s="643"/>
      <c r="X42" s="6"/>
      <c r="Y42" s="7"/>
      <c r="Z42" s="3"/>
      <c r="AA42" s="6"/>
      <c r="AC42" s="6"/>
      <c r="AD42" s="6"/>
      <c r="AE42" s="3"/>
      <c r="AH42" s="3"/>
    </row>
    <row r="43" spans="1:46" ht="15.75">
      <c r="A43" s="557"/>
      <c r="B43" s="557"/>
      <c r="C43" s="557"/>
      <c r="D43" s="557"/>
      <c r="E43" s="557"/>
      <c r="F43" s="589">
        <f t="shared" si="6"/>
        <v>37</v>
      </c>
      <c r="G43" s="568"/>
      <c r="H43" s="577" t="s">
        <v>62</v>
      </c>
      <c r="I43" s="644"/>
      <c r="J43" s="43">
        <f>IF($A$65=TRUE,C11,0)</f>
        <v>1.7500000000000002E-2</v>
      </c>
      <c r="K43" s="645">
        <f ca="1">+J43*($J$7/$J$49)</f>
        <v>14995.067419096411</v>
      </c>
      <c r="L43" s="568"/>
      <c r="M43" s="568"/>
      <c r="N43" s="568"/>
      <c r="O43" s="557"/>
      <c r="P43" s="557"/>
      <c r="R43" s="590">
        <v>0</v>
      </c>
      <c r="S43" s="646">
        <v>1</v>
      </c>
      <c r="U43" s="647" t="s">
        <v>56</v>
      </c>
      <c r="V43" s="8">
        <f ca="1">VLOOKUP(R49,R36:AE39,12)</f>
        <v>2.0933395658724444E-2</v>
      </c>
      <c r="AA43" s="6"/>
      <c r="AC43" s="6"/>
      <c r="AH43" s="3"/>
      <c r="AL43" s="6"/>
      <c r="AM43" s="6"/>
      <c r="AN43" s="6"/>
      <c r="AO43" s="6"/>
      <c r="AP43" s="6"/>
      <c r="AQ43" s="6"/>
      <c r="AR43" s="6"/>
      <c r="AS43" s="6"/>
      <c r="AT43" s="6"/>
    </row>
    <row r="44" spans="1:46" ht="15.75">
      <c r="A44" s="557"/>
      <c r="B44" s="557"/>
      <c r="C44" s="557"/>
      <c r="D44" s="557"/>
      <c r="E44" s="557"/>
      <c r="F44" s="589">
        <f t="shared" si="6"/>
        <v>38</v>
      </c>
      <c r="G44" s="568"/>
      <c r="H44" s="577" t="s">
        <v>63</v>
      </c>
      <c r="I44" s="644"/>
      <c r="J44" s="43">
        <f t="shared" ref="J44:J46" si="13">IF($A$65=TRUE,C12,0)</f>
        <v>5.1000000000000004E-3</v>
      </c>
      <c r="K44" s="645">
        <f ca="1">+J44*($J$7/$J$49)</f>
        <v>4369.9910764223823</v>
      </c>
      <c r="L44" s="568"/>
      <c r="M44" s="568"/>
      <c r="N44" s="568"/>
      <c r="O44" s="557"/>
      <c r="P44" s="557"/>
      <c r="R44" s="590">
        <v>50</v>
      </c>
      <c r="S44" s="646">
        <v>2</v>
      </c>
      <c r="U44" s="647" t="s">
        <v>31</v>
      </c>
      <c r="V44" s="8">
        <f ca="1">ROUND(1-V43,5)</f>
        <v>0.97907</v>
      </c>
      <c r="Y44" s="16"/>
      <c r="Z44" s="570"/>
      <c r="AA44" s="570"/>
      <c r="AC44" s="6"/>
      <c r="AF44" s="2"/>
      <c r="AH44" s="3"/>
      <c r="AL44" s="6"/>
      <c r="AM44" s="6"/>
      <c r="AN44" s="6"/>
      <c r="AO44" s="6"/>
      <c r="AP44" s="6"/>
      <c r="AQ44" s="6"/>
      <c r="AR44" s="6"/>
      <c r="AS44" s="6"/>
      <c r="AT44" s="6"/>
    </row>
    <row r="45" spans="1:46" ht="15.75">
      <c r="A45" s="557"/>
      <c r="B45" s="557"/>
      <c r="C45" s="557"/>
      <c r="D45" s="557"/>
      <c r="E45" s="557"/>
      <c r="F45" s="589">
        <f t="shared" si="6"/>
        <v>39</v>
      </c>
      <c r="G45" s="568"/>
      <c r="H45" s="577" t="s">
        <v>66</v>
      </c>
      <c r="I45" s="644"/>
      <c r="J45" s="43">
        <f t="shared" si="13"/>
        <v>0</v>
      </c>
      <c r="K45" s="645">
        <f ca="1">+J45*($J$7/$J$49)</f>
        <v>0</v>
      </c>
      <c r="L45" s="568"/>
      <c r="M45" s="568"/>
      <c r="N45" s="568"/>
      <c r="O45" s="557"/>
      <c r="P45" s="557"/>
      <c r="R45" s="590">
        <v>125</v>
      </c>
      <c r="S45" s="646">
        <v>3</v>
      </c>
      <c r="U45" s="67" t="s">
        <v>107</v>
      </c>
      <c r="V45" s="57">
        <f ca="1">+M7/Revenue-1</f>
        <v>0.40015430191156809</v>
      </c>
      <c r="W45" s="4"/>
      <c r="X45" s="6"/>
      <c r="Y45" s="16"/>
      <c r="Z45" s="3"/>
      <c r="AA45" s="6"/>
      <c r="AC45" s="6"/>
      <c r="AD45" s="6"/>
      <c r="AE45" s="3"/>
      <c r="AF45" s="2"/>
      <c r="AH45" s="3"/>
      <c r="AL45" s="6"/>
      <c r="AM45" s="6"/>
      <c r="AN45" s="6"/>
      <c r="AO45" s="6"/>
      <c r="AP45" s="6"/>
      <c r="AQ45" s="6"/>
      <c r="AR45" s="6"/>
      <c r="AS45" s="6"/>
      <c r="AT45" s="6"/>
    </row>
    <row r="46" spans="1:46" ht="15.75">
      <c r="A46" s="557"/>
      <c r="B46" s="557"/>
      <c r="C46" s="557"/>
      <c r="D46" s="557"/>
      <c r="E46" s="557"/>
      <c r="F46" s="589">
        <f t="shared" si="6"/>
        <v>40</v>
      </c>
      <c r="G46" s="568"/>
      <c r="H46" s="577" t="s">
        <v>69</v>
      </c>
      <c r="I46" s="644"/>
      <c r="J46" s="43">
        <f t="shared" si="13"/>
        <v>0</v>
      </c>
      <c r="K46" s="645">
        <f ca="1">+J46*($J$7/$J$49)</f>
        <v>0</v>
      </c>
      <c r="L46" s="568"/>
      <c r="M46" s="568"/>
      <c r="N46" s="568"/>
      <c r="O46" s="557"/>
      <c r="P46" s="557"/>
      <c r="R46" s="593">
        <v>401</v>
      </c>
      <c r="S46" s="648">
        <v>4</v>
      </c>
      <c r="T46" s="649"/>
      <c r="U46" s="649"/>
      <c r="V46" s="650"/>
      <c r="X46" s="6"/>
      <c r="Y46" s="7"/>
      <c r="Z46" s="3"/>
      <c r="AA46" s="6"/>
      <c r="AC46" s="6"/>
      <c r="AD46" s="6"/>
      <c r="AE46" s="3"/>
      <c r="AF46" s="2"/>
      <c r="AH46" s="3"/>
      <c r="AL46" s="6"/>
      <c r="AM46" s="6"/>
      <c r="AN46" s="6"/>
      <c r="AO46" s="6"/>
      <c r="AP46" s="6"/>
      <c r="AQ46" s="6"/>
      <c r="AR46" s="6"/>
      <c r="AS46" s="6"/>
      <c r="AT46" s="6"/>
    </row>
    <row r="47" spans="1:46" ht="16.5" thickBot="1">
      <c r="A47" s="557"/>
      <c r="B47" s="557"/>
      <c r="C47" s="557"/>
      <c r="D47" s="557"/>
      <c r="E47" s="557"/>
      <c r="F47" s="589">
        <f t="shared" si="6"/>
        <v>41</v>
      </c>
      <c r="G47" s="568"/>
      <c r="H47" s="577" t="s">
        <v>71</v>
      </c>
      <c r="I47" s="632"/>
      <c r="J47" s="50">
        <f>SUM(J43:J46)</f>
        <v>2.2600000000000002E-2</v>
      </c>
      <c r="K47" s="49">
        <f ca="1">+K43+K44+K45+K46</f>
        <v>19365.058495518795</v>
      </c>
      <c r="L47" s="568"/>
      <c r="M47" s="568"/>
      <c r="N47" s="568"/>
      <c r="O47" s="557"/>
      <c r="P47" s="557"/>
      <c r="R47" s="590"/>
      <c r="S47" s="570"/>
      <c r="X47" s="6"/>
      <c r="Y47" s="7"/>
      <c r="Z47" s="3"/>
      <c r="AA47" s="6"/>
      <c r="AC47" s="6"/>
      <c r="AD47" s="6"/>
      <c r="AE47" s="3"/>
      <c r="AF47" s="2"/>
      <c r="AH47" s="3"/>
      <c r="AL47" s="6"/>
      <c r="AM47" s="6"/>
      <c r="AN47" s="6"/>
      <c r="AO47" s="6"/>
      <c r="AP47" s="6"/>
      <c r="AQ47" s="6"/>
      <c r="AR47" s="6"/>
      <c r="AS47" s="6"/>
      <c r="AT47" s="6"/>
    </row>
    <row r="48" spans="1:46" ht="16.5" thickTop="1">
      <c r="A48" s="557"/>
      <c r="B48" s="557"/>
      <c r="C48" s="557"/>
      <c r="D48" s="557"/>
      <c r="E48" s="557"/>
      <c r="F48" s="589">
        <f t="shared" si="6"/>
        <v>42</v>
      </c>
      <c r="G48" s="568"/>
      <c r="H48" s="577"/>
      <c r="I48" s="632"/>
      <c r="J48" s="43"/>
      <c r="K48" s="20"/>
      <c r="L48" s="568"/>
      <c r="M48" s="568"/>
      <c r="N48" s="568"/>
      <c r="O48" s="557"/>
      <c r="P48" s="557"/>
      <c r="R48" s="745">
        <f ca="1">VLOOKUP(R49,R36:S39,2)</f>
        <v>2072.8037301583504</v>
      </c>
      <c r="S48" s="746" t="s">
        <v>64</v>
      </c>
      <c r="T48" s="744"/>
      <c r="V48" s="743"/>
      <c r="X48" s="67" t="s">
        <v>65</v>
      </c>
      <c r="AC48" s="6"/>
      <c r="AF48" s="2"/>
      <c r="AH48" s="3"/>
    </row>
    <row r="49" spans="1:46" ht="15.75">
      <c r="A49" s="557"/>
      <c r="B49" s="557"/>
      <c r="C49" s="557"/>
      <c r="D49" s="557"/>
      <c r="E49" s="557"/>
      <c r="F49" s="589">
        <f t="shared" si="6"/>
        <v>43</v>
      </c>
      <c r="G49" s="572"/>
      <c r="H49" s="577" t="s">
        <v>73</v>
      </c>
      <c r="I49" s="568"/>
      <c r="J49" s="24">
        <f ca="1">((K35)-J47)</f>
        <v>0.9566080556804798</v>
      </c>
      <c r="K49" s="568"/>
      <c r="L49" s="568"/>
      <c r="M49" s="568"/>
      <c r="N49" s="568"/>
      <c r="O49" s="557"/>
      <c r="P49" s="557"/>
      <c r="R49" s="590">
        <f ca="1">VLOOKUP(S36,R43:S46,2)</f>
        <v>4</v>
      </c>
      <c r="S49" s="653" t="s">
        <v>67</v>
      </c>
      <c r="T49" s="643"/>
      <c r="X49" s="67" t="s">
        <v>68</v>
      </c>
      <c r="AA49" s="570"/>
      <c r="AC49" s="6"/>
      <c r="AH49" s="3"/>
    </row>
    <row r="50" spans="1:46">
      <c r="A50" s="557"/>
      <c r="B50" s="557"/>
      <c r="C50" s="557"/>
      <c r="D50" s="557"/>
      <c r="E50" s="557"/>
      <c r="F50" s="557"/>
      <c r="G50" s="557"/>
      <c r="H50" s="557"/>
      <c r="I50" s="557"/>
      <c r="J50" s="557"/>
      <c r="K50" s="654"/>
      <c r="L50" s="557"/>
      <c r="M50" s="557"/>
      <c r="N50" s="11"/>
      <c r="O50" s="557"/>
      <c r="P50" s="557"/>
      <c r="R50" s="590"/>
      <c r="T50" s="643"/>
      <c r="X50" s="67" t="s">
        <v>70</v>
      </c>
      <c r="AA50" s="6"/>
      <c r="AC50" s="6"/>
      <c r="AD50" s="6"/>
      <c r="AE50" s="3"/>
      <c r="AH50" s="3"/>
    </row>
    <row r="51" spans="1:46">
      <c r="A51" s="557"/>
      <c r="B51" s="557"/>
      <c r="C51" s="557"/>
      <c r="D51" s="557"/>
      <c r="E51" s="557"/>
      <c r="F51" s="557"/>
      <c r="G51" s="557"/>
      <c r="H51" s="557"/>
      <c r="I51" s="557"/>
      <c r="J51" s="557"/>
      <c r="K51" s="654"/>
      <c r="L51" s="557"/>
      <c r="M51" s="557"/>
      <c r="N51" s="11"/>
      <c r="O51" s="557"/>
      <c r="P51" s="557"/>
      <c r="R51" s="655">
        <f ca="1">+V44</f>
        <v>0.97907</v>
      </c>
      <c r="S51" s="649" t="s">
        <v>31</v>
      </c>
      <c r="T51" s="656"/>
      <c r="X51" s="67" t="s">
        <v>72</v>
      </c>
      <c r="AA51" s="6"/>
      <c r="AC51" s="6"/>
      <c r="AD51" s="6"/>
      <c r="AE51" s="3"/>
      <c r="AF51" s="6"/>
      <c r="AH51" s="3"/>
      <c r="AL51" s="6"/>
      <c r="AM51" s="6"/>
      <c r="AN51" s="6"/>
      <c r="AO51" s="6"/>
      <c r="AP51" s="6"/>
      <c r="AQ51" s="6"/>
      <c r="AR51" s="6"/>
      <c r="AS51" s="6"/>
      <c r="AT51" s="6"/>
    </row>
    <row r="52" spans="1:46">
      <c r="A52" s="557"/>
      <c r="B52" s="557"/>
      <c r="C52" s="557"/>
      <c r="D52" s="557"/>
      <c r="E52" s="557"/>
      <c r="F52" s="557"/>
      <c r="G52" s="557"/>
      <c r="H52" s="557"/>
      <c r="I52" s="557"/>
      <c r="J52" s="557"/>
      <c r="K52" s="557"/>
      <c r="L52" s="557"/>
      <c r="M52" s="557"/>
      <c r="N52" s="557"/>
      <c r="O52" s="557"/>
      <c r="P52" s="557"/>
      <c r="Z52" s="3"/>
      <c r="AA52" s="6"/>
      <c r="AC52" s="6"/>
      <c r="AD52" s="6"/>
      <c r="AE52" s="3"/>
      <c r="AF52" s="2"/>
      <c r="AH52" s="3"/>
      <c r="AL52" s="6"/>
      <c r="AM52" s="6"/>
      <c r="AN52" s="6"/>
      <c r="AO52" s="6"/>
      <c r="AP52" s="6"/>
      <c r="AQ52" s="6"/>
      <c r="AR52" s="6"/>
      <c r="AS52" s="6"/>
      <c r="AT52" s="6"/>
    </row>
    <row r="53" spans="1:46">
      <c r="A53" s="557"/>
      <c r="B53" s="557"/>
      <c r="C53" s="557"/>
      <c r="D53" s="557"/>
      <c r="E53" s="557"/>
      <c r="F53" s="557"/>
      <c r="G53" s="557"/>
      <c r="H53" s="557"/>
      <c r="I53" s="557"/>
      <c r="J53" s="657"/>
      <c r="K53" s="657"/>
      <c r="L53" s="657"/>
      <c r="M53" s="657"/>
      <c r="N53" s="557"/>
      <c r="O53" s="557"/>
      <c r="P53" s="557"/>
      <c r="R53" s="67"/>
      <c r="Z53" s="3"/>
      <c r="AA53" s="6"/>
      <c r="AC53" s="6"/>
      <c r="AD53" s="6"/>
      <c r="AE53" s="3"/>
      <c r="AF53" s="2"/>
      <c r="AH53" s="3"/>
      <c r="AL53" s="6"/>
      <c r="AM53" s="6"/>
      <c r="AN53" s="6"/>
      <c r="AO53" s="6"/>
      <c r="AP53" s="6"/>
      <c r="AQ53" s="6"/>
      <c r="AR53" s="6"/>
      <c r="AS53" s="6"/>
      <c r="AT53" s="6"/>
    </row>
    <row r="54" spans="1:46" ht="15.75">
      <c r="A54" s="557"/>
      <c r="B54" s="557"/>
      <c r="C54" s="557"/>
      <c r="D54" s="557"/>
      <c r="E54" s="557"/>
      <c r="F54" s="557"/>
      <c r="G54" s="557"/>
      <c r="H54" s="557"/>
      <c r="I54" s="557"/>
      <c r="J54" s="557"/>
      <c r="K54" s="657"/>
      <c r="L54" s="657"/>
      <c r="M54" s="657"/>
      <c r="N54" s="557"/>
      <c r="O54" s="557"/>
      <c r="P54" s="557"/>
      <c r="R54" s="67"/>
      <c r="S54" s="67" t="s">
        <v>74</v>
      </c>
      <c r="T54" s="6"/>
      <c r="U54" s="9"/>
      <c r="W54" s="658" t="s">
        <v>75</v>
      </c>
      <c r="X54" s="659"/>
      <c r="Y54" s="659"/>
      <c r="Z54" s="659"/>
      <c r="AC54" s="6"/>
      <c r="AF54" s="2"/>
      <c r="AH54" s="3"/>
      <c r="AL54" s="6"/>
      <c r="AM54" s="6"/>
      <c r="AN54" s="6"/>
      <c r="AO54" s="6"/>
      <c r="AP54" s="6"/>
      <c r="AQ54" s="6"/>
      <c r="AR54" s="6"/>
      <c r="AS54" s="6"/>
      <c r="AT54" s="6"/>
    </row>
    <row r="55" spans="1:46">
      <c r="A55" s="557"/>
      <c r="B55" s="557"/>
      <c r="C55" s="557"/>
      <c r="D55" s="557"/>
      <c r="E55" s="557"/>
      <c r="F55" s="557"/>
      <c r="G55" s="557"/>
      <c r="H55" s="557"/>
      <c r="I55" s="557"/>
      <c r="J55" s="557"/>
      <c r="K55" s="557"/>
      <c r="L55" s="660"/>
      <c r="M55" s="660"/>
      <c r="N55" s="557"/>
      <c r="O55" s="557"/>
      <c r="P55" s="557"/>
      <c r="R55" s="747"/>
      <c r="S55" s="748" t="s">
        <v>46</v>
      </c>
      <c r="T55" s="748" t="s">
        <v>76</v>
      </c>
      <c r="U55" s="749" t="s">
        <v>49</v>
      </c>
      <c r="W55" s="750" t="s">
        <v>77</v>
      </c>
      <c r="X55" s="751">
        <v>5.7225999999999999</v>
      </c>
      <c r="Y55" s="752" t="s">
        <v>78</v>
      </c>
      <c r="Z55" s="753">
        <v>5.6985000000000001</v>
      </c>
      <c r="AA55" s="570"/>
      <c r="AC55" s="6"/>
      <c r="AH55" s="3"/>
    </row>
    <row r="56" spans="1:46">
      <c r="A56" s="557"/>
      <c r="B56" s="557"/>
      <c r="C56" s="557"/>
      <c r="D56" s="557"/>
      <c r="E56" s="557"/>
      <c r="F56" s="557"/>
      <c r="G56" s="557"/>
      <c r="H56" s="557"/>
      <c r="I56" s="557"/>
      <c r="J56" s="660"/>
      <c r="K56" s="557"/>
      <c r="L56" s="660"/>
      <c r="M56" s="660"/>
      <c r="N56" s="557"/>
      <c r="O56" s="557"/>
      <c r="P56" s="557"/>
      <c r="R56" s="563" t="s">
        <v>29</v>
      </c>
      <c r="S56" s="668">
        <v>0.56200000000000006</v>
      </c>
      <c r="T56" s="668">
        <v>6.3799999999999996E-2</v>
      </c>
      <c r="U56" s="8">
        <f>ROUND(+S56*T56,5)</f>
        <v>3.5860000000000003E-2</v>
      </c>
      <c r="W56" s="669" t="s">
        <v>79</v>
      </c>
      <c r="X56" s="670">
        <v>5.7082699999999997</v>
      </c>
      <c r="Y56" s="671" t="s">
        <v>80</v>
      </c>
      <c r="Z56" s="17">
        <v>5.6921999999999997</v>
      </c>
      <c r="AA56" s="6"/>
      <c r="AC56" s="6"/>
      <c r="AD56" s="6"/>
      <c r="AE56" s="3"/>
      <c r="AH56" s="3"/>
    </row>
    <row r="57" spans="1:46">
      <c r="A57" s="557"/>
      <c r="B57" s="557"/>
      <c r="C57" s="557"/>
      <c r="D57" s="557"/>
      <c r="E57" s="657"/>
      <c r="F57" s="557"/>
      <c r="G57" s="557"/>
      <c r="H57" s="557"/>
      <c r="I57" s="557"/>
      <c r="J57" s="660"/>
      <c r="K57" s="557"/>
      <c r="L57" s="660"/>
      <c r="M57" s="660"/>
      <c r="N57" s="557"/>
      <c r="O57" s="557"/>
      <c r="P57" s="557"/>
      <c r="R57" s="563" t="s">
        <v>81</v>
      </c>
      <c r="S57" s="668">
        <v>9.4E-2</v>
      </c>
      <c r="T57" s="668">
        <v>6.59E-2</v>
      </c>
      <c r="U57" s="8">
        <f>ROUND(+S57*T57,5)</f>
        <v>6.1900000000000002E-3</v>
      </c>
      <c r="W57" s="563"/>
      <c r="Y57" s="672"/>
      <c r="Z57" s="14"/>
      <c r="AA57" s="6"/>
      <c r="AC57" s="6"/>
      <c r="AD57" s="6"/>
      <c r="AE57" s="3"/>
      <c r="AF57" s="2"/>
      <c r="AH57" s="3"/>
      <c r="AL57" s="6"/>
    </row>
    <row r="58" spans="1:46" ht="15.75">
      <c r="A58" s="557"/>
      <c r="B58" s="557"/>
      <c r="C58" s="557"/>
      <c r="D58" s="557"/>
      <c r="E58" s="657"/>
      <c r="F58" s="657"/>
      <c r="G58" s="657"/>
      <c r="H58" s="673"/>
      <c r="I58" s="657"/>
      <c r="J58" s="660"/>
      <c r="K58" s="557"/>
      <c r="L58" s="557"/>
      <c r="M58" s="557"/>
      <c r="N58" s="557"/>
      <c r="O58" s="557"/>
      <c r="P58" s="557"/>
      <c r="R58" s="563" t="s">
        <v>27</v>
      </c>
      <c r="S58" s="56">
        <v>0.34399999999999997</v>
      </c>
      <c r="T58" s="674"/>
      <c r="U58" s="31"/>
      <c r="W58" s="675"/>
      <c r="X58" s="676" t="s">
        <v>82</v>
      </c>
      <c r="Y58" s="18">
        <v>0.68367</v>
      </c>
      <c r="Z58" s="15"/>
      <c r="AA58" s="6"/>
      <c r="AC58" s="6"/>
      <c r="AD58" s="6"/>
      <c r="AE58" s="3"/>
      <c r="AF58" s="2"/>
      <c r="AH58" s="3"/>
    </row>
    <row r="59" spans="1:46" ht="15.75">
      <c r="A59" s="557"/>
      <c r="B59" s="557"/>
      <c r="C59" s="557"/>
      <c r="D59" s="557"/>
      <c r="E59" s="557"/>
      <c r="F59" s="557"/>
      <c r="G59" s="557"/>
      <c r="H59" s="557"/>
      <c r="I59" s="557"/>
      <c r="J59" s="557"/>
      <c r="K59" s="557"/>
      <c r="L59" s="557"/>
      <c r="M59" s="557"/>
      <c r="N59" s="557"/>
      <c r="O59" s="557"/>
      <c r="P59" s="557"/>
      <c r="R59" s="675"/>
      <c r="S59" s="56">
        <f>SUM(S56:S58)</f>
        <v>1</v>
      </c>
      <c r="T59" s="32"/>
      <c r="U59" s="33"/>
      <c r="X59" s="6"/>
      <c r="Y59" s="7"/>
      <c r="Z59" s="3"/>
      <c r="AA59" s="6"/>
      <c r="AC59" s="6"/>
      <c r="AD59" s="6"/>
      <c r="AE59" s="3"/>
      <c r="AF59" s="2"/>
      <c r="AH59" s="3"/>
    </row>
    <row r="60" spans="1:46">
      <c r="A60" s="557"/>
      <c r="B60" s="557"/>
      <c r="C60" s="557"/>
      <c r="D60" s="557"/>
      <c r="E60" s="557"/>
      <c r="F60" s="557"/>
      <c r="G60" s="557"/>
      <c r="H60" s="557"/>
      <c r="I60" s="557"/>
      <c r="J60" s="557"/>
      <c r="K60" s="557"/>
      <c r="L60" s="557"/>
      <c r="M60" s="557"/>
      <c r="N60" s="557"/>
      <c r="O60" s="557"/>
      <c r="P60" s="557"/>
      <c r="X60" s="13"/>
      <c r="AC60" s="6"/>
      <c r="AF60" s="2"/>
      <c r="AH60" s="3"/>
      <c r="AL60" s="2"/>
      <c r="AM60" s="2"/>
      <c r="AN60" s="2"/>
      <c r="AO60" s="2"/>
      <c r="AP60" s="2"/>
      <c r="AQ60" s="2"/>
      <c r="AR60" s="2"/>
      <c r="AS60" s="2"/>
      <c r="AT60" s="2"/>
    </row>
    <row r="61" spans="1:46">
      <c r="A61" s="557"/>
      <c r="B61" s="557"/>
      <c r="C61" s="557"/>
      <c r="D61" s="557"/>
      <c r="E61" s="657"/>
      <c r="F61" s="557"/>
      <c r="G61" s="557"/>
      <c r="H61" s="557"/>
      <c r="I61" s="557"/>
      <c r="J61" s="557"/>
      <c r="K61" s="557"/>
      <c r="L61" s="557"/>
      <c r="M61" s="557"/>
      <c r="N61" s="557"/>
      <c r="O61" s="557"/>
      <c r="P61" s="557"/>
      <c r="W61" s="747" t="s">
        <v>51</v>
      </c>
      <c r="X61" s="754"/>
      <c r="Y61" s="743" t="s">
        <v>52</v>
      </c>
      <c r="Z61" s="744" t="s">
        <v>17</v>
      </c>
      <c r="AC61" s="6"/>
      <c r="AH61" s="3"/>
      <c r="AL61" s="2"/>
      <c r="AM61" s="2"/>
      <c r="AN61" s="2"/>
      <c r="AO61" s="2"/>
      <c r="AP61" s="2"/>
      <c r="AQ61" s="2"/>
      <c r="AR61" s="2"/>
      <c r="AS61" s="2"/>
      <c r="AT61" s="2"/>
    </row>
    <row r="62" spans="1:46">
      <c r="A62" s="557"/>
      <c r="B62" s="557"/>
      <c r="C62" s="557"/>
      <c r="D62" s="557"/>
      <c r="E62" s="557"/>
      <c r="F62" s="657"/>
      <c r="G62" s="657"/>
      <c r="H62" s="657"/>
      <c r="I62" s="657"/>
      <c r="J62" s="657"/>
      <c r="K62" s="657"/>
      <c r="L62" s="657"/>
      <c r="M62" s="657"/>
      <c r="N62" s="657"/>
      <c r="O62" s="557"/>
      <c r="P62" s="557"/>
      <c r="W62" s="678"/>
      <c r="X62" s="679"/>
      <c r="Y62" s="679"/>
      <c r="Z62" s="680"/>
      <c r="AC62" s="6"/>
      <c r="AD62" s="6"/>
      <c r="AE62" s="3"/>
      <c r="AH62" s="3"/>
      <c r="AL62" s="2"/>
      <c r="AM62" s="2"/>
      <c r="AN62" s="2"/>
      <c r="AO62" s="2"/>
      <c r="AP62" s="2"/>
      <c r="AQ62" s="2"/>
      <c r="AR62" s="2"/>
      <c r="AS62" s="2"/>
      <c r="AT62" s="2"/>
    </row>
    <row r="63" spans="1:46">
      <c r="A63" s="557"/>
      <c r="B63" s="557"/>
      <c r="C63" s="557"/>
      <c r="D63" s="557"/>
      <c r="E63" s="557"/>
      <c r="F63" s="557"/>
      <c r="G63" s="557"/>
      <c r="H63" s="557"/>
      <c r="I63" s="557"/>
      <c r="J63" s="557"/>
      <c r="K63" s="557"/>
      <c r="L63" s="557"/>
      <c r="M63" s="557"/>
      <c r="N63" s="557"/>
      <c r="O63" s="557"/>
      <c r="P63" s="557"/>
      <c r="W63" s="563" t="s">
        <v>54</v>
      </c>
      <c r="X63" s="679"/>
      <c r="Y63" s="8">
        <f t="shared" ref="Y63:Z68" ca="1" si="14">+J33</f>
        <v>0.43097467747528395</v>
      </c>
      <c r="Z63" s="8">
        <f ca="1">+K33</f>
        <v>0.34382159520547434</v>
      </c>
      <c r="AC63" s="6"/>
      <c r="AD63" s="6"/>
      <c r="AE63" s="3"/>
      <c r="AF63" s="2"/>
      <c r="AH63" s="3"/>
      <c r="AL63" s="2"/>
      <c r="AM63" s="2"/>
      <c r="AN63" s="2"/>
      <c r="AO63" s="2"/>
      <c r="AP63" s="2"/>
      <c r="AQ63" s="2"/>
      <c r="AR63" s="2"/>
      <c r="AS63" s="2"/>
      <c r="AT63" s="2"/>
    </row>
    <row r="64" spans="1:46">
      <c r="A64" s="557"/>
      <c r="B64" s="557"/>
      <c r="C64" s="557"/>
      <c r="D64" s="557"/>
      <c r="E64" s="557"/>
      <c r="F64" s="557"/>
      <c r="G64" s="557"/>
      <c r="H64" s="557"/>
      <c r="I64" s="557"/>
      <c r="J64" s="557"/>
      <c r="K64" s="557"/>
      <c r="L64" s="557"/>
      <c r="M64" s="557"/>
      <c r="N64" s="557"/>
      <c r="O64" s="557"/>
      <c r="P64" s="557"/>
      <c r="W64" s="563" t="s">
        <v>55</v>
      </c>
      <c r="X64" s="679"/>
      <c r="Y64" s="8">
        <f t="shared" ca="1" si="14"/>
        <v>0.69169112912547326</v>
      </c>
      <c r="Z64" s="8">
        <f t="shared" ca="1" si="14"/>
        <v>0.54643599200912385</v>
      </c>
      <c r="AC64" s="6"/>
      <c r="AD64" s="6"/>
      <c r="AE64" s="3"/>
      <c r="AF64" s="2"/>
      <c r="AH64" s="3"/>
    </row>
    <row r="65" spans="1:38">
      <c r="A65" s="67" t="b">
        <v>1</v>
      </c>
      <c r="F65" s="557"/>
      <c r="G65" s="557"/>
      <c r="H65" s="557"/>
      <c r="I65" s="557"/>
      <c r="J65" s="557"/>
      <c r="K65" s="557"/>
      <c r="L65" s="557"/>
      <c r="M65" s="557"/>
      <c r="N65" s="557"/>
      <c r="W65" s="563" t="s">
        <v>31</v>
      </c>
      <c r="X65" s="679"/>
      <c r="Y65" s="8">
        <f t="shared" ca="1" si="14"/>
        <v>0.97907</v>
      </c>
      <c r="Z65" s="8">
        <f t="shared" ca="1" si="14"/>
        <v>0.97920805568047975</v>
      </c>
      <c r="AC65" s="6"/>
      <c r="AD65" s="6"/>
      <c r="AE65" s="3"/>
      <c r="AF65" s="2"/>
      <c r="AH65" s="3"/>
    </row>
    <row r="66" spans="1:38">
      <c r="H66" s="2"/>
      <c r="I66" s="2"/>
      <c r="J66" s="2"/>
      <c r="K66" s="2"/>
      <c r="L66" s="2"/>
      <c r="M66" s="2"/>
      <c r="N66" s="2"/>
      <c r="O66" s="2"/>
      <c r="W66" s="563" t="s">
        <v>56</v>
      </c>
      <c r="X66" s="679"/>
      <c r="Y66" s="8">
        <f t="shared" ca="1" si="14"/>
        <v>2.0929999999999994E-2</v>
      </c>
      <c r="Z66" s="8">
        <f t="shared" ca="1" si="14"/>
        <v>2.0929999999999994E-2</v>
      </c>
      <c r="AC66" s="6"/>
      <c r="AF66" s="2"/>
      <c r="AH66" s="3"/>
      <c r="AL66" s="2"/>
    </row>
    <row r="67" spans="1:38">
      <c r="H67" s="2"/>
      <c r="I67" s="2"/>
      <c r="J67" s="2"/>
      <c r="K67" s="2"/>
      <c r="L67" s="2"/>
      <c r="M67" s="2"/>
      <c r="N67" s="2"/>
      <c r="O67" s="2"/>
      <c r="W67" s="563" t="s">
        <v>57</v>
      </c>
      <c r="X67" s="682"/>
      <c r="Y67" s="8">
        <f t="shared" ca="1" si="14"/>
        <v>20.728037301583505</v>
      </c>
      <c r="Z67" s="8">
        <f t="shared" ca="1" si="14"/>
        <v>20.728037301583505</v>
      </c>
      <c r="AC67" s="6"/>
      <c r="AH67" s="3"/>
    </row>
    <row r="68" spans="1:38">
      <c r="O68" s="2"/>
      <c r="W68" s="563" t="s">
        <v>58</v>
      </c>
      <c r="X68" s="579"/>
      <c r="Y68" s="8">
        <f t="shared" si="14"/>
        <v>0.21</v>
      </c>
      <c r="Z68" s="8">
        <f t="shared" si="14"/>
        <v>0.21</v>
      </c>
      <c r="AC68" s="6"/>
      <c r="AD68" s="6"/>
      <c r="AE68" s="3"/>
      <c r="AH68" s="3"/>
    </row>
    <row r="69" spans="1:38" ht="15.75">
      <c r="O69" s="2"/>
      <c r="W69" s="563"/>
      <c r="Y69" s="674"/>
      <c r="Z69" s="52"/>
      <c r="AC69" s="6"/>
      <c r="AD69" s="6"/>
      <c r="AE69" s="3"/>
      <c r="AF69" s="2"/>
      <c r="AH69" s="3"/>
    </row>
    <row r="70" spans="1:38">
      <c r="O70" s="2"/>
      <c r="W70" s="675"/>
      <c r="X70" s="53"/>
      <c r="Y70" s="54"/>
      <c r="Z70" s="55"/>
      <c r="AA70" s="6"/>
      <c r="AC70" s="6"/>
      <c r="AD70" s="6"/>
      <c r="AE70" s="3"/>
      <c r="AF70" s="2"/>
      <c r="AH70" s="3"/>
    </row>
    <row r="71" spans="1:38">
      <c r="X71" s="6"/>
      <c r="Y71" s="7"/>
      <c r="Z71" s="3"/>
      <c r="AA71" s="6"/>
      <c r="AC71" s="6"/>
      <c r="AD71" s="6"/>
      <c r="AE71" s="3"/>
      <c r="AF71" s="2"/>
      <c r="AH71" s="3"/>
    </row>
    <row r="72" spans="1:38">
      <c r="AC72" s="6"/>
      <c r="AF72" s="2"/>
      <c r="AH72" s="3"/>
    </row>
    <row r="73" spans="1:38">
      <c r="Y73" s="570"/>
      <c r="Z73" s="570"/>
      <c r="AA73" s="570"/>
      <c r="AC73" s="6"/>
      <c r="AH73" s="3"/>
    </row>
    <row r="74" spans="1:38">
      <c r="X74" s="6"/>
      <c r="Y74" s="7"/>
      <c r="Z74" s="3"/>
      <c r="AA74" s="6"/>
      <c r="AC74" s="6"/>
      <c r="AD74" s="6"/>
      <c r="AE74" s="3"/>
      <c r="AH74" s="3"/>
    </row>
    <row r="75" spans="1:38">
      <c r="X75" s="6"/>
      <c r="Y75" s="7"/>
      <c r="Z75" s="3"/>
      <c r="AA75" s="6"/>
      <c r="AC75" s="6"/>
      <c r="AD75" s="6"/>
      <c r="AE75" s="3"/>
      <c r="AF75" s="2"/>
      <c r="AH75" s="3"/>
    </row>
    <row r="76" spans="1:38">
      <c r="X76" s="6"/>
      <c r="Y76" s="7"/>
      <c r="Z76" s="3"/>
      <c r="AA76" s="6"/>
      <c r="AC76" s="6"/>
      <c r="AD76" s="6"/>
      <c r="AE76" s="3"/>
      <c r="AF76" s="2"/>
      <c r="AH76" s="3"/>
    </row>
    <row r="77" spans="1:38">
      <c r="X77" s="6"/>
      <c r="Y77" s="7"/>
      <c r="Z77" s="3"/>
      <c r="AA77" s="6"/>
      <c r="AC77" s="6"/>
      <c r="AD77" s="6"/>
      <c r="AE77" s="3"/>
      <c r="AF77" s="2"/>
      <c r="AH77" s="3"/>
    </row>
    <row r="78" spans="1:38">
      <c r="AC78" s="6"/>
      <c r="AF78" s="2"/>
      <c r="AH78" s="3"/>
    </row>
    <row r="80" spans="1:38">
      <c r="X80" s="6"/>
      <c r="Y80" s="7"/>
      <c r="Z80" s="3"/>
      <c r="AA80" s="6"/>
      <c r="AD80" s="6"/>
      <c r="AE80" s="3"/>
    </row>
    <row r="81" spans="24:32">
      <c r="X81" s="6"/>
      <c r="Y81" s="7"/>
      <c r="Z81" s="3"/>
      <c r="AA81" s="6"/>
      <c r="AD81" s="6"/>
      <c r="AE81" s="3"/>
      <c r="AF81" s="2"/>
    </row>
    <row r="82" spans="24:32">
      <c r="X82" s="6"/>
      <c r="Y82" s="7"/>
      <c r="Z82" s="3"/>
      <c r="AA82" s="6"/>
      <c r="AD82" s="6"/>
      <c r="AE82" s="3"/>
      <c r="AF82" s="2"/>
    </row>
    <row r="83" spans="24:32">
      <c r="X83" s="6"/>
      <c r="Y83" s="7"/>
      <c r="Z83" s="3"/>
      <c r="AA83" s="6"/>
      <c r="AD83" s="6"/>
      <c r="AE83" s="3"/>
      <c r="AF83" s="2"/>
    </row>
    <row r="84" spans="24:32">
      <c r="AF84" s="2"/>
    </row>
    <row r="86" spans="24:32">
      <c r="X86" s="6"/>
      <c r="Y86" s="7"/>
      <c r="Z86" s="3"/>
      <c r="AA86" s="6"/>
      <c r="AD86" s="6"/>
      <c r="AE86" s="3"/>
    </row>
    <row r="87" spans="24:32">
      <c r="X87" s="6"/>
      <c r="Y87" s="7"/>
      <c r="Z87" s="3"/>
      <c r="AA87" s="6"/>
      <c r="AD87" s="6"/>
      <c r="AE87" s="3"/>
      <c r="AF87" s="2"/>
    </row>
    <row r="88" spans="24:32">
      <c r="X88" s="6"/>
      <c r="Y88" s="7"/>
      <c r="Z88" s="3"/>
      <c r="AA88" s="6"/>
      <c r="AD88" s="6"/>
      <c r="AE88" s="3"/>
      <c r="AF88" s="2"/>
    </row>
    <row r="89" spans="24:32">
      <c r="X89" s="6"/>
      <c r="Y89" s="7"/>
      <c r="Z89" s="3"/>
      <c r="AA89" s="6"/>
      <c r="AD89" s="6"/>
      <c r="AE89" s="3"/>
      <c r="AF89" s="2"/>
    </row>
    <row r="90" spans="24:32">
      <c r="AF90" s="2"/>
    </row>
    <row r="92" spans="24:32">
      <c r="X92" s="6"/>
      <c r="Y92" s="7"/>
      <c r="Z92" s="3"/>
      <c r="AA92" s="6"/>
      <c r="AD92" s="6"/>
      <c r="AE92" s="3"/>
    </row>
    <row r="93" spans="24:32">
      <c r="X93" s="6"/>
      <c r="Y93" s="7"/>
      <c r="Z93" s="3"/>
      <c r="AA93" s="6"/>
      <c r="AD93" s="6"/>
      <c r="AE93" s="3"/>
      <c r="AF93" s="2"/>
    </row>
    <row r="94" spans="24:32">
      <c r="X94" s="6"/>
      <c r="Y94" s="7"/>
      <c r="Z94" s="3"/>
      <c r="AA94" s="6"/>
      <c r="AD94" s="6"/>
      <c r="AE94" s="3"/>
      <c r="AF94" s="2"/>
    </row>
    <row r="95" spans="24:32">
      <c r="X95" s="6"/>
      <c r="Y95" s="7"/>
      <c r="Z95" s="3"/>
      <c r="AA95" s="6"/>
      <c r="AD95" s="6"/>
      <c r="AE95" s="3"/>
      <c r="AF95" s="2"/>
    </row>
    <row r="96" spans="24:32">
      <c r="AF96" s="2"/>
    </row>
    <row r="98" spans="24:32">
      <c r="X98" s="6"/>
      <c r="Y98" s="7"/>
      <c r="Z98" s="3"/>
      <c r="AA98" s="6"/>
      <c r="AD98" s="6"/>
      <c r="AE98" s="3"/>
    </row>
    <row r="99" spans="24:32">
      <c r="X99" s="6"/>
      <c r="Y99" s="7"/>
      <c r="Z99" s="3"/>
      <c r="AA99" s="6"/>
      <c r="AD99" s="6"/>
      <c r="AE99" s="3"/>
      <c r="AF99" s="2"/>
    </row>
    <row r="100" spans="24:32">
      <c r="X100" s="6"/>
      <c r="Y100" s="7"/>
      <c r="Z100" s="3"/>
      <c r="AA100" s="6"/>
      <c r="AD100" s="6"/>
      <c r="AE100" s="3"/>
      <c r="AF100" s="2"/>
    </row>
    <row r="101" spans="24:32">
      <c r="X101" s="6"/>
      <c r="Y101" s="7"/>
      <c r="Z101" s="3"/>
      <c r="AA101" s="6"/>
      <c r="AD101" s="6"/>
      <c r="AE101" s="3"/>
      <c r="AF101" s="2"/>
    </row>
    <row r="102" spans="24:32">
      <c r="AF102" s="2"/>
    </row>
    <row r="104" spans="24:32">
      <c r="X104" s="6"/>
      <c r="Y104" s="7"/>
      <c r="Z104" s="3"/>
      <c r="AA104" s="6"/>
      <c r="AD104" s="6"/>
      <c r="AE104" s="3"/>
    </row>
    <row r="105" spans="24:32">
      <c r="X105" s="6"/>
      <c r="Y105" s="7"/>
      <c r="Z105" s="3"/>
      <c r="AA105" s="6"/>
      <c r="AD105" s="6"/>
      <c r="AE105" s="3"/>
      <c r="AF105" s="2"/>
    </row>
    <row r="106" spans="24:32">
      <c r="X106" s="6"/>
      <c r="Y106" s="7"/>
      <c r="Z106" s="3"/>
      <c r="AA106" s="6"/>
      <c r="AD106" s="6"/>
      <c r="AE106" s="3"/>
      <c r="AF106" s="2"/>
    </row>
    <row r="107" spans="24:32">
      <c r="X107" s="6"/>
      <c r="Y107" s="7"/>
      <c r="Z107" s="3"/>
      <c r="AA107" s="6"/>
      <c r="AD107" s="6"/>
      <c r="AE107" s="3"/>
      <c r="AF107" s="2"/>
    </row>
    <row r="108" spans="24:32">
      <c r="AF108" s="2"/>
    </row>
    <row r="110" spans="24:32">
      <c r="X110" s="6"/>
      <c r="Y110" s="7"/>
      <c r="Z110" s="3"/>
      <c r="AA110" s="6"/>
      <c r="AD110" s="6"/>
      <c r="AE110" s="3"/>
    </row>
    <row r="111" spans="24:32">
      <c r="X111" s="6"/>
      <c r="Y111" s="7"/>
      <c r="Z111" s="3"/>
      <c r="AA111" s="6"/>
      <c r="AD111" s="6"/>
      <c r="AE111" s="3"/>
    </row>
    <row r="112" spans="24:32">
      <c r="X112" s="6"/>
      <c r="Y112" s="7"/>
      <c r="Z112" s="3"/>
      <c r="AA112" s="6"/>
      <c r="AD112" s="6"/>
      <c r="AE112" s="3"/>
    </row>
    <row r="113" spans="24:31">
      <c r="X113" s="6"/>
      <c r="Y113" s="7"/>
      <c r="Z113" s="3"/>
      <c r="AA113" s="6"/>
      <c r="AD113" s="6"/>
      <c r="AE113" s="3"/>
    </row>
  </sheetData>
  <mergeCells count="6">
    <mergeCell ref="B18:C18"/>
    <mergeCell ref="B2:C2"/>
    <mergeCell ref="AF2:AI2"/>
    <mergeCell ref="B15:C15"/>
    <mergeCell ref="C16:D16"/>
    <mergeCell ref="B17:C17"/>
  </mergeCells>
  <pageMargins left="0.25" right="0.25" top="0.3" bottom="0.44" header="0.23" footer="0.21"/>
  <pageSetup scale="74" orientation="landscape" r:id="rId1"/>
  <headerFooter alignWithMargins="0">
    <oddFooter>&amp;L&amp;D  &amp;T&amp;R&amp;A</oddFooter>
  </headerFooter>
  <drawing r:id="rId2"/>
  <legacyDrawing r:id="rId3"/>
  <controls>
    <mc:AlternateContent xmlns:mc="http://schemas.openxmlformats.org/markup-compatibility/2006">
      <mc:Choice Requires="x14">
        <control shapeId="110593" r:id="rId4" name="CheckBox1">
          <controlPr defaultSize="0" autoFill="0" autoLine="0" linkedCell="A65" r:id="rId5">
            <anchor moveWithCells="1">
              <from>
                <xdr:col>2</xdr:col>
                <xdr:colOff>95250</xdr:colOff>
                <xdr:row>14</xdr:row>
                <xdr:rowOff>171450</xdr:rowOff>
              </from>
              <to>
                <xdr:col>2</xdr:col>
                <xdr:colOff>361950</xdr:colOff>
                <xdr:row>16</xdr:row>
                <xdr:rowOff>28575</xdr:rowOff>
              </to>
            </anchor>
          </controlPr>
        </control>
      </mc:Choice>
      <mc:Fallback>
        <control shapeId="110593" r:id="rId4" name="CheckBox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6F62-6D44-43F4-92F1-1C943DE2A823}">
  <sheetPr codeName="Sheet34"/>
  <dimension ref="A1:O150"/>
  <sheetViews>
    <sheetView topLeftCell="A79" workbookViewId="0">
      <selection activeCell="F110" sqref="F110"/>
    </sheetView>
  </sheetViews>
  <sheetFormatPr defaultRowHeight="15"/>
  <cols>
    <col min="1" max="1" width="24.33203125" customWidth="1"/>
    <col min="2" max="3" width="11.6640625" customWidth="1"/>
    <col min="5" max="5" width="11.44140625" bestFit="1" customWidth="1"/>
    <col min="6" max="6" width="9.6640625" bestFit="1" customWidth="1"/>
    <col min="7" max="7" width="11.21875" customWidth="1"/>
    <col min="8" max="8" width="10.33203125" bestFit="1" customWidth="1"/>
    <col min="9" max="9" width="11.33203125" bestFit="1" customWidth="1"/>
    <col min="10" max="10" width="10.77734375" bestFit="1" customWidth="1"/>
  </cols>
  <sheetData>
    <row r="1" spans="1:15" ht="15.75">
      <c r="A1" s="326" t="s">
        <v>128</v>
      </c>
      <c r="B1" s="283"/>
      <c r="C1" s="283"/>
      <c r="D1" s="283"/>
      <c r="E1" s="283"/>
      <c r="F1" s="283"/>
      <c r="G1" s="283"/>
      <c r="H1" s="283"/>
      <c r="I1" s="284"/>
      <c r="J1" s="68"/>
      <c r="K1" s="68"/>
      <c r="L1" s="207" t="s">
        <v>1069</v>
      </c>
      <c r="M1" s="301">
        <f>+'Res Cust Count'!T1</f>
        <v>0.17469999999999999</v>
      </c>
      <c r="N1" s="68"/>
      <c r="O1" s="68"/>
    </row>
    <row r="2" spans="1:15">
      <c r="A2" s="326" t="s">
        <v>1118</v>
      </c>
      <c r="B2" s="283"/>
      <c r="C2" s="283"/>
      <c r="D2" s="283"/>
      <c r="E2" s="283"/>
      <c r="F2" s="283"/>
      <c r="G2" s="283"/>
      <c r="H2" s="283"/>
      <c r="I2" s="284"/>
      <c r="J2" s="68"/>
      <c r="K2" s="68"/>
      <c r="L2" s="68"/>
      <c r="M2" s="68"/>
      <c r="N2" s="68"/>
      <c r="O2" s="68"/>
    </row>
    <row r="3" spans="1:15" ht="15.75">
      <c r="A3" s="327" t="s">
        <v>1071</v>
      </c>
      <c r="B3" s="283"/>
      <c r="C3" s="283"/>
      <c r="D3" s="283"/>
      <c r="E3" s="283"/>
      <c r="F3" s="283"/>
      <c r="G3" s="283"/>
      <c r="H3" s="283"/>
      <c r="I3" s="284"/>
      <c r="J3" s="68"/>
      <c r="K3" s="68"/>
      <c r="L3" s="68"/>
      <c r="M3" s="68"/>
      <c r="N3" s="68"/>
      <c r="O3" s="68"/>
    </row>
    <row r="4" spans="1:15">
      <c r="A4" s="284"/>
      <c r="B4" s="284"/>
      <c r="C4" s="284"/>
      <c r="D4" s="284"/>
      <c r="E4" s="284"/>
      <c r="F4" s="284"/>
      <c r="G4" s="284"/>
      <c r="H4" s="284"/>
      <c r="I4" s="284"/>
      <c r="J4" s="68"/>
      <c r="K4" s="68"/>
      <c r="L4" s="68"/>
      <c r="M4" s="68"/>
      <c r="N4" s="68"/>
      <c r="O4" s="68"/>
    </row>
    <row r="5" spans="1:15">
      <c r="A5" s="328"/>
      <c r="B5" s="328"/>
      <c r="C5" s="329"/>
      <c r="D5" s="329"/>
      <c r="E5" s="329"/>
      <c r="F5" s="329"/>
      <c r="G5" s="329"/>
      <c r="H5" s="329"/>
      <c r="I5" s="329"/>
      <c r="J5" s="68"/>
      <c r="K5" s="68"/>
      <c r="L5" s="68"/>
      <c r="M5" s="68"/>
      <c r="N5" s="68"/>
      <c r="O5" s="68"/>
    </row>
    <row r="6" spans="1:15">
      <c r="A6" s="328"/>
      <c r="B6" s="328"/>
      <c r="C6" s="330"/>
      <c r="D6" s="329"/>
      <c r="E6" s="329"/>
      <c r="F6" s="329"/>
      <c r="G6" s="329"/>
      <c r="H6" s="329"/>
      <c r="I6" s="329"/>
      <c r="J6" s="68"/>
      <c r="K6" s="68"/>
      <c r="L6" s="68"/>
      <c r="M6" s="68"/>
      <c r="N6" s="68"/>
      <c r="O6" s="68"/>
    </row>
    <row r="7" spans="1:15">
      <c r="A7" s="329"/>
      <c r="B7" s="331" t="s">
        <v>1074</v>
      </c>
      <c r="C7" s="331"/>
      <c r="D7" s="331" t="s">
        <v>1119</v>
      </c>
      <c r="E7" s="331" t="s">
        <v>1119</v>
      </c>
      <c r="F7" s="331" t="s">
        <v>1072</v>
      </c>
      <c r="G7" s="331" t="s">
        <v>1072</v>
      </c>
      <c r="H7" s="331"/>
      <c r="I7" s="329"/>
      <c r="J7" s="68"/>
      <c r="K7" s="68"/>
      <c r="L7" s="331"/>
      <c r="M7" s="68"/>
      <c r="N7" s="68"/>
      <c r="O7" s="68"/>
    </row>
    <row r="8" spans="1:15">
      <c r="A8" s="332" t="s">
        <v>1077</v>
      </c>
      <c r="B8" s="332" t="s">
        <v>1078</v>
      </c>
      <c r="C8" s="332" t="s">
        <v>1120</v>
      </c>
      <c r="D8" s="332" t="s">
        <v>1080</v>
      </c>
      <c r="E8" s="332" t="s">
        <v>12</v>
      </c>
      <c r="F8" s="332" t="s">
        <v>1080</v>
      </c>
      <c r="G8" s="332" t="s">
        <v>12</v>
      </c>
      <c r="H8" s="332" t="s">
        <v>1121</v>
      </c>
      <c r="I8" s="329"/>
      <c r="J8" s="68"/>
      <c r="K8" s="68"/>
      <c r="L8" s="331"/>
      <c r="M8" s="68"/>
      <c r="N8" s="68"/>
      <c r="O8" s="68"/>
    </row>
    <row r="9" spans="1:15">
      <c r="A9" s="328" t="s">
        <v>1122</v>
      </c>
      <c r="B9" s="333">
        <v>245</v>
      </c>
      <c r="C9" s="329"/>
      <c r="D9" s="334"/>
      <c r="E9" s="329">
        <f t="shared" ref="E9:E69" si="0">D9*C9</f>
        <v>0</v>
      </c>
      <c r="F9" s="334">
        <f>+D9*$M$1</f>
        <v>0</v>
      </c>
      <c r="G9" s="329">
        <f>C9*F9</f>
        <v>0</v>
      </c>
      <c r="H9" s="335"/>
      <c r="I9" s="335"/>
      <c r="J9" s="68"/>
      <c r="K9" s="68"/>
      <c r="L9" s="68"/>
      <c r="M9" s="68"/>
      <c r="N9" s="68"/>
      <c r="O9" s="68"/>
    </row>
    <row r="10" spans="1:15" ht="15.75">
      <c r="A10" s="328" t="s">
        <v>1123</v>
      </c>
      <c r="B10" s="333">
        <v>245</v>
      </c>
      <c r="C10" s="329"/>
      <c r="D10" s="334"/>
      <c r="E10" s="329">
        <f t="shared" si="0"/>
        <v>0</v>
      </c>
      <c r="F10" s="334">
        <f t="shared" ref="F10" si="1">+D10*$M$1</f>
        <v>0</v>
      </c>
      <c r="G10" s="329">
        <f t="shared" ref="G10:G70" si="2">C10*F10</f>
        <v>0</v>
      </c>
      <c r="H10" s="335"/>
      <c r="I10" s="329"/>
      <c r="J10" s="68"/>
      <c r="K10" s="68"/>
      <c r="L10" s="336"/>
      <c r="M10" s="68"/>
      <c r="N10" s="68"/>
      <c r="O10" s="68"/>
    </row>
    <row r="11" spans="1:15" ht="15.75">
      <c r="A11" s="328" t="s">
        <v>1124</v>
      </c>
      <c r="B11" s="333">
        <v>245</v>
      </c>
      <c r="C11" s="329">
        <f>829+933+2+12+15+24</f>
        <v>1815</v>
      </c>
      <c r="D11" s="334">
        <v>17.440000000000001</v>
      </c>
      <c r="E11" s="329">
        <f t="shared" si="0"/>
        <v>31653.600000000002</v>
      </c>
      <c r="F11" s="334">
        <f>(+D11*$M$1)+D11</f>
        <v>20.486768000000001</v>
      </c>
      <c r="G11" s="329">
        <f t="shared" si="2"/>
        <v>37183.483920000006</v>
      </c>
      <c r="H11" s="335"/>
      <c r="I11" s="329"/>
      <c r="J11" s="68"/>
      <c r="K11" s="68"/>
      <c r="L11" s="336"/>
      <c r="M11" s="68"/>
      <c r="N11" s="68"/>
      <c r="O11" s="68"/>
    </row>
    <row r="12" spans="1:15" ht="15.75">
      <c r="A12" s="328" t="s">
        <v>1125</v>
      </c>
      <c r="B12" s="333">
        <v>245</v>
      </c>
      <c r="C12" s="337">
        <v>565</v>
      </c>
      <c r="D12" s="334">
        <v>23.29</v>
      </c>
      <c r="E12" s="329">
        <f t="shared" si="0"/>
        <v>13158.85</v>
      </c>
      <c r="F12" s="334">
        <f t="shared" ref="F12:F70" si="3">(+D12*$M$1)+D12</f>
        <v>27.358763</v>
      </c>
      <c r="G12" s="329">
        <f t="shared" si="2"/>
        <v>15457.701095</v>
      </c>
      <c r="H12" s="335"/>
      <c r="I12" s="334"/>
      <c r="J12" s="68"/>
      <c r="K12" s="68"/>
      <c r="L12" s="336"/>
      <c r="M12" s="68"/>
      <c r="N12" s="68"/>
      <c r="O12" s="68"/>
    </row>
    <row r="13" spans="1:15" ht="15.75">
      <c r="A13" s="328" t="s">
        <v>1126</v>
      </c>
      <c r="B13" s="333">
        <v>245</v>
      </c>
      <c r="C13" s="329">
        <f>265+29</f>
        <v>294</v>
      </c>
      <c r="D13" s="334">
        <v>29.14</v>
      </c>
      <c r="E13" s="329">
        <f t="shared" si="0"/>
        <v>8567.16</v>
      </c>
      <c r="F13" s="334">
        <f t="shared" si="3"/>
        <v>34.230758000000002</v>
      </c>
      <c r="G13" s="329">
        <f t="shared" si="2"/>
        <v>10063.842852</v>
      </c>
      <c r="H13" s="335"/>
      <c r="I13" s="334"/>
      <c r="J13" s="68"/>
      <c r="K13" s="68"/>
      <c r="L13" s="336"/>
      <c r="M13" s="68"/>
      <c r="N13" s="68"/>
      <c r="O13" s="68"/>
    </row>
    <row r="14" spans="1:15" ht="15.75">
      <c r="A14" s="328" t="s">
        <v>1127</v>
      </c>
      <c r="B14" s="333">
        <v>245</v>
      </c>
      <c r="C14" s="329">
        <f>198+172+12+12</f>
        <v>394</v>
      </c>
      <c r="D14" s="334">
        <v>35</v>
      </c>
      <c r="E14" s="329">
        <f t="shared" si="0"/>
        <v>13790</v>
      </c>
      <c r="F14" s="334">
        <f t="shared" si="3"/>
        <v>41.1145</v>
      </c>
      <c r="G14" s="329">
        <f t="shared" si="2"/>
        <v>16199.112999999999</v>
      </c>
      <c r="H14" s="335"/>
      <c r="I14" s="334"/>
      <c r="J14" s="68"/>
      <c r="K14" s="68"/>
      <c r="L14" s="336"/>
      <c r="M14" s="68"/>
      <c r="N14" s="68"/>
      <c r="O14" s="68"/>
    </row>
    <row r="15" spans="1:15" ht="15.75">
      <c r="A15" s="328" t="s">
        <v>1128</v>
      </c>
      <c r="B15" s="333">
        <v>245</v>
      </c>
      <c r="C15" s="329">
        <f>76+62</f>
        <v>138</v>
      </c>
      <c r="D15" s="334">
        <v>40.85</v>
      </c>
      <c r="E15" s="329">
        <f t="shared" si="0"/>
        <v>5637.3</v>
      </c>
      <c r="F15" s="334">
        <f t="shared" si="3"/>
        <v>47.986495000000005</v>
      </c>
      <c r="G15" s="329">
        <f t="shared" si="2"/>
        <v>6622.1363100000008</v>
      </c>
      <c r="H15" s="335"/>
      <c r="I15" s="334"/>
      <c r="J15" s="68"/>
      <c r="K15" s="68"/>
      <c r="L15" s="336"/>
      <c r="M15" s="68"/>
      <c r="N15" s="68"/>
      <c r="O15" s="68"/>
    </row>
    <row r="16" spans="1:15" ht="15.75">
      <c r="A16" s="328" t="s">
        <v>1129</v>
      </c>
      <c r="B16" s="333">
        <v>245</v>
      </c>
      <c r="C16" s="329">
        <v>66</v>
      </c>
      <c r="D16" s="334">
        <v>46.71</v>
      </c>
      <c r="E16" s="329">
        <f t="shared" si="0"/>
        <v>3082.86</v>
      </c>
      <c r="F16" s="334">
        <f t="shared" si="3"/>
        <v>54.870237000000003</v>
      </c>
      <c r="G16" s="329">
        <f t="shared" si="2"/>
        <v>3621.4356420000004</v>
      </c>
      <c r="H16" s="335"/>
      <c r="I16" s="334"/>
      <c r="J16" s="68"/>
      <c r="K16" s="68"/>
      <c r="L16" s="336"/>
      <c r="M16" s="68"/>
      <c r="N16" s="68"/>
      <c r="O16" s="68"/>
    </row>
    <row r="17" spans="1:15" ht="15.75">
      <c r="A17" s="328" t="s">
        <v>1130</v>
      </c>
      <c r="B17" s="333">
        <v>245</v>
      </c>
      <c r="C17" s="329">
        <v>24</v>
      </c>
      <c r="D17" s="334">
        <v>52.56</v>
      </c>
      <c r="E17" s="329">
        <f t="shared" si="0"/>
        <v>1261.44</v>
      </c>
      <c r="F17" s="334">
        <f t="shared" si="3"/>
        <v>61.742232000000001</v>
      </c>
      <c r="G17" s="329">
        <f t="shared" si="2"/>
        <v>1481.813568</v>
      </c>
      <c r="H17" s="335"/>
      <c r="I17" s="334"/>
      <c r="J17" s="68"/>
      <c r="K17" s="68"/>
      <c r="L17" s="336"/>
      <c r="M17" s="68"/>
      <c r="N17" s="68"/>
      <c r="O17" s="68"/>
    </row>
    <row r="18" spans="1:15" ht="15.75">
      <c r="A18" s="328" t="s">
        <v>1131</v>
      </c>
      <c r="B18" s="333">
        <v>245</v>
      </c>
      <c r="C18" s="329">
        <v>40</v>
      </c>
      <c r="D18" s="334">
        <v>58.42</v>
      </c>
      <c r="E18" s="329">
        <f t="shared" si="0"/>
        <v>2336.8000000000002</v>
      </c>
      <c r="F18" s="334">
        <f t="shared" si="3"/>
        <v>68.625973999999999</v>
      </c>
      <c r="G18" s="329">
        <f t="shared" si="2"/>
        <v>2745.0389599999999</v>
      </c>
      <c r="H18" s="335"/>
      <c r="I18" s="334"/>
      <c r="J18" s="68"/>
      <c r="K18" s="68"/>
      <c r="L18" s="336"/>
      <c r="M18" s="68"/>
      <c r="N18" s="68"/>
      <c r="O18" s="68"/>
    </row>
    <row r="19" spans="1:15" ht="15.75">
      <c r="A19" s="328" t="s">
        <v>1132</v>
      </c>
      <c r="B19" s="333">
        <v>240</v>
      </c>
      <c r="C19" s="329">
        <f>38+3+24+4979+49+6+72</f>
        <v>5171</v>
      </c>
      <c r="D19" s="334">
        <f>34.6+(12.21*3.33)</f>
        <v>75.259299999999996</v>
      </c>
      <c r="E19" s="329">
        <f t="shared" si="0"/>
        <v>389165.84029999998</v>
      </c>
      <c r="F19" s="334">
        <f t="shared" si="3"/>
        <v>88.407099709999997</v>
      </c>
      <c r="G19" s="329">
        <f t="shared" si="2"/>
        <v>457153.11260041001</v>
      </c>
      <c r="H19" s="329"/>
      <c r="I19" s="334"/>
      <c r="J19" s="68"/>
      <c r="K19" s="68"/>
      <c r="L19" s="336"/>
      <c r="M19" s="68"/>
      <c r="N19" s="68"/>
      <c r="O19" s="68"/>
    </row>
    <row r="20" spans="1:15" ht="15.75">
      <c r="A20" s="328" t="s">
        <v>1133</v>
      </c>
      <c r="B20" s="333">
        <v>240</v>
      </c>
      <c r="C20" s="329">
        <f>60+97+3+1</f>
        <v>161</v>
      </c>
      <c r="D20" s="334">
        <f>34.6+(12.21*7.66)</f>
        <v>128.12860000000001</v>
      </c>
      <c r="E20" s="329">
        <f t="shared" si="0"/>
        <v>20628.704600000001</v>
      </c>
      <c r="F20" s="334">
        <f t="shared" si="3"/>
        <v>150.51266642000002</v>
      </c>
      <c r="G20" s="329">
        <f t="shared" si="2"/>
        <v>24232.539293620004</v>
      </c>
      <c r="H20" s="329"/>
      <c r="I20" s="334"/>
      <c r="J20" s="68"/>
      <c r="K20" s="68"/>
      <c r="L20" s="336"/>
      <c r="M20" s="68"/>
      <c r="N20" s="68"/>
      <c r="O20" s="68"/>
    </row>
    <row r="21" spans="1:15" ht="15.75">
      <c r="A21" s="328" t="s">
        <v>1134</v>
      </c>
      <c r="B21" s="333">
        <v>240</v>
      </c>
      <c r="C21" s="329">
        <v>26</v>
      </c>
      <c r="D21" s="334">
        <f>34.6+(12.21*11.99)</f>
        <v>180.99790000000002</v>
      </c>
      <c r="E21" s="329">
        <f t="shared" si="0"/>
        <v>4705.9454000000005</v>
      </c>
      <c r="F21" s="334">
        <f t="shared" si="3"/>
        <v>212.61823313000002</v>
      </c>
      <c r="G21" s="329">
        <f t="shared" si="2"/>
        <v>5528.0740613800008</v>
      </c>
      <c r="H21" s="329"/>
      <c r="I21" s="334"/>
      <c r="J21" s="68"/>
      <c r="K21" s="68"/>
      <c r="L21" s="336"/>
      <c r="M21" s="68"/>
      <c r="N21" s="68"/>
      <c r="O21" s="68"/>
    </row>
    <row r="22" spans="1:15" ht="15.75">
      <c r="A22" s="330" t="s">
        <v>1135</v>
      </c>
      <c r="B22" s="333">
        <v>240</v>
      </c>
      <c r="C22" s="329">
        <v>12</v>
      </c>
      <c r="D22" s="334">
        <f>34.6+(12.21*20.65)</f>
        <v>286.73650000000004</v>
      </c>
      <c r="E22" s="329">
        <f t="shared" si="0"/>
        <v>3440.8380000000006</v>
      </c>
      <c r="F22" s="334">
        <f t="shared" si="3"/>
        <v>336.82936655000003</v>
      </c>
      <c r="G22" s="329">
        <f t="shared" si="2"/>
        <v>4041.9523986000004</v>
      </c>
      <c r="H22" s="329"/>
      <c r="I22" s="334"/>
      <c r="J22" s="68"/>
      <c r="K22" s="68"/>
      <c r="L22" s="336"/>
      <c r="M22" s="68"/>
      <c r="N22" s="68"/>
      <c r="O22" s="68"/>
    </row>
    <row r="23" spans="1:15" ht="15.75">
      <c r="A23" s="328" t="s">
        <v>1136</v>
      </c>
      <c r="B23" s="333">
        <v>240</v>
      </c>
      <c r="C23" s="329">
        <f>66+12+3494+23+3+24</f>
        <v>3622</v>
      </c>
      <c r="D23" s="334">
        <f>47.88+(24.24*3.33)</f>
        <v>128.5992</v>
      </c>
      <c r="E23" s="329">
        <f t="shared" si="0"/>
        <v>465786.30239999999</v>
      </c>
      <c r="F23" s="334">
        <f t="shared" si="3"/>
        <v>151.06548024</v>
      </c>
      <c r="G23" s="329">
        <f t="shared" si="2"/>
        <v>547159.16942927998</v>
      </c>
      <c r="H23" s="329"/>
      <c r="I23" s="334"/>
      <c r="J23" s="68"/>
      <c r="K23" s="68"/>
      <c r="L23" s="336"/>
      <c r="M23" s="68"/>
      <c r="N23" s="68"/>
      <c r="O23" s="338"/>
    </row>
    <row r="24" spans="1:15" ht="15.75">
      <c r="A24" s="328" t="s">
        <v>1137</v>
      </c>
      <c r="B24" s="333">
        <v>240</v>
      </c>
      <c r="C24" s="329">
        <v>792</v>
      </c>
      <c r="D24" s="334">
        <f>47.88+(24.24*7.66)</f>
        <v>233.55839999999998</v>
      </c>
      <c r="E24" s="329">
        <f t="shared" si="0"/>
        <v>184978.25279999999</v>
      </c>
      <c r="F24" s="334">
        <f t="shared" si="3"/>
        <v>274.36105247999996</v>
      </c>
      <c r="G24" s="329">
        <f t="shared" si="2"/>
        <v>217293.95356415995</v>
      </c>
      <c r="H24" s="329"/>
      <c r="I24" s="334"/>
      <c r="J24" s="68"/>
      <c r="K24" s="68"/>
      <c r="L24" s="336"/>
      <c r="M24" s="68"/>
      <c r="N24" s="68"/>
      <c r="O24" s="68"/>
    </row>
    <row r="25" spans="1:15" ht="15.75">
      <c r="A25" s="328" t="s">
        <v>1138</v>
      </c>
      <c r="B25" s="333">
        <v>240</v>
      </c>
      <c r="C25" s="329">
        <f>24+12+226</f>
        <v>262</v>
      </c>
      <c r="D25" s="334">
        <f>47.88+(24.24*11.99)</f>
        <v>338.51759999999996</v>
      </c>
      <c r="E25" s="329">
        <f t="shared" si="0"/>
        <v>88691.611199999985</v>
      </c>
      <c r="F25" s="334">
        <f t="shared" si="3"/>
        <v>397.65662471999997</v>
      </c>
      <c r="G25" s="329">
        <f t="shared" si="2"/>
        <v>104186.03567663999</v>
      </c>
      <c r="H25" s="329"/>
      <c r="I25" s="334"/>
      <c r="J25" s="68"/>
      <c r="K25" s="68"/>
      <c r="L25" s="336"/>
      <c r="M25" s="68"/>
      <c r="N25" s="68"/>
      <c r="O25" s="68"/>
    </row>
    <row r="26" spans="1:15" ht="15.75">
      <c r="A26" s="328" t="s">
        <v>1139</v>
      </c>
      <c r="B26" s="333">
        <v>240</v>
      </c>
      <c r="C26" s="329">
        <v>4</v>
      </c>
      <c r="D26" s="334">
        <f>47.88+(24.24*16.32)</f>
        <v>443.47679999999997</v>
      </c>
      <c r="E26" s="329">
        <f t="shared" si="0"/>
        <v>1773.9071999999999</v>
      </c>
      <c r="F26" s="334">
        <f t="shared" si="3"/>
        <v>520.95219695999992</v>
      </c>
      <c r="G26" s="329">
        <f t="shared" si="2"/>
        <v>2083.8087878399997</v>
      </c>
      <c r="H26" s="329"/>
      <c r="I26" s="334"/>
      <c r="J26" s="68"/>
      <c r="K26" s="68"/>
      <c r="L26" s="336"/>
      <c r="M26" s="68"/>
      <c r="N26" s="68"/>
      <c r="O26" s="68"/>
    </row>
    <row r="27" spans="1:15" ht="15.75">
      <c r="A27" s="328" t="s">
        <v>1140</v>
      </c>
      <c r="B27" s="333">
        <v>240</v>
      </c>
      <c r="C27" s="329">
        <v>12</v>
      </c>
      <c r="D27" s="334">
        <f>47.88+(24.24*20.65)</f>
        <v>548.43599999999992</v>
      </c>
      <c r="E27" s="329">
        <f t="shared" si="0"/>
        <v>6581.2319999999991</v>
      </c>
      <c r="F27" s="334">
        <f t="shared" si="3"/>
        <v>644.24776919999988</v>
      </c>
      <c r="G27" s="329">
        <f t="shared" si="2"/>
        <v>7730.973230399999</v>
      </c>
      <c r="H27" s="329"/>
      <c r="I27" s="334"/>
      <c r="J27" s="68"/>
      <c r="K27" s="68"/>
      <c r="L27" s="336"/>
      <c r="M27" s="68"/>
      <c r="N27" s="68"/>
      <c r="O27" s="68"/>
    </row>
    <row r="28" spans="1:15" ht="15.75">
      <c r="A28" s="328" t="s">
        <v>1141</v>
      </c>
      <c r="B28" s="333">
        <v>240</v>
      </c>
      <c r="C28" s="329">
        <v>34</v>
      </c>
      <c r="D28" s="334">
        <f>47.88+(24.24*24.98)</f>
        <v>653.39519999999993</v>
      </c>
      <c r="E28" s="329">
        <f t="shared" si="0"/>
        <v>22215.436799999996</v>
      </c>
      <c r="F28" s="334">
        <f t="shared" si="3"/>
        <v>767.54334143999995</v>
      </c>
      <c r="G28" s="329">
        <f t="shared" si="2"/>
        <v>26096.473608959997</v>
      </c>
      <c r="H28" s="329"/>
      <c r="I28" s="334"/>
      <c r="J28" s="68"/>
      <c r="K28" s="68"/>
      <c r="L28" s="336"/>
      <c r="M28" s="68"/>
      <c r="N28" s="68"/>
      <c r="O28" s="68"/>
    </row>
    <row r="29" spans="1:15" ht="15.75">
      <c r="A29" s="328" t="s">
        <v>1142</v>
      </c>
      <c r="B29" s="333">
        <v>240</v>
      </c>
      <c r="C29" s="329">
        <f>3+12+14+2085+90+3+40</f>
        <v>2247</v>
      </c>
      <c r="D29" s="334">
        <f>63.18+(33.16*3.33)</f>
        <v>173.6028</v>
      </c>
      <c r="E29" s="329">
        <f t="shared" si="0"/>
        <v>390085.49160000001</v>
      </c>
      <c r="F29" s="334">
        <f t="shared" si="3"/>
        <v>203.93120916000001</v>
      </c>
      <c r="G29" s="329">
        <f t="shared" si="2"/>
        <v>458233.42698252003</v>
      </c>
      <c r="H29" s="329"/>
      <c r="I29" s="334"/>
      <c r="J29" s="68"/>
      <c r="K29" s="68"/>
      <c r="L29" s="336"/>
      <c r="M29" s="68"/>
      <c r="N29" s="68"/>
      <c r="O29" s="68"/>
    </row>
    <row r="30" spans="1:15" ht="15.75">
      <c r="A30" s="328" t="s">
        <v>1143</v>
      </c>
      <c r="B30" s="333">
        <v>240</v>
      </c>
      <c r="C30" s="329">
        <f>36+338+1528+35+7</f>
        <v>1944</v>
      </c>
      <c r="D30" s="334">
        <f>63.18+(33.16*7.66)</f>
        <v>317.18559999999997</v>
      </c>
      <c r="E30" s="329">
        <f t="shared" si="0"/>
        <v>616608.80639999988</v>
      </c>
      <c r="F30" s="334">
        <f t="shared" si="3"/>
        <v>372.59792431999995</v>
      </c>
      <c r="G30" s="329">
        <f t="shared" si="2"/>
        <v>724330.36487807985</v>
      </c>
      <c r="H30" s="329"/>
      <c r="I30" s="334"/>
      <c r="J30" s="68"/>
      <c r="K30" s="68"/>
      <c r="L30" s="336"/>
      <c r="M30" s="68"/>
      <c r="N30" s="68"/>
      <c r="O30" s="68"/>
    </row>
    <row r="31" spans="1:15" ht="15.75">
      <c r="A31" s="328" t="s">
        <v>1144</v>
      </c>
      <c r="B31" s="333">
        <v>240</v>
      </c>
      <c r="C31" s="329">
        <f>12+24+20+1092</f>
        <v>1148</v>
      </c>
      <c r="D31" s="334">
        <f>63.18+(33.16*11.99)</f>
        <v>460.76839999999999</v>
      </c>
      <c r="E31" s="329">
        <f t="shared" si="0"/>
        <v>528962.12320000003</v>
      </c>
      <c r="F31" s="334">
        <f t="shared" si="3"/>
        <v>541.26463948000003</v>
      </c>
      <c r="G31" s="329">
        <f t="shared" si="2"/>
        <v>621371.80612304003</v>
      </c>
      <c r="H31" s="329"/>
      <c r="I31" s="334"/>
      <c r="J31" s="68"/>
      <c r="K31" s="68"/>
      <c r="L31" s="336"/>
      <c r="M31" s="68"/>
      <c r="N31" s="68"/>
      <c r="O31" s="68"/>
    </row>
    <row r="32" spans="1:15" ht="15.75">
      <c r="A32" s="328" t="s">
        <v>1145</v>
      </c>
      <c r="B32" s="333">
        <v>240</v>
      </c>
      <c r="C32" s="329">
        <v>88</v>
      </c>
      <c r="D32" s="334">
        <f>63.18+(33.16*16.32)</f>
        <v>604.35119999999995</v>
      </c>
      <c r="E32" s="329">
        <f t="shared" si="0"/>
        <v>53182.905599999998</v>
      </c>
      <c r="F32" s="334">
        <f t="shared" si="3"/>
        <v>709.93135463999988</v>
      </c>
      <c r="G32" s="329">
        <f t="shared" si="2"/>
        <v>62473.95920831999</v>
      </c>
      <c r="H32" s="329"/>
      <c r="I32" s="334"/>
      <c r="J32" s="68"/>
      <c r="K32" s="68"/>
      <c r="L32" s="336"/>
      <c r="M32" s="68"/>
      <c r="N32" s="68"/>
      <c r="O32" s="68"/>
    </row>
    <row r="33" spans="1:15" ht="15.75">
      <c r="A33" s="328" t="s">
        <v>1146</v>
      </c>
      <c r="B33" s="333">
        <v>240</v>
      </c>
      <c r="C33" s="329">
        <f>1+139+12</f>
        <v>152</v>
      </c>
      <c r="D33" s="334">
        <f>63.18+(33.16*20.65)</f>
        <v>747.93399999999986</v>
      </c>
      <c r="E33" s="329">
        <f t="shared" si="0"/>
        <v>113685.96799999998</v>
      </c>
      <c r="F33" s="334">
        <f t="shared" si="3"/>
        <v>878.59806979999985</v>
      </c>
      <c r="G33" s="329">
        <f t="shared" si="2"/>
        <v>133546.90660959997</v>
      </c>
      <c r="H33" s="329"/>
      <c r="I33" s="334"/>
      <c r="J33" s="68"/>
      <c r="K33" s="68"/>
      <c r="L33" s="336"/>
      <c r="M33" s="68"/>
      <c r="N33" s="68"/>
      <c r="O33" s="68"/>
    </row>
    <row r="34" spans="1:15" ht="15.75">
      <c r="A34" s="328" t="s">
        <v>1147</v>
      </c>
      <c r="B34" s="333">
        <v>240</v>
      </c>
      <c r="C34" s="329">
        <f>11+54</f>
        <v>65</v>
      </c>
      <c r="D34" s="334">
        <f>63.18+(33.16*24.98)</f>
        <v>891.51679999999988</v>
      </c>
      <c r="E34" s="329">
        <f t="shared" si="0"/>
        <v>57948.59199999999</v>
      </c>
      <c r="F34" s="334">
        <f t="shared" si="3"/>
        <v>1047.2647849599998</v>
      </c>
      <c r="G34" s="329">
        <f t="shared" si="2"/>
        <v>68072.211022399992</v>
      </c>
      <c r="H34" s="329"/>
      <c r="I34" s="334"/>
      <c r="J34" s="68"/>
      <c r="K34" s="68"/>
      <c r="L34" s="336"/>
      <c r="M34" s="68"/>
      <c r="N34" s="68"/>
      <c r="O34" s="68"/>
    </row>
    <row r="35" spans="1:15" ht="15.75">
      <c r="A35" s="328" t="s">
        <v>1148</v>
      </c>
      <c r="B35" s="333">
        <v>240</v>
      </c>
      <c r="C35" s="329">
        <v>433</v>
      </c>
      <c r="D35" s="339">
        <f>70.64+(47.25*3.33)</f>
        <v>227.98250000000002</v>
      </c>
      <c r="E35" s="329">
        <f t="shared" si="0"/>
        <v>98716.422500000001</v>
      </c>
      <c r="F35" s="334">
        <f t="shared" si="3"/>
        <v>267.81104275000001</v>
      </c>
      <c r="G35" s="329">
        <f t="shared" si="2"/>
        <v>115962.18151075</v>
      </c>
      <c r="H35" s="329"/>
      <c r="I35" s="334"/>
      <c r="J35" s="68"/>
      <c r="K35" s="68"/>
      <c r="L35" s="336"/>
      <c r="M35" s="68"/>
      <c r="N35" s="68"/>
      <c r="O35" s="68"/>
    </row>
    <row r="36" spans="1:15" ht="15.75">
      <c r="A36" s="328" t="s">
        <v>1149</v>
      </c>
      <c r="B36" s="333">
        <v>240</v>
      </c>
      <c r="C36" s="329">
        <f>126+12</f>
        <v>138</v>
      </c>
      <c r="D36" s="339">
        <f>70.64+(47.25*7.66)</f>
        <v>432.57499999999999</v>
      </c>
      <c r="E36" s="329">
        <f t="shared" si="0"/>
        <v>59695.35</v>
      </c>
      <c r="F36" s="334">
        <f t="shared" si="3"/>
        <v>508.14585249999999</v>
      </c>
      <c r="G36" s="329">
        <f t="shared" si="2"/>
        <v>70124.127645</v>
      </c>
      <c r="H36" s="329"/>
      <c r="I36" s="334"/>
      <c r="J36" s="68"/>
      <c r="K36" s="68"/>
      <c r="L36" s="336"/>
      <c r="M36" s="68"/>
      <c r="N36" s="68"/>
      <c r="O36" s="68"/>
    </row>
    <row r="37" spans="1:15" ht="15.75">
      <c r="A37" s="328" t="s">
        <v>1150</v>
      </c>
      <c r="B37" s="333">
        <v>240</v>
      </c>
      <c r="C37" s="329">
        <f>24+28</f>
        <v>52</v>
      </c>
      <c r="D37" s="339">
        <f>70.64+(47.25*11.99)</f>
        <v>637.16750000000002</v>
      </c>
      <c r="E37" s="329">
        <f t="shared" si="0"/>
        <v>33132.71</v>
      </c>
      <c r="F37" s="334">
        <f t="shared" si="3"/>
        <v>748.48066225000002</v>
      </c>
      <c r="G37" s="329">
        <f t="shared" si="2"/>
        <v>38920.994437000001</v>
      </c>
      <c r="H37" s="329"/>
      <c r="I37" s="334"/>
      <c r="J37" s="68"/>
      <c r="K37" s="68"/>
      <c r="L37" s="336"/>
      <c r="M37" s="68"/>
      <c r="N37" s="68"/>
      <c r="O37" s="68"/>
    </row>
    <row r="38" spans="1:15" ht="15.75">
      <c r="A38" s="328" t="s">
        <v>1151</v>
      </c>
      <c r="B38" s="333">
        <v>240</v>
      </c>
      <c r="C38" s="329">
        <f>14+837</f>
        <v>851</v>
      </c>
      <c r="D38" s="339">
        <f>94.19+(62.89*3.33)</f>
        <v>303.61369999999999</v>
      </c>
      <c r="E38" s="329">
        <f t="shared" si="0"/>
        <v>258375.25870000001</v>
      </c>
      <c r="F38" s="334">
        <f t="shared" si="3"/>
        <v>356.65501339000002</v>
      </c>
      <c r="G38" s="329">
        <f t="shared" si="2"/>
        <v>303513.41639488999</v>
      </c>
      <c r="H38" s="329"/>
      <c r="I38" s="334"/>
      <c r="J38" s="68"/>
      <c r="K38" s="68"/>
      <c r="L38" s="336"/>
      <c r="M38" s="68"/>
      <c r="N38" s="68"/>
      <c r="O38" s="68"/>
    </row>
    <row r="39" spans="1:15" ht="15.75">
      <c r="A39" s="328" t="s">
        <v>1152</v>
      </c>
      <c r="B39" s="333">
        <v>240</v>
      </c>
      <c r="C39" s="329">
        <f>12+402+21+7</f>
        <v>442</v>
      </c>
      <c r="D39" s="339">
        <f>94.19+(62.89*7.66)</f>
        <v>575.92740000000003</v>
      </c>
      <c r="E39" s="329">
        <f t="shared" si="0"/>
        <v>254559.91080000001</v>
      </c>
      <c r="F39" s="334">
        <f t="shared" si="3"/>
        <v>676.54191678000007</v>
      </c>
      <c r="G39" s="329">
        <f t="shared" si="2"/>
        <v>299031.52721676003</v>
      </c>
      <c r="H39" s="329"/>
      <c r="I39" s="334"/>
      <c r="J39" s="68"/>
      <c r="K39" s="68"/>
      <c r="L39" s="336"/>
      <c r="M39" s="68"/>
      <c r="N39" s="68"/>
      <c r="O39" s="68"/>
    </row>
    <row r="40" spans="1:15" ht="15.75">
      <c r="A40" s="328" t="s">
        <v>1153</v>
      </c>
      <c r="B40" s="333">
        <v>240</v>
      </c>
      <c r="C40" s="329">
        <v>216</v>
      </c>
      <c r="D40" s="339">
        <f>94.19+(62.89*11.99)</f>
        <v>848.24109999999996</v>
      </c>
      <c r="E40" s="329">
        <f t="shared" si="0"/>
        <v>183220.07759999999</v>
      </c>
      <c r="F40" s="334">
        <f t="shared" si="3"/>
        <v>996.42882016999988</v>
      </c>
      <c r="G40" s="329">
        <f t="shared" si="2"/>
        <v>215228.62515671997</v>
      </c>
      <c r="H40" s="329"/>
      <c r="I40" s="334"/>
      <c r="J40" s="68"/>
      <c r="K40" s="68"/>
      <c r="L40" s="336"/>
      <c r="M40" s="68"/>
      <c r="N40" s="68"/>
      <c r="O40" s="68"/>
    </row>
    <row r="41" spans="1:15" ht="15.75">
      <c r="A41" s="328" t="s">
        <v>1154</v>
      </c>
      <c r="B41" s="333">
        <v>240</v>
      </c>
      <c r="C41" s="329">
        <v>30</v>
      </c>
      <c r="D41" s="339">
        <f>94.19+(62.89*16.32)</f>
        <v>1120.5548000000001</v>
      </c>
      <c r="E41" s="329">
        <f t="shared" si="0"/>
        <v>33616.644</v>
      </c>
      <c r="F41" s="334">
        <f t="shared" si="3"/>
        <v>1316.3157235600002</v>
      </c>
      <c r="G41" s="329">
        <f t="shared" si="2"/>
        <v>39489.471706800003</v>
      </c>
      <c r="H41" s="329"/>
      <c r="I41" s="334"/>
      <c r="J41" s="68"/>
      <c r="K41" s="68"/>
      <c r="L41" s="336"/>
      <c r="M41" s="68"/>
      <c r="N41" s="68"/>
      <c r="O41" s="68"/>
    </row>
    <row r="42" spans="1:15" ht="15.75">
      <c r="A42" s="330" t="s">
        <v>1155</v>
      </c>
      <c r="B42" s="333">
        <v>240</v>
      </c>
      <c r="C42" s="329">
        <v>25</v>
      </c>
      <c r="D42" s="339">
        <f>94.19+(62.89*20.65)</f>
        <v>1392.8685</v>
      </c>
      <c r="E42" s="329">
        <f t="shared" si="0"/>
        <v>34821.712500000001</v>
      </c>
      <c r="F42" s="334">
        <f t="shared" si="3"/>
        <v>1636.20262695</v>
      </c>
      <c r="G42" s="329">
        <f t="shared" si="2"/>
        <v>40905.065673749996</v>
      </c>
      <c r="H42" s="329"/>
      <c r="I42" s="334"/>
      <c r="J42" s="68"/>
      <c r="K42" s="68"/>
      <c r="L42" s="336"/>
      <c r="M42" s="68"/>
      <c r="N42" s="68"/>
      <c r="O42" s="68"/>
    </row>
    <row r="43" spans="1:15" ht="15.75">
      <c r="A43" s="330" t="s">
        <v>1156</v>
      </c>
      <c r="B43" s="333">
        <v>240</v>
      </c>
      <c r="C43" s="329">
        <v>7</v>
      </c>
      <c r="D43" s="339">
        <v>36.54</v>
      </c>
      <c r="E43" s="329">
        <f t="shared" si="0"/>
        <v>255.78</v>
      </c>
      <c r="F43" s="334">
        <f t="shared" si="3"/>
        <v>42.923538000000001</v>
      </c>
      <c r="G43" s="329">
        <f t="shared" si="2"/>
        <v>300.464766</v>
      </c>
      <c r="H43" s="329"/>
      <c r="I43" s="334"/>
      <c r="J43" s="68"/>
      <c r="K43" s="68"/>
      <c r="L43" s="336"/>
      <c r="M43" s="68"/>
      <c r="N43" s="68"/>
      <c r="O43" s="68"/>
    </row>
    <row r="44" spans="1:15" ht="15.75">
      <c r="A44" s="328" t="s">
        <v>1157</v>
      </c>
      <c r="B44" s="333">
        <v>240</v>
      </c>
      <c r="C44" s="329">
        <f>287+12</f>
        <v>299</v>
      </c>
      <c r="D44" s="339">
        <f>124.77+(82.27*3.33)</f>
        <v>398.72909999999996</v>
      </c>
      <c r="E44" s="329">
        <f t="shared" si="0"/>
        <v>119220.00089999998</v>
      </c>
      <c r="F44" s="334">
        <f t="shared" si="3"/>
        <v>468.38707376999992</v>
      </c>
      <c r="G44" s="329">
        <f t="shared" si="2"/>
        <v>140047.73505722996</v>
      </c>
      <c r="H44" s="329"/>
      <c r="I44" s="334"/>
      <c r="J44" s="68"/>
      <c r="K44" s="68"/>
      <c r="L44" s="336"/>
      <c r="M44" s="68"/>
      <c r="N44" s="68"/>
      <c r="O44" s="68"/>
    </row>
    <row r="45" spans="1:15" ht="15.75">
      <c r="A45" s="328" t="s">
        <v>1158</v>
      </c>
      <c r="B45" s="333">
        <v>240</v>
      </c>
      <c r="C45" s="329">
        <v>195</v>
      </c>
      <c r="D45" s="339">
        <f>124.77+(82.27*7.66)</f>
        <v>754.95819999999992</v>
      </c>
      <c r="E45" s="329">
        <f t="shared" si="0"/>
        <v>147216.84899999999</v>
      </c>
      <c r="F45" s="334">
        <f t="shared" si="3"/>
        <v>886.84939753999993</v>
      </c>
      <c r="G45" s="329">
        <f t="shared" si="2"/>
        <v>172935.63252029999</v>
      </c>
      <c r="H45" s="329"/>
      <c r="I45" s="334"/>
      <c r="J45" s="68"/>
      <c r="K45" s="68"/>
      <c r="L45" s="336"/>
      <c r="M45" s="68"/>
      <c r="N45" s="68"/>
      <c r="O45" s="68"/>
    </row>
    <row r="46" spans="1:15" ht="15.75">
      <c r="A46" s="328" t="s">
        <v>1159</v>
      </c>
      <c r="B46" s="333">
        <v>240</v>
      </c>
      <c r="C46" s="329">
        <v>122</v>
      </c>
      <c r="D46" s="339">
        <f>124.77+(82.27*11.99)</f>
        <v>1111.1873000000001</v>
      </c>
      <c r="E46" s="329">
        <f t="shared" si="0"/>
        <v>135564.85060000001</v>
      </c>
      <c r="F46" s="334">
        <f t="shared" si="3"/>
        <v>1305.3117213099999</v>
      </c>
      <c r="G46" s="329">
        <f t="shared" si="2"/>
        <v>159248.02999981999</v>
      </c>
      <c r="H46" s="329"/>
      <c r="I46" s="334"/>
      <c r="J46" s="68"/>
      <c r="K46" s="68"/>
      <c r="L46" s="336"/>
      <c r="M46" s="68"/>
      <c r="N46" s="68"/>
      <c r="O46" s="68"/>
    </row>
    <row r="47" spans="1:15" ht="15.75">
      <c r="A47" s="328" t="s">
        <v>1160</v>
      </c>
      <c r="B47" s="333">
        <v>240</v>
      </c>
      <c r="C47" s="329">
        <v>22</v>
      </c>
      <c r="D47" s="339">
        <f>124.77+(82.27*20.65)</f>
        <v>1823.6454999999999</v>
      </c>
      <c r="E47" s="329">
        <f t="shared" si="0"/>
        <v>40120.200999999994</v>
      </c>
      <c r="F47" s="334">
        <f t="shared" si="3"/>
        <v>2142.23636885</v>
      </c>
      <c r="G47" s="329">
        <f t="shared" si="2"/>
        <v>47129.200114699997</v>
      </c>
      <c r="H47" s="329"/>
      <c r="I47" s="334"/>
      <c r="J47" s="68"/>
      <c r="K47" s="68"/>
      <c r="L47" s="336"/>
      <c r="M47" s="68"/>
      <c r="N47" s="68"/>
      <c r="O47" s="68"/>
    </row>
    <row r="48" spans="1:15" ht="15.75">
      <c r="A48" s="328" t="s">
        <v>1161</v>
      </c>
      <c r="B48" s="333"/>
      <c r="C48" s="329">
        <v>418</v>
      </c>
      <c r="D48" s="334">
        <f>3.56*4.33</f>
        <v>15.4148</v>
      </c>
      <c r="E48" s="329">
        <f t="shared" si="0"/>
        <v>6443.3863999999994</v>
      </c>
      <c r="F48" s="334">
        <f t="shared" si="3"/>
        <v>18.107765560000001</v>
      </c>
      <c r="G48" s="329">
        <f t="shared" si="2"/>
        <v>7569.0460040799999</v>
      </c>
      <c r="H48" s="329"/>
      <c r="I48" s="334"/>
      <c r="J48" s="68"/>
      <c r="K48" s="68"/>
      <c r="L48" s="336"/>
      <c r="M48" s="68"/>
      <c r="N48" s="68"/>
      <c r="O48" s="68"/>
    </row>
    <row r="49" spans="1:15" ht="15.75">
      <c r="A49" s="328" t="s">
        <v>1162</v>
      </c>
      <c r="B49" s="333"/>
      <c r="C49" s="329">
        <f>60+24</f>
        <v>84</v>
      </c>
      <c r="D49" s="334">
        <f>3.56*8.33</f>
        <v>29.654800000000002</v>
      </c>
      <c r="E49" s="329">
        <f t="shared" si="0"/>
        <v>2491.0032000000001</v>
      </c>
      <c r="F49" s="334">
        <f t="shared" si="3"/>
        <v>34.835493560000003</v>
      </c>
      <c r="G49" s="329">
        <f t="shared" si="2"/>
        <v>2926.1814590400004</v>
      </c>
      <c r="H49" s="329"/>
      <c r="I49" s="334"/>
      <c r="J49" s="68"/>
      <c r="K49" s="68"/>
      <c r="L49" s="336"/>
      <c r="M49" s="68"/>
      <c r="N49" s="68"/>
      <c r="O49" s="68"/>
    </row>
    <row r="50" spans="1:15" ht="15.75">
      <c r="A50" s="328" t="s">
        <v>1163</v>
      </c>
      <c r="B50" s="333"/>
      <c r="C50" s="329">
        <v>22</v>
      </c>
      <c r="D50" s="334">
        <f>3.56*12.99</f>
        <v>46.244399999999999</v>
      </c>
      <c r="E50" s="329">
        <f t="shared" si="0"/>
        <v>1017.3768</v>
      </c>
      <c r="F50" s="334">
        <f t="shared" si="3"/>
        <v>54.323296679999999</v>
      </c>
      <c r="G50" s="329">
        <f t="shared" si="2"/>
        <v>1195.11252696</v>
      </c>
      <c r="H50" s="329"/>
      <c r="I50" s="334"/>
      <c r="J50" s="68"/>
      <c r="K50" s="68"/>
      <c r="L50" s="336"/>
      <c r="M50" s="68"/>
      <c r="N50" s="68"/>
      <c r="O50" s="68"/>
    </row>
    <row r="51" spans="1:15" ht="15.75">
      <c r="A51" s="328" t="s">
        <v>1164</v>
      </c>
      <c r="B51" s="333"/>
      <c r="C51" s="329">
        <v>13</v>
      </c>
      <c r="D51" s="334">
        <f>3.56*17.32</f>
        <v>61.659199999999998</v>
      </c>
      <c r="E51" s="329">
        <f t="shared" si="0"/>
        <v>801.56960000000004</v>
      </c>
      <c r="F51" s="334">
        <f t="shared" si="3"/>
        <v>72.431062240000003</v>
      </c>
      <c r="G51" s="329">
        <f t="shared" si="2"/>
        <v>941.60380912000005</v>
      </c>
      <c r="H51" s="329"/>
      <c r="I51" s="334"/>
      <c r="J51" s="68"/>
      <c r="K51" s="68"/>
      <c r="L51" s="336"/>
      <c r="M51" s="68"/>
      <c r="N51" s="68"/>
      <c r="O51" s="68"/>
    </row>
    <row r="52" spans="1:15" ht="15.75">
      <c r="A52" s="328" t="s">
        <v>1165</v>
      </c>
      <c r="B52" s="333"/>
      <c r="C52" s="329">
        <f>136+99+32+240</f>
        <v>507</v>
      </c>
      <c r="D52" s="334">
        <f>4.34*4.33</f>
        <v>18.792200000000001</v>
      </c>
      <c r="E52" s="329">
        <f t="shared" si="0"/>
        <v>9527.6454000000012</v>
      </c>
      <c r="F52" s="334">
        <f t="shared" si="3"/>
        <v>22.075197340000003</v>
      </c>
      <c r="G52" s="329">
        <f t="shared" si="2"/>
        <v>11192.125051380001</v>
      </c>
      <c r="H52" s="329"/>
      <c r="I52" s="334"/>
      <c r="J52" s="68"/>
      <c r="K52" s="68"/>
      <c r="L52" s="336"/>
      <c r="M52" s="68"/>
      <c r="N52" s="68"/>
      <c r="O52" s="68"/>
    </row>
    <row r="53" spans="1:15" ht="15.75">
      <c r="A53" s="328" t="s">
        <v>1166</v>
      </c>
      <c r="B53" s="333"/>
      <c r="C53" s="329">
        <f>14+8</f>
        <v>22</v>
      </c>
      <c r="D53" s="334">
        <f>4.34*8.66</f>
        <v>37.584400000000002</v>
      </c>
      <c r="E53" s="329">
        <f t="shared" si="0"/>
        <v>826.85680000000002</v>
      </c>
      <c r="F53" s="334">
        <f t="shared" si="3"/>
        <v>44.150394680000005</v>
      </c>
      <c r="G53" s="329">
        <f t="shared" si="2"/>
        <v>971.30868296000017</v>
      </c>
      <c r="H53" s="329"/>
      <c r="I53" s="334"/>
      <c r="J53" s="68"/>
      <c r="K53" s="68"/>
      <c r="L53" s="336"/>
      <c r="M53" s="68"/>
      <c r="N53" s="68"/>
      <c r="O53" s="68"/>
    </row>
    <row r="54" spans="1:15" ht="15.75">
      <c r="A54" s="328" t="s">
        <v>1167</v>
      </c>
      <c r="B54" s="333"/>
      <c r="C54" s="329">
        <v>30</v>
      </c>
      <c r="D54" s="334">
        <f>4.34*12.99</f>
        <v>56.376599999999996</v>
      </c>
      <c r="E54" s="329">
        <f t="shared" si="0"/>
        <v>1691.2979999999998</v>
      </c>
      <c r="F54" s="334">
        <f t="shared" si="3"/>
        <v>66.225592019999993</v>
      </c>
      <c r="G54" s="329">
        <f t="shared" si="2"/>
        <v>1986.7677605999997</v>
      </c>
      <c r="H54" s="329"/>
      <c r="I54" s="334"/>
      <c r="J54" s="68"/>
      <c r="K54" s="68"/>
      <c r="L54" s="336"/>
      <c r="M54" s="68"/>
      <c r="N54" s="68"/>
      <c r="O54" s="68"/>
    </row>
    <row r="55" spans="1:15" ht="15.75">
      <c r="A55" s="328" t="s">
        <v>1168</v>
      </c>
      <c r="B55" s="333"/>
      <c r="C55" s="329">
        <f>12+23</f>
        <v>35</v>
      </c>
      <c r="D55" s="334">
        <f>4.34*16.32</f>
        <v>70.828800000000001</v>
      </c>
      <c r="E55" s="329">
        <f t="shared" si="0"/>
        <v>2479.0079999999998</v>
      </c>
      <c r="F55" s="334">
        <f t="shared" si="3"/>
        <v>83.20259136</v>
      </c>
      <c r="G55" s="329">
        <f t="shared" si="2"/>
        <v>2912.0906976000001</v>
      </c>
      <c r="H55" s="329"/>
      <c r="I55" s="340"/>
      <c r="J55" s="289"/>
      <c r="K55" s="289"/>
      <c r="L55" s="336"/>
      <c r="M55" s="68"/>
      <c r="N55" s="68"/>
      <c r="O55" s="68"/>
    </row>
    <row r="56" spans="1:15" ht="15.75">
      <c r="A56" s="328" t="s">
        <v>1169</v>
      </c>
      <c r="B56" s="333"/>
      <c r="C56" s="329">
        <f>307+8+50</f>
        <v>365</v>
      </c>
      <c r="D56" s="334">
        <f>5.04*4.33</f>
        <v>21.8232</v>
      </c>
      <c r="E56" s="329">
        <f t="shared" si="0"/>
        <v>7965.4679999999998</v>
      </c>
      <c r="F56" s="334">
        <f t="shared" si="3"/>
        <v>25.635713039999999</v>
      </c>
      <c r="G56" s="329">
        <f t="shared" si="2"/>
        <v>9357.0352595999993</v>
      </c>
      <c r="H56" s="329"/>
      <c r="I56" s="340"/>
      <c r="J56" s="289"/>
      <c r="K56" s="289"/>
      <c r="L56" s="336"/>
      <c r="M56" s="68"/>
      <c r="N56" s="68"/>
      <c r="O56" s="68"/>
    </row>
    <row r="57" spans="1:15" ht="15.75">
      <c r="A57" s="328" t="s">
        <v>1170</v>
      </c>
      <c r="B57" s="333"/>
      <c r="C57" s="329">
        <f>5+35+12+3</f>
        <v>55</v>
      </c>
      <c r="D57" s="334">
        <f>5.04*8.66</f>
        <v>43.6464</v>
      </c>
      <c r="E57" s="329">
        <f t="shared" si="0"/>
        <v>2400.5520000000001</v>
      </c>
      <c r="F57" s="334">
        <f t="shared" si="3"/>
        <v>51.271426079999998</v>
      </c>
      <c r="G57" s="329">
        <f t="shared" si="2"/>
        <v>2819.9284343999998</v>
      </c>
      <c r="H57" s="329"/>
      <c r="I57" s="340"/>
      <c r="J57" s="289"/>
      <c r="K57" s="289"/>
      <c r="L57" s="336"/>
      <c r="M57" s="68"/>
      <c r="N57" s="68"/>
      <c r="O57" s="68"/>
    </row>
    <row r="58" spans="1:15" ht="15.75">
      <c r="A58" s="328" t="s">
        <v>1171</v>
      </c>
      <c r="B58" s="333"/>
      <c r="C58" s="329">
        <f>12+29</f>
        <v>41</v>
      </c>
      <c r="D58" s="334">
        <f>5.04*12.99</f>
        <v>65.4696</v>
      </c>
      <c r="E58" s="329">
        <f t="shared" si="0"/>
        <v>2684.2536</v>
      </c>
      <c r="F58" s="334">
        <f t="shared" si="3"/>
        <v>76.907139119999997</v>
      </c>
      <c r="G58" s="329">
        <f t="shared" si="2"/>
        <v>3153.19270392</v>
      </c>
      <c r="H58" s="329"/>
      <c r="I58" s="340"/>
      <c r="J58" s="289"/>
      <c r="K58" s="289"/>
      <c r="L58" s="336"/>
      <c r="M58" s="68"/>
      <c r="N58" s="68"/>
      <c r="O58" s="68"/>
    </row>
    <row r="59" spans="1:15" ht="15.75">
      <c r="A59" s="328" t="s">
        <v>1172</v>
      </c>
      <c r="B59" s="333"/>
      <c r="C59" s="329">
        <v>23</v>
      </c>
      <c r="D59" s="334">
        <f>5.04*16.32</f>
        <v>82.252800000000008</v>
      </c>
      <c r="E59" s="329">
        <f t="shared" si="0"/>
        <v>1891.8144000000002</v>
      </c>
      <c r="F59" s="334">
        <f t="shared" si="3"/>
        <v>96.622364160000004</v>
      </c>
      <c r="G59" s="329">
        <f t="shared" si="2"/>
        <v>2222.31437568</v>
      </c>
      <c r="H59" s="329"/>
      <c r="I59" s="340"/>
      <c r="J59" s="289"/>
      <c r="K59" s="289"/>
      <c r="L59" s="336"/>
      <c r="M59" s="68"/>
      <c r="N59" s="68"/>
      <c r="O59" s="68"/>
    </row>
    <row r="60" spans="1:15" ht="15.75">
      <c r="A60" s="328" t="s">
        <v>1173</v>
      </c>
      <c r="B60" s="333"/>
      <c r="C60" s="329">
        <f>8+18+205</f>
        <v>231</v>
      </c>
      <c r="D60" s="339">
        <f>6.34*4.33</f>
        <v>27.452200000000001</v>
      </c>
      <c r="E60" s="329">
        <f t="shared" si="0"/>
        <v>6341.4582</v>
      </c>
      <c r="F60" s="334">
        <f t="shared" si="3"/>
        <v>32.248099340000003</v>
      </c>
      <c r="G60" s="329">
        <f t="shared" si="2"/>
        <v>7449.3109475400006</v>
      </c>
      <c r="H60" s="335"/>
      <c r="I60" s="340"/>
      <c r="J60" s="289"/>
      <c r="K60" s="289"/>
      <c r="L60" s="336"/>
      <c r="M60" s="68"/>
      <c r="N60" s="68"/>
      <c r="O60" s="68"/>
    </row>
    <row r="61" spans="1:15" ht="15.75">
      <c r="A61" s="328" t="s">
        <v>1174</v>
      </c>
      <c r="B61" s="333"/>
      <c r="C61" s="329">
        <f>224+71+13</f>
        <v>308</v>
      </c>
      <c r="D61" s="339">
        <f>6.34*8.66</f>
        <v>54.904400000000003</v>
      </c>
      <c r="E61" s="329">
        <f t="shared" si="0"/>
        <v>16910.555200000003</v>
      </c>
      <c r="F61" s="334">
        <f t="shared" si="3"/>
        <v>64.496198680000006</v>
      </c>
      <c r="G61" s="329">
        <f t="shared" si="2"/>
        <v>19864.82919344</v>
      </c>
      <c r="H61" s="335"/>
      <c r="I61" s="340"/>
      <c r="J61" s="289"/>
      <c r="K61" s="289"/>
      <c r="L61" s="336"/>
      <c r="M61" s="68"/>
      <c r="N61" s="68"/>
      <c r="O61" s="68"/>
    </row>
    <row r="62" spans="1:15" ht="15.75">
      <c r="A62" s="328" t="s">
        <v>1175</v>
      </c>
      <c r="B62" s="333"/>
      <c r="C62" s="329">
        <f>24+12+36</f>
        <v>72</v>
      </c>
      <c r="D62" s="339">
        <f>6.34*12.99</f>
        <v>82.3566</v>
      </c>
      <c r="E62" s="329">
        <f t="shared" si="0"/>
        <v>5929.6751999999997</v>
      </c>
      <c r="F62" s="334">
        <f t="shared" si="3"/>
        <v>96.744298020000002</v>
      </c>
      <c r="G62" s="329">
        <f t="shared" si="2"/>
        <v>6965.5894574399999</v>
      </c>
      <c r="H62" s="335"/>
      <c r="I62" s="340"/>
      <c r="J62" s="289"/>
      <c r="K62" s="289"/>
      <c r="L62" s="336"/>
      <c r="M62" s="68"/>
      <c r="N62" s="68"/>
      <c r="O62" s="68"/>
    </row>
    <row r="63" spans="1:15" ht="15.75">
      <c r="A63" s="328" t="s">
        <v>1176</v>
      </c>
      <c r="B63" s="333"/>
      <c r="C63" s="329">
        <f>17+12</f>
        <v>29</v>
      </c>
      <c r="D63" s="339">
        <f>6.34*17.32</f>
        <v>109.80880000000001</v>
      </c>
      <c r="E63" s="329">
        <f t="shared" si="0"/>
        <v>3184.4552000000003</v>
      </c>
      <c r="F63" s="334">
        <f t="shared" si="3"/>
        <v>128.99239736000001</v>
      </c>
      <c r="G63" s="329">
        <f t="shared" si="2"/>
        <v>3740.7795234400005</v>
      </c>
      <c r="H63" s="335"/>
      <c r="I63" s="340"/>
      <c r="J63" s="289"/>
      <c r="K63" s="289"/>
      <c r="L63" s="336"/>
      <c r="M63" s="68"/>
      <c r="N63" s="68"/>
      <c r="O63" s="68"/>
    </row>
    <row r="64" spans="1:15" ht="15.75">
      <c r="A64" s="328" t="s">
        <v>1177</v>
      </c>
      <c r="B64" s="333">
        <v>260</v>
      </c>
      <c r="C64" s="329">
        <v>1353</v>
      </c>
      <c r="D64" s="339">
        <v>8</v>
      </c>
      <c r="E64" s="329">
        <f t="shared" si="0"/>
        <v>10824</v>
      </c>
      <c r="F64" s="334">
        <f t="shared" si="3"/>
        <v>9.3976000000000006</v>
      </c>
      <c r="G64" s="329">
        <f t="shared" si="2"/>
        <v>12714.952800000001</v>
      </c>
      <c r="H64" s="335"/>
      <c r="I64" s="340"/>
      <c r="J64" s="289"/>
      <c r="K64" s="289"/>
      <c r="L64" s="336"/>
      <c r="M64" s="68"/>
      <c r="N64" s="68"/>
      <c r="O64" s="68"/>
    </row>
    <row r="65" spans="1:15">
      <c r="A65" s="328" t="s">
        <v>1178</v>
      </c>
      <c r="B65" s="333">
        <v>150</v>
      </c>
      <c r="C65" s="329">
        <f>7+2236</f>
        <v>2243</v>
      </c>
      <c r="D65" s="339">
        <v>22.36</v>
      </c>
      <c r="E65" s="329">
        <f t="shared" si="0"/>
        <v>50153.479999999996</v>
      </c>
      <c r="F65" s="334">
        <f t="shared" si="3"/>
        <v>26.266292</v>
      </c>
      <c r="G65" s="329">
        <f t="shared" si="2"/>
        <v>58915.292955999998</v>
      </c>
      <c r="H65" s="335"/>
      <c r="I65" s="340"/>
      <c r="J65" s="289"/>
      <c r="K65" s="289"/>
      <c r="L65" s="68"/>
      <c r="M65" s="68"/>
      <c r="N65" s="68"/>
      <c r="O65" s="68"/>
    </row>
    <row r="66" spans="1:15">
      <c r="A66" s="328" t="s">
        <v>1117</v>
      </c>
      <c r="B66" s="333">
        <v>70</v>
      </c>
      <c r="C66" s="329">
        <v>6</v>
      </c>
      <c r="D66" s="339">
        <v>20.879000000000001</v>
      </c>
      <c r="E66" s="329">
        <f t="shared" si="0"/>
        <v>125.274</v>
      </c>
      <c r="F66" s="334">
        <f t="shared" si="3"/>
        <v>24.526561300000001</v>
      </c>
      <c r="G66" s="329">
        <f t="shared" si="2"/>
        <v>147.15936780000001</v>
      </c>
      <c r="H66" s="335"/>
      <c r="I66" s="340"/>
      <c r="J66" s="289"/>
      <c r="K66" s="289"/>
      <c r="L66" s="68"/>
      <c r="M66" s="68"/>
      <c r="N66" s="68"/>
      <c r="O66" s="68"/>
    </row>
    <row r="67" spans="1:15">
      <c r="A67" s="328" t="s">
        <v>1179</v>
      </c>
      <c r="B67" s="333">
        <v>80</v>
      </c>
      <c r="C67" s="329">
        <v>251</v>
      </c>
      <c r="D67" s="339">
        <v>1.65</v>
      </c>
      <c r="E67" s="329">
        <f t="shared" si="0"/>
        <v>414.15</v>
      </c>
      <c r="F67" s="334">
        <f t="shared" si="3"/>
        <v>1.9382549999999998</v>
      </c>
      <c r="G67" s="329">
        <f t="shared" si="2"/>
        <v>486.50200499999994</v>
      </c>
      <c r="H67" s="335"/>
      <c r="I67" s="340"/>
      <c r="J67" s="289"/>
      <c r="K67" s="289"/>
      <c r="L67" s="68"/>
      <c r="M67" s="68"/>
      <c r="N67" s="68"/>
      <c r="O67" s="68"/>
    </row>
    <row r="68" spans="1:15">
      <c r="A68" s="328" t="s">
        <v>1180</v>
      </c>
      <c r="B68" s="333">
        <v>240</v>
      </c>
      <c r="C68" s="329">
        <v>30</v>
      </c>
      <c r="D68" s="339">
        <v>28.56</v>
      </c>
      <c r="E68" s="329">
        <f t="shared" si="0"/>
        <v>856.8</v>
      </c>
      <c r="F68" s="334">
        <f t="shared" si="3"/>
        <v>33.549431999999996</v>
      </c>
      <c r="G68" s="329">
        <f t="shared" si="2"/>
        <v>1006.4829599999998</v>
      </c>
      <c r="H68" s="335"/>
      <c r="I68" s="340"/>
      <c r="J68" s="289"/>
      <c r="K68" s="289"/>
      <c r="L68" s="68"/>
      <c r="M68" s="68"/>
      <c r="N68" s="68"/>
      <c r="O68" s="68"/>
    </row>
    <row r="69" spans="1:15">
      <c r="A69" s="328" t="s">
        <v>1181</v>
      </c>
      <c r="B69" s="333"/>
      <c r="C69" s="329">
        <v>3682</v>
      </c>
      <c r="D69" s="339">
        <v>14.75</v>
      </c>
      <c r="E69" s="329">
        <f t="shared" si="0"/>
        <v>54309.5</v>
      </c>
      <c r="F69" s="334">
        <f t="shared" si="3"/>
        <v>17.326824999999999</v>
      </c>
      <c r="G69" s="329">
        <f t="shared" si="2"/>
        <v>63797.369650000001</v>
      </c>
      <c r="H69" s="335"/>
      <c r="I69" s="340"/>
      <c r="J69" s="289"/>
      <c r="K69" s="289"/>
      <c r="L69" s="68"/>
      <c r="M69" s="68"/>
      <c r="N69" s="68"/>
      <c r="O69" s="68"/>
    </row>
    <row r="70" spans="1:15">
      <c r="A70" s="328" t="s">
        <v>1182</v>
      </c>
      <c r="B70" s="333">
        <v>51</v>
      </c>
      <c r="C70" s="329"/>
      <c r="D70" s="339"/>
      <c r="E70" s="341">
        <f>+D70*C70</f>
        <v>0</v>
      </c>
      <c r="F70" s="334">
        <f t="shared" si="3"/>
        <v>0</v>
      </c>
      <c r="G70" s="341">
        <f t="shared" si="2"/>
        <v>0</v>
      </c>
      <c r="H70" s="335"/>
      <c r="I70" s="340"/>
      <c r="J70" s="289"/>
      <c r="K70" s="289"/>
      <c r="L70" s="68"/>
      <c r="M70" s="68"/>
      <c r="N70" s="68"/>
      <c r="O70" s="68"/>
    </row>
    <row r="71" spans="1:15">
      <c r="A71" s="328" t="s">
        <v>1183</v>
      </c>
      <c r="B71" s="333"/>
      <c r="C71" s="329"/>
      <c r="D71" s="342"/>
      <c r="E71" s="343">
        <f>SUM(E9:E70)</f>
        <v>4615715.315100003</v>
      </c>
      <c r="F71" s="334"/>
      <c r="G71" s="343">
        <f>SUM(G9:G70)</f>
        <v>5422080.7806479707</v>
      </c>
      <c r="H71" s="334"/>
      <c r="I71" s="344">
        <f>+G71-E71</f>
        <v>806365.4655479677</v>
      </c>
      <c r="J71" s="289"/>
      <c r="K71" s="289"/>
      <c r="L71" s="68"/>
      <c r="M71" s="68"/>
      <c r="N71" s="68"/>
      <c r="O71" s="68"/>
    </row>
    <row r="72" spans="1:15">
      <c r="A72" s="328"/>
      <c r="B72" s="333"/>
      <c r="C72" s="329"/>
      <c r="D72" s="342"/>
      <c r="E72" s="284"/>
      <c r="F72" s="334"/>
      <c r="G72" s="329"/>
      <c r="H72" s="334"/>
      <c r="I72" s="329"/>
      <c r="J72" s="68"/>
      <c r="K72" s="68"/>
      <c r="L72" s="68"/>
      <c r="M72" s="68"/>
      <c r="N72" s="68"/>
      <c r="O72" s="68"/>
    </row>
    <row r="73" spans="1:15">
      <c r="A73" s="328"/>
      <c r="B73" s="333"/>
      <c r="C73" s="329"/>
      <c r="D73" s="342"/>
      <c r="E73" s="284"/>
      <c r="F73" s="334"/>
      <c r="G73" s="329"/>
      <c r="H73" s="334"/>
      <c r="I73" s="329"/>
      <c r="J73" s="68"/>
      <c r="K73" s="68"/>
      <c r="L73" s="68"/>
      <c r="M73" s="68"/>
      <c r="N73" s="68"/>
      <c r="O73" s="68"/>
    </row>
    <row r="74" spans="1:15">
      <c r="A74" s="328"/>
      <c r="B74" s="328"/>
      <c r="C74" s="329"/>
      <c r="D74" s="329"/>
      <c r="E74" s="329"/>
      <c r="F74" s="329"/>
      <c r="G74" s="329"/>
      <c r="H74" s="329"/>
      <c r="I74" s="345"/>
      <c r="J74" s="68"/>
      <c r="K74" s="68"/>
      <c r="L74" s="68"/>
      <c r="M74" s="68"/>
      <c r="N74" s="68"/>
      <c r="O74" s="68"/>
    </row>
    <row r="75" spans="1:15">
      <c r="A75" s="329"/>
      <c r="B75" s="329"/>
      <c r="C75" s="331" t="s">
        <v>1184</v>
      </c>
      <c r="D75" s="331" t="s">
        <v>1119</v>
      </c>
      <c r="E75" s="331" t="s">
        <v>1119</v>
      </c>
      <c r="F75" s="331" t="s">
        <v>1072</v>
      </c>
      <c r="G75" s="331" t="s">
        <v>1072</v>
      </c>
      <c r="H75" s="331"/>
      <c r="I75" s="345"/>
      <c r="J75" s="68"/>
      <c r="K75" s="68"/>
      <c r="L75" s="68"/>
      <c r="M75" s="68"/>
      <c r="N75" s="68"/>
      <c r="O75" s="68"/>
    </row>
    <row r="76" spans="1:15">
      <c r="A76" s="332" t="s">
        <v>1077</v>
      </c>
      <c r="B76" s="332"/>
      <c r="C76" s="332" t="s">
        <v>1079</v>
      </c>
      <c r="D76" s="332" t="s">
        <v>1080</v>
      </c>
      <c r="E76" s="332" t="s">
        <v>12</v>
      </c>
      <c r="F76" s="332" t="s">
        <v>1080</v>
      </c>
      <c r="G76" s="332" t="s">
        <v>12</v>
      </c>
      <c r="H76" s="332" t="s">
        <v>1121</v>
      </c>
      <c r="I76" s="345"/>
      <c r="J76" s="68"/>
      <c r="K76" s="68"/>
      <c r="L76" s="68"/>
      <c r="M76" s="68"/>
      <c r="N76" s="68"/>
      <c r="O76" s="68"/>
    </row>
    <row r="77" spans="1:15">
      <c r="A77" s="328"/>
      <c r="B77" s="331" t="s">
        <v>1074</v>
      </c>
      <c r="C77" s="329"/>
      <c r="D77" s="329"/>
      <c r="E77" s="329"/>
      <c r="F77" s="329"/>
      <c r="G77" s="329"/>
      <c r="H77" s="329"/>
      <c r="I77" s="345"/>
      <c r="J77" s="68"/>
      <c r="K77" s="68"/>
      <c r="L77" s="68"/>
      <c r="M77" s="68"/>
      <c r="N77" s="68"/>
      <c r="O77" s="68"/>
    </row>
    <row r="78" spans="1:15">
      <c r="A78" s="346" t="s">
        <v>1185</v>
      </c>
      <c r="B78" s="332" t="s">
        <v>1078</v>
      </c>
      <c r="C78" s="341"/>
      <c r="D78" s="334"/>
      <c r="E78" s="329"/>
      <c r="F78" s="334"/>
      <c r="G78" s="329"/>
      <c r="H78" s="329"/>
      <c r="I78" s="329"/>
      <c r="J78" s="68"/>
      <c r="K78" s="68"/>
      <c r="L78" s="68"/>
      <c r="M78" s="68"/>
      <c r="N78" s="68"/>
      <c r="O78" s="68"/>
    </row>
    <row r="79" spans="1:15">
      <c r="A79" s="328" t="s">
        <v>1186</v>
      </c>
      <c r="B79" s="333">
        <v>255</v>
      </c>
      <c r="C79" s="329">
        <f>24+36</f>
        <v>60</v>
      </c>
      <c r="D79" s="334">
        <v>82.93</v>
      </c>
      <c r="E79" s="329">
        <f>+C79*D79</f>
        <v>4975.8</v>
      </c>
      <c r="F79" s="334">
        <f t="shared" ref="F79:F111" si="4">(+D79*$M$1)+D79</f>
        <v>97.417871000000005</v>
      </c>
      <c r="G79" s="329">
        <f t="shared" ref="G79:G111" si="5">C79*F79</f>
        <v>5845.0722599999999</v>
      </c>
      <c r="H79" s="329"/>
      <c r="I79" s="329"/>
      <c r="J79" s="68"/>
      <c r="K79" s="68"/>
      <c r="L79" s="68"/>
      <c r="M79" s="68"/>
      <c r="N79" s="68"/>
      <c r="O79" s="68"/>
    </row>
    <row r="80" spans="1:15">
      <c r="A80" s="328" t="s">
        <v>1187</v>
      </c>
      <c r="B80" s="333">
        <v>255</v>
      </c>
      <c r="C80" s="329">
        <v>48</v>
      </c>
      <c r="D80" s="334">
        <f>82.93*4</f>
        <v>331.72</v>
      </c>
      <c r="E80" s="329">
        <f>+C80*D80</f>
        <v>15922.560000000001</v>
      </c>
      <c r="F80" s="334">
        <f t="shared" si="4"/>
        <v>389.67148400000002</v>
      </c>
      <c r="G80" s="329">
        <f t="shared" si="5"/>
        <v>18704.231232000002</v>
      </c>
      <c r="H80" s="329"/>
      <c r="I80" s="329"/>
      <c r="J80" s="68"/>
      <c r="K80" s="68"/>
      <c r="L80" s="68"/>
      <c r="M80" s="68"/>
      <c r="N80" s="68"/>
      <c r="O80" s="68"/>
    </row>
    <row r="81" spans="1:15">
      <c r="A81" s="328" t="s">
        <v>1188</v>
      </c>
      <c r="B81" s="333">
        <v>255</v>
      </c>
      <c r="C81" s="329">
        <f>29+24</f>
        <v>53</v>
      </c>
      <c r="D81" s="334">
        <v>100.97</v>
      </c>
      <c r="E81" s="329">
        <f t="shared" ref="E81:E110" si="6">+C81*D81</f>
        <v>5351.41</v>
      </c>
      <c r="F81" s="334">
        <f t="shared" si="4"/>
        <v>118.609459</v>
      </c>
      <c r="G81" s="329">
        <f t="shared" si="5"/>
        <v>6286.3013270000001</v>
      </c>
      <c r="H81" s="329"/>
      <c r="I81" s="329"/>
      <c r="J81" s="68"/>
      <c r="K81" s="68"/>
      <c r="L81" s="68"/>
      <c r="M81" s="68"/>
      <c r="N81" s="68"/>
      <c r="O81" s="68"/>
    </row>
    <row r="82" spans="1:15">
      <c r="A82" s="328" t="s">
        <v>1189</v>
      </c>
      <c r="B82" s="333">
        <v>255</v>
      </c>
      <c r="C82" s="329">
        <v>25</v>
      </c>
      <c r="D82" s="334">
        <v>126.25</v>
      </c>
      <c r="E82" s="329">
        <f t="shared" si="6"/>
        <v>3156.25</v>
      </c>
      <c r="F82" s="334">
        <f t="shared" si="4"/>
        <v>148.30587500000001</v>
      </c>
      <c r="G82" s="329">
        <f t="shared" si="5"/>
        <v>3707.6468750000004</v>
      </c>
      <c r="H82" s="329"/>
      <c r="I82" s="329"/>
      <c r="J82" s="68"/>
      <c r="K82" s="68"/>
      <c r="L82" s="68"/>
      <c r="M82" s="68"/>
      <c r="N82" s="68"/>
      <c r="O82" s="68"/>
    </row>
    <row r="83" spans="1:15">
      <c r="A83" s="328" t="s">
        <v>1190</v>
      </c>
      <c r="B83" s="333">
        <v>255</v>
      </c>
      <c r="C83" s="329">
        <v>12</v>
      </c>
      <c r="D83" s="334">
        <v>138.52000000000001</v>
      </c>
      <c r="E83" s="329">
        <f t="shared" si="6"/>
        <v>1662.2400000000002</v>
      </c>
      <c r="F83" s="334">
        <f t="shared" si="4"/>
        <v>162.71944400000001</v>
      </c>
      <c r="G83" s="329">
        <f t="shared" si="5"/>
        <v>1952.6333280000001</v>
      </c>
      <c r="H83" s="329"/>
      <c r="I83" s="329"/>
      <c r="J83" s="68"/>
      <c r="K83" s="68"/>
      <c r="L83" s="68"/>
      <c r="M83" s="68"/>
      <c r="N83" s="68"/>
      <c r="O83" s="68"/>
    </row>
    <row r="84" spans="1:15">
      <c r="A84" s="328" t="s">
        <v>1191</v>
      </c>
      <c r="B84" s="333">
        <v>260</v>
      </c>
      <c r="C84" s="329"/>
      <c r="D84" s="334">
        <v>153.86000000000001</v>
      </c>
      <c r="E84" s="329">
        <f t="shared" si="6"/>
        <v>0</v>
      </c>
      <c r="F84" s="334">
        <f t="shared" si="4"/>
        <v>180.73934200000002</v>
      </c>
      <c r="G84" s="329">
        <f t="shared" si="5"/>
        <v>0</v>
      </c>
      <c r="H84" s="335"/>
      <c r="I84" s="329"/>
      <c r="J84" s="68"/>
      <c r="K84" s="68"/>
      <c r="L84" s="68"/>
      <c r="M84" s="68"/>
      <c r="N84" s="68"/>
      <c r="O84" s="68"/>
    </row>
    <row r="85" spans="1:15">
      <c r="A85" s="328" t="s">
        <v>1192</v>
      </c>
      <c r="B85" s="333">
        <v>260</v>
      </c>
      <c r="C85" s="329"/>
      <c r="D85" s="334">
        <v>78.95</v>
      </c>
      <c r="E85" s="329">
        <f t="shared" si="6"/>
        <v>0</v>
      </c>
      <c r="F85" s="334">
        <f t="shared" si="4"/>
        <v>92.742564999999999</v>
      </c>
      <c r="G85" s="329">
        <f t="shared" si="5"/>
        <v>0</v>
      </c>
      <c r="H85" s="335"/>
      <c r="I85" s="329"/>
      <c r="J85" s="68"/>
      <c r="K85" s="68"/>
      <c r="L85" s="68"/>
      <c r="M85" s="68"/>
      <c r="N85" s="68"/>
      <c r="O85" s="68"/>
    </row>
    <row r="86" spans="1:15">
      <c r="A86" s="328" t="s">
        <v>1193</v>
      </c>
      <c r="B86" s="333">
        <v>260</v>
      </c>
      <c r="C86" s="329"/>
      <c r="D86" s="334">
        <v>153.86000000000001</v>
      </c>
      <c r="E86" s="329">
        <f t="shared" si="6"/>
        <v>0</v>
      </c>
      <c r="F86" s="334">
        <f t="shared" si="4"/>
        <v>180.73934200000002</v>
      </c>
      <c r="G86" s="329">
        <f t="shared" si="5"/>
        <v>0</v>
      </c>
      <c r="H86" s="335"/>
      <c r="I86" s="329"/>
      <c r="J86" s="68"/>
      <c r="K86" s="68"/>
      <c r="L86" s="68"/>
      <c r="M86" s="68"/>
      <c r="N86" s="68"/>
      <c r="O86" s="68"/>
    </row>
    <row r="87" spans="1:15">
      <c r="A87" s="328" t="s">
        <v>1194</v>
      </c>
      <c r="B87" s="333">
        <v>260</v>
      </c>
      <c r="C87" s="329">
        <v>2160</v>
      </c>
      <c r="D87" s="334">
        <v>78.95</v>
      </c>
      <c r="E87" s="329">
        <f t="shared" si="6"/>
        <v>170532</v>
      </c>
      <c r="F87" s="334">
        <f t="shared" si="4"/>
        <v>92.742564999999999</v>
      </c>
      <c r="G87" s="329">
        <f t="shared" si="5"/>
        <v>200323.94039999999</v>
      </c>
      <c r="H87" s="335"/>
      <c r="I87" s="329"/>
      <c r="J87" s="68"/>
      <c r="K87" s="68"/>
      <c r="L87" s="68"/>
      <c r="M87" s="68"/>
      <c r="N87" s="68"/>
      <c r="O87" s="68"/>
    </row>
    <row r="88" spans="1:15">
      <c r="A88" s="328" t="s">
        <v>1195</v>
      </c>
      <c r="B88" s="333">
        <v>260</v>
      </c>
      <c r="C88" s="329"/>
      <c r="D88" s="334">
        <v>166.89</v>
      </c>
      <c r="E88" s="329">
        <f t="shared" si="6"/>
        <v>0</v>
      </c>
      <c r="F88" s="334">
        <f t="shared" si="4"/>
        <v>196.045683</v>
      </c>
      <c r="G88" s="329">
        <f t="shared" si="5"/>
        <v>0</v>
      </c>
      <c r="H88" s="335"/>
      <c r="I88" s="329"/>
      <c r="J88" s="68"/>
      <c r="K88" s="68"/>
      <c r="L88" s="68"/>
      <c r="M88" s="68"/>
      <c r="N88" s="68"/>
      <c r="O88" s="68"/>
    </row>
    <row r="89" spans="1:15">
      <c r="A89" s="328" t="s">
        <v>1196</v>
      </c>
      <c r="B89" s="333">
        <v>260</v>
      </c>
      <c r="C89" s="329"/>
      <c r="D89" s="334">
        <v>83.86</v>
      </c>
      <c r="E89" s="329">
        <f t="shared" si="6"/>
        <v>0</v>
      </c>
      <c r="F89" s="334">
        <f t="shared" si="4"/>
        <v>98.510341999999994</v>
      </c>
      <c r="G89" s="329">
        <f t="shared" si="5"/>
        <v>0</v>
      </c>
      <c r="H89" s="335"/>
      <c r="I89" s="329"/>
      <c r="J89" s="68"/>
      <c r="K89" s="68"/>
      <c r="L89" s="68"/>
      <c r="M89" s="68"/>
      <c r="N89" s="68"/>
      <c r="O89" s="68"/>
    </row>
    <row r="90" spans="1:15">
      <c r="A90" s="328" t="s">
        <v>1197</v>
      </c>
      <c r="B90" s="333">
        <v>260</v>
      </c>
      <c r="C90" s="329"/>
      <c r="D90" s="334">
        <v>180.42</v>
      </c>
      <c r="E90" s="329">
        <f t="shared" si="6"/>
        <v>0</v>
      </c>
      <c r="F90" s="334">
        <f t="shared" si="4"/>
        <v>211.93937399999999</v>
      </c>
      <c r="G90" s="329">
        <f t="shared" si="5"/>
        <v>0</v>
      </c>
      <c r="H90" s="335"/>
      <c r="I90" s="329"/>
      <c r="J90" s="68"/>
      <c r="K90" s="68"/>
      <c r="L90" s="68"/>
      <c r="M90" s="68"/>
      <c r="N90" s="68"/>
      <c r="O90" s="68"/>
    </row>
    <row r="91" spans="1:15">
      <c r="A91" s="328" t="s">
        <v>1198</v>
      </c>
      <c r="B91" s="333">
        <v>260</v>
      </c>
      <c r="C91" s="329">
        <v>125</v>
      </c>
      <c r="D91" s="334">
        <v>89.76</v>
      </c>
      <c r="E91" s="329">
        <f t="shared" si="6"/>
        <v>11220</v>
      </c>
      <c r="F91" s="334">
        <f t="shared" si="4"/>
        <v>105.44107200000001</v>
      </c>
      <c r="G91" s="329">
        <f t="shared" si="5"/>
        <v>13180.134</v>
      </c>
      <c r="H91" s="335"/>
      <c r="I91" s="329"/>
      <c r="J91" s="68"/>
      <c r="K91" s="68"/>
      <c r="L91" s="68"/>
      <c r="M91" s="68"/>
      <c r="N91" s="68"/>
      <c r="O91" s="68"/>
    </row>
    <row r="92" spans="1:15">
      <c r="A92" s="328" t="s">
        <v>1199</v>
      </c>
      <c r="B92" s="333">
        <v>260</v>
      </c>
      <c r="C92" s="329"/>
      <c r="D92" s="334">
        <v>200.76</v>
      </c>
      <c r="E92" s="329">
        <f t="shared" si="6"/>
        <v>0</v>
      </c>
      <c r="F92" s="334">
        <f t="shared" si="4"/>
        <v>235.83277199999998</v>
      </c>
      <c r="G92" s="329">
        <f t="shared" si="5"/>
        <v>0</v>
      </c>
      <c r="H92" s="335"/>
      <c r="I92" s="329"/>
      <c r="J92" s="68"/>
      <c r="K92" s="68"/>
      <c r="L92" s="68"/>
      <c r="M92" s="68"/>
      <c r="N92" s="68"/>
      <c r="O92" s="68"/>
    </row>
    <row r="93" spans="1:15">
      <c r="A93" s="328" t="s">
        <v>1200</v>
      </c>
      <c r="B93" s="333">
        <v>260</v>
      </c>
      <c r="C93" s="329">
        <f>333+8+1+2920+72+1</f>
        <v>3335</v>
      </c>
      <c r="D93" s="334">
        <v>99.71</v>
      </c>
      <c r="E93" s="329">
        <f t="shared" si="6"/>
        <v>332532.84999999998</v>
      </c>
      <c r="F93" s="334">
        <f t="shared" si="4"/>
        <v>117.12933699999999</v>
      </c>
      <c r="G93" s="329">
        <f t="shared" si="5"/>
        <v>390626.33889499999</v>
      </c>
      <c r="H93" s="335"/>
      <c r="I93" s="329"/>
      <c r="J93" s="68"/>
      <c r="K93" s="68"/>
      <c r="L93" s="68"/>
      <c r="M93" s="68"/>
      <c r="N93" s="68"/>
      <c r="O93" s="68"/>
    </row>
    <row r="94" spans="1:15">
      <c r="A94" s="328" t="s">
        <v>1201</v>
      </c>
      <c r="B94" s="333">
        <v>260</v>
      </c>
      <c r="C94" s="329"/>
      <c r="D94" s="334">
        <v>219.69</v>
      </c>
      <c r="E94" s="329">
        <f t="shared" si="6"/>
        <v>0</v>
      </c>
      <c r="F94" s="334">
        <f t="shared" si="4"/>
        <v>258.06984299999999</v>
      </c>
      <c r="G94" s="329">
        <f t="shared" si="5"/>
        <v>0</v>
      </c>
      <c r="H94" s="335"/>
      <c r="I94" s="329"/>
      <c r="J94" s="68"/>
      <c r="K94" s="68"/>
      <c r="L94" s="68"/>
      <c r="M94" s="68"/>
      <c r="N94" s="68"/>
      <c r="O94" s="68"/>
    </row>
    <row r="95" spans="1:15">
      <c r="A95" s="328" t="s">
        <v>1202</v>
      </c>
      <c r="B95" s="333">
        <v>260</v>
      </c>
      <c r="C95" s="329">
        <v>124</v>
      </c>
      <c r="D95" s="334">
        <v>102.97</v>
      </c>
      <c r="E95" s="329">
        <f t="shared" si="6"/>
        <v>12768.28</v>
      </c>
      <c r="F95" s="334">
        <f t="shared" si="4"/>
        <v>120.95885899999999</v>
      </c>
      <c r="G95" s="329">
        <f t="shared" si="5"/>
        <v>14998.898515999999</v>
      </c>
      <c r="H95" s="335"/>
      <c r="I95" s="329"/>
      <c r="J95" s="68"/>
      <c r="K95" s="68"/>
      <c r="L95" s="68"/>
      <c r="M95" s="68"/>
      <c r="N95" s="68"/>
      <c r="O95" s="68"/>
    </row>
    <row r="96" spans="1:15">
      <c r="A96" s="328" t="s">
        <v>1203</v>
      </c>
      <c r="B96" s="333">
        <v>275</v>
      </c>
      <c r="C96" s="329">
        <v>1</v>
      </c>
      <c r="D96" s="334">
        <v>122.05</v>
      </c>
      <c r="E96" s="329">
        <f t="shared" si="6"/>
        <v>122.05</v>
      </c>
      <c r="F96" s="334">
        <f t="shared" si="4"/>
        <v>143.37213499999999</v>
      </c>
      <c r="G96" s="329">
        <f t="shared" si="5"/>
        <v>143.37213499999999</v>
      </c>
      <c r="H96" s="335"/>
      <c r="I96" s="329"/>
      <c r="J96" s="68"/>
      <c r="K96" s="68"/>
      <c r="L96" s="68"/>
      <c r="M96" s="68"/>
      <c r="N96" s="68"/>
      <c r="O96" s="68"/>
    </row>
    <row r="97" spans="1:15">
      <c r="A97" s="328" t="s">
        <v>1204</v>
      </c>
      <c r="B97" s="333">
        <v>275</v>
      </c>
      <c r="C97" s="329">
        <f>36+26+3704+77</f>
        <v>3843</v>
      </c>
      <c r="D97" s="334">
        <v>145.53</v>
      </c>
      <c r="E97" s="329">
        <f t="shared" si="6"/>
        <v>559271.79</v>
      </c>
      <c r="F97" s="334">
        <f t="shared" si="4"/>
        <v>170.95409100000001</v>
      </c>
      <c r="G97" s="329">
        <f t="shared" si="5"/>
        <v>656976.57171300007</v>
      </c>
      <c r="H97" s="335"/>
      <c r="I97" s="329"/>
      <c r="J97" s="68"/>
      <c r="K97" s="68"/>
      <c r="L97" s="68"/>
      <c r="M97" s="68"/>
      <c r="N97" s="68"/>
      <c r="O97" s="68"/>
    </row>
    <row r="98" spans="1:15">
      <c r="A98" s="328" t="s">
        <v>1205</v>
      </c>
      <c r="B98" s="333">
        <v>260</v>
      </c>
      <c r="C98" s="329">
        <f>30+388+1</f>
        <v>419</v>
      </c>
      <c r="D98" s="334">
        <v>28.38</v>
      </c>
      <c r="E98" s="329">
        <f t="shared" ref="E98:E101" si="7">D98*C98</f>
        <v>11891.22</v>
      </c>
      <c r="F98" s="334">
        <f t="shared" si="4"/>
        <v>33.337986000000001</v>
      </c>
      <c r="G98" s="329">
        <f t="shared" si="5"/>
        <v>13968.616134</v>
      </c>
      <c r="H98" s="335"/>
      <c r="I98" s="329"/>
      <c r="J98" s="68"/>
      <c r="K98" s="68"/>
      <c r="L98" s="68"/>
      <c r="M98" s="68"/>
      <c r="N98" s="68"/>
      <c r="O98" s="68"/>
    </row>
    <row r="99" spans="1:15">
      <c r="A99" s="328" t="s">
        <v>1206</v>
      </c>
      <c r="B99" s="333">
        <v>260</v>
      </c>
      <c r="C99" s="329">
        <f>338+8</f>
        <v>346</v>
      </c>
      <c r="D99" s="334">
        <v>28.38</v>
      </c>
      <c r="E99" s="329">
        <f t="shared" si="7"/>
        <v>9819.48</v>
      </c>
      <c r="F99" s="334">
        <f t="shared" si="4"/>
        <v>33.337986000000001</v>
      </c>
      <c r="G99" s="329">
        <f t="shared" si="5"/>
        <v>11534.943156000001</v>
      </c>
      <c r="H99" s="335"/>
      <c r="I99" s="329"/>
      <c r="J99" s="68"/>
      <c r="K99" s="68"/>
      <c r="L99" s="68"/>
      <c r="M99" s="68"/>
      <c r="N99" s="68"/>
      <c r="O99" s="68"/>
    </row>
    <row r="100" spans="1:15">
      <c r="A100" s="328" t="s">
        <v>1207</v>
      </c>
      <c r="B100" s="333">
        <v>260</v>
      </c>
      <c r="C100" s="329">
        <v>2</v>
      </c>
      <c r="D100" s="334">
        <v>28.38</v>
      </c>
      <c r="E100" s="329">
        <f t="shared" si="7"/>
        <v>56.76</v>
      </c>
      <c r="F100" s="334">
        <f t="shared" si="4"/>
        <v>33.337986000000001</v>
      </c>
      <c r="G100" s="329">
        <f t="shared" si="5"/>
        <v>66.675972000000002</v>
      </c>
      <c r="H100" s="335"/>
      <c r="I100" s="329"/>
      <c r="J100" s="68"/>
      <c r="K100" s="68"/>
      <c r="L100" s="68"/>
      <c r="M100" s="68"/>
      <c r="N100" s="68"/>
      <c r="O100" s="68"/>
    </row>
    <row r="101" spans="1:15">
      <c r="A101" s="328"/>
      <c r="B101" s="333"/>
      <c r="C101" s="329"/>
      <c r="D101" s="334"/>
      <c r="E101" s="329">
        <f t="shared" si="7"/>
        <v>0</v>
      </c>
      <c r="F101" s="334">
        <f t="shared" si="4"/>
        <v>0</v>
      </c>
      <c r="G101" s="329">
        <f t="shared" si="5"/>
        <v>0</v>
      </c>
      <c r="H101" s="335"/>
      <c r="I101" s="329"/>
      <c r="J101" s="68"/>
      <c r="K101" s="68"/>
      <c r="L101" s="68"/>
      <c r="M101" s="68"/>
      <c r="N101" s="68"/>
      <c r="O101" s="68"/>
    </row>
    <row r="102" spans="1:15">
      <c r="A102" s="328" t="s">
        <v>1208</v>
      </c>
      <c r="B102" s="333">
        <v>260</v>
      </c>
      <c r="C102" s="329">
        <f>520+6498+1</f>
        <v>7019</v>
      </c>
      <c r="D102" s="334">
        <v>3.67</v>
      </c>
      <c r="E102" s="329">
        <f t="shared" si="6"/>
        <v>25759.73</v>
      </c>
      <c r="F102" s="334">
        <f t="shared" si="4"/>
        <v>4.3111490000000003</v>
      </c>
      <c r="G102" s="329">
        <f t="shared" si="5"/>
        <v>30259.954831000003</v>
      </c>
      <c r="H102" s="335"/>
      <c r="I102" s="329"/>
      <c r="J102" s="68"/>
      <c r="K102" s="68"/>
      <c r="L102" s="68"/>
      <c r="M102" s="68"/>
      <c r="N102" s="68"/>
      <c r="O102" s="68"/>
    </row>
    <row r="103" spans="1:15">
      <c r="A103" s="328" t="s">
        <v>1209</v>
      </c>
      <c r="B103" s="333">
        <v>260</v>
      </c>
      <c r="C103" s="329">
        <f>884+13593+13+336</f>
        <v>14826</v>
      </c>
      <c r="D103" s="334">
        <v>5.37</v>
      </c>
      <c r="E103" s="329">
        <f t="shared" si="6"/>
        <v>79615.62</v>
      </c>
      <c r="F103" s="334">
        <f t="shared" si="4"/>
        <v>6.3081389999999997</v>
      </c>
      <c r="G103" s="329">
        <f t="shared" si="5"/>
        <v>93524.468813999993</v>
      </c>
      <c r="H103" s="335"/>
      <c r="I103" s="334"/>
      <c r="J103" s="68"/>
      <c r="K103" s="68"/>
      <c r="L103" s="68"/>
      <c r="M103" s="68"/>
      <c r="N103" s="68"/>
      <c r="O103" s="68"/>
    </row>
    <row r="104" spans="1:15">
      <c r="A104" s="328" t="s">
        <v>1210</v>
      </c>
      <c r="B104" s="333">
        <v>260</v>
      </c>
      <c r="C104" s="329"/>
      <c r="D104" s="334">
        <v>6.34</v>
      </c>
      <c r="E104" s="329">
        <f t="shared" si="6"/>
        <v>0</v>
      </c>
      <c r="F104" s="334">
        <f t="shared" si="4"/>
        <v>7.4475979999999993</v>
      </c>
      <c r="G104" s="329">
        <f t="shared" si="5"/>
        <v>0</v>
      </c>
      <c r="H104" s="335"/>
      <c r="I104" s="329"/>
      <c r="J104" s="68"/>
      <c r="K104" s="68"/>
      <c r="L104" s="68"/>
      <c r="M104" s="68"/>
      <c r="N104" s="68"/>
      <c r="O104" s="68"/>
    </row>
    <row r="105" spans="1:15">
      <c r="A105" s="328" t="s">
        <v>1211</v>
      </c>
      <c r="B105" s="333">
        <v>260</v>
      </c>
      <c r="C105" s="329">
        <f>71+572+36</f>
        <v>679</v>
      </c>
      <c r="D105" s="334">
        <v>91.63</v>
      </c>
      <c r="E105" s="329">
        <f t="shared" si="6"/>
        <v>62216.77</v>
      </c>
      <c r="F105" s="334">
        <f t="shared" si="4"/>
        <v>107.637761</v>
      </c>
      <c r="G105" s="329">
        <f t="shared" si="5"/>
        <v>73086.039718999993</v>
      </c>
      <c r="H105" s="335"/>
      <c r="I105" s="329"/>
      <c r="J105" s="68"/>
      <c r="K105" s="68"/>
      <c r="L105" s="68"/>
      <c r="M105" s="68"/>
      <c r="N105" s="68"/>
      <c r="O105" s="68"/>
    </row>
    <row r="106" spans="1:15">
      <c r="A106" s="328" t="s">
        <v>1212</v>
      </c>
      <c r="B106" s="333">
        <v>260</v>
      </c>
      <c r="C106" s="329">
        <v>12</v>
      </c>
      <c r="D106" s="334">
        <v>115.26</v>
      </c>
      <c r="E106" s="329">
        <f t="shared" si="6"/>
        <v>1383.1200000000001</v>
      </c>
      <c r="F106" s="334">
        <f t="shared" si="4"/>
        <v>135.39592200000001</v>
      </c>
      <c r="G106" s="329">
        <f t="shared" si="5"/>
        <v>1624.751064</v>
      </c>
      <c r="H106" s="335"/>
      <c r="I106" s="329"/>
      <c r="J106" s="68"/>
      <c r="K106" s="68"/>
      <c r="L106" s="68"/>
      <c r="M106" s="68"/>
      <c r="N106" s="68"/>
      <c r="O106" s="68"/>
    </row>
    <row r="107" spans="1:15">
      <c r="A107" s="328" t="s">
        <v>1213</v>
      </c>
      <c r="B107" s="333">
        <v>260</v>
      </c>
      <c r="C107" s="329">
        <f>196+856+60</f>
        <v>1112</v>
      </c>
      <c r="D107" s="334">
        <v>134.32</v>
      </c>
      <c r="E107" s="329">
        <f t="shared" si="6"/>
        <v>149363.84</v>
      </c>
      <c r="F107" s="334">
        <f t="shared" si="4"/>
        <v>157.78570399999998</v>
      </c>
      <c r="G107" s="329">
        <f t="shared" si="5"/>
        <v>175457.70284799999</v>
      </c>
      <c r="H107" s="335"/>
      <c r="I107" s="329"/>
      <c r="J107" s="68"/>
      <c r="K107" s="68"/>
      <c r="L107" s="68"/>
      <c r="M107" s="68"/>
      <c r="N107" s="68"/>
      <c r="O107" s="68"/>
    </row>
    <row r="108" spans="1:15">
      <c r="A108" s="328" t="s">
        <v>1214</v>
      </c>
      <c r="B108" s="333">
        <v>260</v>
      </c>
      <c r="C108" s="329">
        <f>24+60+252</f>
        <v>336</v>
      </c>
      <c r="D108" s="334">
        <v>157.94</v>
      </c>
      <c r="E108" s="329">
        <f t="shared" si="6"/>
        <v>53067.839999999997</v>
      </c>
      <c r="F108" s="334">
        <f t="shared" si="4"/>
        <v>185.532118</v>
      </c>
      <c r="G108" s="329">
        <f t="shared" si="5"/>
        <v>62338.791647999999</v>
      </c>
      <c r="H108" s="335"/>
      <c r="I108" s="329"/>
      <c r="J108" s="68"/>
      <c r="K108" s="68"/>
      <c r="L108" s="68"/>
      <c r="M108" s="68"/>
      <c r="N108" s="68"/>
      <c r="O108" s="68"/>
    </row>
    <row r="109" spans="1:15">
      <c r="A109" s="328" t="s">
        <v>1215</v>
      </c>
      <c r="B109" s="333" t="s">
        <v>1216</v>
      </c>
      <c r="C109" s="329">
        <v>40</v>
      </c>
      <c r="D109" s="334">
        <v>5.25</v>
      </c>
      <c r="E109" s="329">
        <f t="shared" si="6"/>
        <v>210</v>
      </c>
      <c r="F109" s="334">
        <v>6.25</v>
      </c>
      <c r="G109" s="329">
        <f t="shared" si="5"/>
        <v>250</v>
      </c>
      <c r="H109" s="335"/>
      <c r="I109" s="329"/>
      <c r="J109" s="68"/>
      <c r="K109" s="68"/>
      <c r="L109" s="68"/>
      <c r="M109" s="68"/>
      <c r="N109" s="68"/>
      <c r="O109" s="68"/>
    </row>
    <row r="110" spans="1:15">
      <c r="A110" s="328" t="s">
        <v>1217</v>
      </c>
      <c r="B110" s="333">
        <v>260</v>
      </c>
      <c r="C110" s="329"/>
      <c r="D110" s="334"/>
      <c r="E110" s="329">
        <f t="shared" si="6"/>
        <v>0</v>
      </c>
      <c r="F110" s="334">
        <f t="shared" si="4"/>
        <v>0</v>
      </c>
      <c r="G110" s="329">
        <f t="shared" si="5"/>
        <v>0</v>
      </c>
      <c r="H110" s="335"/>
      <c r="I110" s="329"/>
      <c r="J110" s="68"/>
      <c r="K110" s="68"/>
      <c r="L110" s="68"/>
      <c r="M110" s="68"/>
      <c r="N110" s="68"/>
      <c r="O110" s="68"/>
    </row>
    <row r="111" spans="1:15">
      <c r="A111" s="328" t="s">
        <v>1218</v>
      </c>
      <c r="B111" s="333">
        <v>160</v>
      </c>
      <c r="C111" s="341">
        <f>123+11</f>
        <v>134</v>
      </c>
      <c r="D111" s="347">
        <v>83.36</v>
      </c>
      <c r="E111" s="341">
        <f t="shared" ref="E111" si="8">C111*D111</f>
        <v>11170.24</v>
      </c>
      <c r="F111" s="334">
        <f t="shared" si="4"/>
        <v>97.922991999999994</v>
      </c>
      <c r="G111" s="329">
        <f t="shared" si="5"/>
        <v>13121.680928</v>
      </c>
      <c r="H111" s="335"/>
      <c r="I111" s="329"/>
      <c r="J111" s="68"/>
      <c r="K111" s="68"/>
      <c r="L111" s="68"/>
      <c r="M111" s="68"/>
      <c r="N111" s="68"/>
      <c r="O111" s="68"/>
    </row>
    <row r="112" spans="1:15">
      <c r="A112" s="329"/>
      <c r="B112" s="329"/>
      <c r="C112" s="329"/>
      <c r="D112" s="329"/>
      <c r="E112" s="348">
        <f>SUM(E84:E111)</f>
        <v>1491001.5900000005</v>
      </c>
      <c r="F112" s="329"/>
      <c r="G112" s="348">
        <f>SUM(G84:G111)</f>
        <v>1751482.880773</v>
      </c>
      <c r="H112" s="349"/>
      <c r="I112" s="340">
        <f>+G112-E112</f>
        <v>260481.2907729994</v>
      </c>
      <c r="J112" s="68"/>
      <c r="K112" s="68"/>
      <c r="L112" s="68"/>
      <c r="M112" s="68"/>
      <c r="N112" s="68"/>
      <c r="O112" s="68"/>
    </row>
    <row r="113" spans="1:15">
      <c r="A113" s="328" t="s">
        <v>1219</v>
      </c>
      <c r="B113" s="328"/>
      <c r="C113" s="329"/>
      <c r="D113" s="329"/>
      <c r="E113" s="329">
        <f>+E71+E112</f>
        <v>6106716.9051000038</v>
      </c>
      <c r="F113" s="329"/>
      <c r="G113" s="329">
        <f>+G71+G112</f>
        <v>7173563.6614209712</v>
      </c>
      <c r="H113" s="329"/>
      <c r="I113" s="329"/>
      <c r="J113" s="68"/>
      <c r="K113" s="68"/>
      <c r="L113" s="68"/>
      <c r="M113" s="68"/>
      <c r="N113" s="68"/>
      <c r="O113" s="68"/>
    </row>
    <row r="114" spans="1:15">
      <c r="A114" s="328"/>
      <c r="B114" s="328"/>
      <c r="C114" s="329"/>
      <c r="D114" s="334"/>
      <c r="E114" s="329"/>
      <c r="F114" s="334"/>
      <c r="G114" s="329">
        <f>+G113-E113</f>
        <v>1066846.7563209673</v>
      </c>
      <c r="H114" s="335"/>
      <c r="I114" s="329"/>
      <c r="J114" s="68"/>
      <c r="K114" s="68"/>
      <c r="L114" s="68"/>
      <c r="M114" s="68"/>
      <c r="N114" s="68"/>
      <c r="O114" s="68"/>
    </row>
    <row r="115" spans="1:15">
      <c r="A115" s="66"/>
      <c r="B115" s="66"/>
      <c r="C115" s="66"/>
      <c r="D115" s="66"/>
      <c r="E115" s="66"/>
      <c r="F115" s="66"/>
      <c r="G115" s="66"/>
      <c r="H115" s="66"/>
      <c r="I115" s="66"/>
      <c r="J115" s="66"/>
      <c r="K115" s="66"/>
      <c r="L115" s="66"/>
      <c r="M115" s="66"/>
      <c r="N115" s="66"/>
      <c r="O115" s="66"/>
    </row>
    <row r="116" spans="1:15">
      <c r="A116" s="66"/>
      <c r="B116" s="66"/>
      <c r="C116" s="66"/>
      <c r="D116" s="66"/>
      <c r="E116" s="66"/>
      <c r="F116" s="66"/>
      <c r="G116" s="66"/>
      <c r="H116" s="66"/>
      <c r="I116" s="66"/>
      <c r="J116" s="66"/>
      <c r="K116" s="66"/>
      <c r="L116" s="66"/>
      <c r="M116" s="66"/>
      <c r="N116" s="66"/>
      <c r="O116" s="66"/>
    </row>
    <row r="117" spans="1:15">
      <c r="A117" s="66"/>
      <c r="B117" s="66"/>
      <c r="C117" s="66"/>
      <c r="D117" s="66"/>
      <c r="E117" s="66"/>
      <c r="F117" s="66"/>
      <c r="G117" s="66"/>
      <c r="H117" s="66"/>
      <c r="I117" s="66"/>
      <c r="J117" s="66"/>
      <c r="K117" s="66"/>
      <c r="L117" s="66"/>
      <c r="M117" s="66"/>
      <c r="N117" s="66"/>
      <c r="O117" s="66"/>
    </row>
    <row r="118" spans="1:15">
      <c r="A118" s="66"/>
      <c r="B118" s="66"/>
      <c r="C118" s="66"/>
      <c r="D118" s="66"/>
      <c r="E118" s="66"/>
      <c r="F118" s="66"/>
      <c r="G118" s="66"/>
      <c r="H118" s="66"/>
      <c r="I118" s="66"/>
      <c r="J118" s="66"/>
      <c r="K118" s="66"/>
      <c r="L118" s="66"/>
      <c r="M118" s="66"/>
      <c r="N118" s="66"/>
      <c r="O118" s="66"/>
    </row>
    <row r="119" spans="1:15">
      <c r="A119" s="66"/>
      <c r="B119" s="66"/>
      <c r="C119" s="66"/>
      <c r="D119" s="66"/>
      <c r="E119" s="66"/>
      <c r="F119" s="66"/>
      <c r="G119" s="66"/>
      <c r="H119" s="66"/>
      <c r="I119" s="66"/>
      <c r="J119" s="66"/>
      <c r="K119" s="66"/>
      <c r="L119" s="66"/>
      <c r="M119" s="66"/>
      <c r="N119" s="66"/>
      <c r="O119" s="66"/>
    </row>
    <row r="120" spans="1:15">
      <c r="A120" s="66"/>
      <c r="B120" s="66"/>
      <c r="C120" s="66"/>
      <c r="D120" s="66"/>
      <c r="E120" s="66"/>
      <c r="F120" s="66"/>
      <c r="G120" s="66"/>
      <c r="H120" s="66"/>
      <c r="I120" s="66"/>
      <c r="J120" s="66"/>
      <c r="K120" s="66"/>
      <c r="L120" s="66"/>
      <c r="M120" s="66"/>
      <c r="N120" s="66"/>
      <c r="O120" s="66"/>
    </row>
    <row r="121" spans="1:15">
      <c r="A121" s="66"/>
      <c r="B121" s="66"/>
      <c r="C121" s="66"/>
      <c r="D121" s="66"/>
      <c r="E121" s="66"/>
      <c r="F121" s="66"/>
      <c r="G121" s="66"/>
      <c r="H121" s="66"/>
      <c r="I121" s="66"/>
      <c r="J121" s="66"/>
      <c r="K121" s="66"/>
      <c r="L121" s="66"/>
      <c r="M121" s="66"/>
      <c r="N121" s="66"/>
      <c r="O121" s="66"/>
    </row>
    <row r="122" spans="1:15">
      <c r="A122" s="66"/>
      <c r="B122" s="66"/>
      <c r="C122" s="66"/>
      <c r="D122" s="66"/>
      <c r="E122" s="66"/>
      <c r="F122" s="66"/>
      <c r="G122" s="66"/>
      <c r="H122" s="66"/>
      <c r="I122" s="66"/>
      <c r="J122" s="66"/>
      <c r="K122" s="66"/>
      <c r="L122" s="66"/>
      <c r="M122" s="66"/>
      <c r="N122" s="66"/>
      <c r="O122" s="66"/>
    </row>
    <row r="123" spans="1:15">
      <c r="A123" s="66"/>
      <c r="B123" s="66"/>
      <c r="C123" s="66"/>
      <c r="D123" s="66"/>
      <c r="E123" s="66"/>
      <c r="F123" s="66"/>
      <c r="G123" s="66"/>
      <c r="H123" s="66"/>
      <c r="I123" s="66"/>
      <c r="J123" s="66"/>
      <c r="K123" s="66"/>
      <c r="L123" s="66"/>
      <c r="M123" s="66"/>
      <c r="N123" s="66"/>
      <c r="O123" s="66"/>
    </row>
    <row r="124" spans="1:15">
      <c r="A124" s="66"/>
      <c r="B124" s="66"/>
      <c r="C124" s="66"/>
      <c r="D124" s="66"/>
      <c r="E124" s="66"/>
      <c r="F124" s="66"/>
      <c r="G124" s="66"/>
      <c r="H124" s="66"/>
      <c r="I124" s="66"/>
      <c r="J124" s="66"/>
      <c r="K124" s="66"/>
      <c r="L124" s="66"/>
      <c r="M124" s="66"/>
      <c r="N124" s="66"/>
      <c r="O124" s="66"/>
    </row>
    <row r="125" spans="1:15">
      <c r="A125" s="66"/>
      <c r="B125" s="66"/>
      <c r="C125" s="66"/>
      <c r="D125" s="66"/>
      <c r="E125" s="66"/>
      <c r="F125" s="66"/>
      <c r="G125" s="66"/>
      <c r="H125" s="66"/>
      <c r="I125" s="66"/>
      <c r="J125" s="66"/>
      <c r="K125" s="66"/>
      <c r="L125" s="66"/>
      <c r="M125" s="66"/>
      <c r="N125" s="66"/>
      <c r="O125" s="66"/>
    </row>
    <row r="126" spans="1:15">
      <c r="A126" s="66"/>
      <c r="B126" s="66"/>
      <c r="C126" s="66"/>
      <c r="D126" s="66"/>
      <c r="E126" s="66"/>
      <c r="F126" s="66"/>
      <c r="G126" s="66"/>
      <c r="H126" s="66"/>
      <c r="I126" s="66"/>
      <c r="J126" s="66"/>
      <c r="K126" s="66"/>
      <c r="L126" s="66"/>
      <c r="M126" s="66"/>
      <c r="N126" s="66"/>
      <c r="O126" s="66"/>
    </row>
    <row r="127" spans="1:15">
      <c r="A127" s="66"/>
      <c r="B127" s="66"/>
      <c r="C127" s="66"/>
      <c r="D127" s="66"/>
      <c r="E127" s="66"/>
      <c r="F127" s="66"/>
      <c r="G127" s="66"/>
      <c r="H127" s="66"/>
      <c r="I127" s="66"/>
      <c r="J127" s="66"/>
      <c r="K127" s="66"/>
      <c r="L127" s="66"/>
      <c r="M127" s="66"/>
      <c r="N127" s="66"/>
      <c r="O127" s="66"/>
    </row>
    <row r="128" spans="1:15">
      <c r="A128" s="66"/>
      <c r="B128" s="66"/>
      <c r="C128" s="66"/>
      <c r="D128" s="66"/>
      <c r="E128" s="66"/>
      <c r="F128" s="66"/>
      <c r="G128" s="66"/>
      <c r="H128" s="66"/>
      <c r="I128" s="66"/>
      <c r="J128" s="66"/>
      <c r="K128" s="66"/>
      <c r="L128" s="66"/>
      <c r="M128" s="66"/>
      <c r="N128" s="66"/>
      <c r="O128" s="66"/>
    </row>
    <row r="129" spans="1:15">
      <c r="A129" s="66"/>
      <c r="B129" s="66"/>
      <c r="C129" s="66"/>
      <c r="D129" s="66"/>
      <c r="E129" s="66"/>
      <c r="F129" s="66"/>
      <c r="G129" s="66"/>
      <c r="H129" s="66"/>
      <c r="I129" s="66"/>
      <c r="J129" s="66"/>
      <c r="K129" s="66"/>
      <c r="L129" s="66"/>
      <c r="M129" s="66"/>
      <c r="N129" s="66"/>
      <c r="O129" s="66"/>
    </row>
    <row r="130" spans="1:15">
      <c r="A130" s="66"/>
      <c r="B130" s="66"/>
      <c r="C130" s="66"/>
      <c r="D130" s="66"/>
      <c r="E130" s="66"/>
      <c r="F130" s="66"/>
      <c r="G130" s="66"/>
      <c r="H130" s="66"/>
      <c r="I130" s="66"/>
      <c r="J130" s="66"/>
      <c r="K130" s="66"/>
      <c r="L130" s="66"/>
      <c r="M130" s="66"/>
      <c r="N130" s="66"/>
      <c r="O130" s="66"/>
    </row>
    <row r="131" spans="1:15">
      <c r="A131" s="66"/>
      <c r="B131" s="66"/>
      <c r="C131" s="66"/>
      <c r="D131" s="66"/>
      <c r="E131" s="66"/>
      <c r="F131" s="66"/>
      <c r="G131" s="66"/>
      <c r="H131" s="66"/>
      <c r="I131" s="66"/>
      <c r="J131" s="66"/>
      <c r="K131" s="66"/>
      <c r="L131" s="66"/>
      <c r="M131" s="66"/>
      <c r="N131" s="66"/>
      <c r="O131" s="66"/>
    </row>
    <row r="132" spans="1:15">
      <c r="A132" s="66"/>
      <c r="B132" s="66"/>
      <c r="C132" s="66"/>
      <c r="D132" s="66"/>
      <c r="E132" s="66"/>
      <c r="F132" s="66"/>
      <c r="G132" s="66"/>
      <c r="H132" s="66"/>
      <c r="I132" s="66"/>
      <c r="J132" s="66"/>
      <c r="K132" s="66"/>
      <c r="L132" s="66"/>
      <c r="M132" s="66"/>
      <c r="N132" s="66"/>
      <c r="O132" s="66"/>
    </row>
    <row r="133" spans="1:15">
      <c r="A133" s="66"/>
      <c r="B133" s="66"/>
      <c r="C133" s="66"/>
      <c r="D133" s="66"/>
      <c r="E133" s="66"/>
      <c r="F133" s="66"/>
      <c r="G133" s="66"/>
      <c r="H133" s="66"/>
      <c r="I133" s="66"/>
      <c r="J133" s="66"/>
      <c r="K133" s="66"/>
      <c r="L133" s="66"/>
      <c r="M133" s="66"/>
      <c r="N133" s="66"/>
      <c r="O133" s="66"/>
    </row>
    <row r="134" spans="1:15">
      <c r="A134" s="66"/>
      <c r="B134" s="66"/>
      <c r="C134" s="66"/>
      <c r="D134" s="66"/>
      <c r="E134" s="66"/>
      <c r="F134" s="66"/>
      <c r="G134" s="66"/>
      <c r="H134" s="66"/>
      <c r="I134" s="66"/>
      <c r="J134" s="66"/>
      <c r="K134" s="66"/>
      <c r="L134" s="66"/>
      <c r="M134" s="66"/>
      <c r="N134" s="66"/>
      <c r="O134" s="66"/>
    </row>
    <row r="135" spans="1:15">
      <c r="A135" s="66"/>
      <c r="B135" s="66"/>
      <c r="C135" s="66"/>
      <c r="D135" s="66"/>
      <c r="E135" s="66"/>
      <c r="F135" s="66"/>
      <c r="G135" s="66"/>
      <c r="H135" s="66"/>
      <c r="I135" s="66"/>
      <c r="J135" s="66"/>
      <c r="K135" s="66"/>
      <c r="L135" s="66"/>
      <c r="M135" s="66"/>
      <c r="N135" s="66"/>
      <c r="O135" s="66"/>
    </row>
    <row r="136" spans="1:15">
      <c r="A136" s="66"/>
      <c r="B136" s="66"/>
      <c r="C136" s="66"/>
      <c r="D136" s="66"/>
      <c r="E136" s="66"/>
      <c r="F136" s="66"/>
      <c r="G136" s="66"/>
      <c r="H136" s="66"/>
      <c r="I136" s="66"/>
      <c r="J136" s="66"/>
      <c r="K136" s="66"/>
      <c r="L136" s="66"/>
      <c r="M136" s="66"/>
      <c r="N136" s="66"/>
      <c r="O136" s="66"/>
    </row>
    <row r="137" spans="1:15">
      <c r="A137" s="66"/>
      <c r="B137" s="66"/>
      <c r="C137" s="66"/>
      <c r="D137" s="66"/>
      <c r="E137" s="66"/>
      <c r="F137" s="66"/>
      <c r="G137" s="66"/>
      <c r="H137" s="66"/>
      <c r="I137" s="66"/>
      <c r="J137" s="66"/>
      <c r="K137" s="66"/>
      <c r="L137" s="66"/>
      <c r="M137" s="66"/>
      <c r="N137" s="66"/>
      <c r="O137" s="66"/>
    </row>
    <row r="138" spans="1:15">
      <c r="A138" s="66"/>
      <c r="B138" s="66"/>
      <c r="C138" s="66"/>
      <c r="D138" s="66"/>
      <c r="E138" s="66"/>
      <c r="F138" s="66"/>
      <c r="G138" s="66"/>
      <c r="H138" s="66"/>
      <c r="I138" s="66"/>
      <c r="J138" s="66"/>
      <c r="K138" s="66"/>
      <c r="L138" s="66"/>
      <c r="M138" s="66"/>
      <c r="N138" s="66"/>
      <c r="O138" s="66"/>
    </row>
    <row r="139" spans="1:15">
      <c r="A139" s="66"/>
      <c r="B139" s="66"/>
      <c r="C139" s="66"/>
      <c r="D139" s="66"/>
      <c r="E139" s="66"/>
      <c r="F139" s="66"/>
      <c r="G139" s="66"/>
      <c r="H139" s="66"/>
      <c r="I139" s="66"/>
      <c r="J139" s="66"/>
      <c r="K139" s="66"/>
      <c r="L139" s="66"/>
      <c r="M139" s="66"/>
      <c r="N139" s="66"/>
      <c r="O139" s="66"/>
    </row>
    <row r="140" spans="1:15">
      <c r="A140" s="66"/>
      <c r="B140" s="66"/>
      <c r="C140" s="66"/>
      <c r="D140" s="66"/>
      <c r="E140" s="66"/>
      <c r="F140" s="66"/>
      <c r="G140" s="66"/>
      <c r="H140" s="66"/>
      <c r="I140" s="66"/>
      <c r="J140" s="66"/>
      <c r="K140" s="66"/>
      <c r="L140" s="66"/>
      <c r="M140" s="66"/>
      <c r="N140" s="66"/>
      <c r="O140" s="66"/>
    </row>
    <row r="141" spans="1:15">
      <c r="A141" s="66"/>
      <c r="B141" s="66"/>
      <c r="C141" s="66"/>
      <c r="D141" s="66"/>
      <c r="E141" s="66"/>
      <c r="F141" s="66"/>
      <c r="G141" s="66"/>
      <c r="H141" s="66"/>
      <c r="I141" s="66"/>
      <c r="J141" s="66"/>
      <c r="K141" s="66"/>
      <c r="L141" s="66"/>
      <c r="M141" s="66"/>
      <c r="N141" s="66"/>
      <c r="O141" s="66"/>
    </row>
    <row r="142" spans="1:15">
      <c r="A142" s="66"/>
      <c r="B142" s="66"/>
      <c r="C142" s="66"/>
      <c r="D142" s="66"/>
      <c r="E142" s="66"/>
      <c r="F142" s="66"/>
      <c r="G142" s="66"/>
      <c r="H142" s="66"/>
      <c r="I142" s="66"/>
      <c r="J142" s="66"/>
      <c r="K142" s="66"/>
      <c r="L142" s="66"/>
      <c r="M142" s="66"/>
      <c r="N142" s="66"/>
      <c r="O142" s="66"/>
    </row>
    <row r="143" spans="1:15">
      <c r="A143" s="66"/>
      <c r="B143" s="66"/>
      <c r="C143" s="66"/>
      <c r="D143" s="66"/>
      <c r="E143" s="66"/>
      <c r="F143" s="66"/>
      <c r="G143" s="66"/>
      <c r="H143" s="66"/>
      <c r="I143" s="66"/>
      <c r="J143" s="66"/>
      <c r="K143" s="66"/>
      <c r="L143" s="66"/>
      <c r="M143" s="66"/>
      <c r="N143" s="66"/>
      <c r="O143" s="66"/>
    </row>
    <row r="144" spans="1:15">
      <c r="A144" s="66"/>
      <c r="B144" s="66"/>
      <c r="C144" s="66"/>
      <c r="D144" s="66"/>
      <c r="E144" s="66"/>
      <c r="F144" s="66"/>
      <c r="G144" s="66"/>
      <c r="H144" s="66"/>
      <c r="I144" s="66"/>
      <c r="J144" s="66"/>
      <c r="K144" s="66"/>
      <c r="L144" s="66"/>
      <c r="M144" s="66"/>
      <c r="N144" s="66"/>
      <c r="O144" s="66"/>
    </row>
    <row r="145" spans="1:15">
      <c r="A145" s="66"/>
      <c r="B145" s="66"/>
      <c r="C145" s="66"/>
      <c r="D145" s="66"/>
      <c r="E145" s="66"/>
      <c r="F145" s="66"/>
      <c r="G145" s="66"/>
      <c r="H145" s="66"/>
      <c r="I145" s="66"/>
      <c r="J145" s="66"/>
      <c r="K145" s="66"/>
      <c r="L145" s="66"/>
      <c r="M145" s="66"/>
      <c r="N145" s="66"/>
      <c r="O145" s="66"/>
    </row>
    <row r="146" spans="1:15">
      <c r="A146" s="66"/>
      <c r="B146" s="66"/>
      <c r="C146" s="66"/>
      <c r="D146" s="66"/>
      <c r="E146" s="66"/>
      <c r="F146" s="66"/>
      <c r="G146" s="66"/>
      <c r="H146" s="66"/>
      <c r="I146" s="66"/>
      <c r="J146" s="66"/>
      <c r="K146" s="66"/>
      <c r="L146" s="66"/>
      <c r="M146" s="66"/>
      <c r="N146" s="66"/>
      <c r="O146" s="66"/>
    </row>
    <row r="147" spans="1:15">
      <c r="A147" s="66"/>
      <c r="B147" s="66"/>
      <c r="C147" s="66"/>
      <c r="D147" s="66"/>
      <c r="E147" s="66"/>
      <c r="F147" s="66"/>
      <c r="G147" s="66"/>
      <c r="H147" s="66"/>
      <c r="I147" s="66"/>
      <c r="J147" s="66"/>
      <c r="K147" s="66"/>
      <c r="L147" s="66"/>
      <c r="M147" s="66"/>
      <c r="N147" s="66"/>
      <c r="O147" s="66"/>
    </row>
    <row r="148" spans="1:15">
      <c r="A148" s="66"/>
      <c r="B148" s="66"/>
      <c r="C148" s="66"/>
      <c r="D148" s="66"/>
      <c r="E148" s="66"/>
      <c r="F148" s="66"/>
      <c r="G148" s="66"/>
      <c r="H148" s="66"/>
      <c r="I148" s="66"/>
      <c r="J148" s="66"/>
      <c r="K148" s="66"/>
      <c r="L148" s="66"/>
      <c r="M148" s="66"/>
      <c r="N148" s="66"/>
      <c r="O148" s="66"/>
    </row>
    <row r="149" spans="1:15">
      <c r="A149" s="66"/>
      <c r="B149" s="66"/>
      <c r="C149" s="66"/>
      <c r="D149" s="66"/>
      <c r="E149" s="66"/>
      <c r="F149" s="66"/>
      <c r="G149" s="66"/>
      <c r="H149" s="66"/>
      <c r="I149" s="66"/>
      <c r="J149" s="66"/>
      <c r="K149" s="66"/>
      <c r="L149" s="66"/>
      <c r="M149" s="66"/>
      <c r="N149" s="66"/>
      <c r="O149" s="66"/>
    </row>
    <row r="150" spans="1:15">
      <c r="A150" s="66"/>
      <c r="B150" s="66"/>
      <c r="C150" s="66"/>
      <c r="D150" s="66"/>
      <c r="E150" s="66"/>
      <c r="F150" s="66"/>
      <c r="G150" s="66"/>
      <c r="H150" s="66"/>
      <c r="I150" s="66"/>
      <c r="J150" s="66"/>
      <c r="K150" s="66"/>
      <c r="L150" s="66"/>
      <c r="M150" s="66"/>
      <c r="N150" s="66"/>
      <c r="O150" s="66"/>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97E2-54D7-43CB-9979-748F6F7256F0}">
  <sheetPr codeName="Sheet35"/>
  <dimension ref="A1:L37"/>
  <sheetViews>
    <sheetView topLeftCell="A10" workbookViewId="0">
      <selection activeCell="G32" sqref="G32"/>
    </sheetView>
  </sheetViews>
  <sheetFormatPr defaultRowHeight="15"/>
  <cols>
    <col min="1" max="1" width="34.6640625" customWidth="1"/>
    <col min="2" max="2" width="11.6640625" customWidth="1"/>
    <col min="3" max="3" width="16.77734375" customWidth="1"/>
    <col min="5" max="5" width="11.44140625" bestFit="1" customWidth="1"/>
    <col min="6" max="6" width="9.6640625" bestFit="1" customWidth="1"/>
    <col min="7" max="7" width="11.21875" customWidth="1"/>
    <col min="10" max="10" width="11.33203125" customWidth="1"/>
  </cols>
  <sheetData>
    <row r="1" spans="1:12">
      <c r="A1" s="326" t="s">
        <v>128</v>
      </c>
      <c r="B1" s="70"/>
      <c r="C1" s="70"/>
      <c r="D1" s="70"/>
      <c r="E1" s="70"/>
      <c r="F1" s="70"/>
      <c r="G1" s="70"/>
      <c r="H1" s="68"/>
      <c r="I1" s="68"/>
      <c r="J1" s="68"/>
      <c r="K1" s="68"/>
      <c r="L1" s="68"/>
    </row>
    <row r="2" spans="1:12" ht="15.75">
      <c r="A2" s="326" t="s">
        <v>1220</v>
      </c>
      <c r="B2" s="70"/>
      <c r="C2" s="70"/>
      <c r="D2" s="70"/>
      <c r="E2" s="70"/>
      <c r="F2" s="70"/>
      <c r="G2" s="70"/>
      <c r="H2" s="68"/>
      <c r="I2" s="68"/>
      <c r="J2" s="207" t="s">
        <v>1069</v>
      </c>
      <c r="K2" s="301">
        <f>+'Res Cust Count'!T1</f>
        <v>0.17469999999999999</v>
      </c>
      <c r="L2" s="68"/>
    </row>
    <row r="3" spans="1:12" ht="15.75">
      <c r="A3" s="327" t="s">
        <v>1071</v>
      </c>
      <c r="B3" s="70"/>
      <c r="C3" s="70"/>
      <c r="D3" s="70"/>
      <c r="E3" s="70"/>
      <c r="F3" s="70"/>
      <c r="G3" s="70"/>
      <c r="H3" s="68"/>
      <c r="I3" s="68"/>
      <c r="J3" s="68"/>
      <c r="K3" s="68"/>
      <c r="L3" s="68"/>
    </row>
    <row r="4" spans="1:12" ht="15.75">
      <c r="A4" s="327"/>
      <c r="B4" s="70"/>
      <c r="C4" s="70"/>
      <c r="D4" s="70"/>
      <c r="E4" s="70"/>
      <c r="F4" s="70"/>
      <c r="G4" s="70"/>
      <c r="H4" s="68"/>
      <c r="I4" s="68"/>
      <c r="J4" s="68"/>
      <c r="K4" s="68"/>
      <c r="L4" s="68"/>
    </row>
    <row r="5" spans="1:12">
      <c r="A5" s="350" t="s">
        <v>1221</v>
      </c>
      <c r="B5" s="70"/>
      <c r="C5" s="70"/>
      <c r="D5" s="70"/>
      <c r="E5" s="70"/>
      <c r="F5" s="70"/>
      <c r="G5" s="70"/>
      <c r="H5" s="68"/>
      <c r="I5" s="68"/>
      <c r="J5" s="68"/>
      <c r="K5" s="68"/>
      <c r="L5" s="68"/>
    </row>
    <row r="6" spans="1:12">
      <c r="A6" s="329"/>
      <c r="B6" s="331" t="s">
        <v>1074</v>
      </c>
      <c r="C6" s="331"/>
      <c r="D6" s="331" t="s">
        <v>1119</v>
      </c>
      <c r="E6" s="331" t="s">
        <v>1119</v>
      </c>
      <c r="F6" s="331" t="s">
        <v>1072</v>
      </c>
      <c r="G6" s="331" t="s">
        <v>1072</v>
      </c>
      <c r="H6" s="331"/>
      <c r="I6" s="68"/>
      <c r="J6" s="68"/>
      <c r="K6" s="68"/>
      <c r="L6" s="68"/>
    </row>
    <row r="7" spans="1:12">
      <c r="A7" s="332" t="s">
        <v>1077</v>
      </c>
      <c r="B7" s="332" t="s">
        <v>1078</v>
      </c>
      <c r="C7" s="332" t="s">
        <v>1120</v>
      </c>
      <c r="D7" s="332" t="s">
        <v>1080</v>
      </c>
      <c r="E7" s="332" t="s">
        <v>12</v>
      </c>
      <c r="F7" s="332" t="s">
        <v>1080</v>
      </c>
      <c r="G7" s="332" t="s">
        <v>12</v>
      </c>
      <c r="H7" s="332" t="s">
        <v>1121</v>
      </c>
      <c r="I7" s="68"/>
      <c r="J7" s="68"/>
      <c r="K7" s="68"/>
      <c r="L7" s="68"/>
    </row>
    <row r="8" spans="1:12">
      <c r="A8" s="331"/>
      <c r="B8" s="333">
        <v>105</v>
      </c>
      <c r="C8" s="329"/>
      <c r="D8" s="342"/>
      <c r="E8" s="329">
        <f t="shared" ref="E8:E31" si="0">D8*C8</f>
        <v>0</v>
      </c>
      <c r="F8" s="334">
        <f t="shared" ref="F8" si="1">+D8*$M$1</f>
        <v>0</v>
      </c>
      <c r="G8" s="329">
        <f t="shared" ref="G8:G31" si="2">C8*F8</f>
        <v>0</v>
      </c>
      <c r="H8" s="331"/>
      <c r="I8" s="68"/>
      <c r="J8" s="68"/>
      <c r="K8" s="68"/>
      <c r="L8" s="68"/>
    </row>
    <row r="9" spans="1:12">
      <c r="A9" s="328" t="s">
        <v>1222</v>
      </c>
      <c r="B9" s="333">
        <v>105</v>
      </c>
      <c r="C9" s="329">
        <f>38+3+2007+7+263+165+188</f>
        <v>2671</v>
      </c>
      <c r="D9" s="342">
        <v>73.92</v>
      </c>
      <c r="E9" s="329">
        <f t="shared" si="0"/>
        <v>197440.32</v>
      </c>
      <c r="F9" s="334">
        <f>42.8+(14.34*3.33)</f>
        <v>90.552199999999999</v>
      </c>
      <c r="G9" s="329">
        <f t="shared" si="2"/>
        <v>241864.92619999999</v>
      </c>
      <c r="H9" s="68"/>
      <c r="I9" s="68"/>
      <c r="J9" s="68"/>
      <c r="K9" s="68"/>
      <c r="L9" s="68"/>
    </row>
    <row r="10" spans="1:12">
      <c r="A10" s="328" t="s">
        <v>1223</v>
      </c>
      <c r="B10" s="333">
        <v>105</v>
      </c>
      <c r="C10" s="329">
        <v>109</v>
      </c>
      <c r="D10" s="342">
        <f>73.92*2</f>
        <v>147.84</v>
      </c>
      <c r="E10" s="329">
        <f t="shared" si="0"/>
        <v>16114.56</v>
      </c>
      <c r="F10" s="334">
        <f>42.8+(14.34*7.66)</f>
        <v>152.64440000000002</v>
      </c>
      <c r="G10" s="329">
        <f t="shared" si="2"/>
        <v>16638.239600000001</v>
      </c>
      <c r="H10" s="68"/>
      <c r="I10" s="68"/>
      <c r="J10" s="68"/>
      <c r="K10" s="68"/>
      <c r="L10" s="68"/>
    </row>
    <row r="11" spans="1:12">
      <c r="A11" s="328" t="s">
        <v>1224</v>
      </c>
      <c r="B11" s="333">
        <v>105</v>
      </c>
      <c r="C11" s="329">
        <f>108+3</f>
        <v>111</v>
      </c>
      <c r="D11" s="342">
        <f>73.92*3</f>
        <v>221.76</v>
      </c>
      <c r="E11" s="329">
        <f t="shared" si="0"/>
        <v>24615.360000000001</v>
      </c>
      <c r="F11" s="334">
        <f>42.8+(14.34*11.99)</f>
        <v>214.73660000000001</v>
      </c>
      <c r="G11" s="329">
        <f t="shared" si="2"/>
        <v>23835.762600000002</v>
      </c>
      <c r="H11" s="68"/>
      <c r="I11" s="68"/>
      <c r="J11" s="68"/>
      <c r="K11" s="68"/>
      <c r="L11" s="68"/>
    </row>
    <row r="12" spans="1:12">
      <c r="A12" s="328" t="s">
        <v>1225</v>
      </c>
      <c r="B12" s="333">
        <v>105</v>
      </c>
      <c r="C12" s="329">
        <v>36</v>
      </c>
      <c r="D12" s="342">
        <f>73.92*6</f>
        <v>443.52</v>
      </c>
      <c r="E12" s="329">
        <f t="shared" si="0"/>
        <v>15966.72</v>
      </c>
      <c r="F12" s="334">
        <f>42.8+(14.34*24.98)</f>
        <v>401.01320000000004</v>
      </c>
      <c r="G12" s="329">
        <f t="shared" si="2"/>
        <v>14436.475200000001</v>
      </c>
      <c r="H12" s="338"/>
      <c r="I12" s="68"/>
      <c r="J12" s="68"/>
      <c r="K12" s="68"/>
      <c r="L12" s="68"/>
    </row>
    <row r="13" spans="1:12">
      <c r="A13" s="328" t="s">
        <v>1226</v>
      </c>
      <c r="B13" s="333">
        <v>105</v>
      </c>
      <c r="C13" s="329">
        <v>1765</v>
      </c>
      <c r="D13" s="342">
        <v>127.46</v>
      </c>
      <c r="E13" s="329">
        <f t="shared" si="0"/>
        <v>224966.9</v>
      </c>
      <c r="F13" s="334">
        <f>56.25+(3.33*28.48)</f>
        <v>151.08840000000001</v>
      </c>
      <c r="G13" s="329">
        <f t="shared" si="2"/>
        <v>266671.02600000001</v>
      </c>
      <c r="H13" s="68"/>
      <c r="I13" s="68"/>
      <c r="J13" s="68"/>
      <c r="K13" s="68"/>
      <c r="L13" s="68"/>
    </row>
    <row r="14" spans="1:12">
      <c r="A14" s="328" t="s">
        <v>1227</v>
      </c>
      <c r="B14" s="333">
        <v>105</v>
      </c>
      <c r="C14" s="329"/>
      <c r="D14" s="342"/>
      <c r="E14" s="329">
        <f t="shared" si="0"/>
        <v>0</v>
      </c>
      <c r="F14" s="334"/>
      <c r="G14" s="329">
        <f t="shared" si="2"/>
        <v>0</v>
      </c>
      <c r="H14" s="68"/>
      <c r="I14" s="68"/>
      <c r="J14" s="68"/>
      <c r="K14" s="68"/>
      <c r="L14" s="68"/>
    </row>
    <row r="15" spans="1:12">
      <c r="A15" s="328" t="s">
        <v>1228</v>
      </c>
      <c r="B15" s="333">
        <v>105</v>
      </c>
      <c r="C15" s="329"/>
      <c r="D15" s="342"/>
      <c r="E15" s="329">
        <f t="shared" si="0"/>
        <v>0</v>
      </c>
      <c r="F15" s="334"/>
      <c r="G15" s="329">
        <f t="shared" si="2"/>
        <v>0</v>
      </c>
      <c r="H15" s="68"/>
      <c r="I15" s="68"/>
      <c r="J15" s="68"/>
      <c r="K15" s="68"/>
      <c r="L15" s="68"/>
    </row>
    <row r="16" spans="1:12">
      <c r="A16" s="328" t="s">
        <v>1229</v>
      </c>
      <c r="B16" s="333">
        <v>105</v>
      </c>
      <c r="C16" s="329"/>
      <c r="D16" s="342"/>
      <c r="E16" s="329">
        <f t="shared" si="0"/>
        <v>0</v>
      </c>
      <c r="F16" s="334"/>
      <c r="G16" s="329">
        <f t="shared" si="2"/>
        <v>0</v>
      </c>
      <c r="H16" s="68"/>
      <c r="I16" s="68"/>
      <c r="J16" s="68"/>
      <c r="K16" s="68"/>
      <c r="L16" s="68"/>
    </row>
    <row r="17" spans="1:12">
      <c r="A17" s="328" t="s">
        <v>1230</v>
      </c>
      <c r="B17" s="333">
        <v>105</v>
      </c>
      <c r="C17" s="329">
        <v>1968</v>
      </c>
      <c r="D17" s="342">
        <v>173.02</v>
      </c>
      <c r="E17" s="329">
        <f t="shared" si="0"/>
        <v>340503.36000000004</v>
      </c>
      <c r="F17" s="334">
        <f>74.22+(38.96*3.33)</f>
        <v>203.95680000000002</v>
      </c>
      <c r="G17" s="329">
        <f t="shared" si="2"/>
        <v>401386.98240000004</v>
      </c>
      <c r="H17" s="68"/>
      <c r="I17" s="68"/>
      <c r="J17" s="68"/>
      <c r="K17" s="68"/>
      <c r="L17" s="68"/>
    </row>
    <row r="18" spans="1:12">
      <c r="A18" s="328" t="s">
        <v>1231</v>
      </c>
      <c r="B18" s="333">
        <v>105</v>
      </c>
      <c r="C18" s="329"/>
      <c r="D18" s="342"/>
      <c r="E18" s="329">
        <f t="shared" si="0"/>
        <v>0</v>
      </c>
      <c r="F18" s="334"/>
      <c r="G18" s="329">
        <f t="shared" si="2"/>
        <v>0</v>
      </c>
      <c r="H18" s="68"/>
      <c r="I18" s="68"/>
      <c r="J18" s="68"/>
      <c r="K18" s="68"/>
      <c r="L18" s="68"/>
    </row>
    <row r="19" spans="1:12">
      <c r="A19" s="328" t="s">
        <v>1232</v>
      </c>
      <c r="B19" s="333">
        <v>105</v>
      </c>
      <c r="C19" s="329"/>
      <c r="D19" s="342"/>
      <c r="E19" s="329">
        <f t="shared" si="0"/>
        <v>0</v>
      </c>
      <c r="F19" s="334"/>
      <c r="G19" s="329">
        <f t="shared" si="2"/>
        <v>0</v>
      </c>
      <c r="H19" s="68"/>
      <c r="I19" s="68"/>
      <c r="J19" s="68"/>
      <c r="K19" s="68"/>
      <c r="L19" s="68"/>
    </row>
    <row r="20" spans="1:12">
      <c r="A20" s="328" t="s">
        <v>1233</v>
      </c>
      <c r="B20" s="333">
        <v>105</v>
      </c>
      <c r="C20" s="329"/>
      <c r="D20" s="342"/>
      <c r="E20" s="329">
        <f t="shared" si="0"/>
        <v>0</v>
      </c>
      <c r="F20" s="334"/>
      <c r="G20" s="329">
        <f t="shared" si="2"/>
        <v>0</v>
      </c>
      <c r="H20" s="68"/>
      <c r="I20" s="68"/>
      <c r="J20" s="68"/>
      <c r="K20" s="68"/>
      <c r="L20" s="68"/>
    </row>
    <row r="21" spans="1:12">
      <c r="A21" s="328" t="s">
        <v>1234</v>
      </c>
      <c r="B21" s="333">
        <v>105</v>
      </c>
      <c r="C21" s="329"/>
      <c r="D21" s="342"/>
      <c r="E21" s="329">
        <f t="shared" si="0"/>
        <v>0</v>
      </c>
      <c r="F21" s="334"/>
      <c r="G21" s="329">
        <f t="shared" si="2"/>
        <v>0</v>
      </c>
      <c r="H21" s="68"/>
      <c r="I21" s="68"/>
      <c r="J21" s="68"/>
      <c r="K21" s="68"/>
      <c r="L21" s="68"/>
    </row>
    <row r="22" spans="1:12">
      <c r="A22" s="328" t="s">
        <v>1235</v>
      </c>
      <c r="B22" s="333">
        <v>105</v>
      </c>
      <c r="C22" s="329">
        <f>34+62</f>
        <v>96</v>
      </c>
      <c r="D22" s="342">
        <v>227.8</v>
      </c>
      <c r="E22" s="329">
        <f t="shared" si="0"/>
        <v>21868.800000000003</v>
      </c>
      <c r="F22" s="334">
        <f>82.99+(55.51*3.33)</f>
        <v>267.8383</v>
      </c>
      <c r="G22" s="329">
        <f t="shared" si="2"/>
        <v>25712.4768</v>
      </c>
      <c r="H22" s="68"/>
      <c r="I22" s="68"/>
      <c r="J22" s="68"/>
      <c r="K22" s="68"/>
      <c r="L22" s="68"/>
    </row>
    <row r="23" spans="1:12">
      <c r="A23" s="328" t="s">
        <v>1236</v>
      </c>
      <c r="B23" s="333">
        <v>105</v>
      </c>
      <c r="C23" s="329"/>
      <c r="D23" s="342"/>
      <c r="E23" s="329">
        <f t="shared" si="0"/>
        <v>0</v>
      </c>
      <c r="F23" s="334">
        <f t="shared" ref="F23:F31" si="3">+D23</f>
        <v>0</v>
      </c>
      <c r="G23" s="329">
        <f t="shared" si="2"/>
        <v>0</v>
      </c>
      <c r="H23" s="68"/>
      <c r="I23" s="68"/>
      <c r="J23" s="68"/>
      <c r="K23" s="68"/>
      <c r="L23" s="68"/>
    </row>
    <row r="24" spans="1:12">
      <c r="A24" s="328" t="s">
        <v>1237</v>
      </c>
      <c r="B24" s="333">
        <v>105</v>
      </c>
      <c r="C24" s="329"/>
      <c r="D24" s="342"/>
      <c r="E24" s="329">
        <f t="shared" si="0"/>
        <v>0</v>
      </c>
      <c r="F24" s="334">
        <f t="shared" si="3"/>
        <v>0</v>
      </c>
      <c r="G24" s="329">
        <f t="shared" si="2"/>
        <v>0</v>
      </c>
      <c r="H24" s="68"/>
      <c r="I24" s="68"/>
      <c r="J24" s="68"/>
      <c r="K24" s="68"/>
      <c r="L24" s="68"/>
    </row>
    <row r="25" spans="1:12">
      <c r="A25" s="328" t="s">
        <v>1238</v>
      </c>
      <c r="B25" s="333">
        <v>105</v>
      </c>
      <c r="C25" s="329">
        <f>96+65+5</f>
        <v>166</v>
      </c>
      <c r="D25" s="342">
        <v>304.94</v>
      </c>
      <c r="E25" s="329">
        <f t="shared" si="0"/>
        <v>50620.04</v>
      </c>
      <c r="F25" s="334">
        <f>110.65+(73.88*3.33)</f>
        <v>356.67039999999997</v>
      </c>
      <c r="G25" s="329">
        <f t="shared" si="2"/>
        <v>59207.286399999997</v>
      </c>
      <c r="H25" s="68"/>
      <c r="I25" s="68"/>
      <c r="J25" s="68"/>
      <c r="K25" s="68"/>
      <c r="L25" s="68"/>
    </row>
    <row r="26" spans="1:12">
      <c r="A26" s="328" t="s">
        <v>1239</v>
      </c>
      <c r="B26" s="333">
        <v>105</v>
      </c>
      <c r="C26" s="329">
        <v>7</v>
      </c>
      <c r="D26" s="342">
        <f>304.94*2</f>
        <v>609.88</v>
      </c>
      <c r="E26" s="329">
        <f t="shared" si="0"/>
        <v>4269.16</v>
      </c>
      <c r="F26" s="334">
        <f>110.65+(73.88*7.66)</f>
        <v>676.57079999999996</v>
      </c>
      <c r="G26" s="329">
        <f t="shared" si="2"/>
        <v>4735.9956000000002</v>
      </c>
      <c r="H26" s="68"/>
      <c r="I26" s="68"/>
      <c r="J26" s="68"/>
      <c r="K26" s="68"/>
      <c r="L26" s="68"/>
    </row>
    <row r="27" spans="1:12">
      <c r="A27" s="328" t="s">
        <v>1240</v>
      </c>
      <c r="B27" s="333">
        <v>105</v>
      </c>
      <c r="C27" s="329">
        <v>5</v>
      </c>
      <c r="D27" s="342">
        <f>304.94*4</f>
        <v>1219.76</v>
      </c>
      <c r="E27" s="329">
        <f t="shared" si="0"/>
        <v>6098.8</v>
      </c>
      <c r="F27" s="334">
        <f>110.65+(73.88*16.32)</f>
        <v>1316.3715999999999</v>
      </c>
      <c r="G27" s="329">
        <f t="shared" si="2"/>
        <v>6581.8580000000002</v>
      </c>
      <c r="H27" s="68"/>
      <c r="I27" s="68"/>
      <c r="J27" s="68"/>
      <c r="K27" s="68"/>
      <c r="L27" s="68"/>
    </row>
    <row r="28" spans="1:12">
      <c r="A28" s="328" t="s">
        <v>1241</v>
      </c>
      <c r="B28" s="333">
        <v>105</v>
      </c>
      <c r="C28" s="329">
        <v>15</v>
      </c>
      <c r="D28" s="342">
        <v>412.33</v>
      </c>
      <c r="E28" s="329">
        <f t="shared" si="0"/>
        <v>6184.95</v>
      </c>
      <c r="F28" s="334">
        <f>146.58+(96.65*3.33)</f>
        <v>468.42450000000008</v>
      </c>
      <c r="G28" s="329">
        <f t="shared" si="2"/>
        <v>7026.3675000000012</v>
      </c>
      <c r="H28" s="68"/>
      <c r="I28" s="68"/>
      <c r="J28" s="68"/>
      <c r="K28" s="68"/>
      <c r="L28" s="68"/>
    </row>
    <row r="29" spans="1:12">
      <c r="A29" s="328" t="s">
        <v>1242</v>
      </c>
      <c r="B29" s="333">
        <v>105</v>
      </c>
      <c r="C29" s="329">
        <v>2</v>
      </c>
      <c r="D29" s="342">
        <f>412.33*3</f>
        <v>1236.99</v>
      </c>
      <c r="E29" s="329">
        <f t="shared" si="0"/>
        <v>2473.98</v>
      </c>
      <c r="F29" s="334">
        <f>146.58+(96.65*11.99)</f>
        <v>1305.4135000000001</v>
      </c>
      <c r="G29" s="329">
        <f t="shared" si="2"/>
        <v>2610.8270000000002</v>
      </c>
      <c r="H29" s="68"/>
      <c r="I29" s="68"/>
      <c r="J29" s="68"/>
      <c r="K29" s="68"/>
      <c r="L29" s="68"/>
    </row>
    <row r="30" spans="1:12">
      <c r="A30" s="328" t="s">
        <v>1243</v>
      </c>
      <c r="B30" s="333">
        <v>100</v>
      </c>
      <c r="C30" s="329"/>
      <c r="D30" s="342"/>
      <c r="E30" s="329">
        <f t="shared" si="0"/>
        <v>0</v>
      </c>
      <c r="F30" s="334">
        <f t="shared" si="3"/>
        <v>0</v>
      </c>
      <c r="G30" s="329">
        <f t="shared" si="2"/>
        <v>0</v>
      </c>
      <c r="H30" s="68"/>
      <c r="I30" s="68"/>
      <c r="J30" s="68"/>
      <c r="K30" s="68"/>
      <c r="L30" s="68"/>
    </row>
    <row r="31" spans="1:12">
      <c r="A31" s="328" t="s">
        <v>1244</v>
      </c>
      <c r="B31" s="333">
        <v>150</v>
      </c>
      <c r="C31" s="329"/>
      <c r="D31" s="342"/>
      <c r="E31" s="341">
        <f t="shared" si="0"/>
        <v>0</v>
      </c>
      <c r="F31" s="334">
        <f t="shared" si="3"/>
        <v>0</v>
      </c>
      <c r="G31" s="341">
        <f t="shared" si="2"/>
        <v>0</v>
      </c>
      <c r="H31" s="68"/>
      <c r="I31" s="68"/>
      <c r="J31" s="68"/>
      <c r="K31" s="68"/>
      <c r="L31" s="68"/>
    </row>
    <row r="32" spans="1:12">
      <c r="A32" s="328"/>
      <c r="B32" s="333"/>
      <c r="C32" s="329"/>
      <c r="D32" s="342"/>
      <c r="E32" s="343">
        <f>SUM(E9:E27)</f>
        <v>902464.02000000014</v>
      </c>
      <c r="F32" s="334"/>
      <c r="G32" s="343">
        <f>SUM(G9:G27)</f>
        <v>1061071.0288</v>
      </c>
      <c r="H32" s="68"/>
      <c r="I32" s="68"/>
      <c r="J32" s="68"/>
      <c r="K32" s="68"/>
      <c r="L32" s="68"/>
    </row>
    <row r="33" spans="1:12">
      <c r="A33" s="329"/>
      <c r="B33" s="329"/>
      <c r="C33" s="329"/>
      <c r="D33" s="329"/>
      <c r="E33" s="329"/>
      <c r="F33" s="329"/>
      <c r="G33" s="329"/>
      <c r="H33" s="68"/>
      <c r="I33" s="68"/>
      <c r="J33" s="68"/>
      <c r="K33" s="68"/>
      <c r="L33" s="68"/>
    </row>
    <row r="34" spans="1:12">
      <c r="A34" s="68"/>
      <c r="B34" s="68"/>
      <c r="C34" s="68"/>
      <c r="D34" s="68"/>
      <c r="E34" s="68"/>
      <c r="F34" s="68"/>
      <c r="G34" s="68"/>
      <c r="H34" s="68"/>
      <c r="I34" s="68"/>
      <c r="J34" s="68"/>
      <c r="K34" s="68"/>
      <c r="L34" s="68"/>
    </row>
    <row r="35" spans="1:12">
      <c r="A35" s="68"/>
      <c r="B35" s="68"/>
      <c r="C35" s="68"/>
      <c r="D35" s="68"/>
      <c r="E35" s="68"/>
      <c r="F35" s="68"/>
      <c r="G35" s="68"/>
      <c r="H35" s="68"/>
      <c r="I35" s="68"/>
      <c r="J35" s="68"/>
      <c r="K35" s="68"/>
      <c r="L35" s="68"/>
    </row>
    <row r="36" spans="1:12">
      <c r="A36" s="68"/>
      <c r="B36" s="68"/>
      <c r="C36" s="68"/>
      <c r="D36" s="68"/>
      <c r="E36" s="68"/>
      <c r="F36" s="68"/>
      <c r="G36" s="68"/>
      <c r="H36" s="68"/>
      <c r="I36" s="68"/>
      <c r="J36" s="68"/>
      <c r="K36" s="68"/>
      <c r="L36" s="68"/>
    </row>
    <row r="37" spans="1:12">
      <c r="A37" s="68"/>
      <c r="B37" s="68"/>
      <c r="C37" s="68"/>
      <c r="D37" s="68"/>
      <c r="E37" s="68"/>
      <c r="F37" s="68"/>
      <c r="G37" s="68"/>
      <c r="H37" s="68"/>
      <c r="I37" s="68"/>
      <c r="J37" s="68"/>
      <c r="K37" s="68"/>
      <c r="L37" s="6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F60BA-3AE8-4661-87A9-9EE32D7D1DC2}">
  <sheetPr codeName="Sheet36"/>
  <dimension ref="A1:O62"/>
  <sheetViews>
    <sheetView workbookViewId="0">
      <selection activeCell="B15" sqref="B15"/>
    </sheetView>
  </sheetViews>
  <sheetFormatPr defaultRowHeight="15"/>
  <cols>
    <col min="1" max="1" width="24.33203125" customWidth="1"/>
    <col min="2" max="2" width="11.6640625" customWidth="1"/>
    <col min="3" max="3" width="16.77734375" customWidth="1"/>
  </cols>
  <sheetData>
    <row r="1" spans="1:15">
      <c r="A1" s="326" t="s">
        <v>128</v>
      </c>
      <c r="B1" s="283"/>
      <c r="C1" s="283"/>
      <c r="D1" s="283"/>
      <c r="E1" s="283"/>
      <c r="F1" s="283"/>
      <c r="G1" s="283"/>
      <c r="H1" s="283"/>
      <c r="I1" s="68"/>
      <c r="J1" s="68"/>
      <c r="K1" s="68"/>
      <c r="L1" s="68"/>
      <c r="M1" s="68"/>
      <c r="N1" s="68"/>
      <c r="O1" s="68"/>
    </row>
    <row r="2" spans="1:15">
      <c r="A2" s="326" t="s">
        <v>1245</v>
      </c>
      <c r="B2" s="283"/>
      <c r="C2" s="283"/>
      <c r="D2" s="283"/>
      <c r="E2" s="283"/>
      <c r="F2" s="283"/>
      <c r="G2" s="283"/>
      <c r="H2" s="283"/>
      <c r="I2" s="68"/>
      <c r="J2" s="68"/>
      <c r="K2" s="68"/>
      <c r="L2" s="68"/>
      <c r="M2" s="68"/>
      <c r="N2" s="68"/>
      <c r="O2" s="68"/>
    </row>
    <row r="3" spans="1:15">
      <c r="A3" s="326" t="s">
        <v>1246</v>
      </c>
      <c r="B3" s="283"/>
      <c r="C3" s="283"/>
      <c r="D3" s="283"/>
      <c r="E3" s="283"/>
      <c r="F3" s="283"/>
      <c r="G3" s="283"/>
      <c r="H3" s="283"/>
      <c r="I3" s="68"/>
      <c r="J3" s="68"/>
      <c r="K3" s="68"/>
      <c r="L3" s="68"/>
      <c r="M3" s="68"/>
      <c r="N3" s="68"/>
      <c r="O3" s="68"/>
    </row>
    <row r="4" spans="1:15">
      <c r="A4" s="68"/>
      <c r="B4" s="68"/>
      <c r="C4" s="68"/>
      <c r="D4" s="68"/>
      <c r="E4" s="68"/>
      <c r="F4" s="68"/>
      <c r="G4" s="68"/>
      <c r="H4" s="68"/>
      <c r="I4" s="68"/>
      <c r="J4" s="68"/>
      <c r="K4" s="68"/>
      <c r="L4" s="68"/>
      <c r="M4" s="68"/>
      <c r="N4" s="68"/>
      <c r="O4" s="68"/>
    </row>
    <row r="5" spans="1:15">
      <c r="A5" s="68"/>
      <c r="B5" s="68"/>
      <c r="C5" s="68"/>
      <c r="D5" s="68"/>
      <c r="E5" s="68"/>
      <c r="F5" s="68"/>
      <c r="G5" s="68"/>
      <c r="H5" s="68"/>
      <c r="I5" s="68"/>
      <c r="J5" s="68"/>
      <c r="K5" s="68"/>
      <c r="L5" s="68"/>
      <c r="M5" s="68"/>
      <c r="N5" s="68"/>
      <c r="O5" s="68"/>
    </row>
    <row r="6" spans="1:15">
      <c r="A6" s="68"/>
      <c r="B6" s="68"/>
      <c r="C6" s="68"/>
      <c r="D6" s="68"/>
      <c r="E6" s="68"/>
      <c r="F6" s="68"/>
      <c r="G6" s="68"/>
      <c r="H6" s="68"/>
      <c r="I6" s="68"/>
      <c r="J6" s="68"/>
      <c r="K6" s="68"/>
      <c r="L6" s="68"/>
      <c r="M6" s="68"/>
      <c r="N6" s="68"/>
      <c r="O6" s="68"/>
    </row>
    <row r="7" spans="1:15" ht="15.75">
      <c r="A7" s="68"/>
      <c r="B7" s="68"/>
      <c r="C7" s="290" t="s">
        <v>1247</v>
      </c>
      <c r="D7" s="290" t="s">
        <v>935</v>
      </c>
      <c r="E7" s="68"/>
      <c r="F7" s="68"/>
      <c r="G7" s="68"/>
      <c r="H7" s="68"/>
      <c r="I7" s="68"/>
      <c r="J7" s="68"/>
      <c r="K7" s="68"/>
      <c r="L7" s="68"/>
      <c r="M7" s="68"/>
      <c r="N7" s="68"/>
      <c r="O7" s="68"/>
    </row>
    <row r="8" spans="1:15" ht="15.75">
      <c r="A8" s="328" t="s">
        <v>1248</v>
      </c>
      <c r="B8" s="333"/>
      <c r="C8" s="329">
        <f>118+75+499+12+90+14+4+95+14+12+24+23+35+978+15+1065+36+24+12+830+12+130+620+24+96+30+1647+173+72+252+2500+173+6+51+20+12</f>
        <v>9793</v>
      </c>
      <c r="D8" s="336">
        <f>+C8/12</f>
        <v>816.08333333333337</v>
      </c>
      <c r="E8" s="207"/>
      <c r="F8" s="68"/>
      <c r="G8" s="68"/>
      <c r="H8" s="68"/>
      <c r="I8" s="68"/>
      <c r="J8" s="68"/>
      <c r="K8" s="68"/>
      <c r="L8" s="68"/>
      <c r="M8" s="68"/>
      <c r="N8" s="68"/>
      <c r="O8" s="68"/>
    </row>
    <row r="9" spans="1:15" ht="15.75">
      <c r="A9" s="328" t="s">
        <v>1132</v>
      </c>
      <c r="B9" s="333"/>
      <c r="C9" s="329">
        <f>149+24+172+19+57+69+12+2176+260+4+40</f>
        <v>2982</v>
      </c>
      <c r="D9" s="336">
        <f t="shared" ref="D9:D14" si="0">+C9/12</f>
        <v>248.5</v>
      </c>
      <c r="E9" s="207"/>
      <c r="F9" s="68"/>
      <c r="G9" s="68"/>
      <c r="H9" s="68"/>
      <c r="I9" s="68"/>
      <c r="J9" s="68"/>
      <c r="K9" s="68"/>
      <c r="L9" s="68"/>
      <c r="M9" s="68"/>
      <c r="N9" s="68"/>
      <c r="O9" s="68"/>
    </row>
    <row r="10" spans="1:15" ht="15.75">
      <c r="A10" s="328" t="s">
        <v>1136</v>
      </c>
      <c r="B10" s="333"/>
      <c r="C10" s="329">
        <f>24+20+128+12+29+153+48+1293+12+120+2+12</f>
        <v>1853</v>
      </c>
      <c r="D10" s="336">
        <f t="shared" si="0"/>
        <v>154.41666666666666</v>
      </c>
      <c r="E10" s="207"/>
      <c r="F10" s="68"/>
      <c r="G10" s="68"/>
      <c r="H10" s="68"/>
      <c r="I10" s="68"/>
      <c r="J10" s="68"/>
      <c r="K10" s="68"/>
      <c r="L10" s="68"/>
      <c r="M10" s="68"/>
      <c r="N10" s="68"/>
      <c r="O10" s="68"/>
    </row>
    <row r="11" spans="1:15" ht="15.75">
      <c r="A11" s="328" t="s">
        <v>1142</v>
      </c>
      <c r="B11" s="333"/>
      <c r="C11" s="329">
        <f>12+24+193+24+397+78+48+1616+66+12+55</f>
        <v>2525</v>
      </c>
      <c r="D11" s="336">
        <f t="shared" si="0"/>
        <v>210.41666666666666</v>
      </c>
      <c r="E11" s="207"/>
      <c r="F11" s="68"/>
      <c r="G11" s="68"/>
      <c r="H11" s="68"/>
      <c r="I11" s="68"/>
      <c r="J11" s="68"/>
      <c r="K11" s="68"/>
      <c r="L11" s="68"/>
      <c r="M11" s="68"/>
      <c r="N11" s="68"/>
      <c r="O11" s="68"/>
    </row>
    <row r="12" spans="1:15" ht="15.75">
      <c r="A12" s="328" t="s">
        <v>1148</v>
      </c>
      <c r="B12" s="333"/>
      <c r="C12" s="329">
        <f>18+205+3</f>
        <v>226</v>
      </c>
      <c r="D12" s="336">
        <f t="shared" si="0"/>
        <v>18.833333333333332</v>
      </c>
      <c r="E12" s="207"/>
      <c r="F12" s="68"/>
      <c r="G12" s="68"/>
      <c r="H12" s="68"/>
      <c r="I12" s="68"/>
      <c r="J12" s="68"/>
      <c r="K12" s="68"/>
      <c r="L12" s="68"/>
      <c r="M12" s="68"/>
      <c r="N12" s="68"/>
      <c r="O12" s="68"/>
    </row>
    <row r="13" spans="1:15" ht="15.75">
      <c r="A13" s="328" t="s">
        <v>1151</v>
      </c>
      <c r="B13" s="333"/>
      <c r="C13" s="329">
        <f>25+6+110+8</f>
        <v>149</v>
      </c>
      <c r="D13" s="336">
        <f t="shared" si="0"/>
        <v>12.416666666666666</v>
      </c>
      <c r="E13" s="207"/>
      <c r="F13" s="68"/>
      <c r="G13" s="68"/>
      <c r="H13" s="68"/>
      <c r="I13" s="68"/>
      <c r="J13" s="68"/>
      <c r="K13" s="68"/>
      <c r="L13" s="68"/>
      <c r="M13" s="68"/>
      <c r="N13" s="68"/>
      <c r="O13" s="68"/>
    </row>
    <row r="14" spans="1:15" ht="15.75">
      <c r="A14" s="328" t="s">
        <v>1157</v>
      </c>
      <c r="B14" s="333"/>
      <c r="C14" s="329">
        <f>1+36+183+12</f>
        <v>232</v>
      </c>
      <c r="D14" s="336">
        <f t="shared" si="0"/>
        <v>19.333333333333332</v>
      </c>
      <c r="E14" s="207"/>
      <c r="F14" s="68"/>
      <c r="G14" s="68"/>
      <c r="H14" s="68"/>
      <c r="I14" s="68"/>
      <c r="J14" s="68"/>
      <c r="K14" s="68"/>
      <c r="L14" s="68"/>
      <c r="M14" s="68"/>
      <c r="N14" s="68"/>
      <c r="O14" s="68"/>
    </row>
    <row r="15" spans="1:15" ht="15.75">
      <c r="A15" s="328"/>
      <c r="B15" s="333"/>
      <c r="C15" s="329"/>
      <c r="D15" s="336">
        <f>SUM(D8:D14)</f>
        <v>1480.0000000000002</v>
      </c>
      <c r="E15" s="207"/>
      <c r="F15" s="68"/>
      <c r="G15" s="68"/>
      <c r="H15" s="68"/>
      <c r="I15" s="68"/>
      <c r="J15" s="68"/>
      <c r="K15" s="68"/>
      <c r="L15" s="68"/>
      <c r="M15" s="68"/>
      <c r="N15" s="68"/>
      <c r="O15" s="68"/>
    </row>
    <row r="16" spans="1:15" ht="15.75">
      <c r="A16" s="328" t="s">
        <v>1185</v>
      </c>
      <c r="B16" s="331"/>
      <c r="C16" s="329">
        <f>1+3+324+767+116+35+22</f>
        <v>1268</v>
      </c>
      <c r="D16" s="207"/>
      <c r="E16" s="207"/>
      <c r="F16" s="68"/>
      <c r="G16" s="68"/>
      <c r="H16" s="68"/>
      <c r="I16" s="68"/>
      <c r="J16" s="68"/>
      <c r="K16" s="68"/>
      <c r="L16" s="68"/>
      <c r="M16" s="68"/>
      <c r="N16" s="68"/>
      <c r="O16" s="68"/>
    </row>
    <row r="17" spans="1:15" ht="15.75">
      <c r="A17" s="68"/>
      <c r="B17" s="68"/>
      <c r="C17" s="68"/>
      <c r="D17" s="207"/>
      <c r="E17" s="207"/>
      <c r="F17" s="68"/>
      <c r="G17" s="68"/>
      <c r="H17" s="68"/>
      <c r="I17" s="68"/>
      <c r="J17" s="68"/>
      <c r="K17" s="68"/>
      <c r="L17" s="68"/>
      <c r="M17" s="68"/>
      <c r="N17" s="68"/>
      <c r="O17" s="68"/>
    </row>
    <row r="18" spans="1:15" ht="15.75">
      <c r="A18" s="68"/>
      <c r="B18" s="68"/>
      <c r="C18" s="68"/>
      <c r="D18" s="207"/>
      <c r="E18" s="207"/>
      <c r="F18" s="68"/>
      <c r="G18" s="68"/>
      <c r="H18" s="68"/>
      <c r="I18" s="68"/>
      <c r="J18" s="68"/>
      <c r="K18" s="68"/>
      <c r="L18" s="68"/>
      <c r="M18" s="68"/>
      <c r="N18" s="68"/>
      <c r="O18" s="68"/>
    </row>
    <row r="19" spans="1:15" ht="15.75">
      <c r="A19" s="68"/>
      <c r="B19" s="68"/>
      <c r="C19" s="68"/>
      <c r="D19" s="207"/>
      <c r="E19" s="207"/>
      <c r="F19" s="68"/>
      <c r="G19" s="68"/>
      <c r="H19" s="68"/>
      <c r="I19" s="68"/>
      <c r="J19" s="68"/>
      <c r="K19" s="68"/>
      <c r="L19" s="68"/>
      <c r="M19" s="68"/>
      <c r="N19" s="68"/>
      <c r="O19" s="68"/>
    </row>
    <row r="20" spans="1:15" ht="15.75">
      <c r="A20" s="68"/>
      <c r="B20" s="68"/>
      <c r="C20" s="68"/>
      <c r="D20" s="207"/>
      <c r="E20" s="207"/>
      <c r="F20" s="68"/>
      <c r="G20" s="68"/>
      <c r="H20" s="68"/>
      <c r="I20" s="68"/>
      <c r="J20" s="68"/>
      <c r="K20" s="68"/>
      <c r="L20" s="68"/>
      <c r="M20" s="68"/>
      <c r="N20" s="68"/>
      <c r="O20" s="68"/>
    </row>
    <row r="21" spans="1:15" ht="15.75">
      <c r="A21" s="68"/>
      <c r="B21" s="68"/>
      <c r="C21" s="68"/>
      <c r="D21" s="207"/>
      <c r="E21" s="207"/>
      <c r="F21" s="68"/>
      <c r="G21" s="68"/>
      <c r="H21" s="68"/>
      <c r="I21" s="68"/>
      <c r="J21" s="68"/>
      <c r="K21" s="68"/>
      <c r="L21" s="68"/>
      <c r="M21" s="68"/>
      <c r="N21" s="68"/>
      <c r="O21" s="68"/>
    </row>
    <row r="22" spans="1:15" ht="15.75">
      <c r="A22" s="68"/>
      <c r="B22" s="68"/>
      <c r="C22" s="68"/>
      <c r="D22" s="207"/>
      <c r="E22" s="207"/>
      <c r="F22" s="68"/>
      <c r="G22" s="68"/>
      <c r="H22" s="68"/>
      <c r="I22" s="68"/>
      <c r="J22" s="68"/>
      <c r="K22" s="68"/>
      <c r="L22" s="68"/>
      <c r="M22" s="68"/>
      <c r="N22" s="68"/>
      <c r="O22" s="68"/>
    </row>
    <row r="23" spans="1:15" ht="15.75">
      <c r="A23" s="68"/>
      <c r="B23" s="68"/>
      <c r="C23" s="68"/>
      <c r="D23" s="207"/>
      <c r="E23" s="207"/>
      <c r="F23" s="68"/>
      <c r="G23" s="68"/>
      <c r="H23" s="68"/>
      <c r="I23" s="68"/>
      <c r="J23" s="68"/>
      <c r="K23" s="68"/>
      <c r="L23" s="68"/>
      <c r="M23" s="68"/>
      <c r="N23" s="68"/>
      <c r="O23" s="68"/>
    </row>
    <row r="24" spans="1:15" ht="15.75">
      <c r="A24" s="68"/>
      <c r="B24" s="68"/>
      <c r="C24" s="68"/>
      <c r="D24" s="207"/>
      <c r="E24" s="207"/>
      <c r="F24" s="68"/>
      <c r="G24" s="68"/>
      <c r="H24" s="68"/>
      <c r="I24" s="68"/>
      <c r="J24" s="68"/>
      <c r="K24" s="68"/>
      <c r="L24" s="68"/>
      <c r="M24" s="68"/>
      <c r="N24" s="68"/>
      <c r="O24" s="68"/>
    </row>
    <row r="25" spans="1:15" ht="15.75">
      <c r="A25" s="68"/>
      <c r="B25" s="68"/>
      <c r="C25" s="68"/>
      <c r="D25" s="207"/>
      <c r="E25" s="207"/>
      <c r="F25" s="68"/>
      <c r="G25" s="68"/>
      <c r="H25" s="68"/>
      <c r="I25" s="68"/>
      <c r="J25" s="68"/>
      <c r="K25" s="68"/>
      <c r="L25" s="68"/>
      <c r="M25" s="68"/>
      <c r="N25" s="68"/>
      <c r="O25" s="68"/>
    </row>
    <row r="26" spans="1:15" ht="15.75">
      <c r="A26" s="68"/>
      <c r="B26" s="68"/>
      <c r="C26" s="68"/>
      <c r="D26" s="207"/>
      <c r="E26" s="207"/>
      <c r="F26" s="68"/>
      <c r="G26" s="68"/>
      <c r="H26" s="68"/>
      <c r="I26" s="68"/>
      <c r="J26" s="68"/>
      <c r="K26" s="68"/>
      <c r="L26" s="68"/>
      <c r="M26" s="68"/>
      <c r="N26" s="68"/>
      <c r="O26" s="68"/>
    </row>
    <row r="27" spans="1:15" ht="15.75">
      <c r="A27" s="68"/>
      <c r="B27" s="68"/>
      <c r="C27" s="68"/>
      <c r="D27" s="207"/>
      <c r="E27" s="207"/>
      <c r="F27" s="68"/>
      <c r="G27" s="68"/>
      <c r="H27" s="68"/>
      <c r="I27" s="68"/>
      <c r="J27" s="68"/>
      <c r="K27" s="68"/>
      <c r="L27" s="68"/>
      <c r="M27" s="68"/>
      <c r="N27" s="68"/>
      <c r="O27" s="68"/>
    </row>
    <row r="28" spans="1:15" ht="15.75">
      <c r="A28" s="68"/>
      <c r="B28" s="68"/>
      <c r="C28" s="68"/>
      <c r="D28" s="207"/>
      <c r="E28" s="207"/>
      <c r="F28" s="68"/>
      <c r="G28" s="68"/>
      <c r="H28" s="68"/>
      <c r="I28" s="68"/>
      <c r="J28" s="68"/>
      <c r="K28" s="68"/>
      <c r="L28" s="68"/>
      <c r="M28" s="68"/>
      <c r="N28" s="68"/>
      <c r="O28" s="68"/>
    </row>
    <row r="29" spans="1:15" ht="15.75">
      <c r="A29" s="68"/>
      <c r="B29" s="68"/>
      <c r="C29" s="68"/>
      <c r="D29" s="207"/>
      <c r="E29" s="207"/>
      <c r="F29" s="68"/>
      <c r="G29" s="68"/>
      <c r="H29" s="68"/>
      <c r="I29" s="68"/>
      <c r="J29" s="68"/>
      <c r="K29" s="68"/>
      <c r="L29" s="68"/>
      <c r="M29" s="68"/>
      <c r="N29" s="68"/>
      <c r="O29" s="68"/>
    </row>
    <row r="30" spans="1:15" ht="15.75">
      <c r="A30" s="68"/>
      <c r="B30" s="68"/>
      <c r="C30" s="68"/>
      <c r="D30" s="207"/>
      <c r="E30" s="207"/>
      <c r="F30" s="68"/>
      <c r="G30" s="68"/>
      <c r="H30" s="68"/>
      <c r="I30" s="68"/>
      <c r="J30" s="68"/>
      <c r="K30" s="68"/>
      <c r="L30" s="68"/>
      <c r="M30" s="68"/>
      <c r="N30" s="68"/>
      <c r="O30" s="68"/>
    </row>
    <row r="31" spans="1:15" ht="15.75">
      <c r="A31" s="68"/>
      <c r="B31" s="68"/>
      <c r="C31" s="68"/>
      <c r="D31" s="207"/>
      <c r="E31" s="207"/>
      <c r="F31" s="68"/>
      <c r="G31" s="68"/>
      <c r="H31" s="68"/>
      <c r="I31" s="68"/>
      <c r="J31" s="68"/>
      <c r="K31" s="68"/>
      <c r="L31" s="68"/>
      <c r="M31" s="68"/>
      <c r="N31" s="68"/>
      <c r="O31" s="68"/>
    </row>
    <row r="32" spans="1:15" ht="15.75">
      <c r="A32" s="68"/>
      <c r="B32" s="68"/>
      <c r="C32" s="68"/>
      <c r="D32" s="207"/>
      <c r="E32" s="207"/>
      <c r="F32" s="68"/>
      <c r="G32" s="68"/>
      <c r="H32" s="68"/>
      <c r="I32" s="68"/>
      <c r="J32" s="68"/>
      <c r="K32" s="68"/>
      <c r="L32" s="68"/>
      <c r="M32" s="68"/>
      <c r="N32" s="68"/>
      <c r="O32" s="68"/>
    </row>
    <row r="33" spans="1:15" ht="15.75">
      <c r="A33" s="68"/>
      <c r="B33" s="68"/>
      <c r="C33" s="68"/>
      <c r="D33" s="207"/>
      <c r="E33" s="207"/>
      <c r="F33" s="68"/>
      <c r="G33" s="68"/>
      <c r="H33" s="68"/>
      <c r="I33" s="68"/>
      <c r="J33" s="68"/>
      <c r="K33" s="68"/>
      <c r="L33" s="68"/>
      <c r="M33" s="68"/>
      <c r="N33" s="68"/>
      <c r="O33" s="68"/>
    </row>
    <row r="34" spans="1:15" ht="15.75">
      <c r="A34" s="68"/>
      <c r="B34" s="68"/>
      <c r="C34" s="68"/>
      <c r="D34" s="207"/>
      <c r="E34" s="207"/>
      <c r="F34" s="68"/>
      <c r="G34" s="68"/>
      <c r="H34" s="68"/>
      <c r="I34" s="68"/>
      <c r="J34" s="68"/>
      <c r="K34" s="68"/>
      <c r="L34" s="68"/>
      <c r="M34" s="68"/>
      <c r="N34" s="68"/>
      <c r="O34" s="68"/>
    </row>
    <row r="35" spans="1:15" ht="15.75">
      <c r="A35" s="68"/>
      <c r="B35" s="68"/>
      <c r="C35" s="68"/>
      <c r="D35" s="207"/>
      <c r="E35" s="207"/>
      <c r="F35" s="68"/>
      <c r="G35" s="68"/>
      <c r="H35" s="68"/>
      <c r="I35" s="68"/>
      <c r="J35" s="68"/>
      <c r="K35" s="68"/>
      <c r="L35" s="68"/>
      <c r="M35" s="68"/>
      <c r="N35" s="68"/>
      <c r="O35" s="68"/>
    </row>
    <row r="36" spans="1:15" ht="15.75">
      <c r="A36" s="68"/>
      <c r="B36" s="68"/>
      <c r="C36" s="68"/>
      <c r="D36" s="207"/>
      <c r="E36" s="207"/>
      <c r="F36" s="68"/>
      <c r="G36" s="68"/>
      <c r="H36" s="68"/>
      <c r="I36" s="68"/>
      <c r="J36" s="68"/>
      <c r="K36" s="68"/>
      <c r="L36" s="68"/>
      <c r="M36" s="68"/>
      <c r="N36" s="68"/>
      <c r="O36" s="68"/>
    </row>
    <row r="37" spans="1:15" ht="15.75">
      <c r="A37" s="68"/>
      <c r="B37" s="68"/>
      <c r="C37" s="68"/>
      <c r="D37" s="207"/>
      <c r="E37" s="207"/>
      <c r="F37" s="68"/>
      <c r="G37" s="68"/>
      <c r="H37" s="68"/>
      <c r="I37" s="68"/>
      <c r="J37" s="68"/>
      <c r="K37" s="68"/>
      <c r="L37" s="68"/>
      <c r="M37" s="68"/>
      <c r="N37" s="68"/>
      <c r="O37" s="68"/>
    </row>
    <row r="38" spans="1:15">
      <c r="A38" s="68"/>
      <c r="B38" s="68"/>
      <c r="C38" s="68"/>
      <c r="D38" s="68"/>
      <c r="E38" s="68"/>
      <c r="F38" s="68"/>
      <c r="G38" s="68"/>
      <c r="H38" s="68"/>
      <c r="I38" s="68"/>
      <c r="J38" s="68"/>
      <c r="K38" s="68"/>
      <c r="L38" s="68"/>
      <c r="M38" s="68"/>
      <c r="N38" s="68"/>
      <c r="O38" s="68"/>
    </row>
    <row r="39" spans="1:15">
      <c r="A39" s="68"/>
      <c r="B39" s="68"/>
      <c r="C39" s="68"/>
      <c r="D39" s="68"/>
      <c r="E39" s="68"/>
      <c r="F39" s="68"/>
      <c r="G39" s="68"/>
      <c r="H39" s="68"/>
      <c r="I39" s="68"/>
      <c r="J39" s="68"/>
      <c r="K39" s="68"/>
      <c r="L39" s="68"/>
      <c r="M39" s="68"/>
      <c r="N39" s="68"/>
      <c r="O39" s="68"/>
    </row>
    <row r="40" spans="1:15">
      <c r="A40" s="68"/>
      <c r="B40" s="68"/>
      <c r="C40" s="68"/>
      <c r="D40" s="68"/>
      <c r="E40" s="68"/>
      <c r="F40" s="68"/>
      <c r="G40" s="68"/>
      <c r="H40" s="68"/>
      <c r="I40" s="68"/>
      <c r="J40" s="68"/>
      <c r="K40" s="68"/>
      <c r="L40" s="68"/>
      <c r="M40" s="68"/>
      <c r="N40" s="68"/>
      <c r="O40" s="68"/>
    </row>
    <row r="41" spans="1:15">
      <c r="A41" s="68"/>
      <c r="B41" s="68"/>
      <c r="C41" s="68"/>
      <c r="D41" s="68"/>
      <c r="E41" s="68"/>
      <c r="F41" s="68"/>
      <c r="G41" s="68"/>
      <c r="H41" s="68"/>
      <c r="I41" s="68"/>
      <c r="J41" s="68"/>
      <c r="K41" s="68"/>
      <c r="L41" s="68"/>
      <c r="M41" s="68"/>
      <c r="N41" s="68"/>
      <c r="O41" s="68"/>
    </row>
    <row r="42" spans="1:15">
      <c r="A42" s="68"/>
      <c r="B42" s="68"/>
      <c r="C42" s="68"/>
      <c r="D42" s="68"/>
      <c r="E42" s="68"/>
      <c r="F42" s="68"/>
      <c r="G42" s="68"/>
      <c r="H42" s="68"/>
      <c r="I42" s="68"/>
      <c r="J42" s="68"/>
      <c r="K42" s="68"/>
      <c r="L42" s="68"/>
      <c r="M42" s="68"/>
      <c r="N42" s="68"/>
      <c r="O42" s="68"/>
    </row>
    <row r="43" spans="1:15">
      <c r="A43" s="68"/>
      <c r="B43" s="68"/>
      <c r="C43" s="68"/>
      <c r="D43" s="68"/>
      <c r="E43" s="68"/>
      <c r="F43" s="68"/>
      <c r="G43" s="68"/>
      <c r="H43" s="68"/>
      <c r="I43" s="68"/>
      <c r="J43" s="68"/>
      <c r="K43" s="68"/>
      <c r="L43" s="68"/>
      <c r="M43" s="68"/>
      <c r="N43" s="68"/>
      <c r="O43" s="68"/>
    </row>
    <row r="44" spans="1:15">
      <c r="A44" s="68"/>
      <c r="B44" s="68"/>
      <c r="C44" s="68"/>
      <c r="D44" s="68"/>
      <c r="E44" s="68"/>
      <c r="F44" s="68"/>
      <c r="G44" s="68"/>
      <c r="H44" s="68"/>
      <c r="I44" s="68"/>
      <c r="J44" s="68"/>
      <c r="K44" s="68"/>
      <c r="L44" s="68"/>
      <c r="M44" s="68"/>
      <c r="N44" s="68"/>
      <c r="O44" s="68"/>
    </row>
    <row r="45" spans="1:15">
      <c r="A45" s="68"/>
      <c r="B45" s="68"/>
      <c r="C45" s="68"/>
      <c r="D45" s="68"/>
      <c r="E45" s="68"/>
      <c r="F45" s="68"/>
      <c r="G45" s="68"/>
      <c r="H45" s="68"/>
      <c r="I45" s="68"/>
      <c r="J45" s="68"/>
      <c r="K45" s="68"/>
      <c r="L45" s="68"/>
      <c r="M45" s="68"/>
      <c r="N45" s="68"/>
      <c r="O45" s="68"/>
    </row>
    <row r="46" spans="1:15">
      <c r="A46" s="68"/>
      <c r="B46" s="68"/>
      <c r="C46" s="68"/>
      <c r="D46" s="68"/>
      <c r="E46" s="68"/>
      <c r="F46" s="68"/>
      <c r="G46" s="68"/>
      <c r="H46" s="68"/>
      <c r="I46" s="68"/>
      <c r="J46" s="68"/>
      <c r="K46" s="68"/>
      <c r="L46" s="68"/>
      <c r="M46" s="68"/>
      <c r="N46" s="68"/>
      <c r="O46" s="68"/>
    </row>
    <row r="47" spans="1:15">
      <c r="A47" s="68"/>
      <c r="B47" s="68"/>
      <c r="C47" s="68"/>
      <c r="D47" s="68"/>
      <c r="E47" s="68"/>
      <c r="F47" s="68"/>
      <c r="G47" s="68"/>
      <c r="H47" s="68"/>
      <c r="I47" s="68"/>
      <c r="J47" s="68"/>
      <c r="K47" s="68"/>
      <c r="L47" s="68"/>
      <c r="M47" s="68"/>
      <c r="N47" s="68"/>
      <c r="O47" s="68"/>
    </row>
    <row r="48" spans="1:15">
      <c r="A48" s="68"/>
      <c r="B48" s="68"/>
      <c r="C48" s="68"/>
      <c r="D48" s="68"/>
      <c r="E48" s="68"/>
      <c r="F48" s="68"/>
      <c r="G48" s="68"/>
      <c r="H48" s="68"/>
      <c r="I48" s="68"/>
      <c r="J48" s="68"/>
      <c r="K48" s="68"/>
      <c r="L48" s="68"/>
      <c r="M48" s="68"/>
      <c r="N48" s="68"/>
      <c r="O48" s="68"/>
    </row>
    <row r="49" spans="1:15">
      <c r="A49" s="68"/>
      <c r="B49" s="68"/>
      <c r="C49" s="68"/>
      <c r="D49" s="68"/>
      <c r="E49" s="68"/>
      <c r="F49" s="68"/>
      <c r="G49" s="68"/>
      <c r="H49" s="68"/>
      <c r="I49" s="68"/>
      <c r="J49" s="68"/>
      <c r="K49" s="68"/>
      <c r="L49" s="68"/>
      <c r="M49" s="68"/>
      <c r="N49" s="68"/>
      <c r="O49" s="68"/>
    </row>
    <row r="50" spans="1:15">
      <c r="A50" s="68"/>
      <c r="B50" s="68"/>
      <c r="C50" s="68"/>
      <c r="D50" s="68"/>
      <c r="E50" s="68"/>
      <c r="F50" s="68"/>
      <c r="G50" s="68"/>
      <c r="H50" s="68"/>
      <c r="I50" s="68"/>
      <c r="J50" s="68"/>
      <c r="K50" s="68"/>
      <c r="L50" s="68"/>
      <c r="M50" s="68"/>
      <c r="N50" s="68"/>
      <c r="O50" s="68"/>
    </row>
    <row r="51" spans="1:15">
      <c r="A51" s="68"/>
      <c r="B51" s="68"/>
      <c r="C51" s="68"/>
      <c r="D51" s="68"/>
      <c r="E51" s="68"/>
      <c r="F51" s="68"/>
      <c r="G51" s="68"/>
      <c r="H51" s="68"/>
      <c r="I51" s="68"/>
      <c r="J51" s="68"/>
      <c r="K51" s="68"/>
      <c r="L51" s="68"/>
      <c r="M51" s="68"/>
      <c r="N51" s="68"/>
      <c r="O51" s="68"/>
    </row>
    <row r="52" spans="1:15">
      <c r="A52" s="68"/>
      <c r="B52" s="68"/>
      <c r="C52" s="68"/>
      <c r="D52" s="68"/>
      <c r="E52" s="68"/>
      <c r="F52" s="68"/>
      <c r="G52" s="68"/>
      <c r="H52" s="68"/>
      <c r="I52" s="68"/>
      <c r="J52" s="68"/>
      <c r="K52" s="68"/>
      <c r="L52" s="68"/>
      <c r="M52" s="68"/>
      <c r="N52" s="68"/>
      <c r="O52" s="68"/>
    </row>
    <row r="53" spans="1:15">
      <c r="A53" s="68"/>
      <c r="B53" s="68"/>
      <c r="C53" s="68"/>
      <c r="D53" s="68"/>
      <c r="E53" s="68"/>
      <c r="F53" s="68"/>
      <c r="G53" s="68"/>
      <c r="H53" s="68"/>
      <c r="I53" s="68"/>
      <c r="J53" s="68"/>
      <c r="K53" s="68"/>
      <c r="L53" s="68"/>
      <c r="M53" s="68"/>
      <c r="N53" s="68"/>
      <c r="O53" s="68"/>
    </row>
    <row r="54" spans="1:15">
      <c r="A54" s="68"/>
      <c r="B54" s="68"/>
      <c r="C54" s="68"/>
      <c r="D54" s="68"/>
      <c r="E54" s="68"/>
      <c r="F54" s="68"/>
      <c r="G54" s="68"/>
      <c r="H54" s="68"/>
      <c r="I54" s="68"/>
      <c r="J54" s="68"/>
      <c r="K54" s="68"/>
      <c r="L54" s="68"/>
      <c r="M54" s="68"/>
      <c r="N54" s="68"/>
      <c r="O54" s="68"/>
    </row>
    <row r="55" spans="1:15">
      <c r="A55" s="68"/>
      <c r="B55" s="68"/>
      <c r="C55" s="68"/>
      <c r="D55" s="68"/>
      <c r="E55" s="68"/>
      <c r="F55" s="68"/>
      <c r="G55" s="68"/>
      <c r="H55" s="68"/>
      <c r="I55" s="68"/>
      <c r="J55" s="68"/>
      <c r="K55" s="68"/>
      <c r="L55" s="68"/>
      <c r="M55" s="68"/>
      <c r="N55" s="68"/>
      <c r="O55" s="68"/>
    </row>
    <row r="56" spans="1:15">
      <c r="A56" s="68"/>
      <c r="B56" s="68"/>
      <c r="C56" s="68"/>
      <c r="D56" s="68"/>
      <c r="E56" s="68"/>
      <c r="F56" s="68"/>
      <c r="G56" s="68"/>
      <c r="H56" s="68"/>
      <c r="I56" s="68"/>
      <c r="J56" s="68"/>
      <c r="K56" s="68"/>
      <c r="L56" s="68"/>
      <c r="M56" s="68"/>
      <c r="N56" s="68"/>
      <c r="O56" s="68"/>
    </row>
    <row r="57" spans="1:15">
      <c r="A57" s="68"/>
      <c r="B57" s="68"/>
      <c r="C57" s="68"/>
      <c r="D57" s="68"/>
      <c r="E57" s="68"/>
      <c r="F57" s="68"/>
      <c r="G57" s="68"/>
      <c r="H57" s="68"/>
      <c r="I57" s="68"/>
      <c r="J57" s="68"/>
      <c r="K57" s="68"/>
      <c r="L57" s="68"/>
      <c r="M57" s="68"/>
      <c r="N57" s="68"/>
      <c r="O57" s="68"/>
    </row>
    <row r="58" spans="1:15">
      <c r="A58" s="68"/>
      <c r="B58" s="68"/>
      <c r="C58" s="68"/>
      <c r="D58" s="68"/>
      <c r="E58" s="68"/>
      <c r="F58" s="68"/>
      <c r="G58" s="68"/>
      <c r="H58" s="68"/>
      <c r="I58" s="68"/>
      <c r="J58" s="68"/>
      <c r="K58" s="68"/>
      <c r="L58" s="68"/>
      <c r="M58" s="68"/>
      <c r="N58" s="68"/>
      <c r="O58" s="68"/>
    </row>
    <row r="59" spans="1:15">
      <c r="A59" s="68"/>
      <c r="B59" s="68"/>
      <c r="C59" s="68"/>
      <c r="D59" s="68"/>
      <c r="E59" s="68"/>
      <c r="F59" s="68"/>
      <c r="G59" s="68"/>
      <c r="H59" s="68"/>
      <c r="I59" s="68"/>
      <c r="J59" s="68"/>
      <c r="K59" s="68"/>
      <c r="L59" s="68"/>
      <c r="M59" s="68"/>
      <c r="N59" s="68"/>
      <c r="O59" s="68"/>
    </row>
    <row r="60" spans="1:15">
      <c r="A60" s="68"/>
      <c r="B60" s="68"/>
      <c r="C60" s="68"/>
      <c r="D60" s="68"/>
      <c r="E60" s="68"/>
      <c r="F60" s="68"/>
      <c r="G60" s="68"/>
      <c r="H60" s="68"/>
      <c r="I60" s="68"/>
      <c r="J60" s="68"/>
      <c r="K60" s="68"/>
      <c r="L60" s="68"/>
      <c r="M60" s="68"/>
      <c r="N60" s="68"/>
      <c r="O60" s="68"/>
    </row>
    <row r="61" spans="1:15">
      <c r="A61" s="68"/>
      <c r="B61" s="68"/>
      <c r="C61" s="68"/>
      <c r="D61" s="68"/>
      <c r="E61" s="68"/>
      <c r="F61" s="68"/>
      <c r="G61" s="68"/>
      <c r="H61" s="68"/>
      <c r="I61" s="68"/>
      <c r="J61" s="68"/>
      <c r="K61" s="68"/>
      <c r="L61" s="68"/>
      <c r="M61" s="68"/>
      <c r="N61" s="68"/>
      <c r="O61" s="68"/>
    </row>
    <row r="62" spans="1:15">
      <c r="A62" s="68"/>
      <c r="B62" s="68"/>
      <c r="C62" s="68"/>
      <c r="D62" s="68"/>
      <c r="E62" s="68"/>
      <c r="F62" s="68"/>
      <c r="G62" s="68"/>
      <c r="H62" s="68"/>
      <c r="I62" s="68"/>
      <c r="J62" s="68"/>
      <c r="K62" s="68"/>
      <c r="L62" s="68"/>
      <c r="M62" s="68"/>
      <c r="N62" s="68"/>
      <c r="O62" s="6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07EE-98A2-4A24-8C10-0FC66ACE0700}">
  <sheetPr codeName="Sheet37">
    <pageSetUpPr fitToPage="1"/>
  </sheetPr>
  <dimension ref="A1:R50"/>
  <sheetViews>
    <sheetView topLeftCell="A13" workbookViewId="0">
      <selection activeCell="N22" sqref="N22"/>
    </sheetView>
  </sheetViews>
  <sheetFormatPr defaultRowHeight="15"/>
  <cols>
    <col min="1" max="1" width="6.6640625" customWidth="1"/>
    <col min="2" max="2" width="12.109375" customWidth="1"/>
    <col min="3" max="3" width="4.88671875" customWidth="1"/>
    <col min="4" max="4" width="10.77734375" bestFit="1" customWidth="1"/>
    <col min="6" max="6" width="10.5546875" bestFit="1" customWidth="1"/>
    <col min="7" max="7" width="4.77734375" customWidth="1"/>
    <col min="8" max="8" width="11.33203125" customWidth="1"/>
    <col min="9" max="9" width="14.21875" customWidth="1"/>
    <col min="10" max="10" width="11.33203125" customWidth="1"/>
    <col min="11" max="11" width="3.6640625" customWidth="1"/>
    <col min="12" max="12" width="10.77734375" bestFit="1" customWidth="1"/>
    <col min="13" max="13" width="4.88671875" customWidth="1"/>
    <col min="14" max="14" width="10.5546875" bestFit="1" customWidth="1"/>
  </cols>
  <sheetData>
    <row r="1" spans="1:18">
      <c r="A1" s="351" t="s">
        <v>128</v>
      </c>
      <c r="B1" s="295"/>
      <c r="C1" s="295"/>
      <c r="D1" s="295"/>
      <c r="E1" s="295"/>
      <c r="F1" s="295"/>
      <c r="G1" s="295"/>
      <c r="H1" s="295"/>
      <c r="I1" s="295"/>
      <c r="J1" s="295"/>
      <c r="K1" s="295"/>
      <c r="L1" s="295"/>
      <c r="M1" s="295"/>
      <c r="N1" s="295"/>
      <c r="O1" s="295"/>
      <c r="P1" s="295"/>
      <c r="Q1" s="295"/>
      <c r="R1" s="295"/>
    </row>
    <row r="2" spans="1:18">
      <c r="A2" s="351" t="s">
        <v>1249</v>
      </c>
      <c r="B2" s="295"/>
      <c r="C2" s="295"/>
      <c r="D2" s="295"/>
      <c r="E2" s="295"/>
      <c r="F2" s="295"/>
      <c r="G2" s="295"/>
      <c r="H2" s="295"/>
      <c r="I2" s="295"/>
      <c r="J2" s="295"/>
      <c r="K2" s="295"/>
      <c r="L2" s="295"/>
      <c r="M2" s="295"/>
      <c r="N2" s="295"/>
      <c r="O2" s="295"/>
      <c r="P2" s="295"/>
      <c r="Q2" s="295"/>
      <c r="R2" s="295"/>
    </row>
    <row r="3" spans="1:18">
      <c r="A3" s="351" t="s">
        <v>1250</v>
      </c>
      <c r="B3" s="295"/>
      <c r="C3" s="295"/>
      <c r="D3" s="295"/>
      <c r="E3" s="295"/>
      <c r="F3" s="295"/>
      <c r="G3" s="295"/>
      <c r="H3" s="295"/>
      <c r="I3" s="295"/>
      <c r="J3" s="295"/>
      <c r="K3" s="295"/>
      <c r="L3" s="295"/>
      <c r="M3" s="295"/>
      <c r="N3" s="295"/>
      <c r="O3" s="295"/>
      <c r="P3" s="295"/>
      <c r="Q3" s="295"/>
      <c r="R3" s="295"/>
    </row>
    <row r="4" spans="1:18">
      <c r="A4" s="204"/>
      <c r="B4" s="295"/>
      <c r="C4" s="295"/>
      <c r="D4" s="295"/>
      <c r="E4" s="295"/>
      <c r="F4" s="295"/>
      <c r="G4" s="295"/>
      <c r="H4" s="295"/>
      <c r="I4" s="295"/>
      <c r="J4" s="295"/>
      <c r="K4" s="295"/>
      <c r="L4" s="295"/>
      <c r="M4" s="295"/>
      <c r="N4" s="295"/>
      <c r="O4" s="295"/>
      <c r="P4" s="295"/>
      <c r="Q4" s="295"/>
      <c r="R4" s="295"/>
    </row>
    <row r="5" spans="1:18">
      <c r="A5" s="351" t="s">
        <v>1251</v>
      </c>
      <c r="B5" s="295"/>
      <c r="C5" s="295"/>
      <c r="D5" s="295"/>
      <c r="E5" s="295"/>
      <c r="F5" s="295"/>
      <c r="G5" s="295"/>
      <c r="H5" s="295"/>
      <c r="I5" s="295"/>
      <c r="J5" s="295"/>
      <c r="K5" s="295"/>
      <c r="L5" s="295"/>
      <c r="M5" s="295"/>
      <c r="N5" s="295"/>
      <c r="O5" s="295"/>
      <c r="P5" s="295"/>
      <c r="Q5" s="295"/>
      <c r="R5" s="295"/>
    </row>
    <row r="6" spans="1:18">
      <c r="A6" s="204"/>
      <c r="B6" s="295" t="s">
        <v>911</v>
      </c>
      <c r="C6" s="295"/>
      <c r="D6" s="295"/>
      <c r="E6" s="295"/>
      <c r="F6" s="295"/>
      <c r="G6" s="295"/>
      <c r="H6" s="295"/>
      <c r="I6" s="295"/>
      <c r="J6" s="295"/>
      <c r="K6" s="295"/>
      <c r="L6" s="295"/>
      <c r="M6" s="295"/>
      <c r="N6" s="295"/>
      <c r="O6" s="295"/>
      <c r="P6" s="295"/>
      <c r="Q6" s="295"/>
      <c r="R6" s="295"/>
    </row>
    <row r="7" spans="1:18">
      <c r="A7" s="204"/>
      <c r="B7" s="295" t="s">
        <v>1252</v>
      </c>
      <c r="C7" s="295"/>
      <c r="D7" s="295">
        <f>+[5]Residential!H73</f>
        <v>4447145.1899999995</v>
      </c>
      <c r="E7" s="295"/>
      <c r="F7" s="295"/>
      <c r="G7" s="295"/>
      <c r="H7" s="295"/>
      <c r="I7" s="295"/>
      <c r="J7" s="295"/>
      <c r="K7" s="295"/>
      <c r="L7" s="295"/>
      <c r="M7" s="295"/>
      <c r="N7" s="295"/>
      <c r="O7" s="295"/>
      <c r="P7" s="295"/>
      <c r="Q7" s="295"/>
      <c r="R7" s="295"/>
    </row>
    <row r="8" spans="1:18">
      <c r="A8" s="204"/>
      <c r="B8" s="295" t="s">
        <v>681</v>
      </c>
      <c r="C8" s="295"/>
      <c r="D8" s="295">
        <f>+[5]Residential!I73</f>
        <v>1386625.45</v>
      </c>
      <c r="E8" s="295"/>
      <c r="F8" s="295"/>
      <c r="G8" s="295"/>
      <c r="H8" s="295"/>
      <c r="I8" s="295"/>
      <c r="J8" s="295"/>
      <c r="K8" s="295"/>
      <c r="L8" s="295"/>
      <c r="M8" s="295"/>
      <c r="N8" s="295"/>
      <c r="O8" s="295"/>
      <c r="P8" s="295"/>
      <c r="Q8" s="295"/>
      <c r="R8" s="295"/>
    </row>
    <row r="9" spans="1:18">
      <c r="A9" s="204"/>
      <c r="B9" s="295" t="s">
        <v>929</v>
      </c>
      <c r="C9" s="295"/>
      <c r="D9" s="295">
        <f>+[5]Residential!J73</f>
        <v>1342515.2</v>
      </c>
      <c r="E9" s="295"/>
      <c r="F9" s="295"/>
      <c r="G9" s="295"/>
      <c r="H9" s="295"/>
      <c r="I9" s="295"/>
      <c r="J9" s="295"/>
      <c r="K9" s="295"/>
      <c r="L9" s="295"/>
      <c r="M9" s="295"/>
      <c r="N9" s="295"/>
      <c r="O9" s="295"/>
      <c r="P9" s="295"/>
      <c r="Q9" s="295"/>
      <c r="R9" s="295"/>
    </row>
    <row r="10" spans="1:18">
      <c r="A10" s="204"/>
      <c r="B10" s="295" t="s">
        <v>1253</v>
      </c>
      <c r="C10" s="295"/>
      <c r="D10" s="295"/>
      <c r="E10" s="295"/>
      <c r="F10" s="295"/>
      <c r="G10" s="295"/>
      <c r="H10" s="295"/>
      <c r="I10" s="295"/>
      <c r="J10" s="295"/>
      <c r="K10" s="295"/>
      <c r="L10" s="295"/>
      <c r="M10" s="295"/>
      <c r="N10" s="295"/>
      <c r="O10" s="295"/>
      <c r="P10" s="295"/>
      <c r="Q10" s="295"/>
      <c r="R10" s="295"/>
    </row>
    <row r="11" spans="1:18">
      <c r="A11" s="204"/>
      <c r="B11" s="295" t="s">
        <v>640</v>
      </c>
      <c r="C11" s="295"/>
      <c r="D11" s="295">
        <f>+[5]Commercial!E71</f>
        <v>4615715.315100003</v>
      </c>
      <c r="E11" s="295"/>
      <c r="F11" s="295"/>
      <c r="G11" s="295"/>
      <c r="H11" s="295"/>
      <c r="I11" s="295"/>
      <c r="J11" s="295"/>
      <c r="K11" s="295"/>
      <c r="L11" s="295"/>
      <c r="M11" s="295"/>
      <c r="N11" s="295"/>
      <c r="O11" s="295"/>
      <c r="P11" s="295"/>
      <c r="Q11" s="295"/>
      <c r="R11" s="295"/>
    </row>
    <row r="12" spans="1:18">
      <c r="A12" s="204"/>
      <c r="B12" s="295" t="s">
        <v>1254</v>
      </c>
      <c r="C12" s="295"/>
      <c r="D12" s="295">
        <f>+[5]Commercial!E112</f>
        <v>1491001.5900000005</v>
      </c>
      <c r="E12" s="295"/>
      <c r="F12" s="295"/>
      <c r="G12" s="295"/>
      <c r="H12" s="295"/>
      <c r="I12" s="295"/>
      <c r="J12" s="295"/>
      <c r="K12" s="295"/>
      <c r="L12" s="295"/>
      <c r="M12" s="295"/>
      <c r="N12" s="295"/>
      <c r="O12" s="295"/>
      <c r="P12" s="295"/>
      <c r="Q12" s="295"/>
      <c r="R12" s="295"/>
    </row>
    <row r="13" spans="1:18">
      <c r="A13" s="204"/>
      <c r="B13" s="295" t="s">
        <v>933</v>
      </c>
      <c r="C13" s="295"/>
      <c r="D13" s="352">
        <f>+'[5]Multi-Family'!E33</f>
        <v>902464.02000000014</v>
      </c>
      <c r="E13" s="295"/>
      <c r="F13" s="295"/>
      <c r="G13" s="295"/>
      <c r="H13" s="295"/>
      <c r="I13" s="295"/>
      <c r="J13" s="295"/>
      <c r="K13" s="295"/>
      <c r="L13" s="295"/>
      <c r="M13" s="295"/>
      <c r="N13" s="295"/>
      <c r="O13" s="295"/>
      <c r="P13" s="295"/>
      <c r="Q13" s="295"/>
      <c r="R13" s="295"/>
    </row>
    <row r="14" spans="1:18">
      <c r="A14" s="204"/>
      <c r="B14" s="295"/>
      <c r="C14" s="295"/>
      <c r="D14" s="295">
        <f>SUM(D7:D13)</f>
        <v>14185466.765100002</v>
      </c>
      <c r="E14" s="295"/>
      <c r="F14" s="295"/>
      <c r="G14" s="295"/>
      <c r="H14" s="295"/>
      <c r="I14" s="295"/>
      <c r="J14" s="295"/>
      <c r="K14" s="295"/>
      <c r="L14" s="295"/>
      <c r="M14" s="295"/>
      <c r="N14" s="295"/>
      <c r="O14" s="295"/>
      <c r="P14" s="295"/>
      <c r="Q14" s="295"/>
      <c r="R14" s="295"/>
    </row>
    <row r="15" spans="1:18">
      <c r="A15" s="204"/>
      <c r="B15" s="295"/>
      <c r="C15" s="295"/>
      <c r="D15" s="295"/>
      <c r="E15" s="295"/>
      <c r="F15" s="295"/>
      <c r="G15" s="295"/>
      <c r="H15" s="295"/>
      <c r="I15" s="295"/>
      <c r="J15" s="295"/>
      <c r="K15" s="295"/>
      <c r="L15" s="295"/>
      <c r="M15" s="295"/>
      <c r="N15" s="295"/>
      <c r="O15" s="295"/>
      <c r="P15" s="295"/>
      <c r="Q15" s="295"/>
      <c r="R15" s="295"/>
    </row>
    <row r="16" spans="1:18">
      <c r="A16" s="204"/>
      <c r="B16" s="295"/>
      <c r="C16" s="295"/>
      <c r="D16" s="295"/>
      <c r="E16" s="295"/>
      <c r="F16" s="295"/>
      <c r="G16" s="295"/>
      <c r="H16" s="295"/>
      <c r="I16" s="295"/>
      <c r="J16" s="295"/>
      <c r="K16" s="295"/>
      <c r="L16" s="295"/>
      <c r="M16" s="295"/>
      <c r="N16" s="295"/>
      <c r="O16" s="295"/>
      <c r="P16" s="295"/>
      <c r="Q16" s="295"/>
      <c r="R16" s="295"/>
    </row>
    <row r="17" spans="1:18">
      <c r="A17" s="204"/>
      <c r="B17" s="295" t="s">
        <v>1255</v>
      </c>
      <c r="C17" s="295"/>
      <c r="D17" s="295" t="s">
        <v>1256</v>
      </c>
      <c r="E17" s="295" t="s">
        <v>46</v>
      </c>
      <c r="F17" s="295" t="s">
        <v>1257</v>
      </c>
      <c r="G17" s="295"/>
      <c r="H17" s="295" t="s">
        <v>1258</v>
      </c>
      <c r="I17" s="295" t="s">
        <v>1259</v>
      </c>
      <c r="J17" s="295" t="s">
        <v>1260</v>
      </c>
      <c r="K17" s="295"/>
      <c r="L17" s="295" t="s">
        <v>1251</v>
      </c>
      <c r="M17" s="295"/>
      <c r="N17" s="295" t="s">
        <v>983</v>
      </c>
      <c r="O17" s="295"/>
      <c r="P17" s="295"/>
      <c r="Q17" s="295"/>
      <c r="R17" s="295"/>
    </row>
    <row r="18" spans="1:18">
      <c r="A18" s="204"/>
      <c r="B18" s="295" t="s">
        <v>911</v>
      </c>
      <c r="C18" s="295"/>
      <c r="D18" s="295">
        <v>5753087.4000000004</v>
      </c>
      <c r="E18" s="218">
        <f t="shared" ref="E18:E22" si="0">D18/$D$26</f>
        <v>0.29418932726400876</v>
      </c>
      <c r="F18" s="295">
        <f>+$D$28*E18</f>
        <v>-537188.53482677089</v>
      </c>
      <c r="G18" s="295"/>
      <c r="H18" s="295">
        <f>+D18+F18</f>
        <v>5215898.8651732299</v>
      </c>
      <c r="I18" s="295"/>
      <c r="J18" s="295">
        <f>SUM(H18:I18)</f>
        <v>5215898.8651732299</v>
      </c>
      <c r="K18" s="295"/>
      <c r="L18" s="295">
        <f>+D7</f>
        <v>4447145.1899999995</v>
      </c>
      <c r="M18" s="295"/>
      <c r="N18" s="295">
        <f>+J18-L18</f>
        <v>768753.67517323047</v>
      </c>
      <c r="O18" s="295"/>
      <c r="P18" s="295"/>
      <c r="Q18" s="295"/>
      <c r="R18" s="295"/>
    </row>
    <row r="19" spans="1:18">
      <c r="A19" s="204"/>
      <c r="B19" s="295" t="s">
        <v>674</v>
      </c>
      <c r="C19" s="295"/>
      <c r="D19" s="295">
        <v>6510125.96</v>
      </c>
      <c r="E19" s="218">
        <f t="shared" si="0"/>
        <v>0.3329011786916985</v>
      </c>
      <c r="F19" s="295">
        <f t="shared" ref="F19:F25" si="1">+$D$28*E19</f>
        <v>-607876.22068632673</v>
      </c>
      <c r="G19" s="295"/>
      <c r="H19" s="295">
        <f t="shared" ref="H19:H26" si="2">+D19+F19</f>
        <v>5902249.7393136732</v>
      </c>
      <c r="I19" s="295"/>
      <c r="J19" s="295">
        <f t="shared" ref="J19:J26" si="3">SUM(H19:I19)</f>
        <v>5902249.7393136732</v>
      </c>
      <c r="K19" s="295"/>
      <c r="L19" s="295">
        <f>+D11</f>
        <v>4615715.315100003</v>
      </c>
      <c r="M19" s="295"/>
      <c r="N19" s="295">
        <f t="shared" ref="N19:N26" si="4">+J19-L19</f>
        <v>1286534.4242136702</v>
      </c>
      <c r="O19" s="295"/>
      <c r="P19" s="295"/>
      <c r="Q19" s="295"/>
      <c r="R19" s="295"/>
    </row>
    <row r="20" spans="1:18">
      <c r="A20" s="204"/>
      <c r="B20" s="295" t="s">
        <v>1254</v>
      </c>
      <c r="C20" s="295"/>
      <c r="D20" s="295">
        <f>5332161.25</f>
        <v>5332161.25</v>
      </c>
      <c r="E20" s="218">
        <f t="shared" si="0"/>
        <v>0.27266488790014143</v>
      </c>
      <c r="F20" s="295">
        <f t="shared" si="1"/>
        <v>-497884.99464610667</v>
      </c>
      <c r="G20" s="295"/>
      <c r="H20" s="295">
        <f t="shared" si="2"/>
        <v>4834276.2553538932</v>
      </c>
      <c r="I20" s="295">
        <f>+D27</f>
        <v>-3340241.42</v>
      </c>
      <c r="J20" s="295">
        <f t="shared" si="3"/>
        <v>1494034.8353538932</v>
      </c>
      <c r="K20" s="295"/>
      <c r="L20" s="295">
        <f>+D12</f>
        <v>1491001.5900000005</v>
      </c>
      <c r="M20" s="295"/>
      <c r="N20" s="295">
        <f t="shared" si="4"/>
        <v>3033.2453538926784</v>
      </c>
      <c r="O20" s="295"/>
      <c r="P20" s="295"/>
      <c r="Q20" s="295"/>
      <c r="R20" s="295"/>
    </row>
    <row r="21" spans="1:18">
      <c r="A21" s="204"/>
      <c r="B21" s="295" t="s">
        <v>933</v>
      </c>
      <c r="C21" s="295"/>
      <c r="D21" s="295">
        <v>83428</v>
      </c>
      <c r="E21" s="218">
        <f t="shared" si="0"/>
        <v>4.2661662318882422E-3</v>
      </c>
      <c r="F21" s="295">
        <f t="shared" si="1"/>
        <v>-7790.0024747630023</v>
      </c>
      <c r="G21" s="295"/>
      <c r="H21" s="295">
        <f t="shared" si="2"/>
        <v>75637.997525236991</v>
      </c>
      <c r="I21" s="295"/>
      <c r="J21" s="295">
        <f t="shared" si="3"/>
        <v>75637.997525236991</v>
      </c>
      <c r="K21" s="295"/>
      <c r="L21" s="295">
        <f>+D13</f>
        <v>902464.02000000014</v>
      </c>
      <c r="M21" s="295"/>
      <c r="N21" s="295">
        <f t="shared" si="4"/>
        <v>-826826.0224747631</v>
      </c>
      <c r="O21" s="295"/>
      <c r="P21" s="295"/>
      <c r="Q21" s="295"/>
      <c r="R21" s="295"/>
    </row>
    <row r="22" spans="1:18">
      <c r="A22" s="204"/>
      <c r="B22" s="295" t="s">
        <v>1075</v>
      </c>
      <c r="C22" s="295"/>
      <c r="D22" s="295">
        <v>498664</v>
      </c>
      <c r="E22" s="218">
        <f t="shared" si="0"/>
        <v>2.5499634629360866E-2</v>
      </c>
      <c r="F22" s="295">
        <f t="shared" si="1"/>
        <v>-46562.230834674425</v>
      </c>
      <c r="G22" s="295"/>
      <c r="H22" s="295">
        <f t="shared" si="2"/>
        <v>452101.76916532556</v>
      </c>
      <c r="I22" s="295"/>
      <c r="J22" s="295">
        <f t="shared" si="3"/>
        <v>452101.76916532556</v>
      </c>
      <c r="K22" s="295"/>
      <c r="L22" s="295">
        <f>+D8</f>
        <v>1386625.45</v>
      </c>
      <c r="M22" s="295"/>
      <c r="N22" s="295">
        <f t="shared" si="4"/>
        <v>-934523.68083467439</v>
      </c>
      <c r="O22" s="295"/>
      <c r="P22" s="295"/>
      <c r="Q22" s="295"/>
      <c r="R22" s="295"/>
    </row>
    <row r="23" spans="1:18">
      <c r="A23" s="204"/>
      <c r="B23" s="295" t="s">
        <v>1261</v>
      </c>
      <c r="C23" s="295"/>
      <c r="D23" s="295">
        <v>1334816.57</v>
      </c>
      <c r="E23" s="218">
        <f>D23/$D$26</f>
        <v>6.8257052508736732E-2</v>
      </c>
      <c r="F23" s="295">
        <f t="shared" si="1"/>
        <v>-124637.10485274324</v>
      </c>
      <c r="G23" s="295"/>
      <c r="H23" s="295">
        <f t="shared" si="2"/>
        <v>1210179.4651472569</v>
      </c>
      <c r="I23" s="295"/>
      <c r="J23" s="295">
        <f t="shared" si="3"/>
        <v>1210179.4651472569</v>
      </c>
      <c r="K23" s="295"/>
      <c r="L23" s="295">
        <f>+D9</f>
        <v>1342515.2</v>
      </c>
      <c r="M23" s="295"/>
      <c r="N23" s="295">
        <f t="shared" si="4"/>
        <v>-132335.7348527431</v>
      </c>
      <c r="O23" s="295"/>
      <c r="P23" s="295"/>
      <c r="Q23" s="295"/>
      <c r="R23" s="295"/>
    </row>
    <row r="24" spans="1:18">
      <c r="A24" s="204"/>
      <c r="B24" s="295" t="s">
        <v>1262</v>
      </c>
      <c r="C24" s="295"/>
      <c r="D24" s="295">
        <v>33844</v>
      </c>
      <c r="E24" s="218">
        <f>D24/$D$26</f>
        <v>1.7306435483533784E-3</v>
      </c>
      <c r="F24" s="295">
        <f t="shared" si="1"/>
        <v>-3160.1481967190753</v>
      </c>
      <c r="G24" s="295"/>
      <c r="H24" s="295">
        <f t="shared" si="2"/>
        <v>30683.851803280926</v>
      </c>
      <c r="I24" s="295"/>
      <c r="J24" s="295">
        <f t="shared" si="3"/>
        <v>30683.851803280926</v>
      </c>
      <c r="K24" s="295"/>
      <c r="L24" s="295"/>
      <c r="M24" s="295"/>
      <c r="N24" s="295"/>
      <c r="O24" s="295"/>
      <c r="P24" s="295"/>
      <c r="Q24" s="295"/>
      <c r="R24" s="295"/>
    </row>
    <row r="25" spans="1:18">
      <c r="A25" s="204"/>
      <c r="B25" s="295" t="s">
        <v>1263</v>
      </c>
      <c r="C25" s="295"/>
      <c r="D25" s="352">
        <v>9604</v>
      </c>
      <c r="E25" s="222">
        <f>D25/$D$26</f>
        <v>4.9110922581213352E-4</v>
      </c>
      <c r="F25" s="352">
        <f t="shared" si="1"/>
        <v>-896.76348189605255</v>
      </c>
      <c r="G25" s="352"/>
      <c r="H25" s="352">
        <f t="shared" si="2"/>
        <v>8707.2365181039477</v>
      </c>
      <c r="I25" s="352"/>
      <c r="J25" s="352">
        <f t="shared" si="3"/>
        <v>8707.2365181039477</v>
      </c>
      <c r="K25" s="352"/>
      <c r="L25" s="352"/>
      <c r="M25" s="352"/>
      <c r="N25" s="352"/>
      <c r="O25" s="295"/>
      <c r="P25" s="295"/>
      <c r="Q25" s="295"/>
      <c r="R25" s="295"/>
    </row>
    <row r="26" spans="1:18">
      <c r="A26" s="204"/>
      <c r="B26" s="295"/>
      <c r="C26" s="295"/>
      <c r="D26" s="295">
        <f>SUM(D18:D25)</f>
        <v>19555731.18</v>
      </c>
      <c r="E26" s="218">
        <f>SUM(E18:E25)</f>
        <v>1</v>
      </c>
      <c r="F26" s="295">
        <f>SUM(F18:F25)</f>
        <v>-1825996</v>
      </c>
      <c r="G26" s="295"/>
      <c r="H26" s="295">
        <f t="shared" si="2"/>
        <v>17729735.18</v>
      </c>
      <c r="I26" s="295">
        <f>SUM(I18:I23)</f>
        <v>-3340241.42</v>
      </c>
      <c r="J26" s="295">
        <f t="shared" si="3"/>
        <v>14389493.76</v>
      </c>
      <c r="K26" s="295"/>
      <c r="L26" s="295">
        <f>SUM(L18:L23)</f>
        <v>14185466.7651</v>
      </c>
      <c r="M26" s="295"/>
      <c r="N26" s="295">
        <f t="shared" si="4"/>
        <v>204026.99489999935</v>
      </c>
      <c r="O26" s="295"/>
      <c r="P26" s="295"/>
      <c r="Q26" s="295"/>
      <c r="R26" s="295"/>
    </row>
    <row r="27" spans="1:18">
      <c r="A27" s="204"/>
      <c r="B27" s="295" t="s">
        <v>1264</v>
      </c>
      <c r="C27" s="295"/>
      <c r="D27" s="295">
        <v>-3340241.42</v>
      </c>
      <c r="E27" s="295"/>
      <c r="F27" s="295"/>
      <c r="G27" s="295"/>
      <c r="H27" s="295"/>
      <c r="I27" s="295"/>
      <c r="J27" s="295"/>
      <c r="K27" s="295"/>
      <c r="L27" s="295"/>
      <c r="M27" s="295"/>
      <c r="N27" s="204"/>
      <c r="O27" s="295"/>
      <c r="P27" s="295"/>
      <c r="Q27" s="295"/>
      <c r="R27" s="295"/>
    </row>
    <row r="28" spans="1:18">
      <c r="A28" s="204"/>
      <c r="B28" s="295" t="s">
        <v>1265</v>
      </c>
      <c r="C28" s="295"/>
      <c r="D28" s="352">
        <v>-1825996</v>
      </c>
      <c r="E28" s="295"/>
      <c r="F28" s="295"/>
      <c r="G28" s="295"/>
      <c r="H28" s="295"/>
      <c r="I28" s="295"/>
      <c r="J28" s="295"/>
      <c r="K28" s="295"/>
      <c r="L28" s="295"/>
      <c r="M28" s="295"/>
      <c r="N28" s="295"/>
      <c r="O28" s="295"/>
      <c r="P28" s="295"/>
      <c r="Q28" s="295"/>
      <c r="R28" s="295"/>
    </row>
    <row r="29" spans="1:18">
      <c r="A29" s="204"/>
      <c r="B29" s="295" t="s">
        <v>1266</v>
      </c>
      <c r="C29" s="204"/>
      <c r="D29" s="295">
        <f>SUM(D26:D28)</f>
        <v>14389493.76</v>
      </c>
      <c r="E29" s="204"/>
      <c r="F29" s="204"/>
      <c r="G29" s="204"/>
      <c r="H29" s="204"/>
      <c r="I29" s="204"/>
      <c r="J29" s="204"/>
      <c r="K29" s="204"/>
      <c r="L29" s="204"/>
      <c r="M29" s="204"/>
      <c r="N29" s="204"/>
      <c r="O29" s="204"/>
      <c r="P29" s="204"/>
      <c r="Q29" s="204"/>
      <c r="R29" s="204"/>
    </row>
    <row r="30" spans="1:18">
      <c r="A30" s="204"/>
      <c r="B30" s="204" t="s">
        <v>1363</v>
      </c>
      <c r="C30" s="204"/>
      <c r="D30" s="218">
        <f>+D14/D29-1</f>
        <v>-1.4178886227891652E-2</v>
      </c>
      <c r="E30" s="204"/>
      <c r="F30" s="204"/>
      <c r="G30" s="204"/>
      <c r="H30" s="204"/>
      <c r="I30" s="204"/>
      <c r="J30" s="204"/>
      <c r="K30" s="204"/>
      <c r="L30" s="204"/>
      <c r="M30" s="204"/>
      <c r="N30" s="218">
        <f>+N26/J26</f>
        <v>1.4178886227891825E-2</v>
      </c>
      <c r="O30" s="204"/>
      <c r="P30" s="204"/>
      <c r="Q30" s="204"/>
      <c r="R30" s="204"/>
    </row>
    <row r="31" spans="1:18">
      <c r="A31" s="204"/>
      <c r="B31" s="204"/>
      <c r="C31" s="204"/>
      <c r="D31" s="295"/>
      <c r="E31" s="204"/>
      <c r="F31" s="204"/>
      <c r="G31" s="204"/>
      <c r="H31" s="204"/>
      <c r="I31" s="204"/>
      <c r="J31" s="204"/>
      <c r="K31" s="204"/>
      <c r="L31" s="204"/>
      <c r="M31" s="204"/>
      <c r="N31" s="204"/>
      <c r="O31" s="204"/>
      <c r="P31" s="204"/>
      <c r="Q31" s="204"/>
      <c r="R31" s="204"/>
    </row>
    <row r="32" spans="1:18">
      <c r="A32" s="204"/>
      <c r="B32" s="204"/>
      <c r="C32" s="204"/>
      <c r="D32" s="204"/>
      <c r="E32" s="204"/>
      <c r="F32" s="204"/>
      <c r="G32" s="204"/>
      <c r="H32" s="204"/>
      <c r="I32" s="204"/>
      <c r="J32" s="204"/>
      <c r="K32" s="204"/>
      <c r="L32" s="204"/>
      <c r="M32" s="204"/>
      <c r="N32" s="204"/>
      <c r="O32" s="204"/>
      <c r="P32" s="204"/>
      <c r="Q32" s="204"/>
      <c r="R32" s="204"/>
    </row>
    <row r="33" spans="1:18">
      <c r="A33" s="204"/>
      <c r="B33" s="204"/>
      <c r="C33" s="204"/>
      <c r="D33" s="204"/>
      <c r="E33" s="204"/>
      <c r="F33" s="204"/>
      <c r="G33" s="204"/>
      <c r="H33" s="204"/>
      <c r="I33" s="204"/>
      <c r="J33" s="204"/>
      <c r="K33" s="204"/>
      <c r="L33" s="204"/>
      <c r="M33" s="204"/>
      <c r="N33" s="204"/>
      <c r="O33" s="204"/>
      <c r="P33" s="204"/>
      <c r="Q33" s="204"/>
      <c r="R33" s="204"/>
    </row>
    <row r="34" spans="1:18">
      <c r="A34" s="204"/>
      <c r="B34" s="204"/>
      <c r="C34" s="204"/>
      <c r="D34" s="204"/>
      <c r="E34" s="204"/>
      <c r="F34" s="204"/>
      <c r="G34" s="204"/>
      <c r="H34" s="204"/>
      <c r="I34" s="204"/>
      <c r="J34" s="204"/>
      <c r="K34" s="204"/>
      <c r="L34" s="204"/>
      <c r="M34" s="204"/>
      <c r="N34" s="204"/>
      <c r="O34" s="204"/>
      <c r="P34" s="204"/>
      <c r="Q34" s="204"/>
      <c r="R34" s="204"/>
    </row>
    <row r="35" spans="1:18">
      <c r="A35" s="204"/>
      <c r="B35" s="204"/>
      <c r="C35" s="204"/>
      <c r="D35" s="204"/>
      <c r="E35" s="204"/>
      <c r="F35" s="204"/>
      <c r="G35" s="204"/>
      <c r="H35" s="204"/>
      <c r="I35" s="204"/>
      <c r="J35" s="204"/>
      <c r="K35" s="204"/>
      <c r="L35" s="204"/>
      <c r="M35" s="204"/>
      <c r="N35" s="204"/>
      <c r="O35" s="204"/>
      <c r="P35" s="204"/>
      <c r="Q35" s="204"/>
      <c r="R35" s="204"/>
    </row>
    <row r="36" spans="1:18">
      <c r="A36" s="204"/>
      <c r="B36" s="204"/>
      <c r="C36" s="204"/>
      <c r="D36" s="204"/>
      <c r="E36" s="204"/>
      <c r="F36" s="204"/>
      <c r="G36" s="204"/>
      <c r="H36" s="204"/>
      <c r="I36" s="204"/>
      <c r="J36" s="204"/>
      <c r="K36" s="204"/>
      <c r="L36" s="204"/>
      <c r="M36" s="204"/>
      <c r="N36" s="204"/>
      <c r="O36" s="204"/>
      <c r="P36" s="204"/>
      <c r="Q36" s="204"/>
      <c r="R36" s="204"/>
    </row>
    <row r="37" spans="1:18">
      <c r="A37" s="204"/>
      <c r="B37" s="204"/>
      <c r="C37" s="204"/>
      <c r="D37" s="204"/>
      <c r="E37" s="204"/>
      <c r="F37" s="204"/>
      <c r="G37" s="204"/>
      <c r="H37" s="204"/>
      <c r="I37" s="204"/>
      <c r="J37" s="204"/>
      <c r="K37" s="204"/>
      <c r="L37" s="204"/>
      <c r="M37" s="204"/>
      <c r="N37" s="204"/>
      <c r="O37" s="204"/>
      <c r="P37" s="204"/>
      <c r="Q37" s="204"/>
      <c r="R37" s="204"/>
    </row>
    <row r="38" spans="1:18">
      <c r="A38" s="204"/>
      <c r="B38" s="204"/>
      <c r="C38" s="204"/>
      <c r="D38" s="204"/>
      <c r="E38" s="204"/>
      <c r="F38" s="204"/>
      <c r="G38" s="204"/>
      <c r="H38" s="204"/>
      <c r="I38" s="204"/>
      <c r="J38" s="204"/>
      <c r="K38" s="204"/>
      <c r="L38" s="204"/>
      <c r="M38" s="204"/>
      <c r="N38" s="204"/>
      <c r="O38" s="204"/>
      <c r="P38" s="204"/>
      <c r="Q38" s="204"/>
      <c r="R38" s="204"/>
    </row>
    <row r="39" spans="1:18">
      <c r="A39" s="204"/>
      <c r="B39" s="204"/>
      <c r="C39" s="204"/>
      <c r="D39" s="204"/>
      <c r="E39" s="204"/>
      <c r="F39" s="204"/>
      <c r="G39" s="204"/>
      <c r="H39" s="204"/>
      <c r="I39" s="204"/>
      <c r="J39" s="204"/>
      <c r="K39" s="204"/>
      <c r="L39" s="204"/>
      <c r="M39" s="204"/>
      <c r="N39" s="204"/>
      <c r="O39" s="204"/>
      <c r="P39" s="204"/>
      <c r="Q39" s="204"/>
      <c r="R39" s="204"/>
    </row>
    <row r="40" spans="1:18">
      <c r="A40" s="204"/>
      <c r="B40" s="204"/>
      <c r="C40" s="204"/>
      <c r="D40" s="204"/>
      <c r="E40" s="204"/>
      <c r="F40" s="204"/>
      <c r="G40" s="204"/>
      <c r="H40" s="204"/>
      <c r="I40" s="204"/>
      <c r="J40" s="204"/>
      <c r="K40" s="204"/>
      <c r="L40" s="204"/>
      <c r="M40" s="204"/>
      <c r="N40" s="204"/>
      <c r="O40" s="204"/>
      <c r="P40" s="204"/>
      <c r="Q40" s="204"/>
      <c r="R40" s="204"/>
    </row>
    <row r="41" spans="1:18">
      <c r="A41" s="204"/>
      <c r="B41" s="204"/>
      <c r="C41" s="204"/>
      <c r="D41" s="204"/>
      <c r="E41" s="204"/>
      <c r="F41" s="204"/>
      <c r="G41" s="204"/>
      <c r="H41" s="204"/>
      <c r="I41" s="204"/>
      <c r="J41" s="204"/>
      <c r="K41" s="204"/>
      <c r="L41" s="204"/>
      <c r="M41" s="204"/>
      <c r="N41" s="204"/>
      <c r="O41" s="204"/>
      <c r="P41" s="204"/>
      <c r="Q41" s="204"/>
      <c r="R41" s="204"/>
    </row>
    <row r="42" spans="1:18">
      <c r="A42" s="204"/>
      <c r="B42" s="204"/>
      <c r="C42" s="204"/>
      <c r="D42" s="204"/>
      <c r="E42" s="204"/>
      <c r="F42" s="204"/>
      <c r="G42" s="204"/>
      <c r="H42" s="204"/>
      <c r="I42" s="204"/>
      <c r="J42" s="204"/>
      <c r="K42" s="204"/>
      <c r="L42" s="204"/>
      <c r="M42" s="204"/>
      <c r="N42" s="204"/>
      <c r="O42" s="204"/>
      <c r="P42" s="204"/>
      <c r="Q42" s="204"/>
      <c r="R42" s="204"/>
    </row>
    <row r="43" spans="1:18">
      <c r="A43" s="204"/>
      <c r="B43" s="204"/>
      <c r="C43" s="204"/>
      <c r="D43" s="204"/>
      <c r="E43" s="204"/>
      <c r="F43" s="204"/>
      <c r="G43" s="204"/>
      <c r="H43" s="204"/>
      <c r="I43" s="204"/>
      <c r="J43" s="204"/>
      <c r="K43" s="204"/>
      <c r="L43" s="204"/>
      <c r="M43" s="204"/>
      <c r="N43" s="204"/>
      <c r="O43" s="204"/>
      <c r="P43" s="204"/>
      <c r="Q43" s="204"/>
      <c r="R43" s="204"/>
    </row>
    <row r="44" spans="1:18">
      <c r="A44" s="204"/>
      <c r="B44" s="204"/>
      <c r="C44" s="204"/>
      <c r="D44" s="204"/>
      <c r="E44" s="204"/>
      <c r="F44" s="204"/>
      <c r="G44" s="204"/>
      <c r="H44" s="204"/>
      <c r="I44" s="204"/>
      <c r="J44" s="204"/>
      <c r="K44" s="204"/>
      <c r="L44" s="204"/>
      <c r="M44" s="204"/>
      <c r="N44" s="204"/>
      <c r="O44" s="204"/>
      <c r="P44" s="204"/>
      <c r="Q44" s="204"/>
      <c r="R44" s="204"/>
    </row>
    <row r="45" spans="1:18">
      <c r="A45" s="204"/>
      <c r="B45" s="204"/>
      <c r="C45" s="204"/>
      <c r="D45" s="204"/>
      <c r="E45" s="204"/>
      <c r="F45" s="204"/>
      <c r="G45" s="204"/>
      <c r="H45" s="204"/>
      <c r="I45" s="204"/>
      <c r="J45" s="204"/>
      <c r="K45" s="204"/>
      <c r="L45" s="204"/>
      <c r="M45" s="204"/>
      <c r="N45" s="204"/>
      <c r="O45" s="204"/>
      <c r="P45" s="204"/>
      <c r="Q45" s="204"/>
      <c r="R45" s="204"/>
    </row>
    <row r="46" spans="1:18">
      <c r="A46" s="204"/>
      <c r="B46" s="204"/>
      <c r="C46" s="204"/>
      <c r="D46" s="204"/>
      <c r="E46" s="204"/>
      <c r="F46" s="204"/>
      <c r="G46" s="204"/>
      <c r="H46" s="204"/>
      <c r="I46" s="204"/>
      <c r="J46" s="204"/>
      <c r="K46" s="204"/>
      <c r="L46" s="204"/>
      <c r="M46" s="204"/>
      <c r="N46" s="204"/>
      <c r="O46" s="204"/>
      <c r="P46" s="204"/>
      <c r="Q46" s="204"/>
      <c r="R46" s="204"/>
    </row>
    <row r="47" spans="1:18">
      <c r="A47" s="204"/>
      <c r="B47" s="204"/>
      <c r="C47" s="204"/>
      <c r="D47" s="204"/>
      <c r="E47" s="204"/>
      <c r="F47" s="204"/>
      <c r="G47" s="204"/>
      <c r="H47" s="204"/>
      <c r="I47" s="204"/>
      <c r="J47" s="204"/>
      <c r="K47" s="204"/>
      <c r="L47" s="204"/>
      <c r="M47" s="204"/>
      <c r="N47" s="204"/>
      <c r="O47" s="204"/>
      <c r="P47" s="204"/>
      <c r="Q47" s="204"/>
      <c r="R47" s="204"/>
    </row>
    <row r="48" spans="1:18">
      <c r="A48" s="204"/>
      <c r="B48" s="204"/>
      <c r="C48" s="204"/>
      <c r="D48" s="204"/>
      <c r="E48" s="204"/>
      <c r="F48" s="204"/>
      <c r="G48" s="204"/>
      <c r="H48" s="204"/>
      <c r="I48" s="204"/>
      <c r="J48" s="204"/>
      <c r="K48" s="204"/>
      <c r="L48" s="204"/>
      <c r="M48" s="204"/>
      <c r="N48" s="204"/>
      <c r="O48" s="204"/>
      <c r="P48" s="204"/>
      <c r="Q48" s="204"/>
      <c r="R48" s="204"/>
    </row>
    <row r="49" spans="1:18">
      <c r="A49" s="204"/>
      <c r="B49" s="204"/>
      <c r="C49" s="204"/>
      <c r="D49" s="204"/>
      <c r="E49" s="204"/>
      <c r="F49" s="204"/>
      <c r="G49" s="204"/>
      <c r="H49" s="204"/>
      <c r="I49" s="204"/>
      <c r="J49" s="204"/>
      <c r="K49" s="204"/>
      <c r="L49" s="204"/>
      <c r="M49" s="204"/>
      <c r="N49" s="204"/>
      <c r="O49" s="204"/>
      <c r="P49" s="204"/>
      <c r="Q49" s="204"/>
      <c r="R49" s="204"/>
    </row>
    <row r="50" spans="1:18">
      <c r="A50" s="204"/>
      <c r="B50" s="204"/>
      <c r="C50" s="204"/>
      <c r="D50" s="204"/>
      <c r="E50" s="204"/>
      <c r="F50" s="204"/>
      <c r="G50" s="204"/>
      <c r="H50" s="204"/>
      <c r="I50" s="204"/>
      <c r="J50" s="204"/>
      <c r="K50" s="204"/>
      <c r="L50" s="204"/>
      <c r="M50" s="204"/>
      <c r="N50" s="204"/>
      <c r="O50" s="204"/>
      <c r="P50" s="204"/>
      <c r="Q50" s="204"/>
      <c r="R50" s="204"/>
    </row>
  </sheetData>
  <pageMargins left="0.7" right="0.7" top="0.75" bottom="0.75" header="0.3" footer="0.3"/>
  <pageSetup scale="81" fitToHeight="0"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077EB-FD49-4461-ADB1-63D46BAD4D46}">
  <sheetPr codeName="Sheet38"/>
  <dimension ref="A1:X130"/>
  <sheetViews>
    <sheetView workbookViewId="0">
      <selection activeCell="E35" sqref="E35"/>
    </sheetView>
  </sheetViews>
  <sheetFormatPr defaultRowHeight="15"/>
  <cols>
    <col min="1" max="1" width="32.6640625" customWidth="1"/>
    <col min="2" max="2" width="34.44140625" customWidth="1"/>
    <col min="3" max="3" width="9.88671875" bestFit="1" customWidth="1"/>
    <col min="4" max="4" width="9.109375" customWidth="1"/>
    <col min="5" max="5" width="22" customWidth="1"/>
    <col min="6" max="6" width="10" customWidth="1"/>
    <col min="7" max="7" width="13.6640625" customWidth="1"/>
    <col min="8" max="8" width="9.88671875" customWidth="1"/>
    <col min="9" max="9" width="11.77734375" customWidth="1"/>
    <col min="10" max="10" width="9.88671875" customWidth="1"/>
    <col min="11" max="11" width="12.5546875" customWidth="1"/>
    <col min="12" max="12" width="12.44140625" customWidth="1"/>
    <col min="13" max="13" width="11.5546875" customWidth="1"/>
    <col min="14" max="14" width="9.5546875" customWidth="1"/>
    <col min="15" max="15" width="11.88671875" customWidth="1"/>
  </cols>
  <sheetData>
    <row r="1" spans="1:24">
      <c r="A1" s="384"/>
      <c r="B1" s="384"/>
      <c r="C1" s="384"/>
      <c r="D1" s="384"/>
      <c r="E1" s="384"/>
      <c r="F1" s="384"/>
      <c r="G1" s="384"/>
      <c r="H1" s="384"/>
      <c r="I1" s="384"/>
      <c r="J1" s="384"/>
      <c r="K1" s="384"/>
      <c r="L1" s="384"/>
      <c r="M1" s="384"/>
      <c r="N1" s="384"/>
      <c r="O1" s="384"/>
      <c r="P1" s="384"/>
      <c r="Q1" s="384"/>
      <c r="R1" s="384"/>
      <c r="S1" s="66"/>
      <c r="T1" s="66"/>
      <c r="U1" s="66"/>
      <c r="V1" s="66"/>
      <c r="W1" s="66"/>
      <c r="X1" s="66"/>
    </row>
    <row r="2" spans="1:24">
      <c r="A2" s="390" t="s">
        <v>1302</v>
      </c>
      <c r="B2" s="391" t="s">
        <v>1302</v>
      </c>
      <c r="C2" s="392"/>
      <c r="D2" s="384"/>
      <c r="E2" s="384"/>
      <c r="F2" s="384"/>
      <c r="G2" s="393" t="s">
        <v>811</v>
      </c>
      <c r="H2" s="393" t="s">
        <v>1303</v>
      </c>
      <c r="I2" s="393" t="s">
        <v>1304</v>
      </c>
      <c r="J2" s="393" t="s">
        <v>1305</v>
      </c>
      <c r="K2" s="393" t="s">
        <v>1306</v>
      </c>
      <c r="L2" s="392"/>
      <c r="M2" s="384"/>
      <c r="N2" s="384"/>
      <c r="O2" s="384"/>
      <c r="P2" s="384"/>
      <c r="Q2" s="384"/>
      <c r="R2" s="384"/>
      <c r="S2" s="66"/>
      <c r="T2" s="66"/>
      <c r="U2" s="66"/>
      <c r="V2" s="66"/>
      <c r="W2" s="66"/>
      <c r="X2" s="66"/>
    </row>
    <row r="3" spans="1:24">
      <c r="A3" s="384"/>
      <c r="B3" s="384"/>
      <c r="C3" s="384"/>
      <c r="D3" s="384"/>
      <c r="E3" s="384" t="s">
        <v>1307</v>
      </c>
      <c r="F3" s="384"/>
      <c r="G3" s="394"/>
      <c r="H3" s="394"/>
      <c r="I3" s="394"/>
      <c r="J3" s="394"/>
      <c r="K3" s="394"/>
      <c r="L3" s="384"/>
      <c r="M3" s="384" t="s">
        <v>1308</v>
      </c>
      <c r="N3" s="384"/>
      <c r="O3" s="384"/>
      <c r="P3" s="384" t="s">
        <v>1309</v>
      </c>
      <c r="Q3" s="384"/>
      <c r="R3" s="384"/>
      <c r="S3" s="66"/>
      <c r="T3" s="66"/>
      <c r="U3" s="66"/>
      <c r="V3" s="66"/>
      <c r="W3" s="66"/>
      <c r="X3" s="66"/>
    </row>
    <row r="4" spans="1:24">
      <c r="A4" s="384" t="s">
        <v>1310</v>
      </c>
      <c r="B4" s="384" t="s">
        <v>1310</v>
      </c>
      <c r="C4" s="395">
        <v>29490</v>
      </c>
      <c r="D4" s="384"/>
      <c r="E4" s="383"/>
      <c r="F4" s="384"/>
      <c r="G4" s="396">
        <v>0.8</v>
      </c>
      <c r="H4" s="396">
        <v>0.03</v>
      </c>
      <c r="I4" s="396"/>
      <c r="J4" s="396">
        <v>0.15</v>
      </c>
      <c r="K4" s="396">
        <v>0.02</v>
      </c>
      <c r="L4" s="397">
        <f>SUM(G4:K4)</f>
        <v>1</v>
      </c>
      <c r="M4" s="384"/>
      <c r="N4" s="384"/>
      <c r="O4" s="384"/>
      <c r="P4" s="384"/>
      <c r="Q4" s="384"/>
      <c r="R4" s="384"/>
      <c r="S4" s="66"/>
      <c r="T4" s="66"/>
      <c r="U4" s="66"/>
      <c r="V4" s="66"/>
      <c r="W4" s="66"/>
      <c r="X4" s="66"/>
    </row>
    <row r="5" spans="1:24">
      <c r="A5" s="384" t="s">
        <v>1311</v>
      </c>
      <c r="B5" s="384" t="s">
        <v>1311</v>
      </c>
      <c r="C5" s="395">
        <v>28301.16</v>
      </c>
      <c r="D5" s="384"/>
      <c r="E5" s="384"/>
      <c r="F5" s="384"/>
      <c r="G5" s="398">
        <f>$C$4*G4</f>
        <v>23592</v>
      </c>
      <c r="H5" s="398">
        <f t="shared" ref="H5:K5" si="0">$C$4*H4</f>
        <v>884.69999999999993</v>
      </c>
      <c r="I5" s="398">
        <f t="shared" si="0"/>
        <v>0</v>
      </c>
      <c r="J5" s="398">
        <f t="shared" si="0"/>
        <v>4423.5</v>
      </c>
      <c r="K5" s="399">
        <f t="shared" si="0"/>
        <v>589.80000000000007</v>
      </c>
      <c r="L5" s="400">
        <f>SUM(G5:K5)</f>
        <v>29490</v>
      </c>
      <c r="M5" s="384"/>
      <c r="N5" s="384"/>
      <c r="O5" s="384"/>
      <c r="P5" s="384"/>
      <c r="Q5" s="384"/>
      <c r="R5" s="384"/>
      <c r="S5" s="66"/>
      <c r="T5" s="66"/>
      <c r="U5" s="66"/>
      <c r="V5" s="66"/>
      <c r="W5" s="66"/>
      <c r="X5" s="66"/>
    </row>
    <row r="6" spans="1:24">
      <c r="A6" s="384" t="s">
        <v>1312</v>
      </c>
      <c r="B6" s="384" t="s">
        <v>1312</v>
      </c>
      <c r="C6" s="383">
        <v>316091</v>
      </c>
      <c r="D6" s="384"/>
      <c r="E6" s="384" t="s">
        <v>1313</v>
      </c>
      <c r="F6" s="400"/>
      <c r="G6" s="385"/>
      <c r="H6" s="385">
        <f>SUM(1959.83*0.15)</f>
        <v>293.97449999999998</v>
      </c>
      <c r="I6" s="385"/>
      <c r="J6" s="385">
        <f>SUM(1959.83*0.8)</f>
        <v>1567.864</v>
      </c>
      <c r="K6" s="385">
        <f>SUM(1959.83*0.05)</f>
        <v>97.991500000000002</v>
      </c>
      <c r="L6" s="401"/>
      <c r="M6" s="384"/>
      <c r="N6" s="384"/>
      <c r="O6" s="384"/>
      <c r="P6" s="384"/>
      <c r="Q6" s="384"/>
      <c r="R6" s="384"/>
      <c r="S6" s="66"/>
      <c r="T6" s="66"/>
      <c r="U6" s="66"/>
      <c r="V6" s="66"/>
      <c r="W6" s="66"/>
      <c r="X6" s="66"/>
    </row>
    <row r="7" spans="1:24">
      <c r="A7" s="384" t="s">
        <v>1314</v>
      </c>
      <c r="B7" s="384" t="s">
        <v>1315</v>
      </c>
      <c r="C7" s="383">
        <v>195420.23</v>
      </c>
      <c r="D7" s="384"/>
      <c r="E7" s="384"/>
      <c r="F7" s="384"/>
      <c r="G7" s="385"/>
      <c r="H7" s="402"/>
      <c r="I7" s="402"/>
      <c r="J7" s="403"/>
      <c r="K7" s="402"/>
      <c r="L7" s="401"/>
      <c r="M7" s="384" t="s">
        <v>1316</v>
      </c>
      <c r="N7" s="384"/>
      <c r="O7" s="384"/>
      <c r="P7" s="384"/>
      <c r="Q7" s="384"/>
      <c r="R7" s="384"/>
      <c r="S7" s="66"/>
      <c r="T7" s="66"/>
      <c r="U7" s="66"/>
      <c r="V7" s="66"/>
      <c r="W7" s="66"/>
      <c r="X7" s="66"/>
    </row>
    <row r="8" spans="1:24">
      <c r="A8" s="384" t="s">
        <v>1317</v>
      </c>
      <c r="B8" s="384" t="s">
        <v>1317</v>
      </c>
      <c r="C8" s="383">
        <v>6282</v>
      </c>
      <c r="D8" s="384"/>
      <c r="E8" s="384"/>
      <c r="F8" s="384"/>
      <c r="G8" s="385"/>
      <c r="H8" s="402"/>
      <c r="I8" s="402"/>
      <c r="J8" s="403"/>
      <c r="K8" s="402"/>
      <c r="L8" s="401"/>
      <c r="M8" s="384"/>
      <c r="N8" s="384"/>
      <c r="O8" s="384"/>
      <c r="P8" s="404"/>
      <c r="Q8" s="384"/>
      <c r="R8" s="384"/>
      <c r="S8" s="66"/>
      <c r="T8" s="66"/>
      <c r="U8" s="66"/>
      <c r="V8" s="66"/>
      <c r="W8" s="66"/>
      <c r="X8" s="66"/>
    </row>
    <row r="9" spans="1:24">
      <c r="A9" s="405" t="s">
        <v>1318</v>
      </c>
      <c r="B9" s="384" t="s">
        <v>1319</v>
      </c>
      <c r="C9" s="383">
        <v>8946</v>
      </c>
      <c r="D9" s="384"/>
      <c r="E9" s="384"/>
      <c r="F9" s="384"/>
      <c r="G9" s="385"/>
      <c r="H9" s="402"/>
      <c r="I9" s="402"/>
      <c r="J9" s="403"/>
      <c r="K9" s="402"/>
      <c r="L9" s="401"/>
      <c r="M9" s="384"/>
      <c r="N9" s="384"/>
      <c r="O9" s="384"/>
      <c r="P9" s="404"/>
      <c r="Q9" s="384"/>
      <c r="R9" s="384"/>
      <c r="S9" s="66"/>
      <c r="T9" s="66"/>
      <c r="U9" s="66"/>
      <c r="V9" s="66"/>
      <c r="W9" s="66"/>
      <c r="X9" s="66"/>
    </row>
    <row r="10" spans="1:24">
      <c r="A10" s="384" t="s">
        <v>1320</v>
      </c>
      <c r="B10" s="384" t="s">
        <v>1321</v>
      </c>
      <c r="C10" s="383">
        <v>1937</v>
      </c>
      <c r="D10" s="384"/>
      <c r="E10" s="384"/>
      <c r="F10" s="384"/>
      <c r="G10" s="385"/>
      <c r="H10" s="402"/>
      <c r="I10" s="402"/>
      <c r="J10" s="403"/>
      <c r="K10" s="402"/>
      <c r="L10" s="383"/>
      <c r="M10" s="384"/>
      <c r="N10" s="384"/>
      <c r="O10" s="384"/>
      <c r="P10" s="404"/>
      <c r="Q10" s="384"/>
      <c r="R10" s="384"/>
      <c r="S10" s="66"/>
      <c r="T10" s="66"/>
      <c r="U10" s="66"/>
      <c r="V10" s="66"/>
      <c r="W10" s="66"/>
      <c r="X10" s="66"/>
    </row>
    <row r="11" spans="1:24" ht="15.75" thickBot="1">
      <c r="A11" s="384" t="s">
        <v>1322</v>
      </c>
      <c r="B11" s="405" t="s">
        <v>1318</v>
      </c>
      <c r="C11" s="406">
        <f>SUM(C4:C10)</f>
        <v>586467.39</v>
      </c>
      <c r="D11" s="400">
        <f>C11+C17</f>
        <v>586467.39</v>
      </c>
      <c r="E11" s="384"/>
      <c r="F11" s="384"/>
      <c r="G11" s="385"/>
      <c r="H11" s="402"/>
      <c r="I11" s="402"/>
      <c r="J11" s="403"/>
      <c r="K11" s="402"/>
      <c r="L11" s="383"/>
      <c r="M11" s="384"/>
      <c r="N11" s="384"/>
      <c r="O11" s="384"/>
      <c r="P11" s="384"/>
      <c r="Q11" s="384"/>
      <c r="R11" s="384"/>
      <c r="S11" s="66"/>
      <c r="T11" s="66"/>
      <c r="U11" s="66"/>
      <c r="V11" s="66"/>
      <c r="W11" s="66"/>
      <c r="X11" s="66"/>
    </row>
    <row r="12" spans="1:24" ht="15.75" thickTop="1">
      <c r="A12" s="384" t="s">
        <v>1323</v>
      </c>
      <c r="B12" s="384" t="s">
        <v>1320</v>
      </c>
      <c r="C12" s="407"/>
      <c r="D12" s="384"/>
      <c r="E12" s="384"/>
      <c r="F12" s="384"/>
      <c r="G12" s="385"/>
      <c r="H12" s="402"/>
      <c r="I12" s="402"/>
      <c r="J12" s="403"/>
      <c r="K12" s="402"/>
      <c r="L12" s="383"/>
      <c r="M12" s="384"/>
      <c r="N12" s="384"/>
      <c r="O12" s="384"/>
      <c r="P12" s="404"/>
      <c r="Q12" s="384"/>
      <c r="R12" s="384"/>
      <c r="S12" s="66"/>
      <c r="T12" s="66"/>
      <c r="U12" s="66"/>
      <c r="V12" s="66"/>
      <c r="W12" s="66"/>
      <c r="X12" s="66"/>
    </row>
    <row r="13" spans="1:24">
      <c r="A13" s="405" t="s">
        <v>1324</v>
      </c>
      <c r="B13" s="384"/>
      <c r="C13" s="401"/>
      <c r="D13" s="384"/>
      <c r="E13" s="384"/>
      <c r="F13" s="384"/>
      <c r="G13" s="385"/>
      <c r="H13" s="402"/>
      <c r="I13" s="402"/>
      <c r="J13" s="385"/>
      <c r="K13" s="385"/>
      <c r="L13" s="383"/>
      <c r="M13" s="384"/>
      <c r="N13" s="384"/>
      <c r="O13" s="384"/>
      <c r="P13" s="384"/>
      <c r="Q13" s="384"/>
      <c r="R13" s="384"/>
      <c r="S13" s="66"/>
      <c r="T13" s="66"/>
      <c r="U13" s="66"/>
      <c r="V13" s="66"/>
      <c r="W13" s="66"/>
      <c r="X13" s="66"/>
    </row>
    <row r="14" spans="1:24">
      <c r="A14" s="384"/>
      <c r="B14" s="384" t="s">
        <v>1323</v>
      </c>
      <c r="C14" s="401"/>
      <c r="D14" s="384"/>
      <c r="E14" s="384"/>
      <c r="F14" s="384"/>
      <c r="G14" s="385"/>
      <c r="H14" s="402">
        <f>SUM(H6:H13)</f>
        <v>293.97449999999998</v>
      </c>
      <c r="I14" s="402">
        <f t="shared" ref="I14:K14" si="1">SUM(I6:I13)</f>
        <v>0</v>
      </c>
      <c r="J14" s="402">
        <f t="shared" si="1"/>
        <v>1567.864</v>
      </c>
      <c r="K14" s="402">
        <f t="shared" si="1"/>
        <v>97.991500000000002</v>
      </c>
      <c r="L14" s="385">
        <f>SUM(G6:K13)</f>
        <v>1959.8300000000002</v>
      </c>
      <c r="M14" s="384"/>
      <c r="N14" s="384"/>
      <c r="O14" s="384"/>
      <c r="P14" s="404"/>
      <c r="Q14" s="384"/>
      <c r="R14" s="384"/>
      <c r="S14" s="66"/>
      <c r="T14" s="66"/>
      <c r="U14" s="66"/>
      <c r="V14" s="66"/>
      <c r="W14" s="66"/>
      <c r="X14" s="66"/>
    </row>
    <row r="15" spans="1:24" ht="15.75" thickBot="1">
      <c r="A15" s="384" t="s">
        <v>1325</v>
      </c>
      <c r="B15" s="405" t="s">
        <v>1324</v>
      </c>
      <c r="C15" s="408">
        <f>SUM(C12:C14)</f>
        <v>0</v>
      </c>
      <c r="D15" s="384"/>
      <c r="E15" s="384" t="s">
        <v>1326</v>
      </c>
      <c r="F15" s="384"/>
      <c r="G15" s="385">
        <f>C6-7749</f>
        <v>308342</v>
      </c>
      <c r="H15" s="385"/>
      <c r="I15" s="385"/>
      <c r="J15" s="385"/>
      <c r="K15" s="385"/>
      <c r="L15" s="385">
        <f>SUM(G15:K15)+J16+J17</f>
        <v>308342</v>
      </c>
      <c r="M15" s="384"/>
      <c r="N15" s="384"/>
      <c r="O15" s="384"/>
      <c r="P15" s="404"/>
      <c r="Q15" s="384"/>
      <c r="R15" s="384"/>
      <c r="S15" s="66"/>
      <c r="T15" s="66"/>
      <c r="U15" s="66"/>
      <c r="V15" s="66"/>
      <c r="W15" s="66"/>
      <c r="X15" s="66"/>
    </row>
    <row r="16" spans="1:24" ht="15.75" thickTop="1">
      <c r="A16" s="384"/>
      <c r="B16" s="384"/>
      <c r="C16" s="400">
        <f>C11+C15</f>
        <v>586467.39</v>
      </c>
      <c r="D16" s="384"/>
      <c r="E16" s="384"/>
      <c r="F16" s="384"/>
      <c r="G16" s="385"/>
      <c r="H16" s="385"/>
      <c r="I16" s="385"/>
      <c r="J16" s="385"/>
      <c r="K16" s="385"/>
      <c r="L16" s="401"/>
      <c r="M16" s="384"/>
      <c r="N16" s="384"/>
      <c r="O16" s="384"/>
      <c r="P16" s="384"/>
      <c r="Q16" s="384"/>
      <c r="R16" s="384"/>
      <c r="S16" s="66"/>
      <c r="T16" s="66"/>
      <c r="U16" s="66"/>
      <c r="V16" s="66"/>
      <c r="W16" s="66"/>
      <c r="X16" s="66"/>
    </row>
    <row r="17" spans="1:24">
      <c r="A17" s="384" t="s">
        <v>1327</v>
      </c>
      <c r="B17" s="384" t="s">
        <v>1325</v>
      </c>
      <c r="C17" s="409"/>
      <c r="D17" s="384"/>
      <c r="E17" s="384"/>
      <c r="F17" s="384"/>
      <c r="G17" s="385"/>
      <c r="H17" s="385"/>
      <c r="I17" s="385"/>
      <c r="J17" s="385"/>
      <c r="K17" s="385"/>
      <c r="L17" s="401"/>
      <c r="M17" s="400"/>
      <c r="N17" s="384"/>
      <c r="O17" s="384"/>
      <c r="P17" s="384"/>
      <c r="Q17" s="384"/>
      <c r="R17" s="384"/>
      <c r="S17" s="66"/>
      <c r="T17" s="66"/>
      <c r="U17" s="66"/>
      <c r="V17" s="66"/>
      <c r="W17" s="66"/>
      <c r="X17" s="66"/>
    </row>
    <row r="18" spans="1:24" ht="15.75" thickBot="1">
      <c r="A18" s="384" t="s">
        <v>1328</v>
      </c>
      <c r="B18" s="384"/>
      <c r="C18" s="410">
        <f>SUM(C16:C17)</f>
        <v>586467.39</v>
      </c>
      <c r="D18" s="384"/>
      <c r="E18" s="856" t="str">
        <f>A8</f>
        <v>Employer Practices Liability Policy (all)</v>
      </c>
      <c r="F18" s="857"/>
      <c r="G18" s="385">
        <f>$C$8*G4</f>
        <v>5025.6000000000004</v>
      </c>
      <c r="H18" s="385">
        <f t="shared" ref="H18:K18" si="2">$C$8*H4</f>
        <v>188.45999999999998</v>
      </c>
      <c r="I18" s="385">
        <f t="shared" si="2"/>
        <v>0</v>
      </c>
      <c r="J18" s="385">
        <f t="shared" si="2"/>
        <v>942.3</v>
      </c>
      <c r="K18" s="385">
        <f t="shared" si="2"/>
        <v>125.64</v>
      </c>
      <c r="L18" s="411">
        <f>G18+H18+I18+J18+K18</f>
        <v>6282.0000000000009</v>
      </c>
      <c r="M18" s="384"/>
      <c r="N18" s="384"/>
      <c r="O18" s="384"/>
      <c r="P18" s="384"/>
      <c r="Q18" s="384"/>
      <c r="R18" s="384"/>
      <c r="S18" s="66"/>
      <c r="T18" s="66"/>
      <c r="U18" s="66"/>
      <c r="V18" s="66"/>
      <c r="W18" s="66"/>
      <c r="X18" s="66"/>
    </row>
    <row r="19" spans="1:24" ht="15.75" thickTop="1">
      <c r="A19" s="384"/>
      <c r="B19" s="384" t="s">
        <v>1327</v>
      </c>
      <c r="C19" s="383">
        <f>C18/C20</f>
        <v>53315.217272727277</v>
      </c>
      <c r="D19" s="400" t="s">
        <v>1329</v>
      </c>
      <c r="E19" s="384" t="s">
        <v>1314</v>
      </c>
      <c r="F19" s="384"/>
      <c r="G19" s="385"/>
      <c r="H19" s="385"/>
      <c r="I19" s="385"/>
      <c r="J19" s="385"/>
      <c r="K19" s="385"/>
      <c r="L19" s="383"/>
      <c r="M19" s="384"/>
      <c r="N19" s="384"/>
      <c r="O19" s="384"/>
      <c r="P19" s="384"/>
      <c r="Q19" s="384"/>
      <c r="R19" s="384"/>
      <c r="S19" s="66"/>
      <c r="T19" s="66"/>
      <c r="U19" s="66"/>
      <c r="V19" s="66"/>
      <c r="W19" s="66"/>
      <c r="X19" s="66"/>
    </row>
    <row r="20" spans="1:24">
      <c r="A20" s="384"/>
      <c r="B20" s="384" t="s">
        <v>1328</v>
      </c>
      <c r="C20" s="384">
        <v>11</v>
      </c>
      <c r="D20" s="384" t="s">
        <v>1330</v>
      </c>
      <c r="E20" s="383">
        <f>C7</f>
        <v>195420.23</v>
      </c>
      <c r="F20" s="384"/>
      <c r="G20" s="385">
        <f>$E$20*G21</f>
        <v>156336.18400000001</v>
      </c>
      <c r="H20" s="385">
        <f>$E$20*H21</f>
        <v>5862.6068999999998</v>
      </c>
      <c r="I20" s="385">
        <f>$E$20*I21</f>
        <v>0</v>
      </c>
      <c r="J20" s="385">
        <f>$E$20*J21</f>
        <v>29313.034500000002</v>
      </c>
      <c r="K20" s="385">
        <f>$E$20*K21</f>
        <v>3908.4046000000003</v>
      </c>
      <c r="L20" s="411">
        <f>SUM(G20:K20)</f>
        <v>195420.23000000004</v>
      </c>
      <c r="M20" s="384"/>
      <c r="N20" s="384"/>
      <c r="O20" s="384"/>
      <c r="P20" s="384"/>
      <c r="Q20" s="384"/>
      <c r="R20" s="384"/>
      <c r="S20" s="66"/>
      <c r="T20" s="66"/>
      <c r="U20" s="66"/>
      <c r="V20" s="66"/>
      <c r="W20" s="66"/>
      <c r="X20" s="66"/>
    </row>
    <row r="21" spans="1:24">
      <c r="A21" s="384"/>
      <c r="B21" s="384"/>
      <c r="C21" s="384"/>
      <c r="D21" s="384"/>
      <c r="E21" s="384"/>
      <c r="F21" s="384"/>
      <c r="G21" s="396">
        <v>0.8</v>
      </c>
      <c r="H21" s="396">
        <v>0.03</v>
      </c>
      <c r="I21" s="396"/>
      <c r="J21" s="396">
        <v>0.15</v>
      </c>
      <c r="K21" s="396">
        <v>0.02</v>
      </c>
      <c r="L21" s="412">
        <f>SUM(G21:K21)</f>
        <v>1</v>
      </c>
      <c r="M21" s="384"/>
      <c r="N21" s="384"/>
      <c r="O21" s="384"/>
      <c r="P21" s="384"/>
      <c r="Q21" s="384"/>
      <c r="R21" s="384"/>
      <c r="S21" s="66"/>
      <c r="T21" s="66"/>
      <c r="U21" s="66"/>
      <c r="V21" s="66"/>
      <c r="W21" s="66"/>
      <c r="X21" s="66"/>
    </row>
    <row r="22" spans="1:24">
      <c r="A22" s="384"/>
      <c r="B22" s="384"/>
      <c r="C22" s="400"/>
      <c r="D22" s="384"/>
      <c r="E22" s="383" t="s">
        <v>1331</v>
      </c>
      <c r="F22" s="384"/>
      <c r="G22" s="385">
        <f>SUM(G5:G20)</f>
        <v>493295.78399999999</v>
      </c>
      <c r="H22" s="385">
        <f>SUM(H5:H20)-H14</f>
        <v>7229.741399999999</v>
      </c>
      <c r="I22" s="385">
        <f t="shared" ref="I22:K22" si="3">SUM(I5:I20)-I14</f>
        <v>0</v>
      </c>
      <c r="J22" s="385">
        <f t="shared" si="3"/>
        <v>36246.698499999999</v>
      </c>
      <c r="K22" s="385">
        <f t="shared" si="3"/>
        <v>4721.8361000000004</v>
      </c>
      <c r="L22" s="383">
        <f>SUM(G22:K22)</f>
        <v>541494.05999999994</v>
      </c>
      <c r="M22" s="384"/>
      <c r="N22" s="384"/>
      <c r="O22" s="384"/>
      <c r="P22" s="384"/>
      <c r="Q22" s="384"/>
      <c r="R22" s="384"/>
      <c r="S22" s="66"/>
      <c r="T22" s="66"/>
      <c r="U22" s="66"/>
      <c r="V22" s="66"/>
      <c r="W22" s="66"/>
      <c r="X22" s="66"/>
    </row>
    <row r="23" spans="1:24">
      <c r="A23" s="384"/>
      <c r="B23" s="384"/>
      <c r="C23" s="400"/>
      <c r="D23" s="384"/>
      <c r="E23" s="384" t="s">
        <v>1332</v>
      </c>
      <c r="F23" s="384"/>
      <c r="G23" s="413">
        <f>C15</f>
        <v>0</v>
      </c>
      <c r="H23" s="396"/>
      <c r="I23" s="396"/>
      <c r="J23" s="396"/>
      <c r="K23" s="396"/>
      <c r="L23" s="383"/>
      <c r="M23" s="384"/>
      <c r="N23" s="384"/>
      <c r="O23" s="384"/>
      <c r="P23" s="384"/>
      <c r="Q23" s="384"/>
      <c r="R23" s="384"/>
      <c r="S23" s="66"/>
      <c r="T23" s="66"/>
      <c r="U23" s="66"/>
      <c r="V23" s="66"/>
      <c r="W23" s="66"/>
      <c r="X23" s="66"/>
    </row>
    <row r="24" spans="1:24">
      <c r="A24" s="384"/>
      <c r="B24" s="384"/>
      <c r="C24" s="400"/>
      <c r="D24" s="384"/>
      <c r="E24" s="384"/>
      <c r="F24" s="400"/>
      <c r="G24" s="398">
        <f>G22+G23</f>
        <v>493295.78399999999</v>
      </c>
      <c r="H24" s="398">
        <f t="shared" ref="H24:K24" si="4">H22+H23</f>
        <v>7229.741399999999</v>
      </c>
      <c r="I24" s="398">
        <f t="shared" si="4"/>
        <v>0</v>
      </c>
      <c r="J24" s="398">
        <f t="shared" si="4"/>
        <v>36246.698499999999</v>
      </c>
      <c r="K24" s="398">
        <f t="shared" si="4"/>
        <v>4721.8361000000004</v>
      </c>
      <c r="L24" s="400">
        <f t="shared" ref="L24:L27" si="5">SUM(G24:K24)</f>
        <v>541494.05999999994</v>
      </c>
      <c r="M24" s="384"/>
      <c r="N24" s="384"/>
      <c r="O24" s="384"/>
      <c r="P24" s="384"/>
      <c r="Q24" s="384"/>
      <c r="R24" s="384"/>
      <c r="S24" s="66"/>
      <c r="T24" s="66"/>
      <c r="U24" s="66"/>
      <c r="V24" s="66"/>
      <c r="W24" s="66"/>
      <c r="X24" s="66"/>
    </row>
    <row r="25" spans="1:24">
      <c r="A25" s="384"/>
      <c r="B25" s="384"/>
      <c r="C25" s="400"/>
      <c r="D25" s="384"/>
      <c r="E25" s="384" t="s">
        <v>1325</v>
      </c>
      <c r="F25" s="384"/>
      <c r="G25" s="396">
        <f>G22/$C$11</f>
        <v>0.8411307984234212</v>
      </c>
      <c r="H25" s="396">
        <f>H22/$C$11</f>
        <v>1.2327610235924625E-2</v>
      </c>
      <c r="I25" s="396">
        <f>I22/$C$11</f>
        <v>0</v>
      </c>
      <c r="J25" s="396">
        <f>J22/$C$11</f>
        <v>6.1805138901243936E-2</v>
      </c>
      <c r="K25" s="396">
        <f>K22/$C$11</f>
        <v>8.0513191023289469E-3</v>
      </c>
      <c r="L25" s="397">
        <f t="shared" si="5"/>
        <v>0.92331486666291873</v>
      </c>
      <c r="M25" s="384"/>
      <c r="N25" s="384"/>
      <c r="O25" s="384"/>
      <c r="P25" s="384"/>
      <c r="Q25" s="384"/>
      <c r="R25" s="384"/>
      <c r="S25" s="66"/>
      <c r="T25" s="66"/>
      <c r="U25" s="66"/>
      <c r="V25" s="66"/>
      <c r="W25" s="66"/>
      <c r="X25" s="66"/>
    </row>
    <row r="26" spans="1:24">
      <c r="A26" s="384"/>
      <c r="B26" s="384"/>
      <c r="C26" s="400"/>
      <c r="D26" s="384"/>
      <c r="E26" s="384" t="s">
        <v>1325</v>
      </c>
      <c r="F26" s="388">
        <f>C17</f>
        <v>0</v>
      </c>
      <c r="G26" s="398">
        <f>$C$17*G25</f>
        <v>0</v>
      </c>
      <c r="H26" s="398">
        <f>$C$17*H25</f>
        <v>0</v>
      </c>
      <c r="I26" s="398">
        <f>$C$17*I25</f>
        <v>0</v>
      </c>
      <c r="J26" s="398">
        <f>$C$17*J25</f>
        <v>0</v>
      </c>
      <c r="K26" s="398">
        <f>$C$17*K25</f>
        <v>0</v>
      </c>
      <c r="L26" s="414">
        <f t="shared" si="5"/>
        <v>0</v>
      </c>
      <c r="M26" s="384"/>
      <c r="N26" s="384"/>
      <c r="O26" s="384"/>
      <c r="P26" s="384"/>
      <c r="Q26" s="384"/>
      <c r="R26" s="384"/>
      <c r="S26" s="66"/>
      <c r="T26" s="66"/>
      <c r="U26" s="66"/>
      <c r="V26" s="66"/>
      <c r="W26" s="66"/>
      <c r="X26" s="66"/>
    </row>
    <row r="27" spans="1:24">
      <c r="A27" s="384"/>
      <c r="B27" s="384"/>
      <c r="C27" s="415"/>
      <c r="D27" s="384"/>
      <c r="E27" s="852" t="s">
        <v>1333</v>
      </c>
      <c r="F27" s="853"/>
      <c r="G27" s="427">
        <f>G22+G26</f>
        <v>493295.78399999999</v>
      </c>
      <c r="H27" s="416">
        <f t="shared" ref="H27:K27" si="6">H22+H26</f>
        <v>7229.741399999999</v>
      </c>
      <c r="I27" s="416">
        <f t="shared" si="6"/>
        <v>0</v>
      </c>
      <c r="J27" s="416">
        <f t="shared" si="6"/>
        <v>36246.698499999999</v>
      </c>
      <c r="K27" s="416">
        <f t="shared" si="6"/>
        <v>4721.8361000000004</v>
      </c>
      <c r="L27" s="417">
        <f t="shared" si="5"/>
        <v>541494.05999999994</v>
      </c>
      <c r="M27" s="384"/>
      <c r="N27" s="384"/>
      <c r="O27" s="384"/>
      <c r="P27" s="384"/>
      <c r="Q27" s="384"/>
      <c r="R27" s="384"/>
      <c r="S27" s="66"/>
      <c r="T27" s="66"/>
      <c r="U27" s="66"/>
      <c r="V27" s="66"/>
      <c r="W27" s="66"/>
      <c r="X27" s="66"/>
    </row>
    <row r="28" spans="1:24">
      <c r="A28" s="384"/>
      <c r="B28" s="384"/>
      <c r="C28" s="400"/>
      <c r="D28" s="384"/>
      <c r="E28" s="854" t="s">
        <v>1334</v>
      </c>
      <c r="F28" s="855"/>
      <c r="G28" s="418">
        <f>G27/12</f>
        <v>41107.981999999996</v>
      </c>
      <c r="H28" s="418">
        <f t="shared" ref="H28:K28" si="7">H27/12</f>
        <v>602.47844999999995</v>
      </c>
      <c r="I28" s="418">
        <f>I27/12</f>
        <v>0</v>
      </c>
      <c r="J28" s="418">
        <f t="shared" si="7"/>
        <v>3020.5582083333334</v>
      </c>
      <c r="K28" s="418">
        <f t="shared" si="7"/>
        <v>393.4863416666667</v>
      </c>
      <c r="L28" s="400">
        <f>SUM(G28:K28)</f>
        <v>45124.505000000005</v>
      </c>
      <c r="M28" s="384"/>
      <c r="N28" s="384"/>
      <c r="O28" s="384"/>
      <c r="P28" s="419"/>
      <c r="Q28" s="384"/>
      <c r="R28" s="384"/>
      <c r="S28" s="66"/>
      <c r="T28" s="66"/>
      <c r="U28" s="66"/>
      <c r="V28" s="66"/>
      <c r="W28" s="66"/>
      <c r="X28" s="66"/>
    </row>
    <row r="29" spans="1:24">
      <c r="A29" s="384"/>
      <c r="B29" s="384"/>
      <c r="C29" s="384"/>
      <c r="D29" s="384"/>
      <c r="E29" s="420"/>
      <c r="F29" s="420"/>
      <c r="G29" s="409"/>
      <c r="H29" s="409"/>
      <c r="I29" s="409"/>
      <c r="J29" s="409"/>
      <c r="K29" s="409"/>
      <c r="L29" s="400"/>
      <c r="M29" s="384"/>
      <c r="N29" s="384"/>
      <c r="O29" s="384"/>
      <c r="P29" s="384"/>
      <c r="Q29" s="384"/>
      <c r="R29" s="384"/>
      <c r="S29" s="66"/>
      <c r="T29" s="66"/>
      <c r="U29" s="66"/>
      <c r="V29" s="66"/>
      <c r="W29" s="66"/>
      <c r="X29" s="66"/>
    </row>
    <row r="30" spans="1:24">
      <c r="A30" s="384"/>
      <c r="B30" s="384"/>
      <c r="C30" s="384"/>
      <c r="D30" s="384"/>
      <c r="E30" s="420" t="s">
        <v>1362</v>
      </c>
      <c r="F30" s="420"/>
      <c r="G30" s="458">
        <v>478442.69</v>
      </c>
      <c r="H30" s="409"/>
      <c r="I30" s="409"/>
      <c r="J30" s="409"/>
      <c r="K30" s="409"/>
      <c r="L30" s="400"/>
      <c r="M30" s="400">
        <f>D11-L27</f>
        <v>44973.330000000075</v>
      </c>
      <c r="N30" s="384"/>
      <c r="O30" s="384"/>
      <c r="P30" s="384"/>
      <c r="Q30" s="384"/>
      <c r="R30" s="384"/>
      <c r="S30" s="66"/>
      <c r="T30" s="66"/>
      <c r="U30" s="66"/>
      <c r="V30" s="66"/>
      <c r="W30" s="66"/>
      <c r="X30" s="66"/>
    </row>
    <row r="31" spans="1:24">
      <c r="A31" s="384"/>
      <c r="B31" s="384"/>
      <c r="C31" s="384"/>
      <c r="D31" s="384"/>
      <c r="E31" s="420" t="s">
        <v>1490</v>
      </c>
      <c r="F31" s="420"/>
      <c r="G31" s="428">
        <v>22827.4</v>
      </c>
      <c r="H31" s="409"/>
      <c r="I31" s="409"/>
      <c r="J31" s="409"/>
      <c r="K31" s="409"/>
      <c r="L31" s="400"/>
      <c r="M31" s="400"/>
      <c r="N31" s="384"/>
      <c r="O31" s="384"/>
      <c r="P31" s="384"/>
      <c r="Q31" s="384"/>
      <c r="R31" s="384"/>
      <c r="S31" s="66"/>
      <c r="T31" s="66"/>
      <c r="U31" s="66"/>
      <c r="V31" s="66"/>
      <c r="W31" s="66"/>
      <c r="X31" s="66"/>
    </row>
    <row r="32" spans="1:24">
      <c r="A32" s="384"/>
      <c r="B32" s="384"/>
      <c r="C32" s="384"/>
      <c r="D32" s="384"/>
      <c r="E32" s="420" t="s">
        <v>1491</v>
      </c>
      <c r="F32" s="420"/>
      <c r="G32" s="409">
        <f>SUM(G30:G31)</f>
        <v>501270.09</v>
      </c>
      <c r="H32" s="409"/>
      <c r="I32" s="409"/>
      <c r="J32" s="409"/>
      <c r="K32" s="409"/>
      <c r="L32" s="400"/>
      <c r="M32" s="421">
        <f>L27/L28</f>
        <v>11.999999999999998</v>
      </c>
      <c r="N32" s="384"/>
      <c r="O32" s="384"/>
      <c r="P32" s="384"/>
      <c r="Q32" s="384"/>
      <c r="R32" s="384"/>
      <c r="S32" s="66"/>
      <c r="T32" s="66"/>
      <c r="U32" s="66"/>
      <c r="V32" s="66"/>
      <c r="W32" s="66"/>
      <c r="X32" s="66"/>
    </row>
    <row r="33" spans="1:24">
      <c r="A33" s="384"/>
      <c r="B33" s="384"/>
      <c r="C33" s="384"/>
      <c r="D33" s="384"/>
      <c r="E33" s="420"/>
      <c r="F33" s="420"/>
      <c r="G33" s="409"/>
      <c r="H33" s="409"/>
      <c r="I33" s="409"/>
      <c r="J33" s="409"/>
      <c r="K33" s="409"/>
      <c r="L33" s="400"/>
      <c r="M33" s="421"/>
      <c r="N33" s="384"/>
      <c r="O33" s="384"/>
      <c r="P33" s="384"/>
      <c r="Q33" s="384"/>
      <c r="R33" s="384"/>
      <c r="S33" s="66"/>
      <c r="T33" s="66"/>
      <c r="U33" s="66"/>
      <c r="V33" s="66"/>
      <c r="W33" s="66"/>
      <c r="X33" s="66"/>
    </row>
    <row r="34" spans="1:24">
      <c r="A34" s="384"/>
      <c r="B34" s="384"/>
      <c r="C34" s="384"/>
      <c r="D34" s="384"/>
      <c r="E34" s="420" t="s">
        <v>1492</v>
      </c>
      <c r="F34" s="420"/>
      <c r="G34" s="409">
        <f>+G27-G32</f>
        <v>-7974.3060000000405</v>
      </c>
      <c r="H34" s="409"/>
      <c r="I34" s="409"/>
      <c r="J34" s="409"/>
      <c r="K34" s="409"/>
      <c r="L34" s="400"/>
      <c r="M34" s="421"/>
      <c r="N34" s="384"/>
      <c r="O34" s="384"/>
      <c r="P34" s="384"/>
      <c r="Q34" s="384"/>
      <c r="R34" s="384"/>
      <c r="S34" s="66"/>
      <c r="T34" s="66"/>
      <c r="U34" s="66"/>
      <c r="V34" s="66"/>
      <c r="W34" s="66"/>
      <c r="X34" s="66"/>
    </row>
    <row r="35" spans="1:24" ht="15.75" thickBot="1">
      <c r="A35" s="384"/>
      <c r="B35" s="384"/>
      <c r="C35" s="384"/>
      <c r="D35" s="384"/>
      <c r="E35" s="384"/>
      <c r="F35" s="384"/>
      <c r="G35" s="384"/>
      <c r="H35" s="384"/>
      <c r="I35" s="384"/>
      <c r="J35" s="384"/>
      <c r="K35" s="384"/>
      <c r="L35" s="404" t="s">
        <v>1335</v>
      </c>
      <c r="M35" s="421"/>
      <c r="N35" s="384"/>
      <c r="O35" s="384"/>
      <c r="P35" s="384"/>
      <c r="Q35" s="384"/>
      <c r="R35" s="384"/>
      <c r="S35" s="66"/>
      <c r="T35" s="66"/>
      <c r="U35" s="66"/>
      <c r="V35" s="66"/>
      <c r="W35" s="66"/>
      <c r="X35" s="66"/>
    </row>
    <row r="36" spans="1:24" ht="15.75" thickBot="1">
      <c r="A36" s="384"/>
      <c r="B36" s="384"/>
      <c r="C36" s="384"/>
      <c r="D36" s="384"/>
      <c r="E36" s="384"/>
      <c r="F36" s="384"/>
      <c r="G36" s="386" t="s">
        <v>1336</v>
      </c>
      <c r="H36" s="387">
        <v>44104</v>
      </c>
      <c r="I36" s="384" t="s">
        <v>1337</v>
      </c>
      <c r="J36" s="384"/>
      <c r="K36" s="422" t="s">
        <v>1336</v>
      </c>
      <c r="L36" s="387">
        <v>44104</v>
      </c>
      <c r="M36" s="421"/>
      <c r="N36" s="384"/>
      <c r="O36" s="384"/>
      <c r="P36" s="384"/>
      <c r="Q36" s="384"/>
      <c r="R36" s="384"/>
      <c r="S36" s="66"/>
      <c r="T36" s="66"/>
      <c r="U36" s="66"/>
      <c r="V36" s="66"/>
      <c r="W36" s="66"/>
      <c r="X36" s="66"/>
    </row>
    <row r="37" spans="1:24">
      <c r="A37" s="384"/>
      <c r="B37" s="384"/>
      <c r="C37" s="384"/>
      <c r="D37" s="384"/>
      <c r="E37" s="384"/>
      <c r="F37" s="384"/>
      <c r="G37" s="384" t="s">
        <v>1338</v>
      </c>
      <c r="H37" s="388">
        <f>G28</f>
        <v>41107.981999999996</v>
      </c>
      <c r="I37" s="388"/>
      <c r="J37" s="388"/>
      <c r="K37" s="423" t="s">
        <v>1339</v>
      </c>
      <c r="L37" s="384">
        <v>0.33750000000000002</v>
      </c>
      <c r="M37" s="421"/>
      <c r="N37" s="384" t="s">
        <v>1340</v>
      </c>
      <c r="O37" s="384"/>
      <c r="P37" s="384"/>
      <c r="Q37" s="384"/>
      <c r="R37" s="384"/>
      <c r="S37" s="66"/>
      <c r="T37" s="66"/>
      <c r="U37" s="66"/>
      <c r="V37" s="66"/>
      <c r="W37" s="66"/>
      <c r="X37" s="66"/>
    </row>
    <row r="38" spans="1:24">
      <c r="A38" s="384"/>
      <c r="B38" s="384"/>
      <c r="C38" s="384"/>
      <c r="D38" s="384"/>
      <c r="E38" s="384"/>
      <c r="F38" s="384"/>
      <c r="G38" s="384" t="s">
        <v>1341</v>
      </c>
      <c r="H38" s="388"/>
      <c r="I38" s="388">
        <f>46662.04</f>
        <v>46662.04</v>
      </c>
      <c r="J38" s="388"/>
      <c r="K38" s="423" t="s">
        <v>1342</v>
      </c>
      <c r="L38" s="384">
        <v>6.9800000000000001E-2</v>
      </c>
      <c r="M38" s="384"/>
      <c r="N38" s="384"/>
      <c r="O38" s="384"/>
      <c r="P38" s="384"/>
      <c r="Q38" s="384"/>
      <c r="R38" s="384"/>
      <c r="S38" s="66"/>
      <c r="T38" s="66"/>
      <c r="U38" s="66"/>
      <c r="V38" s="66"/>
      <c r="W38" s="66"/>
      <c r="X38" s="66"/>
    </row>
    <row r="39" spans="1:24">
      <c r="A39" s="384"/>
      <c r="B39" s="384"/>
      <c r="C39" s="384"/>
      <c r="D39" s="384"/>
      <c r="E39" s="384"/>
      <c r="F39" s="384"/>
      <c r="G39" s="384" t="s">
        <v>1343</v>
      </c>
      <c r="H39" s="388">
        <f>I38-H37</f>
        <v>5554.0580000000045</v>
      </c>
      <c r="I39" s="388"/>
      <c r="J39" s="388"/>
      <c r="K39" s="423" t="s">
        <v>1344</v>
      </c>
      <c r="L39" s="384">
        <v>0.1163</v>
      </c>
      <c r="M39" s="384" t="s">
        <v>1345</v>
      </c>
      <c r="N39" s="384"/>
      <c r="O39" s="384"/>
      <c r="P39" s="384"/>
      <c r="Q39" s="384"/>
      <c r="R39" s="384"/>
      <c r="S39" s="66"/>
      <c r="T39" s="66"/>
      <c r="U39" s="66"/>
      <c r="V39" s="66"/>
      <c r="W39" s="66"/>
      <c r="X39" s="66"/>
    </row>
    <row r="40" spans="1:24">
      <c r="A40" s="384"/>
      <c r="B40" s="384"/>
      <c r="C40" s="384"/>
      <c r="D40" s="384"/>
      <c r="E40" s="384"/>
      <c r="F40" s="384"/>
      <c r="G40" s="393" t="s">
        <v>1303</v>
      </c>
      <c r="H40" s="387">
        <v>44104</v>
      </c>
      <c r="I40" s="388" t="s">
        <v>1337</v>
      </c>
      <c r="J40" s="388"/>
      <c r="K40" s="423" t="s">
        <v>1346</v>
      </c>
      <c r="L40" s="384">
        <v>0.16300000000000001</v>
      </c>
      <c r="M40" s="388">
        <f t="shared" ref="M40:M47" si="8">$H$37*L37</f>
        <v>13873.943925</v>
      </c>
      <c r="N40" s="384"/>
      <c r="O40" s="384"/>
      <c r="P40" s="384"/>
      <c r="Q40" s="384"/>
      <c r="R40" s="384"/>
      <c r="S40" s="66"/>
      <c r="T40" s="66"/>
      <c r="U40" s="66"/>
      <c r="V40" s="66"/>
      <c r="W40" s="66"/>
      <c r="X40" s="66"/>
    </row>
    <row r="41" spans="1:24">
      <c r="A41" s="384"/>
      <c r="B41" s="384"/>
      <c r="C41" s="384"/>
      <c r="D41" s="384"/>
      <c r="E41" s="384"/>
      <c r="F41" s="384"/>
      <c r="G41" s="384" t="s">
        <v>236</v>
      </c>
      <c r="H41" s="388">
        <f>H28</f>
        <v>602.47844999999995</v>
      </c>
      <c r="I41" s="388"/>
      <c r="J41" s="388"/>
      <c r="K41" s="423" t="s">
        <v>1347</v>
      </c>
      <c r="L41" s="384">
        <v>0.1163</v>
      </c>
      <c r="M41" s="388">
        <f t="shared" si="8"/>
        <v>2869.3371435999998</v>
      </c>
      <c r="N41" s="384"/>
      <c r="O41" s="384"/>
      <c r="P41" s="384"/>
      <c r="Q41" s="384"/>
      <c r="R41" s="384"/>
      <c r="S41" s="66"/>
      <c r="T41" s="66"/>
      <c r="U41" s="66"/>
      <c r="V41" s="66"/>
      <c r="W41" s="66"/>
      <c r="X41" s="66"/>
    </row>
    <row r="42" spans="1:24">
      <c r="A42" s="384"/>
      <c r="B42" s="384"/>
      <c r="C42" s="384"/>
      <c r="D42" s="384"/>
      <c r="E42" s="384"/>
      <c r="F42" s="384"/>
      <c r="G42" s="384" t="s">
        <v>1348</v>
      </c>
      <c r="H42" s="388"/>
      <c r="I42" s="388">
        <f>H28</f>
        <v>602.47844999999995</v>
      </c>
      <c r="J42" s="388"/>
      <c r="K42" s="423" t="s">
        <v>1349</v>
      </c>
      <c r="L42" s="384">
        <v>5.7500000000000002E-2</v>
      </c>
      <c r="M42" s="388">
        <f t="shared" si="8"/>
        <v>4780.8583065999992</v>
      </c>
      <c r="N42" s="384" t="s">
        <v>1350</v>
      </c>
      <c r="O42" s="384" t="s">
        <v>1343</v>
      </c>
      <c r="P42" s="384"/>
      <c r="Q42" s="384"/>
      <c r="R42" s="384"/>
      <c r="S42" s="66"/>
      <c r="T42" s="66"/>
      <c r="U42" s="66"/>
      <c r="V42" s="66"/>
      <c r="W42" s="66"/>
      <c r="X42" s="66"/>
    </row>
    <row r="43" spans="1:24">
      <c r="A43" s="384"/>
      <c r="B43" s="384"/>
      <c r="C43" s="384"/>
      <c r="D43" s="384"/>
      <c r="E43" s="384"/>
      <c r="F43" s="384"/>
      <c r="G43" s="393" t="s">
        <v>1304</v>
      </c>
      <c r="H43" s="387">
        <v>44104</v>
      </c>
      <c r="I43" s="388" t="s">
        <v>1337</v>
      </c>
      <c r="J43" s="388"/>
      <c r="K43" s="423" t="s">
        <v>1351</v>
      </c>
      <c r="L43" s="384">
        <v>6.9800000000000001E-2</v>
      </c>
      <c r="M43" s="388">
        <f t="shared" si="8"/>
        <v>6700.6010659999993</v>
      </c>
      <c r="N43" s="388"/>
      <c r="O43" s="388"/>
      <c r="P43" s="384"/>
      <c r="Q43" s="384"/>
      <c r="R43" s="384"/>
      <c r="S43" s="66"/>
      <c r="T43" s="66"/>
      <c r="U43" s="66"/>
      <c r="V43" s="66"/>
      <c r="W43" s="66"/>
      <c r="X43" s="66"/>
    </row>
    <row r="44" spans="1:24">
      <c r="A44" s="384"/>
      <c r="B44" s="384"/>
      <c r="C44" s="384"/>
      <c r="D44" s="384"/>
      <c r="E44" s="384"/>
      <c r="F44" s="384"/>
      <c r="G44" s="384" t="s">
        <v>236</v>
      </c>
      <c r="H44" s="388">
        <f>I28</f>
        <v>0</v>
      </c>
      <c r="I44" s="388"/>
      <c r="J44" s="388"/>
      <c r="K44" s="423" t="s">
        <v>1352</v>
      </c>
      <c r="L44" s="384">
        <v>6.9800000000000001E-2</v>
      </c>
      <c r="M44" s="388">
        <f t="shared" si="8"/>
        <v>4780.8583065999992</v>
      </c>
      <c r="N44" s="388"/>
      <c r="O44" s="388"/>
      <c r="P44" s="384"/>
      <c r="Q44" s="384"/>
      <c r="R44" s="384"/>
      <c r="S44" s="66"/>
      <c r="T44" s="66"/>
      <c r="U44" s="66"/>
      <c r="V44" s="66"/>
      <c r="W44" s="66"/>
      <c r="X44" s="66"/>
    </row>
    <row r="45" spans="1:24">
      <c r="A45" s="384"/>
      <c r="B45" s="384"/>
      <c r="C45" s="384"/>
      <c r="D45" s="384"/>
      <c r="E45" s="384"/>
      <c r="F45" s="384"/>
      <c r="G45" s="384" t="s">
        <v>1348</v>
      </c>
      <c r="H45" s="388"/>
      <c r="I45" s="388">
        <f>I28</f>
        <v>0</v>
      </c>
      <c r="J45" s="388"/>
      <c r="K45" s="384"/>
      <c r="L45" s="384"/>
      <c r="M45" s="388">
        <f t="shared" si="8"/>
        <v>2363.7089649999998</v>
      </c>
      <c r="N45" s="388"/>
      <c r="O45" s="388"/>
      <c r="P45" s="384"/>
      <c r="Q45" s="384"/>
      <c r="R45" s="384"/>
      <c r="S45" s="66"/>
      <c r="T45" s="66"/>
      <c r="U45" s="66"/>
      <c r="V45" s="66"/>
      <c r="W45" s="66"/>
      <c r="X45" s="66"/>
    </row>
    <row r="46" spans="1:24">
      <c r="A46" s="384"/>
      <c r="B46" s="384"/>
      <c r="C46" s="384"/>
      <c r="D46" s="384"/>
      <c r="E46" s="384"/>
      <c r="F46" s="384"/>
      <c r="G46" s="393" t="s">
        <v>1305</v>
      </c>
      <c r="H46" s="387">
        <v>44104</v>
      </c>
      <c r="I46" s="388" t="s">
        <v>1337</v>
      </c>
      <c r="J46" s="388"/>
      <c r="K46" s="422" t="s">
        <v>1336</v>
      </c>
      <c r="L46" s="387">
        <v>44196</v>
      </c>
      <c r="M46" s="388">
        <f t="shared" si="8"/>
        <v>2869.3371435999998</v>
      </c>
      <c r="N46" s="388"/>
      <c r="O46" s="388"/>
      <c r="P46" s="384"/>
      <c r="Q46" s="384"/>
      <c r="R46" s="384"/>
      <c r="S46" s="66"/>
      <c r="T46" s="66"/>
      <c r="U46" s="66"/>
      <c r="V46" s="66"/>
      <c r="W46" s="66"/>
      <c r="X46" s="66"/>
    </row>
    <row r="47" spans="1:24" ht="15.75" thickBot="1">
      <c r="A47" s="384"/>
      <c r="B47" s="384"/>
      <c r="C47" s="384"/>
      <c r="D47" s="384"/>
      <c r="E47" s="384"/>
      <c r="F47" s="384"/>
      <c r="G47" s="384" t="s">
        <v>236</v>
      </c>
      <c r="H47" s="388">
        <f>J28</f>
        <v>3020.5582083333334</v>
      </c>
      <c r="I47" s="388"/>
      <c r="J47" s="388"/>
      <c r="K47" s="384"/>
      <c r="L47" s="384"/>
      <c r="M47" s="388">
        <f t="shared" si="8"/>
        <v>2869.3371435999998</v>
      </c>
      <c r="N47" s="388"/>
      <c r="O47" s="388"/>
      <c r="P47" s="384"/>
      <c r="Q47" s="384"/>
      <c r="R47" s="384"/>
      <c r="S47" s="66"/>
      <c r="T47" s="66"/>
      <c r="U47" s="66"/>
      <c r="V47" s="66"/>
      <c r="W47" s="66"/>
      <c r="X47" s="66"/>
    </row>
    <row r="48" spans="1:24" ht="15.75" thickBot="1">
      <c r="A48" s="384"/>
      <c r="B48" s="384"/>
      <c r="C48" s="384"/>
      <c r="D48" s="384"/>
      <c r="E48" s="384"/>
      <c r="F48" s="384"/>
      <c r="G48" s="384" t="s">
        <v>1348</v>
      </c>
      <c r="H48" s="388"/>
      <c r="I48" s="388">
        <f>J28</f>
        <v>3020.5582083333334</v>
      </c>
      <c r="J48" s="388"/>
      <c r="K48" s="384"/>
      <c r="L48" s="384"/>
      <c r="M48" s="424">
        <f>SUM(M40:M47)</f>
        <v>41107.982000000004</v>
      </c>
      <c r="N48" s="388"/>
      <c r="O48" s="388"/>
      <c r="P48" s="384"/>
      <c r="Q48" s="384"/>
      <c r="R48" s="384"/>
      <c r="S48" s="66"/>
      <c r="T48" s="66"/>
      <c r="U48" s="66"/>
      <c r="V48" s="66"/>
      <c r="W48" s="66"/>
      <c r="X48" s="66"/>
    </row>
    <row r="49" spans="1:24">
      <c r="A49" s="384"/>
      <c r="B49" s="384"/>
      <c r="C49" s="384"/>
      <c r="D49" s="384"/>
      <c r="E49" s="384"/>
      <c r="F49" s="384"/>
      <c r="G49" s="393" t="s">
        <v>1306</v>
      </c>
      <c r="H49" s="387">
        <v>44104</v>
      </c>
      <c r="I49" s="388" t="s">
        <v>1337</v>
      </c>
      <c r="J49" s="388"/>
      <c r="K49" s="384"/>
      <c r="L49" s="384"/>
      <c r="M49" s="384"/>
      <c r="N49" s="388"/>
      <c r="O49" s="388"/>
      <c r="P49" s="384"/>
      <c r="Q49" s="384"/>
      <c r="R49" s="384"/>
      <c r="S49" s="66"/>
      <c r="T49" s="66"/>
      <c r="U49" s="66"/>
      <c r="V49" s="66"/>
      <c r="W49" s="66"/>
      <c r="X49" s="66"/>
    </row>
    <row r="50" spans="1:24" ht="15.75" thickBot="1">
      <c r="A50" s="384"/>
      <c r="B50" s="384"/>
      <c r="C50" s="384"/>
      <c r="D50" s="384"/>
      <c r="E50" s="384"/>
      <c r="F50" s="384"/>
      <c r="G50" s="384" t="s">
        <v>236</v>
      </c>
      <c r="H50" s="388">
        <f>K28+0.03</f>
        <v>393.51634166666668</v>
      </c>
      <c r="I50" s="388"/>
      <c r="J50" s="388"/>
      <c r="K50" s="384"/>
      <c r="L50" s="384"/>
      <c r="M50" s="384"/>
      <c r="N50" s="388"/>
      <c r="O50" s="388"/>
      <c r="P50" s="384"/>
      <c r="Q50" s="384"/>
      <c r="R50" s="384"/>
      <c r="S50" s="66"/>
      <c r="T50" s="66"/>
      <c r="U50" s="66"/>
      <c r="V50" s="66"/>
      <c r="W50" s="66"/>
      <c r="X50" s="66"/>
    </row>
    <row r="51" spans="1:24" ht="15.75" thickBot="1">
      <c r="A51" s="384"/>
      <c r="B51" s="384"/>
      <c r="C51" s="384"/>
      <c r="D51" s="384"/>
      <c r="E51" s="384"/>
      <c r="F51" s="384"/>
      <c r="G51" s="384" t="s">
        <v>1348</v>
      </c>
      <c r="H51" s="388"/>
      <c r="I51" s="388">
        <f>K28+0.03</f>
        <v>393.51634166666668</v>
      </c>
      <c r="J51" s="388"/>
      <c r="K51" s="384"/>
      <c r="L51" s="384"/>
      <c r="M51" s="384"/>
      <c r="N51" s="424">
        <f t="shared" ref="N51:O51" si="9">SUM(N43:N50)</f>
        <v>0</v>
      </c>
      <c r="O51" s="424">
        <f t="shared" si="9"/>
        <v>0</v>
      </c>
      <c r="P51" s="384"/>
      <c r="Q51" s="384"/>
      <c r="R51" s="384"/>
      <c r="S51" s="66"/>
      <c r="T51" s="66"/>
      <c r="U51" s="66"/>
      <c r="V51" s="66"/>
      <c r="W51" s="66"/>
      <c r="X51" s="66"/>
    </row>
    <row r="52" spans="1:24">
      <c r="A52" s="423"/>
      <c r="B52" s="384"/>
      <c r="C52" s="384"/>
      <c r="D52" s="384"/>
      <c r="E52" s="384"/>
      <c r="F52" s="384"/>
      <c r="G52" s="392"/>
      <c r="H52" s="387"/>
      <c r="I52" s="388"/>
      <c r="J52" s="388"/>
      <c r="K52" s="384"/>
      <c r="L52" s="384"/>
      <c r="M52" s="384"/>
      <c r="N52" s="384"/>
      <c r="O52" s="384"/>
      <c r="P52" s="384"/>
      <c r="Q52" s="384"/>
      <c r="R52" s="384"/>
      <c r="S52" s="66"/>
      <c r="T52" s="66"/>
      <c r="U52" s="66"/>
      <c r="V52" s="66"/>
      <c r="W52" s="66"/>
      <c r="X52" s="66"/>
    </row>
    <row r="53" spans="1:24">
      <c r="A53" s="423"/>
      <c r="B53" s="384"/>
      <c r="C53" s="384"/>
      <c r="D53" s="384"/>
      <c r="E53" s="384"/>
      <c r="F53" s="384"/>
      <c r="G53" s="384"/>
      <c r="H53" s="388"/>
      <c r="I53" s="388"/>
      <c r="J53" s="388"/>
      <c r="K53" s="384"/>
      <c r="L53" s="384"/>
      <c r="M53" s="384"/>
      <c r="N53" s="384"/>
      <c r="O53" s="384"/>
      <c r="P53" s="384"/>
      <c r="Q53" s="384"/>
      <c r="R53" s="384"/>
      <c r="S53" s="66"/>
      <c r="T53" s="66"/>
      <c r="U53" s="66"/>
      <c r="V53" s="66"/>
      <c r="W53" s="66"/>
      <c r="X53" s="66"/>
    </row>
    <row r="54" spans="1:24">
      <c r="A54" s="423"/>
      <c r="B54" s="384"/>
      <c r="C54" s="388">
        <f>SUM(L37:L44)</f>
        <v>0.99999999999999989</v>
      </c>
      <c r="D54" s="384"/>
      <c r="E54" s="384"/>
      <c r="F54" s="384"/>
      <c r="G54" s="384"/>
      <c r="H54" s="388"/>
      <c r="I54" s="388"/>
      <c r="J54" s="388"/>
      <c r="K54" s="384"/>
      <c r="L54" s="384"/>
      <c r="M54" s="384"/>
      <c r="N54" s="384"/>
      <c r="O54" s="384"/>
      <c r="P54" s="384"/>
      <c r="Q54" s="384"/>
      <c r="R54" s="384"/>
      <c r="S54" s="66"/>
      <c r="T54" s="66"/>
      <c r="U54" s="66"/>
      <c r="V54" s="66"/>
      <c r="W54" s="66"/>
      <c r="X54" s="66"/>
    </row>
    <row r="55" spans="1:24">
      <c r="A55" s="423"/>
      <c r="B55" s="384"/>
      <c r="C55" s="384"/>
      <c r="D55" s="384"/>
      <c r="E55" s="384"/>
      <c r="F55" s="384"/>
      <c r="G55" s="384"/>
      <c r="H55" s="388"/>
      <c r="I55" s="388"/>
      <c r="J55" s="388"/>
      <c r="K55" s="384"/>
      <c r="L55" s="384"/>
      <c r="M55" s="384"/>
      <c r="N55" s="384"/>
      <c r="O55" s="384"/>
      <c r="P55" s="384"/>
      <c r="Q55" s="384"/>
      <c r="R55" s="384"/>
      <c r="S55" s="66"/>
      <c r="T55" s="66"/>
      <c r="U55" s="66"/>
      <c r="V55" s="66"/>
      <c r="W55" s="66"/>
      <c r="X55" s="66"/>
    </row>
    <row r="56" spans="1:24">
      <c r="A56" s="423"/>
      <c r="B56" s="384"/>
      <c r="C56" s="384"/>
      <c r="D56" s="384"/>
      <c r="E56" s="384"/>
      <c r="F56" s="384"/>
      <c r="G56" s="384"/>
      <c r="H56" s="388"/>
      <c r="I56" s="388"/>
      <c r="J56" s="388"/>
      <c r="K56" s="384"/>
      <c r="L56" s="384"/>
      <c r="M56" s="384"/>
      <c r="N56" s="384"/>
      <c r="O56" s="384"/>
      <c r="P56" s="384"/>
      <c r="Q56" s="384"/>
      <c r="R56" s="384"/>
      <c r="S56" s="66"/>
      <c r="T56" s="66"/>
      <c r="U56" s="66"/>
      <c r="V56" s="66"/>
      <c r="W56" s="66"/>
      <c r="X56" s="66"/>
    </row>
    <row r="57" spans="1:24">
      <c r="A57" s="423"/>
      <c r="B57" s="384"/>
      <c r="C57" s="384"/>
      <c r="D57" s="384"/>
      <c r="E57" s="384"/>
      <c r="F57" s="384"/>
      <c r="G57" s="384"/>
      <c r="H57" s="388"/>
      <c r="I57" s="388"/>
      <c r="J57" s="388"/>
      <c r="K57" s="384"/>
      <c r="L57" s="384"/>
      <c r="M57" s="384"/>
      <c r="N57" s="384"/>
      <c r="O57" s="384"/>
      <c r="P57" s="384"/>
      <c r="Q57" s="384"/>
      <c r="R57" s="384"/>
      <c r="S57" s="66"/>
      <c r="T57" s="66"/>
      <c r="U57" s="66"/>
      <c r="V57" s="66"/>
      <c r="W57" s="66"/>
      <c r="X57" s="66"/>
    </row>
    <row r="58" spans="1:24">
      <c r="A58" s="423"/>
      <c r="B58" s="384"/>
      <c r="C58" s="384"/>
      <c r="D58" s="384"/>
      <c r="E58" s="384"/>
      <c r="F58" s="384"/>
      <c r="G58" s="384"/>
      <c r="H58" s="388"/>
      <c r="I58" s="388"/>
      <c r="J58" s="388"/>
      <c r="K58" s="384"/>
      <c r="L58" s="384"/>
      <c r="M58" s="384"/>
      <c r="N58" s="384"/>
      <c r="O58" s="384"/>
      <c r="P58" s="384"/>
      <c r="Q58" s="384"/>
      <c r="R58" s="384"/>
      <c r="S58" s="66"/>
      <c r="T58" s="66"/>
      <c r="U58" s="66"/>
      <c r="V58" s="66"/>
      <c r="W58" s="66"/>
      <c r="X58" s="66"/>
    </row>
    <row r="59" spans="1:24">
      <c r="A59" s="384"/>
      <c r="B59" s="384"/>
      <c r="C59" s="384"/>
      <c r="D59" s="384"/>
      <c r="E59" s="384"/>
      <c r="F59" s="384"/>
      <c r="G59" s="384"/>
      <c r="H59" s="388"/>
      <c r="I59" s="388"/>
      <c r="J59" s="388"/>
      <c r="K59" s="384"/>
      <c r="L59" s="384"/>
      <c r="M59" s="384"/>
      <c r="N59" s="384"/>
      <c r="O59" s="384"/>
      <c r="P59" s="384"/>
      <c r="Q59" s="384"/>
      <c r="R59" s="384"/>
      <c r="S59" s="66"/>
      <c r="T59" s="66"/>
      <c r="U59" s="66"/>
      <c r="V59" s="66"/>
      <c r="W59" s="66"/>
      <c r="X59" s="66"/>
    </row>
    <row r="60" spans="1:24">
      <c r="A60" s="384"/>
      <c r="B60" s="384"/>
      <c r="C60" s="384"/>
      <c r="D60" s="384"/>
      <c r="E60" s="384"/>
      <c r="F60" s="384"/>
      <c r="G60" s="384"/>
      <c r="H60" s="388"/>
      <c r="I60" s="388"/>
      <c r="J60" s="388"/>
      <c r="K60" s="384"/>
      <c r="L60" s="384"/>
      <c r="M60" s="384"/>
      <c r="N60" s="384"/>
      <c r="O60" s="384"/>
      <c r="P60" s="384"/>
      <c r="Q60" s="384"/>
      <c r="R60" s="384"/>
      <c r="S60" s="66"/>
      <c r="T60" s="66"/>
      <c r="U60" s="66"/>
      <c r="V60" s="66"/>
      <c r="W60" s="66"/>
      <c r="X60" s="66"/>
    </row>
    <row r="61" spans="1:24">
      <c r="A61" s="384"/>
      <c r="B61" s="384"/>
      <c r="C61" s="384"/>
      <c r="D61" s="384"/>
      <c r="E61" s="384"/>
      <c r="F61" s="384"/>
      <c r="G61" s="384"/>
      <c r="H61" s="388"/>
      <c r="I61" s="388"/>
      <c r="J61" s="388"/>
      <c r="K61" s="384"/>
      <c r="L61" s="384"/>
      <c r="M61" s="384"/>
      <c r="N61" s="384"/>
      <c r="O61" s="384"/>
      <c r="P61" s="384"/>
      <c r="Q61" s="384"/>
      <c r="R61" s="384"/>
      <c r="S61" s="66"/>
      <c r="T61" s="66"/>
      <c r="U61" s="66"/>
      <c r="V61" s="66"/>
      <c r="W61" s="66"/>
      <c r="X61" s="66"/>
    </row>
    <row r="62" spans="1:24">
      <c r="A62" s="384"/>
      <c r="B62" s="384"/>
      <c r="C62" s="384"/>
      <c r="D62" s="384"/>
      <c r="E62" s="384"/>
      <c r="F62" s="384"/>
      <c r="G62" s="384"/>
      <c r="H62" s="388"/>
      <c r="I62" s="388"/>
      <c r="J62" s="388"/>
      <c r="K62" s="384"/>
      <c r="L62" s="384"/>
      <c r="M62" s="384"/>
      <c r="N62" s="384"/>
      <c r="O62" s="384"/>
      <c r="P62" s="384"/>
      <c r="Q62" s="384"/>
      <c r="R62" s="384"/>
      <c r="S62" s="66"/>
      <c r="T62" s="66"/>
      <c r="U62" s="66"/>
      <c r="V62" s="66"/>
      <c r="W62" s="66"/>
      <c r="X62" s="66"/>
    </row>
    <row r="63" spans="1:24">
      <c r="A63" s="384"/>
      <c r="B63" s="384"/>
      <c r="C63" s="384"/>
      <c r="D63" s="384"/>
      <c r="E63" s="384"/>
      <c r="F63" s="384"/>
      <c r="G63" s="384"/>
      <c r="H63" s="388"/>
      <c r="I63" s="388"/>
      <c r="J63" s="388"/>
      <c r="K63" s="384"/>
      <c r="L63" s="384"/>
      <c r="M63" s="384"/>
      <c r="N63" s="384"/>
      <c r="O63" s="384"/>
      <c r="P63" s="384"/>
      <c r="Q63" s="384"/>
      <c r="R63" s="384"/>
      <c r="S63" s="66"/>
      <c r="T63" s="66"/>
      <c r="U63" s="66"/>
      <c r="V63" s="66"/>
      <c r="W63" s="66"/>
      <c r="X63" s="66"/>
    </row>
    <row r="64" spans="1:24">
      <c r="A64" s="384"/>
      <c r="B64" s="384"/>
      <c r="C64" s="384"/>
      <c r="D64" s="384"/>
      <c r="E64" s="384"/>
      <c r="F64" s="384"/>
      <c r="G64" s="384"/>
      <c r="H64" s="388"/>
      <c r="I64" s="388"/>
      <c r="J64" s="388"/>
      <c r="K64" s="384"/>
      <c r="L64" s="384"/>
      <c r="M64" s="384"/>
      <c r="N64" s="384"/>
      <c r="O64" s="384"/>
      <c r="P64" s="384"/>
      <c r="Q64" s="384"/>
      <c r="R64" s="384"/>
      <c r="S64" s="66"/>
      <c r="T64" s="66"/>
      <c r="U64" s="66"/>
      <c r="V64" s="66"/>
      <c r="W64" s="66"/>
      <c r="X64" s="66"/>
    </row>
    <row r="65" spans="1:24">
      <c r="A65" s="384"/>
      <c r="B65" s="384"/>
      <c r="C65" s="384"/>
      <c r="D65" s="384"/>
      <c r="E65" s="384"/>
      <c r="F65" s="384"/>
      <c r="G65" s="384"/>
      <c r="H65" s="388"/>
      <c r="I65" s="388"/>
      <c r="J65" s="388"/>
      <c r="K65" s="384"/>
      <c r="L65" s="384"/>
      <c r="M65" s="384"/>
      <c r="N65" s="384"/>
      <c r="O65" s="384"/>
      <c r="P65" s="384"/>
      <c r="Q65" s="384"/>
      <c r="R65" s="384"/>
      <c r="S65" s="66"/>
      <c r="T65" s="66"/>
      <c r="U65" s="66"/>
      <c r="V65" s="66"/>
      <c r="W65" s="66"/>
      <c r="X65" s="66"/>
    </row>
    <row r="66" spans="1:24">
      <c r="A66" s="384"/>
      <c r="B66" s="384"/>
      <c r="C66" s="384"/>
      <c r="D66" s="384"/>
      <c r="E66" s="384"/>
      <c r="F66" s="384"/>
      <c r="G66" s="384"/>
      <c r="H66" s="388"/>
      <c r="I66" s="388"/>
      <c r="J66" s="388"/>
      <c r="K66" s="384"/>
      <c r="L66" s="384"/>
      <c r="M66" s="384"/>
      <c r="N66" s="384"/>
      <c r="O66" s="384"/>
      <c r="P66" s="384"/>
      <c r="Q66" s="384"/>
      <c r="R66" s="384"/>
      <c r="S66" s="66"/>
      <c r="T66" s="66"/>
      <c r="U66" s="66"/>
      <c r="V66" s="66"/>
      <c r="W66" s="66"/>
      <c r="X66" s="66"/>
    </row>
    <row r="67" spans="1:24">
      <c r="A67" s="384"/>
      <c r="B67" s="384"/>
      <c r="C67" s="384"/>
      <c r="D67" s="384"/>
      <c r="E67" s="384"/>
      <c r="F67" s="384"/>
      <c r="G67" s="384"/>
      <c r="H67" s="388"/>
      <c r="I67" s="388"/>
      <c r="J67" s="388"/>
      <c r="K67" s="384"/>
      <c r="L67" s="384"/>
      <c r="M67" s="384"/>
      <c r="N67" s="384"/>
      <c r="O67" s="384"/>
      <c r="P67" s="384"/>
      <c r="Q67" s="384"/>
      <c r="R67" s="384"/>
      <c r="S67" s="66"/>
      <c r="T67" s="66"/>
      <c r="U67" s="66"/>
      <c r="V67" s="66"/>
      <c r="W67" s="66"/>
      <c r="X67" s="66"/>
    </row>
    <row r="68" spans="1:24">
      <c r="A68" s="384"/>
      <c r="B68" s="384"/>
      <c r="C68" s="384"/>
      <c r="D68" s="384"/>
      <c r="E68" s="384"/>
      <c r="F68" s="384"/>
      <c r="G68" s="384"/>
      <c r="H68" s="388"/>
      <c r="I68" s="388"/>
      <c r="J68" s="388"/>
      <c r="K68" s="384"/>
      <c r="L68" s="384"/>
      <c r="M68" s="384"/>
      <c r="N68" s="384"/>
      <c r="O68" s="384"/>
      <c r="P68" s="384"/>
      <c r="Q68" s="384"/>
      <c r="R68" s="384"/>
      <c r="S68" s="66"/>
      <c r="T68" s="66"/>
      <c r="U68" s="66"/>
      <c r="V68" s="66"/>
      <c r="W68" s="66"/>
      <c r="X68" s="66"/>
    </row>
    <row r="69" spans="1:24">
      <c r="A69" s="384"/>
      <c r="B69" s="384"/>
      <c r="C69" s="384"/>
      <c r="D69" s="384"/>
      <c r="E69" s="384"/>
      <c r="F69" s="384"/>
      <c r="G69" s="384"/>
      <c r="H69" s="388"/>
      <c r="I69" s="388"/>
      <c r="J69" s="388"/>
      <c r="K69" s="384"/>
      <c r="L69" s="384"/>
      <c r="M69" s="384"/>
      <c r="N69" s="384"/>
      <c r="O69" s="384"/>
      <c r="P69" s="384"/>
      <c r="Q69" s="384"/>
      <c r="R69" s="384"/>
      <c r="S69" s="66"/>
      <c r="T69" s="66"/>
      <c r="U69" s="66"/>
      <c r="V69" s="66"/>
      <c r="W69" s="66"/>
      <c r="X69" s="66"/>
    </row>
    <row r="70" spans="1:24">
      <c r="A70" s="384"/>
      <c r="B70" s="384"/>
      <c r="C70" s="384"/>
      <c r="D70" s="384"/>
      <c r="E70" s="384"/>
      <c r="F70" s="384"/>
      <c r="G70" s="384"/>
      <c r="H70" s="388"/>
      <c r="I70" s="388"/>
      <c r="J70" s="388"/>
      <c r="K70" s="384"/>
      <c r="L70" s="384"/>
      <c r="M70" s="384"/>
      <c r="N70" s="384"/>
      <c r="O70" s="384"/>
      <c r="P70" s="384"/>
      <c r="Q70" s="384"/>
      <c r="R70" s="384"/>
      <c r="S70" s="66"/>
      <c r="T70" s="66"/>
      <c r="U70" s="66"/>
      <c r="V70" s="66"/>
      <c r="W70" s="66"/>
      <c r="X70" s="66"/>
    </row>
    <row r="71" spans="1:24">
      <c r="A71" s="384"/>
      <c r="B71" s="384"/>
      <c r="C71" s="384"/>
      <c r="D71" s="384"/>
      <c r="E71" s="384"/>
      <c r="F71" s="384"/>
      <c r="G71" s="384"/>
      <c r="H71" s="388"/>
      <c r="I71" s="388"/>
      <c r="J71" s="388"/>
      <c r="K71" s="384"/>
      <c r="L71" s="384"/>
      <c r="M71" s="384"/>
      <c r="N71" s="384"/>
      <c r="O71" s="384"/>
      <c r="P71" s="384"/>
      <c r="Q71" s="384"/>
      <c r="R71" s="384"/>
      <c r="S71" s="66"/>
      <c r="T71" s="66"/>
      <c r="U71" s="66"/>
      <c r="V71" s="66"/>
      <c r="W71" s="66"/>
      <c r="X71" s="66"/>
    </row>
    <row r="72" spans="1:24">
      <c r="A72" s="384"/>
      <c r="B72" s="384"/>
      <c r="C72" s="384"/>
      <c r="D72" s="384"/>
      <c r="E72" s="384"/>
      <c r="F72" s="384"/>
      <c r="G72" s="384"/>
      <c r="H72" s="388"/>
      <c r="I72" s="388"/>
      <c r="J72" s="388"/>
      <c r="K72" s="384"/>
      <c r="L72" s="384"/>
      <c r="M72" s="384"/>
      <c r="N72" s="384"/>
      <c r="O72" s="384"/>
      <c r="P72" s="384"/>
      <c r="Q72" s="384"/>
      <c r="R72" s="384"/>
      <c r="S72" s="66"/>
      <c r="T72" s="66"/>
      <c r="U72" s="66"/>
      <c r="V72" s="66"/>
      <c r="W72" s="66"/>
      <c r="X72" s="66"/>
    </row>
    <row r="73" spans="1:24">
      <c r="A73" s="384"/>
      <c r="B73" s="384"/>
      <c r="C73" s="384"/>
      <c r="D73" s="384"/>
      <c r="E73" s="384"/>
      <c r="F73" s="384"/>
      <c r="G73" s="384"/>
      <c r="H73" s="388"/>
      <c r="I73" s="388"/>
      <c r="J73" s="388"/>
      <c r="K73" s="384"/>
      <c r="L73" s="384"/>
      <c r="M73" s="384"/>
      <c r="N73" s="384"/>
      <c r="O73" s="384"/>
      <c r="P73" s="384"/>
      <c r="Q73" s="384"/>
      <c r="R73" s="384"/>
      <c r="S73" s="66"/>
      <c r="T73" s="66"/>
      <c r="U73" s="66"/>
      <c r="V73" s="66"/>
      <c r="W73" s="66"/>
      <c r="X73" s="66"/>
    </row>
    <row r="74" spans="1:24">
      <c r="A74" s="384"/>
      <c r="B74" s="384"/>
      <c r="C74" s="384"/>
      <c r="D74" s="384"/>
      <c r="E74" s="384"/>
      <c r="F74" s="384"/>
      <c r="G74" s="384"/>
      <c r="H74" s="388"/>
      <c r="I74" s="388"/>
      <c r="J74" s="388"/>
      <c r="K74" s="384"/>
      <c r="L74" s="384"/>
      <c r="M74" s="384"/>
      <c r="N74" s="384"/>
      <c r="O74" s="384"/>
      <c r="P74" s="384"/>
      <c r="Q74" s="384"/>
      <c r="R74" s="384"/>
      <c r="S74" s="66"/>
      <c r="T74" s="66"/>
      <c r="U74" s="66"/>
      <c r="V74" s="66"/>
      <c r="W74" s="66"/>
      <c r="X74" s="66"/>
    </row>
    <row r="75" spans="1:24">
      <c r="A75" s="384"/>
      <c r="B75" s="384"/>
      <c r="C75" s="384"/>
      <c r="D75" s="384"/>
      <c r="E75" s="384"/>
      <c r="F75" s="384"/>
      <c r="G75" s="384"/>
      <c r="H75" s="388"/>
      <c r="I75" s="388"/>
      <c r="J75" s="388"/>
      <c r="K75" s="384"/>
      <c r="L75" s="384"/>
      <c r="M75" s="384"/>
      <c r="N75" s="384"/>
      <c r="O75" s="384"/>
      <c r="P75" s="384"/>
      <c r="Q75" s="384"/>
      <c r="R75" s="384"/>
      <c r="S75" s="66"/>
      <c r="T75" s="66"/>
      <c r="U75" s="66"/>
      <c r="V75" s="66"/>
      <c r="W75" s="66"/>
      <c r="X75" s="66"/>
    </row>
    <row r="76" spans="1:24">
      <c r="A76" s="384"/>
      <c r="B76" s="384"/>
      <c r="C76" s="384"/>
      <c r="D76" s="384"/>
      <c r="E76" s="384"/>
      <c r="F76" s="384"/>
      <c r="G76" s="384"/>
      <c r="H76" s="388"/>
      <c r="I76" s="388"/>
      <c r="J76" s="388"/>
      <c r="K76" s="384"/>
      <c r="L76" s="384"/>
      <c r="M76" s="384"/>
      <c r="N76" s="384"/>
      <c r="O76" s="384"/>
      <c r="P76" s="384"/>
      <c r="Q76" s="384"/>
      <c r="R76" s="384"/>
      <c r="S76" s="66"/>
      <c r="T76" s="66"/>
      <c r="U76" s="66"/>
      <c r="V76" s="66"/>
      <c r="W76" s="66"/>
      <c r="X76" s="66"/>
    </row>
    <row r="77" spans="1:24">
      <c r="A77" s="384"/>
      <c r="B77" s="384"/>
      <c r="C77" s="384"/>
      <c r="D77" s="384"/>
      <c r="E77" s="384"/>
      <c r="F77" s="384"/>
      <c r="G77" s="384"/>
      <c r="H77" s="388"/>
      <c r="I77" s="388"/>
      <c r="J77" s="388"/>
      <c r="K77" s="384"/>
      <c r="L77" s="384"/>
      <c r="M77" s="384"/>
      <c r="N77" s="384"/>
      <c r="O77" s="384"/>
      <c r="P77" s="384"/>
      <c r="Q77" s="384"/>
      <c r="R77" s="384"/>
      <c r="S77" s="66"/>
      <c r="T77" s="66"/>
      <c r="U77" s="66"/>
      <c r="V77" s="66"/>
      <c r="W77" s="66"/>
      <c r="X77" s="66"/>
    </row>
    <row r="78" spans="1:24">
      <c r="A78" s="384"/>
      <c r="B78" s="384"/>
      <c r="C78" s="384"/>
      <c r="D78" s="384"/>
      <c r="E78" s="384"/>
      <c r="F78" s="384"/>
      <c r="G78" s="384"/>
      <c r="H78" s="388"/>
      <c r="I78" s="388"/>
      <c r="J78" s="388"/>
      <c r="K78" s="384"/>
      <c r="L78" s="384"/>
      <c r="M78" s="384"/>
      <c r="N78" s="384"/>
      <c r="O78" s="384"/>
      <c r="P78" s="384"/>
      <c r="Q78" s="384"/>
      <c r="R78" s="384"/>
      <c r="S78" s="66"/>
      <c r="T78" s="66"/>
      <c r="U78" s="66"/>
      <c r="V78" s="66"/>
      <c r="W78" s="66"/>
      <c r="X78" s="66"/>
    </row>
    <row r="79" spans="1:24">
      <c r="A79" s="384"/>
      <c r="B79" s="384"/>
      <c r="C79" s="384"/>
      <c r="D79" s="384"/>
      <c r="E79" s="384"/>
      <c r="F79" s="384"/>
      <c r="G79" s="384"/>
      <c r="H79" s="388"/>
      <c r="I79" s="388"/>
      <c r="J79" s="388"/>
      <c r="K79" s="384"/>
      <c r="L79" s="384"/>
      <c r="M79" s="384"/>
      <c r="N79" s="384"/>
      <c r="O79" s="384"/>
      <c r="P79" s="384"/>
      <c r="Q79" s="384"/>
      <c r="R79" s="384"/>
      <c r="S79" s="66"/>
      <c r="T79" s="66"/>
      <c r="U79" s="66"/>
      <c r="V79" s="66"/>
      <c r="W79" s="66"/>
      <c r="X79" s="66"/>
    </row>
    <row r="80" spans="1:24">
      <c r="A80" s="384"/>
      <c r="B80" s="384"/>
      <c r="C80" s="384"/>
      <c r="D80" s="384"/>
      <c r="E80" s="384"/>
      <c r="F80" s="384"/>
      <c r="G80" s="384"/>
      <c r="H80" s="388"/>
      <c r="I80" s="388"/>
      <c r="J80" s="388"/>
      <c r="K80" s="384"/>
      <c r="L80" s="384"/>
      <c r="M80" s="384"/>
      <c r="N80" s="384"/>
      <c r="O80" s="384"/>
      <c r="P80" s="384"/>
      <c r="Q80" s="384"/>
      <c r="R80" s="384"/>
      <c r="S80" s="66"/>
      <c r="T80" s="66"/>
      <c r="U80" s="66"/>
      <c r="V80" s="66"/>
      <c r="W80" s="66"/>
      <c r="X80" s="66"/>
    </row>
    <row r="81" spans="1:24">
      <c r="A81" s="384" t="s">
        <v>1353</v>
      </c>
      <c r="B81" s="384"/>
      <c r="C81" s="384"/>
      <c r="D81" s="384"/>
      <c r="E81" s="384"/>
      <c r="F81" s="384"/>
      <c r="G81" s="384"/>
      <c r="H81" s="388"/>
      <c r="I81" s="388"/>
      <c r="J81" s="388"/>
      <c r="K81" s="384"/>
      <c r="L81" s="384"/>
      <c r="M81" s="384"/>
      <c r="N81" s="384"/>
      <c r="O81" s="384"/>
      <c r="P81" s="384"/>
      <c r="Q81" s="384"/>
      <c r="R81" s="384"/>
      <c r="S81" s="66"/>
      <c r="T81" s="66"/>
      <c r="U81" s="66"/>
      <c r="V81" s="66"/>
      <c r="W81" s="66"/>
      <c r="X81" s="66"/>
    </row>
    <row r="82" spans="1:24">
      <c r="A82" s="384" t="s">
        <v>1354</v>
      </c>
      <c r="B82" s="384"/>
      <c r="C82" s="384"/>
      <c r="D82" s="384"/>
      <c r="E82" s="384"/>
      <c r="F82" s="384"/>
      <c r="G82" s="384"/>
      <c r="H82" s="388"/>
      <c r="I82" s="388"/>
      <c r="J82" s="388"/>
      <c r="K82" s="384"/>
      <c r="L82" s="384"/>
      <c r="M82" s="384"/>
      <c r="N82" s="384"/>
      <c r="O82" s="384"/>
      <c r="P82" s="384"/>
      <c r="Q82" s="384"/>
      <c r="R82" s="384"/>
      <c r="S82" s="66"/>
      <c r="T82" s="66"/>
      <c r="U82" s="66"/>
      <c r="V82" s="66"/>
      <c r="W82" s="66"/>
      <c r="X82" s="66"/>
    </row>
    <row r="83" spans="1:24">
      <c r="A83" s="384" t="s">
        <v>1355</v>
      </c>
      <c r="B83" s="384"/>
      <c r="C83" s="383">
        <f>40543.2*4</f>
        <v>162172.79999999999</v>
      </c>
      <c r="D83" s="384"/>
      <c r="E83" s="384"/>
      <c r="F83" s="384"/>
      <c r="G83" s="384"/>
      <c r="H83" s="388"/>
      <c r="I83" s="388"/>
      <c r="J83" s="388"/>
      <c r="K83" s="384"/>
      <c r="L83" s="384"/>
      <c r="M83" s="384"/>
      <c r="N83" s="384"/>
      <c r="O83" s="384"/>
      <c r="P83" s="384"/>
      <c r="Q83" s="384"/>
      <c r="R83" s="384"/>
      <c r="S83" s="66"/>
      <c r="T83" s="66"/>
      <c r="U83" s="66"/>
      <c r="V83" s="66"/>
      <c r="W83" s="66"/>
      <c r="X83" s="66"/>
    </row>
    <row r="84" spans="1:24">
      <c r="A84" s="384" t="s">
        <v>1356</v>
      </c>
      <c r="B84" s="384"/>
      <c r="C84" s="383">
        <v>113969.22</v>
      </c>
      <c r="D84" s="384"/>
      <c r="E84" s="384"/>
      <c r="F84" s="384"/>
      <c r="G84" s="384"/>
      <c r="H84" s="388"/>
      <c r="I84" s="388"/>
      <c r="J84" s="388"/>
      <c r="K84" s="384"/>
      <c r="L84" s="384"/>
      <c r="M84" s="384"/>
      <c r="N84" s="384"/>
      <c r="O84" s="384"/>
      <c r="P84" s="384"/>
      <c r="Q84" s="384"/>
      <c r="R84" s="384"/>
      <c r="S84" s="66"/>
      <c r="T84" s="66"/>
      <c r="U84" s="66"/>
      <c r="V84" s="66"/>
      <c r="W84" s="66"/>
      <c r="X84" s="66"/>
    </row>
    <row r="85" spans="1:24" ht="15.75" thickBot="1">
      <c r="A85" s="384" t="s">
        <v>1357</v>
      </c>
      <c r="B85" s="384"/>
      <c r="C85" s="425">
        <f>SUM(C83:C84)</f>
        <v>276142.02</v>
      </c>
      <c r="D85" s="384"/>
      <c r="E85" s="384"/>
      <c r="F85" s="384"/>
      <c r="G85" s="384"/>
      <c r="H85" s="388"/>
      <c r="I85" s="388"/>
      <c r="J85" s="388"/>
      <c r="K85" s="384"/>
      <c r="L85" s="384"/>
      <c r="M85" s="384"/>
      <c r="N85" s="384"/>
      <c r="O85" s="384"/>
      <c r="P85" s="384"/>
      <c r="Q85" s="384"/>
      <c r="R85" s="384"/>
      <c r="S85" s="66"/>
      <c r="T85" s="66"/>
      <c r="U85" s="66"/>
      <c r="V85" s="66"/>
      <c r="W85" s="66"/>
      <c r="X85" s="66"/>
    </row>
    <row r="86" spans="1:24">
      <c r="A86" s="384"/>
      <c r="B86" s="384"/>
      <c r="C86" s="388" t="e">
        <f>I38+#REF!</f>
        <v>#REF!</v>
      </c>
      <c r="D86" s="384"/>
      <c r="E86" s="384"/>
      <c r="F86" s="384"/>
      <c r="G86" s="384"/>
      <c r="H86" s="388"/>
      <c r="I86" s="388"/>
      <c r="J86" s="388"/>
      <c r="K86" s="384"/>
      <c r="L86" s="384"/>
      <c r="M86" s="384"/>
      <c r="N86" s="384"/>
      <c r="O86" s="384"/>
      <c r="P86" s="384"/>
      <c r="Q86" s="384"/>
      <c r="R86" s="384"/>
      <c r="S86" s="66"/>
      <c r="T86" s="66"/>
      <c r="U86" s="66"/>
      <c r="V86" s="66"/>
      <c r="W86" s="66"/>
      <c r="X86" s="66"/>
    </row>
    <row r="87" spans="1:24" ht="15.75" thickBot="1">
      <c r="A87" s="384"/>
      <c r="B87" s="384"/>
      <c r="C87" s="410" t="e">
        <f>C85-C86</f>
        <v>#REF!</v>
      </c>
      <c r="D87" s="384" t="s">
        <v>1358</v>
      </c>
      <c r="E87" s="384"/>
      <c r="F87" s="384"/>
      <c r="G87" s="384"/>
      <c r="H87" s="388"/>
      <c r="I87" s="388"/>
      <c r="J87" s="388"/>
      <c r="K87" s="384"/>
      <c r="L87" s="384"/>
      <c r="M87" s="384"/>
      <c r="N87" s="384"/>
      <c r="O87" s="384"/>
      <c r="P87" s="384"/>
      <c r="Q87" s="384"/>
      <c r="R87" s="384"/>
      <c r="S87" s="66"/>
      <c r="T87" s="66"/>
      <c r="U87" s="66"/>
      <c r="V87" s="66"/>
      <c r="W87" s="66"/>
      <c r="X87" s="66"/>
    </row>
    <row r="88" spans="1:24" ht="15.75" thickTop="1">
      <c r="A88" s="384"/>
      <c r="B88" s="384"/>
      <c r="C88" s="388">
        <f>-I38</f>
        <v>-46662.04</v>
      </c>
      <c r="D88" s="384" t="s">
        <v>1359</v>
      </c>
      <c r="E88" s="384"/>
      <c r="F88" s="384"/>
      <c r="G88" s="384"/>
      <c r="H88" s="388"/>
      <c r="I88" s="388"/>
      <c r="J88" s="388"/>
      <c r="K88" s="384"/>
      <c r="L88" s="384"/>
      <c r="M88" s="384"/>
      <c r="N88" s="384"/>
      <c r="O88" s="384"/>
      <c r="P88" s="384"/>
      <c r="Q88" s="384"/>
      <c r="R88" s="384"/>
      <c r="S88" s="66"/>
      <c r="T88" s="66"/>
      <c r="U88" s="66"/>
      <c r="V88" s="66"/>
      <c r="W88" s="66"/>
      <c r="X88" s="66"/>
    </row>
    <row r="89" spans="1:24">
      <c r="A89" s="384"/>
      <c r="B89" s="384"/>
      <c r="C89" s="384">
        <v>40549.199999999997</v>
      </c>
      <c r="D89" s="384" t="s">
        <v>1360</v>
      </c>
      <c r="E89" s="384"/>
      <c r="F89" s="384"/>
      <c r="G89" s="384"/>
      <c r="H89" s="388"/>
      <c r="I89" s="388"/>
      <c r="J89" s="388"/>
      <c r="K89" s="384"/>
      <c r="L89" s="384"/>
      <c r="M89" s="384"/>
      <c r="N89" s="384"/>
      <c r="O89" s="384"/>
      <c r="P89" s="384"/>
      <c r="Q89" s="384"/>
      <c r="R89" s="384"/>
      <c r="S89" s="66"/>
      <c r="T89" s="66"/>
      <c r="U89" s="66"/>
      <c r="V89" s="66"/>
      <c r="W89" s="66"/>
      <c r="X89" s="66"/>
    </row>
    <row r="90" spans="1:24" ht="15.75" thickBot="1">
      <c r="A90" s="384"/>
      <c r="B90" s="384"/>
      <c r="C90" s="426" t="e">
        <f>SUM(C87:C89)</f>
        <v>#REF!</v>
      </c>
      <c r="D90" s="384" t="s">
        <v>1361</v>
      </c>
      <c r="E90" s="384"/>
      <c r="F90" s="384"/>
      <c r="G90" s="384"/>
      <c r="H90" s="388"/>
      <c r="I90" s="388"/>
      <c r="J90" s="388"/>
      <c r="K90" s="384"/>
      <c r="L90" s="384"/>
      <c r="M90" s="384"/>
      <c r="N90" s="384"/>
      <c r="O90" s="384"/>
      <c r="P90" s="384"/>
      <c r="Q90" s="384"/>
      <c r="R90" s="384"/>
      <c r="S90" s="66"/>
      <c r="T90" s="66"/>
      <c r="U90" s="66"/>
      <c r="V90" s="66"/>
      <c r="W90" s="66"/>
      <c r="X90" s="66"/>
    </row>
    <row r="91" spans="1:24" ht="15.75" thickTop="1">
      <c r="A91" s="384"/>
      <c r="B91" s="384"/>
      <c r="C91" s="384"/>
      <c r="D91" s="384"/>
      <c r="E91" s="384"/>
      <c r="F91" s="384"/>
      <c r="G91" s="384"/>
      <c r="H91" s="388"/>
      <c r="I91" s="388"/>
      <c r="J91" s="388"/>
      <c r="K91" s="384"/>
      <c r="L91" s="384"/>
      <c r="M91" s="384"/>
      <c r="N91" s="384"/>
      <c r="O91" s="384"/>
      <c r="P91" s="384"/>
      <c r="Q91" s="384"/>
      <c r="R91" s="384"/>
      <c r="S91" s="66"/>
      <c r="T91" s="66"/>
      <c r="U91" s="66"/>
      <c r="V91" s="66"/>
      <c r="W91" s="66"/>
      <c r="X91" s="66"/>
    </row>
    <row r="92" spans="1:24">
      <c r="A92" s="384"/>
      <c r="B92" s="384"/>
      <c r="C92" s="384"/>
      <c r="D92" s="384"/>
      <c r="E92" s="384"/>
      <c r="F92" s="384"/>
      <c r="G92" s="384"/>
      <c r="H92" s="388"/>
      <c r="I92" s="388"/>
      <c r="J92" s="388"/>
      <c r="K92" s="384"/>
      <c r="L92" s="384"/>
      <c r="M92" s="384"/>
      <c r="N92" s="384"/>
      <c r="O92" s="384"/>
      <c r="P92" s="384"/>
      <c r="Q92" s="384"/>
      <c r="R92" s="384"/>
      <c r="S92" s="66"/>
      <c r="T92" s="66"/>
      <c r="U92" s="66"/>
      <c r="V92" s="66"/>
      <c r="W92" s="66"/>
      <c r="X92" s="66"/>
    </row>
    <row r="93" spans="1:24">
      <c r="A93" s="384"/>
      <c r="B93" s="384"/>
      <c r="C93" s="384"/>
      <c r="D93" s="384"/>
      <c r="E93" s="384"/>
      <c r="F93" s="384"/>
      <c r="G93" s="384"/>
      <c r="H93" s="388"/>
      <c r="I93" s="388"/>
      <c r="J93" s="388"/>
      <c r="K93" s="384"/>
      <c r="L93" s="384"/>
      <c r="M93" s="384"/>
      <c r="N93" s="384"/>
      <c r="O93" s="384"/>
      <c r="P93" s="384"/>
      <c r="Q93" s="384"/>
      <c r="R93" s="384"/>
      <c r="S93" s="66"/>
      <c r="T93" s="66"/>
      <c r="U93" s="66"/>
      <c r="V93" s="66"/>
      <c r="W93" s="66"/>
      <c r="X93" s="66"/>
    </row>
    <row r="94" spans="1:24">
      <c r="A94" s="384"/>
      <c r="B94" s="384"/>
      <c r="C94" s="384"/>
      <c r="D94" s="384"/>
      <c r="E94" s="384"/>
      <c r="F94" s="384"/>
      <c r="G94" s="384"/>
      <c r="H94" s="388"/>
      <c r="I94" s="388"/>
      <c r="J94" s="388"/>
      <c r="K94" s="384"/>
      <c r="L94" s="384"/>
      <c r="M94" s="384"/>
      <c r="N94" s="384"/>
      <c r="O94" s="384"/>
      <c r="P94" s="384"/>
      <c r="Q94" s="384"/>
      <c r="R94" s="384"/>
      <c r="S94" s="66"/>
      <c r="T94" s="66"/>
      <c r="U94" s="66"/>
      <c r="V94" s="66"/>
      <c r="W94" s="66"/>
      <c r="X94" s="66"/>
    </row>
    <row r="95" spans="1:24">
      <c r="A95" s="384"/>
      <c r="B95" s="384"/>
      <c r="C95" s="384"/>
      <c r="D95" s="384"/>
      <c r="E95" s="384"/>
      <c r="F95" s="384"/>
      <c r="G95" s="384"/>
      <c r="H95" s="388"/>
      <c r="I95" s="388"/>
      <c r="J95" s="388"/>
      <c r="K95" s="384"/>
      <c r="L95" s="384"/>
      <c r="M95" s="384"/>
      <c r="N95" s="384"/>
      <c r="O95" s="384"/>
      <c r="P95" s="384"/>
      <c r="Q95" s="384"/>
      <c r="R95" s="384"/>
      <c r="S95" s="66"/>
      <c r="T95" s="66"/>
      <c r="U95" s="66"/>
      <c r="V95" s="66"/>
      <c r="W95" s="66"/>
      <c r="X95" s="66"/>
    </row>
    <row r="96" spans="1:24">
      <c r="A96" s="384"/>
      <c r="B96" s="384"/>
      <c r="C96" s="384"/>
      <c r="D96" s="384"/>
      <c r="E96" s="384"/>
      <c r="F96" s="384"/>
      <c r="G96" s="384"/>
      <c r="H96" s="388"/>
      <c r="I96" s="388"/>
      <c r="J96" s="388"/>
      <c r="K96" s="384"/>
      <c r="L96" s="384"/>
      <c r="M96" s="384"/>
      <c r="N96" s="384"/>
      <c r="O96" s="384"/>
      <c r="P96" s="384"/>
      <c r="Q96" s="384"/>
      <c r="R96" s="384"/>
      <c r="S96" s="66"/>
      <c r="T96" s="66"/>
      <c r="U96" s="66"/>
      <c r="V96" s="66"/>
      <c r="W96" s="66"/>
      <c r="X96" s="66"/>
    </row>
    <row r="97" spans="1:18">
      <c r="A97" s="382"/>
      <c r="B97" s="382"/>
      <c r="C97" s="382"/>
      <c r="D97" s="382"/>
      <c r="E97" s="382"/>
      <c r="F97" s="382"/>
      <c r="G97" s="382"/>
      <c r="H97" s="389"/>
      <c r="I97" s="389"/>
      <c r="J97" s="389"/>
      <c r="K97" s="382"/>
      <c r="L97" s="382"/>
      <c r="M97" s="382"/>
      <c r="N97" s="382"/>
      <c r="O97" s="382"/>
      <c r="P97" s="382"/>
      <c r="Q97" s="382"/>
      <c r="R97" s="382"/>
    </row>
    <row r="98" spans="1:18">
      <c r="A98" s="382"/>
      <c r="B98" s="382"/>
      <c r="C98" s="382"/>
      <c r="D98" s="382"/>
      <c r="E98" s="382"/>
      <c r="F98" s="382"/>
      <c r="G98" s="382"/>
      <c r="H98" s="389"/>
      <c r="I98" s="389"/>
      <c r="J98" s="389"/>
      <c r="K98" s="382"/>
      <c r="L98" s="382"/>
      <c r="M98" s="382"/>
      <c r="N98" s="382"/>
      <c r="O98" s="382"/>
      <c r="P98" s="382"/>
      <c r="Q98" s="382"/>
      <c r="R98" s="382"/>
    </row>
    <row r="99" spans="1:18">
      <c r="A99" s="382"/>
      <c r="B99" s="382"/>
      <c r="C99" s="382"/>
      <c r="D99" s="382"/>
      <c r="E99" s="382"/>
      <c r="F99" s="382"/>
      <c r="G99" s="382"/>
      <c r="H99" s="389"/>
      <c r="I99" s="389"/>
      <c r="J99" s="389"/>
      <c r="K99" s="382"/>
      <c r="L99" s="382"/>
      <c r="M99" s="382"/>
      <c r="N99" s="382"/>
      <c r="O99" s="382"/>
      <c r="P99" s="382"/>
      <c r="Q99" s="382"/>
      <c r="R99" s="382"/>
    </row>
    <row r="100" spans="1:18">
      <c r="A100" s="382"/>
      <c r="B100" s="382"/>
      <c r="C100" s="382"/>
      <c r="D100" s="382"/>
      <c r="E100" s="382"/>
      <c r="F100" s="382"/>
      <c r="G100" s="382"/>
      <c r="H100" s="389"/>
      <c r="I100" s="389"/>
      <c r="J100" s="389"/>
      <c r="K100" s="382"/>
      <c r="L100" s="382"/>
      <c r="M100" s="382"/>
      <c r="N100" s="382"/>
      <c r="O100" s="382"/>
      <c r="P100" s="382"/>
      <c r="Q100" s="382"/>
      <c r="R100" s="382"/>
    </row>
    <row r="101" spans="1:18">
      <c r="A101" s="382"/>
      <c r="B101" s="382"/>
      <c r="C101" s="382"/>
      <c r="D101" s="382"/>
      <c r="E101" s="382"/>
      <c r="F101" s="382"/>
      <c r="G101" s="382"/>
      <c r="H101" s="389"/>
      <c r="I101" s="389"/>
      <c r="J101" s="389"/>
      <c r="K101" s="382"/>
      <c r="L101" s="382"/>
      <c r="M101" s="382"/>
      <c r="N101" s="382"/>
      <c r="O101" s="382"/>
      <c r="P101" s="382"/>
      <c r="Q101" s="382"/>
      <c r="R101" s="382"/>
    </row>
    <row r="102" spans="1:18">
      <c r="A102" s="382"/>
      <c r="B102" s="382"/>
      <c r="C102" s="382"/>
      <c r="D102" s="382"/>
      <c r="E102" s="382"/>
      <c r="F102" s="382"/>
      <c r="G102" s="382"/>
      <c r="H102" s="389"/>
      <c r="I102" s="389"/>
      <c r="J102" s="389"/>
      <c r="K102" s="382"/>
      <c r="L102" s="382"/>
      <c r="M102" s="382"/>
      <c r="N102" s="382"/>
      <c r="O102" s="382"/>
      <c r="P102" s="382"/>
      <c r="Q102" s="382"/>
      <c r="R102" s="382"/>
    </row>
    <row r="103" spans="1:18">
      <c r="A103" s="382"/>
      <c r="B103" s="382"/>
      <c r="C103" s="382"/>
      <c r="D103" s="382"/>
      <c r="E103" s="382"/>
      <c r="F103" s="382"/>
      <c r="G103" s="382"/>
      <c r="H103" s="389"/>
      <c r="I103" s="389"/>
      <c r="J103" s="389"/>
      <c r="K103" s="382"/>
      <c r="L103" s="382"/>
      <c r="M103" s="382"/>
      <c r="N103" s="382"/>
      <c r="O103" s="382"/>
      <c r="P103" s="382"/>
      <c r="Q103" s="382"/>
      <c r="R103" s="382"/>
    </row>
    <row r="104" spans="1:18">
      <c r="A104" s="382"/>
      <c r="B104" s="382"/>
      <c r="C104" s="382"/>
      <c r="D104" s="382"/>
      <c r="E104" s="382"/>
      <c r="F104" s="382"/>
      <c r="G104" s="382"/>
      <c r="H104" s="389"/>
      <c r="I104" s="389"/>
      <c r="J104" s="389"/>
      <c r="K104" s="382"/>
      <c r="L104" s="382"/>
      <c r="M104" s="382"/>
      <c r="N104" s="382"/>
      <c r="O104" s="382"/>
      <c r="P104" s="382"/>
      <c r="Q104" s="382"/>
      <c r="R104" s="382"/>
    </row>
    <row r="105" spans="1:18">
      <c r="A105" s="382"/>
      <c r="B105" s="382"/>
      <c r="C105" s="382"/>
      <c r="D105" s="382"/>
      <c r="E105" s="382"/>
      <c r="F105" s="382"/>
      <c r="G105" s="382"/>
      <c r="H105" s="389"/>
      <c r="I105" s="389"/>
      <c r="J105" s="389"/>
      <c r="K105" s="382"/>
      <c r="L105" s="382"/>
      <c r="M105" s="382"/>
      <c r="N105" s="382"/>
      <c r="O105" s="382"/>
      <c r="P105" s="382"/>
      <c r="Q105" s="382"/>
      <c r="R105" s="382"/>
    </row>
    <row r="106" spans="1:18">
      <c r="A106" s="382"/>
      <c r="B106" s="382"/>
      <c r="C106" s="382"/>
      <c r="D106" s="382"/>
      <c r="E106" s="382"/>
      <c r="F106" s="382"/>
      <c r="G106" s="382"/>
      <c r="H106" s="389"/>
      <c r="I106" s="389"/>
      <c r="J106" s="389"/>
      <c r="K106" s="382"/>
      <c r="L106" s="382"/>
      <c r="M106" s="382"/>
      <c r="N106" s="382"/>
      <c r="O106" s="382"/>
      <c r="P106" s="382"/>
      <c r="Q106" s="382"/>
      <c r="R106" s="382"/>
    </row>
    <row r="107" spans="1:18">
      <c r="A107" s="382"/>
      <c r="B107" s="382"/>
      <c r="C107" s="382"/>
      <c r="D107" s="382"/>
      <c r="E107" s="382"/>
      <c r="F107" s="382"/>
      <c r="G107" s="382"/>
      <c r="H107" s="389"/>
      <c r="I107" s="389"/>
      <c r="J107" s="389"/>
      <c r="K107" s="382"/>
      <c r="L107" s="382"/>
      <c r="M107" s="382"/>
      <c r="N107" s="382"/>
      <c r="O107" s="382"/>
      <c r="P107" s="382"/>
      <c r="Q107" s="382"/>
      <c r="R107" s="382"/>
    </row>
    <row r="108" spans="1:18">
      <c r="A108" s="382"/>
      <c r="B108" s="382"/>
      <c r="C108" s="382"/>
      <c r="D108" s="382"/>
      <c r="E108" s="382"/>
      <c r="F108" s="382"/>
      <c r="G108" s="382"/>
      <c r="H108" s="389"/>
      <c r="I108" s="389"/>
      <c r="J108" s="389"/>
      <c r="K108" s="382"/>
      <c r="L108" s="382"/>
      <c r="M108" s="382"/>
      <c r="N108" s="382"/>
      <c r="O108" s="382"/>
      <c r="P108" s="382"/>
      <c r="Q108" s="382"/>
      <c r="R108" s="382"/>
    </row>
    <row r="109" spans="1:18">
      <c r="A109" s="382"/>
      <c r="B109" s="382"/>
      <c r="C109" s="382"/>
      <c r="D109" s="382"/>
      <c r="E109" s="382"/>
      <c r="F109" s="382"/>
      <c r="G109" s="382"/>
      <c r="H109" s="389"/>
      <c r="I109" s="389"/>
      <c r="J109" s="389"/>
      <c r="K109" s="382"/>
      <c r="L109" s="382"/>
      <c r="M109" s="382"/>
      <c r="N109" s="382"/>
      <c r="O109" s="382"/>
      <c r="P109" s="382"/>
      <c r="Q109" s="382"/>
      <c r="R109" s="382"/>
    </row>
    <row r="110" spans="1:18">
      <c r="A110" s="382"/>
      <c r="B110" s="382"/>
      <c r="C110" s="382"/>
      <c r="D110" s="382"/>
      <c r="E110" s="382"/>
      <c r="F110" s="382"/>
      <c r="G110" s="382"/>
      <c r="H110" s="389"/>
      <c r="I110" s="389"/>
      <c r="J110" s="389"/>
      <c r="K110" s="382"/>
      <c r="L110" s="382"/>
      <c r="M110" s="382"/>
      <c r="N110" s="382"/>
      <c r="O110" s="382"/>
      <c r="P110" s="382"/>
      <c r="Q110" s="382"/>
      <c r="R110" s="382"/>
    </row>
    <row r="111" spans="1:18">
      <c r="A111" s="382"/>
      <c r="B111" s="382"/>
      <c r="C111" s="382"/>
      <c r="D111" s="382"/>
      <c r="E111" s="382"/>
      <c r="F111" s="382"/>
      <c r="G111" s="382"/>
      <c r="H111" s="389"/>
      <c r="I111" s="389"/>
      <c r="J111" s="389"/>
      <c r="K111" s="382"/>
      <c r="L111" s="382"/>
      <c r="M111" s="382"/>
      <c r="N111" s="382"/>
      <c r="O111" s="382"/>
      <c r="P111" s="382"/>
      <c r="Q111" s="382"/>
      <c r="R111" s="382"/>
    </row>
    <row r="112" spans="1:18">
      <c r="A112" s="382"/>
      <c r="B112" s="382"/>
      <c r="C112" s="382"/>
      <c r="D112" s="382"/>
      <c r="E112" s="382"/>
      <c r="F112" s="382"/>
      <c r="G112" s="382"/>
      <c r="H112" s="389"/>
      <c r="I112" s="389"/>
      <c r="J112" s="389"/>
      <c r="K112" s="382"/>
      <c r="L112" s="382"/>
      <c r="M112" s="382"/>
      <c r="N112" s="382"/>
      <c r="O112" s="382"/>
      <c r="P112" s="382"/>
      <c r="Q112" s="382"/>
      <c r="R112" s="382"/>
    </row>
    <row r="113" spans="1:18">
      <c r="A113" s="382"/>
      <c r="B113" s="382"/>
      <c r="C113" s="382"/>
      <c r="D113" s="382"/>
      <c r="E113" s="382"/>
      <c r="F113" s="382"/>
      <c r="G113" s="382"/>
      <c r="H113" s="389"/>
      <c r="I113" s="389"/>
      <c r="J113" s="389"/>
      <c r="K113" s="382"/>
      <c r="L113" s="382"/>
      <c r="M113" s="382"/>
      <c r="N113" s="382"/>
      <c r="O113" s="382"/>
      <c r="P113" s="382"/>
      <c r="Q113" s="382"/>
      <c r="R113" s="382"/>
    </row>
    <row r="114" spans="1:18">
      <c r="A114" s="382"/>
      <c r="B114" s="382"/>
      <c r="C114" s="382"/>
      <c r="D114" s="382"/>
      <c r="E114" s="382"/>
      <c r="F114" s="382"/>
      <c r="G114" s="382"/>
      <c r="H114" s="389"/>
      <c r="I114" s="389"/>
      <c r="J114" s="389"/>
      <c r="K114" s="382"/>
      <c r="L114" s="382"/>
      <c r="M114" s="382"/>
      <c r="N114" s="382"/>
      <c r="O114" s="382"/>
      <c r="P114" s="382"/>
      <c r="Q114" s="382"/>
      <c r="R114" s="382"/>
    </row>
    <row r="115" spans="1:18">
      <c r="A115" s="382"/>
      <c r="B115" s="382"/>
      <c r="C115" s="382"/>
      <c r="D115" s="382"/>
      <c r="E115" s="382"/>
      <c r="F115" s="382"/>
      <c r="G115" s="382"/>
      <c r="H115" s="389"/>
      <c r="I115" s="389"/>
      <c r="J115" s="389"/>
      <c r="K115" s="382"/>
      <c r="L115" s="382"/>
      <c r="M115" s="382"/>
      <c r="N115" s="382"/>
      <c r="O115" s="382"/>
      <c r="P115" s="382"/>
      <c r="Q115" s="382"/>
      <c r="R115" s="382"/>
    </row>
    <row r="116" spans="1:18">
      <c r="A116" s="382"/>
      <c r="B116" s="382"/>
      <c r="C116" s="382"/>
      <c r="D116" s="382"/>
      <c r="E116" s="382"/>
      <c r="F116" s="382"/>
      <c r="G116" s="382"/>
      <c r="H116" s="382"/>
      <c r="I116" s="382"/>
      <c r="J116" s="389"/>
      <c r="K116" s="382"/>
      <c r="L116" s="382"/>
      <c r="M116" s="382"/>
      <c r="N116" s="382"/>
      <c r="O116" s="382"/>
      <c r="P116" s="382"/>
      <c r="Q116" s="382"/>
      <c r="R116" s="382"/>
    </row>
    <row r="117" spans="1:18">
      <c r="A117" s="382"/>
      <c r="B117" s="382"/>
      <c r="C117" s="382"/>
      <c r="D117" s="382"/>
      <c r="E117" s="382"/>
      <c r="F117" s="382"/>
      <c r="G117" s="382"/>
      <c r="H117" s="382"/>
      <c r="I117" s="382"/>
      <c r="J117" s="389"/>
      <c r="K117" s="382"/>
      <c r="L117" s="382"/>
      <c r="M117" s="382"/>
      <c r="N117" s="382"/>
      <c r="O117" s="382"/>
      <c r="P117" s="382"/>
      <c r="Q117" s="382"/>
      <c r="R117" s="382"/>
    </row>
    <row r="118" spans="1:18">
      <c r="A118" s="382"/>
      <c r="B118" s="382"/>
      <c r="C118" s="382"/>
      <c r="D118" s="382"/>
      <c r="E118" s="382"/>
      <c r="F118" s="382"/>
      <c r="G118" s="382"/>
      <c r="H118" s="382"/>
      <c r="I118" s="382"/>
      <c r="J118" s="389"/>
      <c r="K118" s="382"/>
      <c r="L118" s="382"/>
      <c r="M118" s="382"/>
      <c r="N118" s="382"/>
      <c r="O118" s="382"/>
      <c r="P118" s="382"/>
      <c r="Q118" s="382"/>
      <c r="R118" s="382"/>
    </row>
    <row r="119" spans="1:18">
      <c r="A119" s="382"/>
      <c r="B119" s="382"/>
      <c r="C119" s="382"/>
      <c r="D119" s="382"/>
      <c r="E119" s="382"/>
      <c r="F119" s="382"/>
      <c r="G119" s="382"/>
      <c r="H119" s="382"/>
      <c r="I119" s="382"/>
      <c r="J119" s="389"/>
      <c r="K119" s="382"/>
      <c r="L119" s="382"/>
      <c r="M119" s="382"/>
      <c r="N119" s="382"/>
      <c r="O119" s="382"/>
      <c r="P119" s="382"/>
      <c r="Q119" s="382"/>
      <c r="R119" s="382"/>
    </row>
    <row r="120" spans="1:18">
      <c r="A120" s="382"/>
      <c r="B120" s="382"/>
      <c r="C120" s="382"/>
      <c r="D120" s="382"/>
      <c r="E120" s="382"/>
      <c r="F120" s="382"/>
      <c r="G120" s="382"/>
      <c r="H120" s="382"/>
      <c r="I120" s="382"/>
      <c r="J120" s="389"/>
      <c r="K120" s="382"/>
      <c r="L120" s="382"/>
      <c r="M120" s="382"/>
      <c r="N120" s="382"/>
      <c r="O120" s="382"/>
      <c r="P120" s="382"/>
      <c r="Q120" s="382"/>
      <c r="R120" s="382"/>
    </row>
    <row r="121" spans="1:18">
      <c r="A121" s="382"/>
      <c r="B121" s="382"/>
      <c r="C121" s="382"/>
      <c r="D121" s="382"/>
      <c r="E121" s="382"/>
      <c r="F121" s="382"/>
      <c r="G121" s="382"/>
      <c r="H121" s="382"/>
      <c r="I121" s="382"/>
      <c r="J121" s="389"/>
      <c r="K121" s="382"/>
      <c r="L121" s="382"/>
      <c r="M121" s="382"/>
      <c r="N121" s="382"/>
      <c r="O121" s="382"/>
      <c r="P121" s="382"/>
      <c r="Q121" s="382"/>
      <c r="R121" s="382"/>
    </row>
    <row r="122" spans="1:18">
      <c r="A122" s="382"/>
      <c r="B122" s="382"/>
      <c r="C122" s="382"/>
      <c r="D122" s="382"/>
      <c r="E122" s="382"/>
      <c r="F122" s="382"/>
      <c r="G122" s="382"/>
      <c r="H122" s="382"/>
      <c r="I122" s="382"/>
      <c r="J122" s="389"/>
      <c r="K122" s="382"/>
      <c r="L122" s="382"/>
      <c r="M122" s="382"/>
      <c r="N122" s="382"/>
      <c r="O122" s="382"/>
      <c r="P122" s="382"/>
      <c r="Q122" s="382"/>
      <c r="R122" s="382"/>
    </row>
    <row r="123" spans="1:18">
      <c r="A123" s="382"/>
      <c r="B123" s="382"/>
      <c r="C123" s="382"/>
      <c r="D123" s="382"/>
      <c r="E123" s="382"/>
      <c r="F123" s="382"/>
      <c r="G123" s="382"/>
      <c r="H123" s="382"/>
      <c r="I123" s="382"/>
      <c r="J123" s="389"/>
      <c r="K123" s="382"/>
      <c r="L123" s="382"/>
      <c r="M123" s="382"/>
      <c r="N123" s="382"/>
      <c r="O123" s="382"/>
      <c r="P123" s="382"/>
      <c r="Q123" s="382"/>
      <c r="R123" s="382"/>
    </row>
    <row r="124" spans="1:18">
      <c r="A124" s="382"/>
      <c r="B124" s="382"/>
      <c r="C124" s="382"/>
      <c r="D124" s="382"/>
      <c r="E124" s="382"/>
      <c r="F124" s="382"/>
      <c r="G124" s="382"/>
      <c r="H124" s="382"/>
      <c r="I124" s="382"/>
      <c r="J124" s="389"/>
      <c r="K124" s="382"/>
      <c r="L124" s="382"/>
      <c r="M124" s="382"/>
      <c r="N124" s="382"/>
      <c r="O124" s="382"/>
      <c r="P124" s="382"/>
      <c r="Q124" s="382"/>
      <c r="R124" s="382"/>
    </row>
    <row r="125" spans="1:18">
      <c r="A125" s="382"/>
      <c r="B125" s="382"/>
      <c r="C125" s="382"/>
      <c r="D125" s="382"/>
      <c r="E125" s="382"/>
      <c r="F125" s="382"/>
      <c r="G125" s="382"/>
      <c r="H125" s="382"/>
      <c r="I125" s="382"/>
      <c r="J125" s="389"/>
      <c r="K125" s="382"/>
      <c r="L125" s="382"/>
      <c r="M125" s="382"/>
      <c r="N125" s="382"/>
      <c r="O125" s="382"/>
      <c r="P125" s="382"/>
      <c r="Q125" s="382"/>
      <c r="R125" s="382"/>
    </row>
    <row r="126" spans="1:18">
      <c r="A126" s="382"/>
      <c r="B126" s="382"/>
      <c r="C126" s="382"/>
      <c r="D126" s="382"/>
      <c r="E126" s="382"/>
      <c r="F126" s="382"/>
      <c r="G126" s="382"/>
      <c r="H126" s="382"/>
      <c r="I126" s="382"/>
      <c r="J126" s="389"/>
      <c r="K126" s="382"/>
      <c r="L126" s="382"/>
      <c r="M126" s="382"/>
      <c r="N126" s="382"/>
      <c r="O126" s="382"/>
      <c r="P126" s="382"/>
      <c r="Q126" s="382"/>
      <c r="R126" s="382"/>
    </row>
    <row r="127" spans="1:18">
      <c r="A127" s="382"/>
      <c r="B127" s="382"/>
      <c r="C127" s="382"/>
      <c r="D127" s="382"/>
      <c r="E127" s="382"/>
      <c r="F127" s="382"/>
      <c r="G127" s="382"/>
      <c r="H127" s="382"/>
      <c r="I127" s="382"/>
      <c r="J127" s="389"/>
      <c r="K127" s="382"/>
      <c r="L127" s="382"/>
      <c r="M127" s="382"/>
      <c r="N127" s="382"/>
      <c r="O127" s="382"/>
      <c r="P127" s="382"/>
      <c r="Q127" s="382"/>
      <c r="R127" s="382"/>
    </row>
    <row r="128" spans="1:18">
      <c r="A128" s="382"/>
      <c r="B128" s="382"/>
      <c r="C128" s="382"/>
      <c r="D128" s="382"/>
      <c r="E128" s="382"/>
      <c r="F128" s="382"/>
      <c r="G128" s="382"/>
      <c r="H128" s="382"/>
      <c r="I128" s="382"/>
      <c r="J128" s="389"/>
      <c r="K128" s="382"/>
      <c r="L128" s="382"/>
      <c r="M128" s="382"/>
      <c r="N128" s="382"/>
      <c r="O128" s="382"/>
      <c r="P128" s="382"/>
      <c r="Q128" s="382"/>
      <c r="R128" s="382"/>
    </row>
    <row r="129" spans="1:18">
      <c r="A129" s="382"/>
      <c r="B129" s="382"/>
      <c r="C129" s="382"/>
      <c r="D129" s="382"/>
      <c r="E129" s="382"/>
      <c r="F129" s="382"/>
      <c r="G129" s="382"/>
      <c r="H129" s="382"/>
      <c r="I129" s="382"/>
      <c r="J129" s="389"/>
      <c r="K129" s="382"/>
      <c r="L129" s="382"/>
      <c r="M129" s="382"/>
      <c r="N129" s="382"/>
      <c r="O129" s="382"/>
      <c r="P129" s="382"/>
      <c r="Q129" s="382"/>
      <c r="R129" s="382"/>
    </row>
    <row r="130" spans="1:18">
      <c r="A130" s="382"/>
      <c r="B130" s="382"/>
      <c r="C130" s="382"/>
      <c r="D130" s="382"/>
      <c r="E130" s="382"/>
      <c r="F130" s="382"/>
      <c r="G130" s="382"/>
      <c r="H130" s="382"/>
      <c r="I130" s="382"/>
      <c r="J130" s="389"/>
      <c r="K130" s="382"/>
      <c r="L130" s="382"/>
      <c r="M130" s="382"/>
      <c r="N130" s="382"/>
      <c r="O130" s="382"/>
      <c r="P130" s="382"/>
      <c r="Q130" s="382"/>
      <c r="R130" s="382"/>
    </row>
  </sheetData>
  <mergeCells count="3">
    <mergeCell ref="E27:F27"/>
    <mergeCell ref="E28:F28"/>
    <mergeCell ref="E18:F18"/>
  </mergeCell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83C2-99C3-4472-B961-325B3FDAA831}">
  <sheetPr codeName="Sheet39"/>
  <dimension ref="A1:X289"/>
  <sheetViews>
    <sheetView topLeftCell="A218" workbookViewId="0">
      <selection activeCell="H250" sqref="H250"/>
    </sheetView>
  </sheetViews>
  <sheetFormatPr defaultRowHeight="15"/>
  <cols>
    <col min="1" max="2" width="2.33203125" customWidth="1"/>
    <col min="3" max="3" width="12.77734375" customWidth="1"/>
    <col min="4" max="4" width="1.77734375" customWidth="1"/>
    <col min="5" max="5" width="11.88671875" customWidth="1"/>
    <col min="6" max="6" width="9.21875" bestFit="1" customWidth="1"/>
    <col min="7" max="7" width="13.6640625" customWidth="1"/>
    <col min="8" max="8" width="29.44140625" customWidth="1"/>
    <col min="9" max="9" width="34.5546875" customWidth="1"/>
    <col min="10" max="12" width="0" hidden="1" customWidth="1"/>
    <col min="13" max="13" width="7.88671875" bestFit="1" customWidth="1"/>
    <col min="14" max="14" width="4.77734375" bestFit="1" customWidth="1"/>
    <col min="15" max="15" width="7.88671875" bestFit="1" customWidth="1"/>
  </cols>
  <sheetData>
    <row r="1" spans="1:24" ht="15.75" thickBot="1">
      <c r="A1" s="374"/>
      <c r="B1" s="374"/>
      <c r="C1" s="374"/>
      <c r="D1" s="374"/>
      <c r="E1" s="194" t="s">
        <v>45</v>
      </c>
      <c r="F1" s="194" t="s">
        <v>762</v>
      </c>
      <c r="G1" s="194" t="s">
        <v>763</v>
      </c>
      <c r="H1" s="194" t="s">
        <v>764</v>
      </c>
      <c r="I1" s="194" t="s">
        <v>765</v>
      </c>
      <c r="J1" s="194" t="s">
        <v>766</v>
      </c>
      <c r="K1" s="194" t="s">
        <v>767</v>
      </c>
      <c r="L1" s="194" t="s">
        <v>768</v>
      </c>
      <c r="M1" s="194" t="s">
        <v>769</v>
      </c>
      <c r="N1" s="194" t="s">
        <v>770</v>
      </c>
      <c r="O1" s="194" t="s">
        <v>771</v>
      </c>
      <c r="P1" s="375"/>
      <c r="Q1" s="66"/>
      <c r="R1" s="66"/>
      <c r="S1" s="66"/>
      <c r="T1" s="66"/>
      <c r="U1" s="66"/>
      <c r="V1" s="66"/>
      <c r="W1" s="66"/>
      <c r="X1" s="66"/>
    </row>
    <row r="2" spans="1:24" ht="15.75" thickTop="1">
      <c r="A2" s="195"/>
      <c r="B2" s="195" t="s">
        <v>413</v>
      </c>
      <c r="C2" s="195"/>
      <c r="D2" s="195"/>
      <c r="E2" s="195"/>
      <c r="F2" s="196"/>
      <c r="G2" s="195"/>
      <c r="H2" s="195"/>
      <c r="I2" s="195"/>
      <c r="J2" s="195"/>
      <c r="K2" s="195"/>
      <c r="L2" s="195"/>
      <c r="M2" s="197"/>
      <c r="N2" s="197"/>
      <c r="O2" s="197"/>
      <c r="P2" s="205"/>
      <c r="Q2" s="66"/>
      <c r="R2" s="66"/>
      <c r="S2" s="66"/>
      <c r="T2" s="66"/>
      <c r="U2" s="66"/>
      <c r="V2" s="66"/>
      <c r="W2" s="66"/>
      <c r="X2" s="66"/>
    </row>
    <row r="3" spans="1:24">
      <c r="A3" s="195"/>
      <c r="B3" s="195"/>
      <c r="C3" s="195" t="s">
        <v>415</v>
      </c>
      <c r="D3" s="195"/>
      <c r="E3" s="195"/>
      <c r="F3" s="196"/>
      <c r="G3" s="195"/>
      <c r="H3" s="195"/>
      <c r="I3" s="195"/>
      <c r="J3" s="195"/>
      <c r="K3" s="195"/>
      <c r="L3" s="195"/>
      <c r="M3" s="197"/>
      <c r="N3" s="197"/>
      <c r="O3" s="197"/>
      <c r="P3" s="205"/>
      <c r="Q3" s="66"/>
      <c r="R3" s="66"/>
      <c r="S3" s="66"/>
      <c r="T3" s="66"/>
      <c r="U3" s="66"/>
      <c r="V3" s="66"/>
      <c r="W3" s="66"/>
      <c r="X3" s="66"/>
    </row>
    <row r="4" spans="1:24">
      <c r="A4" s="198"/>
      <c r="B4" s="198"/>
      <c r="C4" s="198"/>
      <c r="D4" s="198"/>
      <c r="E4" s="198" t="s">
        <v>772</v>
      </c>
      <c r="F4" s="199">
        <v>43951</v>
      </c>
      <c r="G4" s="198" t="s">
        <v>1364</v>
      </c>
      <c r="H4" s="198" t="s">
        <v>1365</v>
      </c>
      <c r="I4" s="198"/>
      <c r="J4" s="198" t="s">
        <v>675</v>
      </c>
      <c r="K4" s="200"/>
      <c r="L4" s="198" t="s">
        <v>775</v>
      </c>
      <c r="M4" s="201">
        <v>16.8</v>
      </c>
      <c r="N4" s="201"/>
      <c r="O4" s="201">
        <v>7808.81</v>
      </c>
      <c r="P4" s="205"/>
      <c r="Q4" s="66"/>
      <c r="R4" s="66"/>
      <c r="S4" s="66"/>
      <c r="T4" s="66"/>
      <c r="U4" s="66"/>
      <c r="V4" s="66"/>
      <c r="W4" s="66"/>
      <c r="X4" s="66"/>
    </row>
    <row r="5" spans="1:24">
      <c r="A5" s="198"/>
      <c r="B5" s="198"/>
      <c r="C5" s="198"/>
      <c r="D5" s="198"/>
      <c r="E5" s="198" t="s">
        <v>772</v>
      </c>
      <c r="F5" s="199">
        <v>43951</v>
      </c>
      <c r="G5" s="198" t="s">
        <v>1364</v>
      </c>
      <c r="H5" s="198" t="s">
        <v>1365</v>
      </c>
      <c r="I5" s="198"/>
      <c r="J5" s="198" t="s">
        <v>519</v>
      </c>
      <c r="K5" s="200"/>
      <c r="L5" s="198" t="s">
        <v>775</v>
      </c>
      <c r="M5" s="201">
        <v>123.2</v>
      </c>
      <c r="N5" s="201"/>
      <c r="O5" s="201">
        <v>7932.01</v>
      </c>
      <c r="P5" s="205"/>
      <c r="Q5" s="66"/>
      <c r="R5" s="66"/>
      <c r="S5" s="66"/>
      <c r="T5" s="66"/>
      <c r="U5" s="66"/>
      <c r="V5" s="66"/>
      <c r="W5" s="66"/>
      <c r="X5" s="66"/>
    </row>
    <row r="6" spans="1:24">
      <c r="A6" s="198"/>
      <c r="B6" s="198"/>
      <c r="C6" s="198"/>
      <c r="D6" s="198"/>
      <c r="E6" s="198" t="s">
        <v>772</v>
      </c>
      <c r="F6" s="199">
        <v>44135</v>
      </c>
      <c r="G6" s="198" t="s">
        <v>1366</v>
      </c>
      <c r="H6" s="198" t="s">
        <v>1365</v>
      </c>
      <c r="I6" s="198"/>
      <c r="J6" s="198" t="s">
        <v>675</v>
      </c>
      <c r="K6" s="200"/>
      <c r="L6" s="198" t="s">
        <v>775</v>
      </c>
      <c r="M6" s="201">
        <v>12.6</v>
      </c>
      <c r="N6" s="201"/>
      <c r="O6" s="201">
        <v>38801.699999999997</v>
      </c>
      <c r="P6" s="205"/>
      <c r="Q6" s="66"/>
      <c r="R6" s="66"/>
      <c r="S6" s="66"/>
      <c r="T6" s="66"/>
      <c r="U6" s="66"/>
      <c r="V6" s="66"/>
      <c r="W6" s="66"/>
      <c r="X6" s="66"/>
    </row>
    <row r="7" spans="1:24">
      <c r="A7" s="198"/>
      <c r="B7" s="198"/>
      <c r="C7" s="198"/>
      <c r="D7" s="198"/>
      <c r="E7" s="198" t="s">
        <v>772</v>
      </c>
      <c r="F7" s="199">
        <v>44135</v>
      </c>
      <c r="G7" s="198" t="s">
        <v>1366</v>
      </c>
      <c r="H7" s="198" t="s">
        <v>1365</v>
      </c>
      <c r="I7" s="198"/>
      <c r="J7" s="198" t="s">
        <v>519</v>
      </c>
      <c r="K7" s="200"/>
      <c r="L7" s="198" t="s">
        <v>775</v>
      </c>
      <c r="M7" s="201">
        <v>92.4</v>
      </c>
      <c r="N7" s="201"/>
      <c r="O7" s="201">
        <v>38894.1</v>
      </c>
      <c r="P7" s="205"/>
      <c r="Q7" s="66"/>
      <c r="R7" s="66"/>
      <c r="S7" s="66"/>
      <c r="T7" s="66"/>
      <c r="U7" s="66"/>
      <c r="V7" s="66"/>
      <c r="W7" s="66"/>
      <c r="X7" s="66"/>
    </row>
    <row r="8" spans="1:24">
      <c r="A8" s="198"/>
      <c r="B8" s="198"/>
      <c r="C8" s="198"/>
      <c r="D8" s="198"/>
      <c r="E8" s="198" t="s">
        <v>772</v>
      </c>
      <c r="F8" s="199">
        <v>44286</v>
      </c>
      <c r="G8" s="198" t="s">
        <v>1367</v>
      </c>
      <c r="H8" s="198" t="s">
        <v>1365</v>
      </c>
      <c r="I8" s="198"/>
      <c r="J8" s="198" t="s">
        <v>675</v>
      </c>
      <c r="K8" s="200"/>
      <c r="L8" s="198" t="s">
        <v>775</v>
      </c>
      <c r="M8" s="201">
        <v>4.2</v>
      </c>
      <c r="N8" s="201"/>
      <c r="O8" s="201">
        <v>80069.42</v>
      </c>
      <c r="P8" s="205"/>
      <c r="Q8" s="66"/>
      <c r="R8" s="66"/>
      <c r="S8" s="66"/>
      <c r="T8" s="66"/>
      <c r="U8" s="66"/>
      <c r="V8" s="66"/>
      <c r="W8" s="66"/>
      <c r="X8" s="66"/>
    </row>
    <row r="9" spans="1:24">
      <c r="A9" s="198"/>
      <c r="B9" s="198"/>
      <c r="C9" s="198"/>
      <c r="D9" s="198"/>
      <c r="E9" s="198" t="s">
        <v>772</v>
      </c>
      <c r="F9" s="199">
        <v>44286</v>
      </c>
      <c r="G9" s="198" t="s">
        <v>1367</v>
      </c>
      <c r="H9" s="198" t="s">
        <v>1365</v>
      </c>
      <c r="I9" s="198"/>
      <c r="J9" s="198" t="s">
        <v>519</v>
      </c>
      <c r="K9" s="200"/>
      <c r="L9" s="198" t="s">
        <v>775</v>
      </c>
      <c r="M9" s="201">
        <v>30.8</v>
      </c>
      <c r="N9" s="201"/>
      <c r="O9" s="201">
        <v>80100.22</v>
      </c>
      <c r="P9" s="205"/>
      <c r="Q9" s="66"/>
      <c r="R9" s="66"/>
      <c r="S9" s="66"/>
      <c r="T9" s="66"/>
      <c r="U9" s="66"/>
      <c r="V9" s="66"/>
      <c r="W9" s="66"/>
      <c r="X9" s="66"/>
    </row>
    <row r="10" spans="1:24">
      <c r="A10" s="198"/>
      <c r="B10" s="198"/>
      <c r="C10" s="198"/>
      <c r="D10" s="198"/>
      <c r="E10" s="198" t="s">
        <v>772</v>
      </c>
      <c r="F10" s="199">
        <v>43951</v>
      </c>
      <c r="G10" s="198" t="s">
        <v>1368</v>
      </c>
      <c r="H10" s="198" t="s">
        <v>1369</v>
      </c>
      <c r="I10" s="198" t="s">
        <v>1370</v>
      </c>
      <c r="J10" s="198" t="s">
        <v>675</v>
      </c>
      <c r="K10" s="200"/>
      <c r="L10" s="198" t="s">
        <v>775</v>
      </c>
      <c r="M10" s="201">
        <v>6.39</v>
      </c>
      <c r="N10" s="201"/>
      <c r="O10" s="201">
        <v>7938.4</v>
      </c>
      <c r="P10" s="205"/>
      <c r="Q10" s="66"/>
      <c r="R10" s="66"/>
      <c r="S10" s="66"/>
      <c r="T10" s="66"/>
      <c r="U10" s="66"/>
      <c r="V10" s="66"/>
      <c r="W10" s="66"/>
      <c r="X10" s="66"/>
    </row>
    <row r="11" spans="1:24">
      <c r="A11" s="198"/>
      <c r="B11" s="198"/>
      <c r="C11" s="198"/>
      <c r="D11" s="198"/>
      <c r="E11" s="198" t="s">
        <v>772</v>
      </c>
      <c r="F11" s="199">
        <v>43951</v>
      </c>
      <c r="G11" s="198" t="s">
        <v>1368</v>
      </c>
      <c r="H11" s="198" t="s">
        <v>1369</v>
      </c>
      <c r="I11" s="198"/>
      <c r="J11" s="198" t="s">
        <v>519</v>
      </c>
      <c r="K11" s="200"/>
      <c r="L11" s="198" t="s">
        <v>775</v>
      </c>
      <c r="M11" s="201">
        <v>46.89</v>
      </c>
      <c r="N11" s="201"/>
      <c r="O11" s="201">
        <v>7985.29</v>
      </c>
      <c r="P11" s="205"/>
      <c r="Q11" s="66"/>
      <c r="R11" s="66"/>
      <c r="S11" s="66"/>
      <c r="T11" s="66"/>
      <c r="U11" s="66"/>
      <c r="V11" s="66"/>
      <c r="W11" s="66"/>
      <c r="X11" s="66"/>
    </row>
    <row r="12" spans="1:24">
      <c r="A12" s="198"/>
      <c r="B12" s="198"/>
      <c r="C12" s="198"/>
      <c r="D12" s="198"/>
      <c r="E12" s="198" t="s">
        <v>772</v>
      </c>
      <c r="F12" s="199">
        <v>44013</v>
      </c>
      <c r="G12" s="198" t="s">
        <v>1371</v>
      </c>
      <c r="H12" s="198" t="s">
        <v>1369</v>
      </c>
      <c r="I12" s="198" t="s">
        <v>1370</v>
      </c>
      <c r="J12" s="198" t="s">
        <v>675</v>
      </c>
      <c r="K12" s="200"/>
      <c r="L12" s="198" t="s">
        <v>775</v>
      </c>
      <c r="M12" s="201">
        <v>1.8</v>
      </c>
      <c r="N12" s="201"/>
      <c r="O12" s="201">
        <v>18494.169999999998</v>
      </c>
      <c r="P12" s="205"/>
      <c r="Q12" s="66"/>
      <c r="R12" s="66"/>
      <c r="S12" s="66"/>
      <c r="T12" s="66"/>
      <c r="U12" s="66"/>
      <c r="V12" s="66"/>
      <c r="W12" s="66"/>
      <c r="X12" s="66"/>
    </row>
    <row r="13" spans="1:24">
      <c r="A13" s="198"/>
      <c r="B13" s="198"/>
      <c r="C13" s="198"/>
      <c r="D13" s="198"/>
      <c r="E13" s="198" t="s">
        <v>772</v>
      </c>
      <c r="F13" s="199">
        <v>44013</v>
      </c>
      <c r="G13" s="198" t="s">
        <v>1371</v>
      </c>
      <c r="H13" s="198" t="s">
        <v>1369</v>
      </c>
      <c r="I13" s="198"/>
      <c r="J13" s="198" t="s">
        <v>519</v>
      </c>
      <c r="K13" s="200"/>
      <c r="L13" s="198" t="s">
        <v>775</v>
      </c>
      <c r="M13" s="201">
        <v>13.2</v>
      </c>
      <c r="N13" s="201"/>
      <c r="O13" s="201">
        <v>18507.37</v>
      </c>
      <c r="P13" s="205"/>
      <c r="Q13" s="66"/>
      <c r="R13" s="66"/>
      <c r="S13" s="66"/>
      <c r="T13" s="66"/>
      <c r="U13" s="66"/>
      <c r="V13" s="66"/>
      <c r="W13" s="66"/>
      <c r="X13" s="66"/>
    </row>
    <row r="14" spans="1:24">
      <c r="A14" s="198"/>
      <c r="B14" s="198"/>
      <c r="C14" s="198"/>
      <c r="D14" s="198"/>
      <c r="E14" s="198" t="s">
        <v>772</v>
      </c>
      <c r="F14" s="199">
        <v>44013</v>
      </c>
      <c r="G14" s="198" t="s">
        <v>1372</v>
      </c>
      <c r="H14" s="198" t="s">
        <v>1369</v>
      </c>
      <c r="I14" s="198" t="s">
        <v>1370</v>
      </c>
      <c r="J14" s="198" t="s">
        <v>519</v>
      </c>
      <c r="K14" s="200"/>
      <c r="L14" s="198" t="s">
        <v>775</v>
      </c>
      <c r="M14" s="201">
        <v>133.44999999999999</v>
      </c>
      <c r="N14" s="201"/>
      <c r="O14" s="201">
        <v>18640.82</v>
      </c>
      <c r="P14" s="205"/>
      <c r="Q14" s="66"/>
      <c r="R14" s="66"/>
      <c r="S14" s="66"/>
      <c r="T14" s="66"/>
      <c r="U14" s="66"/>
      <c r="V14" s="66"/>
      <c r="W14" s="66"/>
      <c r="X14" s="66"/>
    </row>
    <row r="15" spans="1:24">
      <c r="A15" s="198"/>
      <c r="B15" s="198"/>
      <c r="C15" s="198"/>
      <c r="D15" s="198"/>
      <c r="E15" s="198" t="s">
        <v>772</v>
      </c>
      <c r="F15" s="199">
        <v>44117</v>
      </c>
      <c r="G15" s="198" t="s">
        <v>1373</v>
      </c>
      <c r="H15" s="198" t="s">
        <v>1369</v>
      </c>
      <c r="I15" s="198" t="s">
        <v>1370</v>
      </c>
      <c r="J15" s="198" t="s">
        <v>519</v>
      </c>
      <c r="K15" s="200"/>
      <c r="L15" s="198" t="s">
        <v>775</v>
      </c>
      <c r="M15" s="201">
        <v>148.74</v>
      </c>
      <c r="N15" s="201"/>
      <c r="O15" s="201">
        <v>35956.35</v>
      </c>
      <c r="P15" s="205"/>
      <c r="Q15" s="66"/>
      <c r="R15" s="66"/>
      <c r="S15" s="66"/>
      <c r="T15" s="66"/>
      <c r="U15" s="66"/>
      <c r="V15" s="66"/>
      <c r="W15" s="66"/>
      <c r="X15" s="66"/>
    </row>
    <row r="16" spans="1:24">
      <c r="A16" s="198"/>
      <c r="B16" s="198"/>
      <c r="C16" s="198"/>
      <c r="D16" s="198"/>
      <c r="E16" s="198" t="s">
        <v>772</v>
      </c>
      <c r="F16" s="199">
        <v>44136</v>
      </c>
      <c r="G16" s="198" t="s">
        <v>1374</v>
      </c>
      <c r="H16" s="198" t="s">
        <v>1369</v>
      </c>
      <c r="I16" s="198" t="s">
        <v>1370</v>
      </c>
      <c r="J16" s="198" t="s">
        <v>519</v>
      </c>
      <c r="K16" s="200"/>
      <c r="L16" s="198" t="s">
        <v>775</v>
      </c>
      <c r="M16" s="201">
        <v>114.62</v>
      </c>
      <c r="N16" s="201"/>
      <c r="O16" s="201">
        <v>39008.720000000001</v>
      </c>
      <c r="P16" s="205"/>
      <c r="Q16" s="66"/>
      <c r="R16" s="66"/>
      <c r="S16" s="66"/>
      <c r="T16" s="66"/>
      <c r="U16" s="66"/>
      <c r="V16" s="66"/>
      <c r="W16" s="66"/>
      <c r="X16" s="66"/>
    </row>
    <row r="17" spans="1:24">
      <c r="A17" s="198"/>
      <c r="B17" s="198"/>
      <c r="C17" s="198"/>
      <c r="D17" s="198"/>
      <c r="E17" s="198" t="s">
        <v>772</v>
      </c>
      <c r="F17" s="199">
        <v>44256</v>
      </c>
      <c r="G17" s="198" t="s">
        <v>1375</v>
      </c>
      <c r="H17" s="198" t="s">
        <v>1369</v>
      </c>
      <c r="I17" s="198" t="s">
        <v>1370</v>
      </c>
      <c r="J17" s="198" t="s">
        <v>519</v>
      </c>
      <c r="K17" s="200"/>
      <c r="L17" s="198" t="s">
        <v>775</v>
      </c>
      <c r="M17" s="201">
        <v>64.540000000000006</v>
      </c>
      <c r="N17" s="201"/>
      <c r="O17" s="201">
        <v>69398.539999999994</v>
      </c>
      <c r="P17" s="205"/>
      <c r="Q17" s="66"/>
      <c r="R17" s="66"/>
      <c r="S17" s="66"/>
      <c r="T17" s="66"/>
      <c r="U17" s="66"/>
      <c r="V17" s="66"/>
      <c r="W17" s="66"/>
      <c r="X17" s="66"/>
    </row>
    <row r="18" spans="1:24">
      <c r="A18" s="198"/>
      <c r="B18" s="198"/>
      <c r="C18" s="198"/>
      <c r="D18" s="198"/>
      <c r="E18" s="198" t="s">
        <v>772</v>
      </c>
      <c r="F18" s="199">
        <v>43994</v>
      </c>
      <c r="G18" s="198" t="s">
        <v>1376</v>
      </c>
      <c r="H18" s="198" t="s">
        <v>1377</v>
      </c>
      <c r="I18" s="198"/>
      <c r="J18" s="198" t="s">
        <v>519</v>
      </c>
      <c r="K18" s="200"/>
      <c r="L18" s="198" t="s">
        <v>775</v>
      </c>
      <c r="M18" s="201">
        <v>56.72</v>
      </c>
      <c r="N18" s="201"/>
      <c r="O18" s="201">
        <v>14735.34</v>
      </c>
      <c r="P18" s="205"/>
      <c r="Q18" s="66"/>
      <c r="R18" s="66"/>
      <c r="S18" s="66"/>
      <c r="T18" s="66"/>
      <c r="U18" s="66"/>
      <c r="V18" s="66"/>
      <c r="W18" s="66"/>
      <c r="X18" s="66"/>
    </row>
    <row r="19" spans="1:24">
      <c r="A19" s="198"/>
      <c r="B19" s="198"/>
      <c r="C19" s="198"/>
      <c r="D19" s="198"/>
      <c r="E19" s="198" t="s">
        <v>772</v>
      </c>
      <c r="F19" s="199">
        <v>43994</v>
      </c>
      <c r="G19" s="198" t="s">
        <v>1376</v>
      </c>
      <c r="H19" s="198" t="s">
        <v>1377</v>
      </c>
      <c r="I19" s="198"/>
      <c r="J19" s="198" t="s">
        <v>675</v>
      </c>
      <c r="K19" s="200"/>
      <c r="L19" s="198" t="s">
        <v>775</v>
      </c>
      <c r="M19" s="201">
        <v>415.91</v>
      </c>
      <c r="N19" s="201"/>
      <c r="O19" s="201">
        <v>15151.25</v>
      </c>
      <c r="P19" s="205"/>
      <c r="Q19" s="66"/>
      <c r="R19" s="66"/>
      <c r="S19" s="66"/>
      <c r="T19" s="66"/>
      <c r="U19" s="66"/>
      <c r="V19" s="66"/>
      <c r="W19" s="66"/>
      <c r="X19" s="66"/>
    </row>
    <row r="20" spans="1:24">
      <c r="A20" s="198"/>
      <c r="B20" s="198"/>
      <c r="C20" s="198"/>
      <c r="D20" s="198"/>
      <c r="E20" s="198" t="s">
        <v>772</v>
      </c>
      <c r="F20" s="199">
        <v>44165</v>
      </c>
      <c r="G20" s="198" t="s">
        <v>1378</v>
      </c>
      <c r="H20" s="198" t="s">
        <v>1377</v>
      </c>
      <c r="I20" s="198"/>
      <c r="J20" s="198" t="s">
        <v>519</v>
      </c>
      <c r="K20" s="200"/>
      <c r="L20" s="198" t="s">
        <v>775</v>
      </c>
      <c r="M20" s="201">
        <v>61.97</v>
      </c>
      <c r="N20" s="201"/>
      <c r="O20" s="201">
        <v>43027.76</v>
      </c>
      <c r="P20" s="205"/>
      <c r="Q20" s="66"/>
      <c r="R20" s="66"/>
      <c r="S20" s="66"/>
      <c r="T20" s="66"/>
      <c r="U20" s="66"/>
      <c r="V20" s="66"/>
      <c r="W20" s="66"/>
      <c r="X20" s="66"/>
    </row>
    <row r="21" spans="1:24">
      <c r="A21" s="198"/>
      <c r="B21" s="198"/>
      <c r="C21" s="198"/>
      <c r="D21" s="198"/>
      <c r="E21" s="198" t="s">
        <v>772</v>
      </c>
      <c r="F21" s="199">
        <v>44165</v>
      </c>
      <c r="G21" s="198" t="s">
        <v>1378</v>
      </c>
      <c r="H21" s="198" t="s">
        <v>1377</v>
      </c>
      <c r="I21" s="198"/>
      <c r="J21" s="198" t="s">
        <v>675</v>
      </c>
      <c r="K21" s="200"/>
      <c r="L21" s="198" t="s">
        <v>775</v>
      </c>
      <c r="M21" s="201">
        <v>454.43</v>
      </c>
      <c r="N21" s="201"/>
      <c r="O21" s="201">
        <v>43482.19</v>
      </c>
      <c r="P21" s="205"/>
      <c r="Q21" s="66"/>
      <c r="R21" s="66"/>
      <c r="S21" s="66"/>
      <c r="T21" s="66"/>
      <c r="U21" s="66"/>
      <c r="V21" s="66"/>
      <c r="W21" s="66"/>
      <c r="X21" s="66"/>
    </row>
    <row r="22" spans="1:24">
      <c r="A22" s="198"/>
      <c r="B22" s="198"/>
      <c r="C22" s="198"/>
      <c r="D22" s="198"/>
      <c r="E22" s="198" t="s">
        <v>772</v>
      </c>
      <c r="F22" s="199">
        <v>44264</v>
      </c>
      <c r="G22" s="198" t="s">
        <v>1379</v>
      </c>
      <c r="H22" s="198" t="s">
        <v>1377</v>
      </c>
      <c r="I22" s="198"/>
      <c r="J22" s="198" t="s">
        <v>519</v>
      </c>
      <c r="K22" s="200"/>
      <c r="L22" s="198" t="s">
        <v>775</v>
      </c>
      <c r="M22" s="201">
        <v>53.35</v>
      </c>
      <c r="N22" s="201"/>
      <c r="O22" s="201">
        <v>72599.86</v>
      </c>
      <c r="P22" s="205"/>
      <c r="Q22" s="66"/>
      <c r="R22" s="66"/>
      <c r="S22" s="66"/>
      <c r="T22" s="66"/>
      <c r="U22" s="66"/>
      <c r="V22" s="66"/>
      <c r="W22" s="66"/>
      <c r="X22" s="66"/>
    </row>
    <row r="23" spans="1:24">
      <c r="A23" s="198"/>
      <c r="B23" s="198"/>
      <c r="C23" s="198"/>
      <c r="D23" s="198"/>
      <c r="E23" s="198" t="s">
        <v>772</v>
      </c>
      <c r="F23" s="199">
        <v>44264</v>
      </c>
      <c r="G23" s="198" t="s">
        <v>1379</v>
      </c>
      <c r="H23" s="198" t="s">
        <v>1377</v>
      </c>
      <c r="I23" s="198"/>
      <c r="J23" s="198" t="s">
        <v>675</v>
      </c>
      <c r="K23" s="200"/>
      <c r="L23" s="198" t="s">
        <v>775</v>
      </c>
      <c r="M23" s="201">
        <v>391.22</v>
      </c>
      <c r="N23" s="201"/>
      <c r="O23" s="201">
        <v>72991.08</v>
      </c>
      <c r="P23" s="205"/>
      <c r="Q23" s="66"/>
      <c r="R23" s="66"/>
      <c r="S23" s="66"/>
      <c r="T23" s="66"/>
      <c r="U23" s="66"/>
      <c r="V23" s="66"/>
      <c r="W23" s="66"/>
      <c r="X23" s="66"/>
    </row>
    <row r="24" spans="1:24">
      <c r="A24" s="198"/>
      <c r="B24" s="198"/>
      <c r="C24" s="198"/>
      <c r="D24" s="198"/>
      <c r="E24" s="198" t="s">
        <v>772</v>
      </c>
      <c r="F24" s="199">
        <v>44265</v>
      </c>
      <c r="G24" s="198" t="s">
        <v>1380</v>
      </c>
      <c r="H24" s="198" t="s">
        <v>1377</v>
      </c>
      <c r="I24" s="198"/>
      <c r="J24" s="198" t="s">
        <v>519</v>
      </c>
      <c r="K24" s="200"/>
      <c r="L24" s="198" t="s">
        <v>775</v>
      </c>
      <c r="M24" s="201">
        <v>54.48</v>
      </c>
      <c r="N24" s="201"/>
      <c r="O24" s="201">
        <v>73419.45</v>
      </c>
      <c r="P24" s="205"/>
      <c r="Q24" s="66"/>
      <c r="R24" s="66"/>
      <c r="S24" s="66"/>
      <c r="T24" s="66"/>
      <c r="U24" s="66"/>
      <c r="V24" s="66"/>
      <c r="W24" s="66"/>
      <c r="X24" s="66"/>
    </row>
    <row r="25" spans="1:24">
      <c r="A25" s="198"/>
      <c r="B25" s="198"/>
      <c r="C25" s="198"/>
      <c r="D25" s="198"/>
      <c r="E25" s="198" t="s">
        <v>772</v>
      </c>
      <c r="F25" s="199">
        <v>44265</v>
      </c>
      <c r="G25" s="198" t="s">
        <v>1380</v>
      </c>
      <c r="H25" s="198" t="s">
        <v>1377</v>
      </c>
      <c r="I25" s="198"/>
      <c r="J25" s="198" t="s">
        <v>675</v>
      </c>
      <c r="K25" s="200"/>
      <c r="L25" s="198" t="s">
        <v>775</v>
      </c>
      <c r="M25" s="201">
        <v>399.53</v>
      </c>
      <c r="N25" s="201"/>
      <c r="O25" s="201">
        <v>73818.98</v>
      </c>
      <c r="P25" s="205"/>
      <c r="Q25" s="66"/>
      <c r="R25" s="66"/>
      <c r="S25" s="66"/>
      <c r="T25" s="66"/>
      <c r="U25" s="66"/>
      <c r="V25" s="66"/>
      <c r="W25" s="66"/>
      <c r="X25" s="66"/>
    </row>
    <row r="26" spans="1:24">
      <c r="A26" s="198"/>
      <c r="B26" s="198"/>
      <c r="C26" s="198"/>
      <c r="D26" s="198"/>
      <c r="E26" s="198" t="s">
        <v>772</v>
      </c>
      <c r="F26" s="199">
        <v>43946</v>
      </c>
      <c r="G26" s="198" t="s">
        <v>1381</v>
      </c>
      <c r="H26" s="198" t="s">
        <v>1382</v>
      </c>
      <c r="I26" s="198" t="s">
        <v>1383</v>
      </c>
      <c r="J26" s="198" t="s">
        <v>675</v>
      </c>
      <c r="K26" s="200"/>
      <c r="L26" s="198" t="s">
        <v>775</v>
      </c>
      <c r="M26" s="201">
        <v>8.2799999999999994</v>
      </c>
      <c r="N26" s="201"/>
      <c r="O26" s="201">
        <v>7036.16</v>
      </c>
      <c r="P26" s="205"/>
      <c r="Q26" s="66"/>
      <c r="R26" s="66"/>
      <c r="S26" s="66"/>
      <c r="T26" s="66"/>
      <c r="U26" s="66"/>
      <c r="V26" s="66"/>
      <c r="W26" s="66"/>
      <c r="X26" s="66"/>
    </row>
    <row r="27" spans="1:24">
      <c r="A27" s="198"/>
      <c r="B27" s="198"/>
      <c r="C27" s="198"/>
      <c r="D27" s="198"/>
      <c r="E27" s="198" t="s">
        <v>772</v>
      </c>
      <c r="F27" s="199">
        <v>43946</v>
      </c>
      <c r="G27" s="198" t="s">
        <v>1381</v>
      </c>
      <c r="H27" s="198" t="s">
        <v>1382</v>
      </c>
      <c r="I27" s="198"/>
      <c r="J27" s="198" t="s">
        <v>519</v>
      </c>
      <c r="K27" s="200"/>
      <c r="L27" s="198" t="s">
        <v>775</v>
      </c>
      <c r="M27" s="201">
        <v>60.72</v>
      </c>
      <c r="N27" s="201"/>
      <c r="O27" s="201">
        <v>7096.88</v>
      </c>
      <c r="P27" s="205"/>
      <c r="Q27" s="66"/>
      <c r="R27" s="66"/>
      <c r="S27" s="66"/>
      <c r="T27" s="66"/>
      <c r="U27" s="66"/>
      <c r="V27" s="66"/>
      <c r="W27" s="66"/>
      <c r="X27" s="66"/>
    </row>
    <row r="28" spans="1:24">
      <c r="A28" s="198"/>
      <c r="B28" s="198"/>
      <c r="C28" s="198"/>
      <c r="D28" s="198"/>
      <c r="E28" s="198" t="s">
        <v>772</v>
      </c>
      <c r="F28" s="199">
        <v>44007</v>
      </c>
      <c r="G28" s="198" t="s">
        <v>1384</v>
      </c>
      <c r="H28" s="198" t="s">
        <v>1382</v>
      </c>
      <c r="I28" s="198" t="s">
        <v>1385</v>
      </c>
      <c r="J28" s="198" t="s">
        <v>675</v>
      </c>
      <c r="K28" s="200"/>
      <c r="L28" s="198" t="s">
        <v>775</v>
      </c>
      <c r="M28" s="201">
        <v>20.7</v>
      </c>
      <c r="N28" s="201"/>
      <c r="O28" s="201">
        <v>18001.03</v>
      </c>
      <c r="P28" s="205"/>
      <c r="Q28" s="66"/>
      <c r="R28" s="66"/>
      <c r="S28" s="66"/>
      <c r="T28" s="66"/>
      <c r="U28" s="66"/>
      <c r="V28" s="66"/>
      <c r="W28" s="66"/>
      <c r="X28" s="66"/>
    </row>
    <row r="29" spans="1:24">
      <c r="A29" s="198"/>
      <c r="B29" s="198"/>
      <c r="C29" s="198"/>
      <c r="D29" s="198"/>
      <c r="E29" s="198" t="s">
        <v>772</v>
      </c>
      <c r="F29" s="199">
        <v>44007</v>
      </c>
      <c r="G29" s="198" t="s">
        <v>1384</v>
      </c>
      <c r="H29" s="198" t="s">
        <v>1382</v>
      </c>
      <c r="I29" s="198"/>
      <c r="J29" s="198" t="s">
        <v>519</v>
      </c>
      <c r="K29" s="200"/>
      <c r="L29" s="198" t="s">
        <v>775</v>
      </c>
      <c r="M29" s="201">
        <v>151.80000000000001</v>
      </c>
      <c r="N29" s="201"/>
      <c r="O29" s="201">
        <v>18152.830000000002</v>
      </c>
      <c r="P29" s="205"/>
      <c r="Q29" s="66"/>
      <c r="R29" s="66"/>
      <c r="S29" s="66"/>
      <c r="T29" s="66"/>
      <c r="U29" s="66"/>
      <c r="V29" s="66"/>
      <c r="W29" s="66"/>
      <c r="X29" s="66"/>
    </row>
    <row r="30" spans="1:24">
      <c r="A30" s="198"/>
      <c r="B30" s="198"/>
      <c r="C30" s="198"/>
      <c r="D30" s="198"/>
      <c r="E30" s="198" t="s">
        <v>772</v>
      </c>
      <c r="F30" s="199">
        <v>43951</v>
      </c>
      <c r="G30" s="198" t="s">
        <v>1386</v>
      </c>
      <c r="H30" s="198" t="s">
        <v>1387</v>
      </c>
      <c r="I30" s="198"/>
      <c r="J30" s="198" t="s">
        <v>675</v>
      </c>
      <c r="K30" s="200"/>
      <c r="L30" s="198" t="s">
        <v>775</v>
      </c>
      <c r="M30" s="201">
        <v>41.56</v>
      </c>
      <c r="N30" s="201"/>
      <c r="O30" s="201">
        <v>7487.26</v>
      </c>
      <c r="P30" s="205"/>
      <c r="Q30" s="66"/>
      <c r="R30" s="66"/>
      <c r="S30" s="66"/>
      <c r="T30" s="66"/>
      <c r="U30" s="66"/>
      <c r="V30" s="66"/>
      <c r="W30" s="66"/>
      <c r="X30" s="66"/>
    </row>
    <row r="31" spans="1:24">
      <c r="A31" s="198"/>
      <c r="B31" s="198"/>
      <c r="C31" s="198"/>
      <c r="D31" s="198"/>
      <c r="E31" s="198" t="s">
        <v>772</v>
      </c>
      <c r="F31" s="199">
        <v>43951</v>
      </c>
      <c r="G31" s="198" t="s">
        <v>1386</v>
      </c>
      <c r="H31" s="198" t="s">
        <v>1387</v>
      </c>
      <c r="I31" s="198"/>
      <c r="J31" s="198" t="s">
        <v>519</v>
      </c>
      <c r="K31" s="200"/>
      <c r="L31" s="198" t="s">
        <v>775</v>
      </c>
      <c r="M31" s="201">
        <v>304.75</v>
      </c>
      <c r="N31" s="201"/>
      <c r="O31" s="201">
        <v>7792.01</v>
      </c>
      <c r="P31" s="205"/>
      <c r="Q31" s="66"/>
      <c r="R31" s="66"/>
      <c r="S31" s="66"/>
      <c r="T31" s="66"/>
      <c r="U31" s="66"/>
      <c r="V31" s="66"/>
      <c r="W31" s="66"/>
      <c r="X31" s="66"/>
    </row>
    <row r="32" spans="1:24">
      <c r="A32" s="198"/>
      <c r="B32" s="198"/>
      <c r="C32" s="198"/>
      <c r="D32" s="198"/>
      <c r="E32" s="198" t="s">
        <v>772</v>
      </c>
      <c r="F32" s="199">
        <v>44043</v>
      </c>
      <c r="G32" s="198" t="s">
        <v>1388</v>
      </c>
      <c r="H32" s="198" t="s">
        <v>1387</v>
      </c>
      <c r="I32" s="198"/>
      <c r="J32" s="198" t="s">
        <v>519</v>
      </c>
      <c r="K32" s="200"/>
      <c r="L32" s="198" t="s">
        <v>775</v>
      </c>
      <c r="M32" s="201">
        <v>22.74</v>
      </c>
      <c r="N32" s="201"/>
      <c r="O32" s="201">
        <v>24078.61</v>
      </c>
      <c r="P32" s="205"/>
      <c r="Q32" s="66"/>
      <c r="R32" s="66"/>
      <c r="S32" s="66"/>
      <c r="T32" s="66"/>
      <c r="U32" s="66"/>
      <c r="V32" s="66"/>
      <c r="W32" s="66"/>
      <c r="X32" s="66"/>
    </row>
    <row r="33" spans="1:24">
      <c r="A33" s="198"/>
      <c r="B33" s="198"/>
      <c r="C33" s="198"/>
      <c r="D33" s="198"/>
      <c r="E33" s="198" t="s">
        <v>772</v>
      </c>
      <c r="F33" s="199">
        <v>44117</v>
      </c>
      <c r="G33" s="198" t="s">
        <v>783</v>
      </c>
      <c r="H33" s="198" t="s">
        <v>1387</v>
      </c>
      <c r="I33" s="198"/>
      <c r="J33" s="198" t="s">
        <v>519</v>
      </c>
      <c r="K33" s="200"/>
      <c r="L33" s="198" t="s">
        <v>775</v>
      </c>
      <c r="M33" s="201">
        <v>146.41</v>
      </c>
      <c r="N33" s="201"/>
      <c r="O33" s="201">
        <v>36102.76</v>
      </c>
      <c r="P33" s="205"/>
      <c r="Q33" s="66"/>
      <c r="R33" s="66"/>
      <c r="S33" s="66"/>
      <c r="T33" s="66"/>
      <c r="U33" s="66"/>
      <c r="V33" s="66"/>
      <c r="W33" s="66"/>
      <c r="X33" s="66"/>
    </row>
    <row r="34" spans="1:24">
      <c r="A34" s="198"/>
      <c r="B34" s="198"/>
      <c r="C34" s="198"/>
      <c r="D34" s="198"/>
      <c r="E34" s="198" t="s">
        <v>772</v>
      </c>
      <c r="F34" s="199">
        <v>44165</v>
      </c>
      <c r="G34" s="198" t="s">
        <v>1011</v>
      </c>
      <c r="H34" s="198" t="s">
        <v>1387</v>
      </c>
      <c r="I34" s="198"/>
      <c r="J34" s="198" t="s">
        <v>675</v>
      </c>
      <c r="K34" s="200"/>
      <c r="L34" s="198" t="s">
        <v>775</v>
      </c>
      <c r="M34" s="201">
        <v>5.99</v>
      </c>
      <c r="N34" s="201"/>
      <c r="O34" s="201">
        <v>43488.18</v>
      </c>
      <c r="P34" s="205"/>
      <c r="Q34" s="66"/>
      <c r="R34" s="66"/>
      <c r="S34" s="66"/>
      <c r="T34" s="66"/>
      <c r="U34" s="66"/>
      <c r="V34" s="66"/>
      <c r="W34" s="66"/>
      <c r="X34" s="66"/>
    </row>
    <row r="35" spans="1:24">
      <c r="A35" s="198"/>
      <c r="B35" s="198"/>
      <c r="C35" s="198"/>
      <c r="D35" s="198"/>
      <c r="E35" s="198" t="s">
        <v>772</v>
      </c>
      <c r="F35" s="199">
        <v>44165</v>
      </c>
      <c r="G35" s="198" t="s">
        <v>1011</v>
      </c>
      <c r="H35" s="198" t="s">
        <v>1387</v>
      </c>
      <c r="I35" s="198"/>
      <c r="J35" s="198" t="s">
        <v>519</v>
      </c>
      <c r="K35" s="200"/>
      <c r="L35" s="198" t="s">
        <v>775</v>
      </c>
      <c r="M35" s="201">
        <v>43.96</v>
      </c>
      <c r="N35" s="201"/>
      <c r="O35" s="201">
        <v>43532.14</v>
      </c>
      <c r="P35" s="205"/>
      <c r="Q35" s="66"/>
      <c r="R35" s="66"/>
      <c r="S35" s="66"/>
      <c r="T35" s="66"/>
      <c r="U35" s="66"/>
      <c r="V35" s="66"/>
      <c r="W35" s="66"/>
      <c r="X35" s="66"/>
    </row>
    <row r="36" spans="1:24">
      <c r="A36" s="198"/>
      <c r="B36" s="198"/>
      <c r="C36" s="198"/>
      <c r="D36" s="198"/>
      <c r="E36" s="198" t="s">
        <v>772</v>
      </c>
      <c r="F36" s="199">
        <v>44286</v>
      </c>
      <c r="G36" s="198" t="s">
        <v>789</v>
      </c>
      <c r="H36" s="198" t="s">
        <v>1387</v>
      </c>
      <c r="I36" s="198"/>
      <c r="J36" s="198" t="s">
        <v>675</v>
      </c>
      <c r="K36" s="200"/>
      <c r="L36" s="198" t="s">
        <v>775</v>
      </c>
      <c r="M36" s="201">
        <v>17.170000000000002</v>
      </c>
      <c r="N36" s="201"/>
      <c r="O36" s="201">
        <v>79939.289999999994</v>
      </c>
      <c r="P36" s="205"/>
      <c r="Q36" s="66"/>
      <c r="R36" s="66"/>
      <c r="S36" s="66"/>
      <c r="T36" s="66"/>
      <c r="U36" s="66"/>
      <c r="V36" s="66"/>
      <c r="W36" s="66"/>
      <c r="X36" s="66"/>
    </row>
    <row r="37" spans="1:24">
      <c r="A37" s="198"/>
      <c r="B37" s="198"/>
      <c r="C37" s="198"/>
      <c r="D37" s="198"/>
      <c r="E37" s="198" t="s">
        <v>772</v>
      </c>
      <c r="F37" s="199">
        <v>44286</v>
      </c>
      <c r="G37" s="198" t="s">
        <v>789</v>
      </c>
      <c r="H37" s="198" t="s">
        <v>1387</v>
      </c>
      <c r="I37" s="198"/>
      <c r="J37" s="198" t="s">
        <v>519</v>
      </c>
      <c r="K37" s="200"/>
      <c r="L37" s="198" t="s">
        <v>775</v>
      </c>
      <c r="M37" s="201">
        <v>125.93</v>
      </c>
      <c r="N37" s="201"/>
      <c r="O37" s="201">
        <v>80065.22</v>
      </c>
      <c r="P37" s="205"/>
      <c r="Q37" s="66"/>
      <c r="R37" s="66"/>
      <c r="S37" s="66"/>
      <c r="T37" s="66"/>
      <c r="U37" s="66"/>
      <c r="V37" s="66"/>
      <c r="W37" s="66"/>
      <c r="X37" s="66"/>
    </row>
    <row r="38" spans="1:24" ht="25.5">
      <c r="A38" s="198"/>
      <c r="B38" s="198"/>
      <c r="C38" s="198"/>
      <c r="D38" s="198"/>
      <c r="E38" s="198" t="s">
        <v>772</v>
      </c>
      <c r="F38" s="199">
        <v>43944</v>
      </c>
      <c r="G38" s="198" t="s">
        <v>1389</v>
      </c>
      <c r="H38" s="198" t="s">
        <v>1390</v>
      </c>
      <c r="I38" s="429" t="s">
        <v>1391</v>
      </c>
      <c r="J38" s="198" t="s">
        <v>675</v>
      </c>
      <c r="K38" s="200"/>
      <c r="L38" s="198" t="s">
        <v>775</v>
      </c>
      <c r="M38" s="201">
        <v>564</v>
      </c>
      <c r="N38" s="201"/>
      <c r="O38" s="201">
        <v>2891.88</v>
      </c>
      <c r="P38" s="205"/>
      <c r="Q38" s="66"/>
      <c r="R38" s="66"/>
      <c r="S38" s="66"/>
      <c r="T38" s="66"/>
      <c r="U38" s="66"/>
      <c r="V38" s="66"/>
      <c r="W38" s="66"/>
      <c r="X38" s="66"/>
    </row>
    <row r="39" spans="1:24">
      <c r="A39" s="198"/>
      <c r="B39" s="198"/>
      <c r="C39" s="198"/>
      <c r="D39" s="198"/>
      <c r="E39" s="198" t="s">
        <v>772</v>
      </c>
      <c r="F39" s="199">
        <v>43944</v>
      </c>
      <c r="G39" s="198" t="s">
        <v>1389</v>
      </c>
      <c r="H39" s="198" t="s">
        <v>1390</v>
      </c>
      <c r="I39" s="198"/>
      <c r="J39" s="198" t="s">
        <v>519</v>
      </c>
      <c r="K39" s="200"/>
      <c r="L39" s="198" t="s">
        <v>775</v>
      </c>
      <c r="M39" s="201">
        <v>4136</v>
      </c>
      <c r="N39" s="201"/>
      <c r="O39" s="201">
        <v>7027.88</v>
      </c>
      <c r="P39" s="205"/>
      <c r="Q39" s="66"/>
      <c r="R39" s="66"/>
      <c r="S39" s="66"/>
      <c r="T39" s="66"/>
      <c r="U39" s="66"/>
      <c r="V39" s="66"/>
      <c r="W39" s="66"/>
      <c r="X39" s="66"/>
    </row>
    <row r="40" spans="1:24">
      <c r="A40" s="198"/>
      <c r="B40" s="198"/>
      <c r="C40" s="198"/>
      <c r="D40" s="198"/>
      <c r="E40" s="198" t="s">
        <v>772</v>
      </c>
      <c r="F40" s="199">
        <v>43977</v>
      </c>
      <c r="G40" s="198" t="s">
        <v>1392</v>
      </c>
      <c r="H40" s="198" t="s">
        <v>1390</v>
      </c>
      <c r="I40" s="198" t="s">
        <v>1393</v>
      </c>
      <c r="J40" s="198" t="s">
        <v>675</v>
      </c>
      <c r="K40" s="200"/>
      <c r="L40" s="198" t="s">
        <v>775</v>
      </c>
      <c r="M40" s="201">
        <v>264</v>
      </c>
      <c r="N40" s="201"/>
      <c r="O40" s="201">
        <v>10605.94</v>
      </c>
      <c r="P40" s="205"/>
      <c r="Q40" s="66"/>
      <c r="R40" s="66"/>
      <c r="S40" s="66"/>
      <c r="T40" s="66"/>
      <c r="U40" s="66"/>
      <c r="V40" s="66"/>
      <c r="W40" s="66"/>
      <c r="X40" s="66"/>
    </row>
    <row r="41" spans="1:24">
      <c r="A41" s="198"/>
      <c r="B41" s="198"/>
      <c r="C41" s="198"/>
      <c r="D41" s="198"/>
      <c r="E41" s="198" t="s">
        <v>772</v>
      </c>
      <c r="F41" s="199">
        <v>43977</v>
      </c>
      <c r="G41" s="198" t="s">
        <v>1392</v>
      </c>
      <c r="H41" s="198" t="s">
        <v>1390</v>
      </c>
      <c r="I41" s="198" t="s">
        <v>1393</v>
      </c>
      <c r="J41" s="198" t="s">
        <v>519</v>
      </c>
      <c r="K41" s="200"/>
      <c r="L41" s="198" t="s">
        <v>775</v>
      </c>
      <c r="M41" s="201">
        <v>1936</v>
      </c>
      <c r="N41" s="201"/>
      <c r="O41" s="201">
        <v>12541.94</v>
      </c>
      <c r="P41" s="205"/>
      <c r="Q41" s="66"/>
      <c r="R41" s="66"/>
      <c r="S41" s="66"/>
      <c r="T41" s="66"/>
      <c r="U41" s="66"/>
      <c r="V41" s="66"/>
      <c r="W41" s="66"/>
      <c r="X41" s="66"/>
    </row>
    <row r="42" spans="1:24">
      <c r="A42" s="198"/>
      <c r="B42" s="198"/>
      <c r="C42" s="198"/>
      <c r="D42" s="198"/>
      <c r="E42" s="198" t="s">
        <v>772</v>
      </c>
      <c r="F42" s="199">
        <v>44005</v>
      </c>
      <c r="G42" s="198" t="s">
        <v>1394</v>
      </c>
      <c r="H42" s="198" t="s">
        <v>1390</v>
      </c>
      <c r="I42" s="198" t="s">
        <v>1395</v>
      </c>
      <c r="J42" s="198" t="s">
        <v>675</v>
      </c>
      <c r="K42" s="200"/>
      <c r="L42" s="198" t="s">
        <v>775</v>
      </c>
      <c r="M42" s="201">
        <v>258</v>
      </c>
      <c r="N42" s="201"/>
      <c r="O42" s="201">
        <v>15748.79</v>
      </c>
      <c r="P42" s="205"/>
      <c r="Q42" s="66"/>
      <c r="R42" s="66"/>
      <c r="S42" s="66"/>
      <c r="T42" s="66"/>
      <c r="U42" s="66"/>
      <c r="V42" s="66"/>
      <c r="W42" s="66"/>
      <c r="X42" s="66"/>
    </row>
    <row r="43" spans="1:24">
      <c r="A43" s="198"/>
      <c r="B43" s="198"/>
      <c r="C43" s="198"/>
      <c r="D43" s="198"/>
      <c r="E43" s="198" t="s">
        <v>772</v>
      </c>
      <c r="F43" s="199">
        <v>44005</v>
      </c>
      <c r="G43" s="198" t="s">
        <v>1394</v>
      </c>
      <c r="H43" s="198" t="s">
        <v>1390</v>
      </c>
      <c r="I43" s="198"/>
      <c r="J43" s="198" t="s">
        <v>519</v>
      </c>
      <c r="K43" s="200"/>
      <c r="L43" s="198" t="s">
        <v>775</v>
      </c>
      <c r="M43" s="201">
        <v>1892</v>
      </c>
      <c r="N43" s="201"/>
      <c r="O43" s="201">
        <v>17640.79</v>
      </c>
      <c r="P43" s="205"/>
      <c r="Q43" s="66"/>
      <c r="R43" s="66"/>
      <c r="S43" s="66"/>
      <c r="T43" s="66"/>
      <c r="U43" s="66"/>
      <c r="V43" s="66"/>
      <c r="W43" s="66"/>
      <c r="X43" s="66"/>
    </row>
    <row r="44" spans="1:24">
      <c r="A44" s="198"/>
      <c r="B44" s="198"/>
      <c r="C44" s="198"/>
      <c r="D44" s="198"/>
      <c r="E44" s="198" t="s">
        <v>772</v>
      </c>
      <c r="F44" s="199">
        <v>44039</v>
      </c>
      <c r="G44" s="198" t="s">
        <v>1396</v>
      </c>
      <c r="H44" s="198" t="s">
        <v>1390</v>
      </c>
      <c r="I44" s="198" t="s">
        <v>1395</v>
      </c>
      <c r="J44" s="198" t="s">
        <v>675</v>
      </c>
      <c r="K44" s="200"/>
      <c r="L44" s="198" t="s">
        <v>775</v>
      </c>
      <c r="M44" s="201">
        <v>420</v>
      </c>
      <c r="N44" s="201"/>
      <c r="O44" s="201">
        <v>20627.05</v>
      </c>
      <c r="P44" s="205"/>
      <c r="Q44" s="66"/>
      <c r="R44" s="66"/>
      <c r="S44" s="66"/>
      <c r="T44" s="66"/>
      <c r="U44" s="66"/>
      <c r="V44" s="66"/>
      <c r="W44" s="66"/>
      <c r="X44" s="66"/>
    </row>
    <row r="45" spans="1:24">
      <c r="A45" s="198"/>
      <c r="B45" s="198"/>
      <c r="C45" s="198"/>
      <c r="D45" s="198"/>
      <c r="E45" s="198" t="s">
        <v>772</v>
      </c>
      <c r="F45" s="199">
        <v>44039</v>
      </c>
      <c r="G45" s="198" t="s">
        <v>1396</v>
      </c>
      <c r="H45" s="198" t="s">
        <v>1390</v>
      </c>
      <c r="I45" s="198"/>
      <c r="J45" s="198" t="s">
        <v>519</v>
      </c>
      <c r="K45" s="200"/>
      <c r="L45" s="198" t="s">
        <v>775</v>
      </c>
      <c r="M45" s="201">
        <v>3080</v>
      </c>
      <c r="N45" s="201"/>
      <c r="O45" s="201">
        <v>23707.05</v>
      </c>
      <c r="P45" s="205"/>
      <c r="Q45" s="66"/>
      <c r="R45" s="66"/>
      <c r="S45" s="66"/>
      <c r="T45" s="66"/>
      <c r="U45" s="66"/>
      <c r="V45" s="66"/>
      <c r="W45" s="66"/>
      <c r="X45" s="66"/>
    </row>
    <row r="46" spans="1:24">
      <c r="A46" s="198"/>
      <c r="B46" s="198"/>
      <c r="C46" s="198"/>
      <c r="D46" s="198"/>
      <c r="E46" s="198" t="s">
        <v>772</v>
      </c>
      <c r="F46" s="199">
        <v>44069</v>
      </c>
      <c r="G46" s="198" t="s">
        <v>1397</v>
      </c>
      <c r="H46" s="198" t="s">
        <v>1390</v>
      </c>
      <c r="I46" s="198" t="s">
        <v>1398</v>
      </c>
      <c r="J46" s="198" t="s">
        <v>675</v>
      </c>
      <c r="K46" s="200"/>
      <c r="L46" s="198" t="s">
        <v>775</v>
      </c>
      <c r="M46" s="201">
        <v>528</v>
      </c>
      <c r="N46" s="201"/>
      <c r="O46" s="201">
        <v>27162.78</v>
      </c>
      <c r="P46" s="205"/>
      <c r="Q46" s="66"/>
      <c r="R46" s="66"/>
      <c r="S46" s="66"/>
      <c r="T46" s="66"/>
      <c r="U46" s="66"/>
      <c r="V46" s="66"/>
      <c r="W46" s="66"/>
      <c r="X46" s="66"/>
    </row>
    <row r="47" spans="1:24">
      <c r="A47" s="198"/>
      <c r="B47" s="198"/>
      <c r="C47" s="198"/>
      <c r="D47" s="198"/>
      <c r="E47" s="198" t="s">
        <v>772</v>
      </c>
      <c r="F47" s="199">
        <v>44069</v>
      </c>
      <c r="G47" s="198" t="s">
        <v>1397</v>
      </c>
      <c r="H47" s="198" t="s">
        <v>1390</v>
      </c>
      <c r="I47" s="198"/>
      <c r="J47" s="198" t="s">
        <v>519</v>
      </c>
      <c r="K47" s="200"/>
      <c r="L47" s="198" t="s">
        <v>775</v>
      </c>
      <c r="M47" s="201">
        <v>3872</v>
      </c>
      <c r="N47" s="201"/>
      <c r="O47" s="201">
        <v>31034.78</v>
      </c>
      <c r="P47" s="205"/>
      <c r="Q47" s="66"/>
      <c r="R47" s="66"/>
      <c r="S47" s="66"/>
      <c r="T47" s="66"/>
      <c r="U47" s="66"/>
      <c r="V47" s="66"/>
      <c r="W47" s="66"/>
      <c r="X47" s="66"/>
    </row>
    <row r="48" spans="1:24">
      <c r="A48" s="198"/>
      <c r="B48" s="198"/>
      <c r="C48" s="198"/>
      <c r="D48" s="198"/>
      <c r="E48" s="198" t="s">
        <v>772</v>
      </c>
      <c r="F48" s="199">
        <v>44098</v>
      </c>
      <c r="G48" s="198" t="s">
        <v>1399</v>
      </c>
      <c r="H48" s="198" t="s">
        <v>1390</v>
      </c>
      <c r="I48" s="198" t="s">
        <v>1400</v>
      </c>
      <c r="J48" s="198" t="s">
        <v>675</v>
      </c>
      <c r="K48" s="200"/>
      <c r="L48" s="198" t="s">
        <v>775</v>
      </c>
      <c r="M48" s="201">
        <v>300</v>
      </c>
      <c r="N48" s="201"/>
      <c r="O48" s="201">
        <v>32871.01</v>
      </c>
      <c r="P48" s="205"/>
      <c r="Q48" s="66"/>
      <c r="R48" s="66"/>
      <c r="S48" s="66"/>
      <c r="T48" s="66"/>
      <c r="U48" s="66"/>
      <c r="V48" s="66"/>
      <c r="W48" s="66"/>
      <c r="X48" s="66"/>
    </row>
    <row r="49" spans="1:24">
      <c r="A49" s="198"/>
      <c r="B49" s="198"/>
      <c r="C49" s="198"/>
      <c r="D49" s="198"/>
      <c r="E49" s="198" t="s">
        <v>772</v>
      </c>
      <c r="F49" s="199">
        <v>44098</v>
      </c>
      <c r="G49" s="198" t="s">
        <v>1399</v>
      </c>
      <c r="H49" s="198" t="s">
        <v>1390</v>
      </c>
      <c r="I49" s="198" t="s">
        <v>1400</v>
      </c>
      <c r="J49" s="198" t="s">
        <v>519</v>
      </c>
      <c r="K49" s="200"/>
      <c r="L49" s="198" t="s">
        <v>775</v>
      </c>
      <c r="M49" s="201">
        <v>2200</v>
      </c>
      <c r="N49" s="201"/>
      <c r="O49" s="201">
        <v>35071.01</v>
      </c>
      <c r="P49" s="205"/>
      <c r="Q49" s="66"/>
      <c r="R49" s="66"/>
      <c r="S49" s="66"/>
      <c r="T49" s="66"/>
      <c r="U49" s="66"/>
      <c r="V49" s="66"/>
      <c r="W49" s="66"/>
      <c r="X49" s="66"/>
    </row>
    <row r="50" spans="1:24">
      <c r="A50" s="198"/>
      <c r="B50" s="198"/>
      <c r="C50" s="198"/>
      <c r="D50" s="198"/>
      <c r="E50" s="198" t="s">
        <v>772</v>
      </c>
      <c r="F50" s="199">
        <v>44159</v>
      </c>
      <c r="G50" s="198" t="s">
        <v>1401</v>
      </c>
      <c r="H50" s="198" t="s">
        <v>1390</v>
      </c>
      <c r="I50" s="198" t="s">
        <v>1402</v>
      </c>
      <c r="J50" s="198" t="s">
        <v>675</v>
      </c>
      <c r="K50" s="200"/>
      <c r="L50" s="198" t="s">
        <v>775</v>
      </c>
      <c r="M50" s="201">
        <v>264</v>
      </c>
      <c r="N50" s="201"/>
      <c r="O50" s="201">
        <v>40651.06</v>
      </c>
      <c r="P50" s="205"/>
      <c r="Q50" s="66"/>
      <c r="R50" s="66"/>
      <c r="S50" s="66"/>
      <c r="T50" s="66"/>
      <c r="U50" s="66"/>
      <c r="V50" s="66"/>
      <c r="W50" s="66"/>
      <c r="X50" s="66"/>
    </row>
    <row r="51" spans="1:24">
      <c r="A51" s="198"/>
      <c r="B51" s="198"/>
      <c r="C51" s="198"/>
      <c r="D51" s="198"/>
      <c r="E51" s="198" t="s">
        <v>772</v>
      </c>
      <c r="F51" s="199">
        <v>44159</v>
      </c>
      <c r="G51" s="198" t="s">
        <v>1401</v>
      </c>
      <c r="H51" s="198" t="s">
        <v>1390</v>
      </c>
      <c r="I51" s="198" t="s">
        <v>1402</v>
      </c>
      <c r="J51" s="198" t="s">
        <v>519</v>
      </c>
      <c r="K51" s="200"/>
      <c r="L51" s="198" t="s">
        <v>775</v>
      </c>
      <c r="M51" s="201">
        <v>1936</v>
      </c>
      <c r="N51" s="201"/>
      <c r="O51" s="201">
        <v>42587.06</v>
      </c>
      <c r="P51" s="205"/>
      <c r="Q51" s="66"/>
      <c r="R51" s="66"/>
      <c r="S51" s="66"/>
      <c r="T51" s="66"/>
      <c r="U51" s="66"/>
      <c r="V51" s="66"/>
      <c r="W51" s="66"/>
      <c r="X51" s="66"/>
    </row>
    <row r="52" spans="1:24">
      <c r="A52" s="198"/>
      <c r="B52" s="198"/>
      <c r="C52" s="198"/>
      <c r="D52" s="198"/>
      <c r="E52" s="198" t="s">
        <v>772</v>
      </c>
      <c r="F52" s="199">
        <v>44181</v>
      </c>
      <c r="G52" s="198" t="s">
        <v>1403</v>
      </c>
      <c r="H52" s="198" t="s">
        <v>1390</v>
      </c>
      <c r="I52" s="198" t="s">
        <v>1404</v>
      </c>
      <c r="J52" s="198" t="s">
        <v>675</v>
      </c>
      <c r="K52" s="200"/>
      <c r="L52" s="198" t="s">
        <v>775</v>
      </c>
      <c r="M52" s="201">
        <v>144</v>
      </c>
      <c r="N52" s="201"/>
      <c r="O52" s="201">
        <v>45572.1</v>
      </c>
      <c r="P52" s="205"/>
      <c r="Q52" s="66"/>
      <c r="R52" s="66"/>
      <c r="S52" s="66"/>
      <c r="T52" s="66"/>
      <c r="U52" s="66"/>
      <c r="V52" s="66"/>
      <c r="W52" s="66"/>
      <c r="X52" s="66"/>
    </row>
    <row r="53" spans="1:24">
      <c r="A53" s="198"/>
      <c r="B53" s="198"/>
      <c r="C53" s="198"/>
      <c r="D53" s="198"/>
      <c r="E53" s="198" t="s">
        <v>772</v>
      </c>
      <c r="F53" s="199">
        <v>44181</v>
      </c>
      <c r="G53" s="198" t="s">
        <v>1403</v>
      </c>
      <c r="H53" s="198" t="s">
        <v>1390</v>
      </c>
      <c r="I53" s="198" t="s">
        <v>1404</v>
      </c>
      <c r="J53" s="198" t="s">
        <v>519</v>
      </c>
      <c r="K53" s="200"/>
      <c r="L53" s="198" t="s">
        <v>775</v>
      </c>
      <c r="M53" s="201">
        <v>1056</v>
      </c>
      <c r="N53" s="201"/>
      <c r="O53" s="201">
        <v>46628.1</v>
      </c>
      <c r="P53" s="205"/>
      <c r="Q53" s="66"/>
      <c r="R53" s="66"/>
      <c r="S53" s="66"/>
      <c r="T53" s="66"/>
      <c r="U53" s="66"/>
      <c r="V53" s="66"/>
      <c r="W53" s="66"/>
      <c r="X53" s="66"/>
    </row>
    <row r="54" spans="1:24" ht="25.5">
      <c r="A54" s="198"/>
      <c r="B54" s="198"/>
      <c r="C54" s="198"/>
      <c r="D54" s="198"/>
      <c r="E54" s="198" t="s">
        <v>772</v>
      </c>
      <c r="F54" s="199">
        <v>44182</v>
      </c>
      <c r="G54" s="198" t="s">
        <v>1405</v>
      </c>
      <c r="H54" s="198" t="s">
        <v>1390</v>
      </c>
      <c r="I54" s="429" t="s">
        <v>1406</v>
      </c>
      <c r="J54" s="198" t="s">
        <v>675</v>
      </c>
      <c r="K54" s="200"/>
      <c r="L54" s="198" t="s">
        <v>775</v>
      </c>
      <c r="M54" s="201">
        <v>1200</v>
      </c>
      <c r="N54" s="201"/>
      <c r="O54" s="201">
        <v>48206.83</v>
      </c>
      <c r="P54" s="205"/>
      <c r="Q54" s="66"/>
      <c r="R54" s="66"/>
      <c r="S54" s="66"/>
      <c r="T54" s="66"/>
      <c r="U54" s="66"/>
      <c r="V54" s="66"/>
      <c r="W54" s="66"/>
      <c r="X54" s="66"/>
    </row>
    <row r="55" spans="1:24" ht="25.5">
      <c r="A55" s="198"/>
      <c r="B55" s="198"/>
      <c r="C55" s="198"/>
      <c r="D55" s="198"/>
      <c r="E55" s="198" t="s">
        <v>772</v>
      </c>
      <c r="F55" s="199">
        <v>44182</v>
      </c>
      <c r="G55" s="198" t="s">
        <v>1405</v>
      </c>
      <c r="H55" s="198" t="s">
        <v>1390</v>
      </c>
      <c r="I55" s="429" t="s">
        <v>1406</v>
      </c>
      <c r="J55" s="198" t="s">
        <v>519</v>
      </c>
      <c r="K55" s="200"/>
      <c r="L55" s="198" t="s">
        <v>775</v>
      </c>
      <c r="M55" s="201">
        <v>8800</v>
      </c>
      <c r="N55" s="201"/>
      <c r="O55" s="201">
        <v>57006.83</v>
      </c>
      <c r="P55" s="205"/>
      <c r="Q55" s="66"/>
      <c r="R55" s="66"/>
      <c r="S55" s="66"/>
      <c r="T55" s="66"/>
      <c r="U55" s="66"/>
      <c r="V55" s="66"/>
      <c r="W55" s="66"/>
      <c r="X55" s="66"/>
    </row>
    <row r="56" spans="1:24">
      <c r="A56" s="198"/>
      <c r="B56" s="198"/>
      <c r="C56" s="198"/>
      <c r="D56" s="198"/>
      <c r="E56" s="198" t="s">
        <v>772</v>
      </c>
      <c r="F56" s="199">
        <v>44207</v>
      </c>
      <c r="G56" s="198" t="s">
        <v>1407</v>
      </c>
      <c r="H56" s="198" t="s">
        <v>1390</v>
      </c>
      <c r="I56" s="198" t="s">
        <v>1408</v>
      </c>
      <c r="J56" s="198" t="s">
        <v>675</v>
      </c>
      <c r="K56" s="200"/>
      <c r="L56" s="198" t="s">
        <v>775</v>
      </c>
      <c r="M56" s="201">
        <v>300</v>
      </c>
      <c r="N56" s="201"/>
      <c r="O56" s="201">
        <v>58639.8</v>
      </c>
      <c r="P56" s="205"/>
      <c r="Q56" s="66"/>
      <c r="R56" s="66"/>
      <c r="S56" s="66"/>
      <c r="T56" s="66"/>
      <c r="U56" s="66"/>
      <c r="V56" s="66"/>
      <c r="W56" s="66"/>
      <c r="X56" s="66"/>
    </row>
    <row r="57" spans="1:24">
      <c r="A57" s="198"/>
      <c r="B57" s="198"/>
      <c r="C57" s="198"/>
      <c r="D57" s="198"/>
      <c r="E57" s="198" t="s">
        <v>772</v>
      </c>
      <c r="F57" s="199">
        <v>44207</v>
      </c>
      <c r="G57" s="198" t="s">
        <v>1407</v>
      </c>
      <c r="H57" s="198" t="s">
        <v>1390</v>
      </c>
      <c r="I57" s="198" t="s">
        <v>1408</v>
      </c>
      <c r="J57" s="198" t="s">
        <v>519</v>
      </c>
      <c r="K57" s="200"/>
      <c r="L57" s="198" t="s">
        <v>775</v>
      </c>
      <c r="M57" s="201">
        <v>2200</v>
      </c>
      <c r="N57" s="201"/>
      <c r="O57" s="201">
        <v>60839.8</v>
      </c>
      <c r="P57" s="205"/>
      <c r="Q57" s="66"/>
      <c r="R57" s="66"/>
      <c r="S57" s="66"/>
      <c r="T57" s="66"/>
      <c r="U57" s="66"/>
      <c r="V57" s="66"/>
      <c r="W57" s="66"/>
      <c r="X57" s="66"/>
    </row>
    <row r="58" spans="1:24">
      <c r="A58" s="198"/>
      <c r="B58" s="198"/>
      <c r="C58" s="198"/>
      <c r="D58" s="198"/>
      <c r="E58" s="198" t="s">
        <v>772</v>
      </c>
      <c r="F58" s="199">
        <v>44242</v>
      </c>
      <c r="G58" s="198" t="s">
        <v>1409</v>
      </c>
      <c r="H58" s="198" t="s">
        <v>1390</v>
      </c>
      <c r="I58" s="198" t="s">
        <v>1408</v>
      </c>
      <c r="J58" s="198" t="s">
        <v>675</v>
      </c>
      <c r="K58" s="200"/>
      <c r="L58" s="198" t="s">
        <v>775</v>
      </c>
      <c r="M58" s="201">
        <v>492</v>
      </c>
      <c r="N58" s="201"/>
      <c r="O58" s="201">
        <v>64997.56</v>
      </c>
      <c r="P58" s="205"/>
      <c r="Q58" s="66"/>
      <c r="R58" s="66"/>
      <c r="S58" s="66"/>
      <c r="T58" s="66"/>
      <c r="U58" s="66"/>
      <c r="V58" s="66"/>
      <c r="W58" s="66"/>
      <c r="X58" s="66"/>
    </row>
    <row r="59" spans="1:24">
      <c r="A59" s="198"/>
      <c r="B59" s="198"/>
      <c r="C59" s="198"/>
      <c r="D59" s="198"/>
      <c r="E59" s="198" t="s">
        <v>772</v>
      </c>
      <c r="F59" s="199">
        <v>44242</v>
      </c>
      <c r="G59" s="198" t="s">
        <v>1409</v>
      </c>
      <c r="H59" s="198" t="s">
        <v>1390</v>
      </c>
      <c r="I59" s="198" t="s">
        <v>1408</v>
      </c>
      <c r="J59" s="198" t="s">
        <v>519</v>
      </c>
      <c r="K59" s="200"/>
      <c r="L59" s="198" t="s">
        <v>775</v>
      </c>
      <c r="M59" s="201">
        <v>3608</v>
      </c>
      <c r="N59" s="201"/>
      <c r="O59" s="201">
        <v>68605.56</v>
      </c>
      <c r="P59" s="205"/>
      <c r="Q59" s="66"/>
      <c r="R59" s="66"/>
      <c r="S59" s="66"/>
      <c r="T59" s="66"/>
      <c r="U59" s="66"/>
      <c r="V59" s="66"/>
      <c r="W59" s="66"/>
      <c r="X59" s="66"/>
    </row>
    <row r="60" spans="1:24">
      <c r="A60" s="198"/>
      <c r="B60" s="198"/>
      <c r="C60" s="198"/>
      <c r="D60" s="198"/>
      <c r="E60" s="198" t="s">
        <v>772</v>
      </c>
      <c r="F60" s="199">
        <v>44266</v>
      </c>
      <c r="G60" s="198" t="s">
        <v>1410</v>
      </c>
      <c r="H60" s="198" t="s">
        <v>1390</v>
      </c>
      <c r="I60" s="198"/>
      <c r="J60" s="198" t="s">
        <v>675</v>
      </c>
      <c r="K60" s="200"/>
      <c r="L60" s="198" t="s">
        <v>775</v>
      </c>
      <c r="M60" s="201">
        <v>603</v>
      </c>
      <c r="N60" s="201"/>
      <c r="O60" s="201">
        <v>74421.98</v>
      </c>
      <c r="P60" s="205"/>
      <c r="Q60" s="66"/>
      <c r="R60" s="66"/>
      <c r="S60" s="66"/>
      <c r="T60" s="66"/>
      <c r="U60" s="66"/>
      <c r="V60" s="66"/>
      <c r="W60" s="66"/>
      <c r="X60" s="66"/>
    </row>
    <row r="61" spans="1:24">
      <c r="A61" s="198"/>
      <c r="B61" s="198"/>
      <c r="C61" s="198"/>
      <c r="D61" s="198"/>
      <c r="E61" s="198" t="s">
        <v>772</v>
      </c>
      <c r="F61" s="199">
        <v>44266</v>
      </c>
      <c r="G61" s="198" t="s">
        <v>1410</v>
      </c>
      <c r="H61" s="198" t="s">
        <v>1390</v>
      </c>
      <c r="I61" s="198"/>
      <c r="J61" s="198" t="s">
        <v>519</v>
      </c>
      <c r="K61" s="200"/>
      <c r="L61" s="198" t="s">
        <v>775</v>
      </c>
      <c r="M61" s="201">
        <v>4422</v>
      </c>
      <c r="N61" s="201"/>
      <c r="O61" s="201">
        <v>78843.98</v>
      </c>
      <c r="P61" s="205"/>
      <c r="Q61" s="66"/>
      <c r="R61" s="66"/>
      <c r="S61" s="66"/>
      <c r="T61" s="66"/>
      <c r="U61" s="66"/>
      <c r="V61" s="66"/>
      <c r="W61" s="66"/>
      <c r="X61" s="66"/>
    </row>
    <row r="62" spans="1:24">
      <c r="A62" s="198"/>
      <c r="B62" s="198"/>
      <c r="C62" s="198"/>
      <c r="D62" s="198"/>
      <c r="E62" s="198" t="s">
        <v>772</v>
      </c>
      <c r="F62" s="199">
        <v>43927</v>
      </c>
      <c r="G62" s="198" t="s">
        <v>1411</v>
      </c>
      <c r="H62" s="198" t="s">
        <v>1412</v>
      </c>
      <c r="I62" s="198" t="s">
        <v>1413</v>
      </c>
      <c r="J62" s="198" t="s">
        <v>675</v>
      </c>
      <c r="K62" s="200"/>
      <c r="L62" s="198" t="s">
        <v>775</v>
      </c>
      <c r="M62" s="201">
        <v>12.96</v>
      </c>
      <c r="N62" s="201"/>
      <c r="O62" s="201">
        <v>566.46</v>
      </c>
      <c r="P62" s="205"/>
      <c r="Q62" s="66"/>
      <c r="R62" s="66"/>
      <c r="S62" s="66"/>
      <c r="T62" s="66"/>
      <c r="U62" s="66"/>
      <c r="V62" s="66"/>
      <c r="W62" s="66"/>
      <c r="X62" s="66"/>
    </row>
    <row r="63" spans="1:24">
      <c r="A63" s="198"/>
      <c r="B63" s="198"/>
      <c r="C63" s="198"/>
      <c r="D63" s="198"/>
      <c r="E63" s="198" t="s">
        <v>772</v>
      </c>
      <c r="F63" s="199">
        <v>43927</v>
      </c>
      <c r="G63" s="198" t="s">
        <v>1411</v>
      </c>
      <c r="H63" s="198" t="s">
        <v>1412</v>
      </c>
      <c r="I63" s="198" t="s">
        <v>1413</v>
      </c>
      <c r="J63" s="198" t="s">
        <v>519</v>
      </c>
      <c r="K63" s="200"/>
      <c r="L63" s="198" t="s">
        <v>775</v>
      </c>
      <c r="M63" s="201">
        <v>95.04</v>
      </c>
      <c r="N63" s="201"/>
      <c r="O63" s="201">
        <v>661.5</v>
      </c>
      <c r="P63" s="205"/>
      <c r="Q63" s="66"/>
      <c r="R63" s="66"/>
      <c r="S63" s="66"/>
      <c r="T63" s="66"/>
      <c r="U63" s="66"/>
      <c r="V63" s="66"/>
      <c r="W63" s="66"/>
      <c r="X63" s="66"/>
    </row>
    <row r="64" spans="1:24">
      <c r="A64" s="198"/>
      <c r="B64" s="198"/>
      <c r="C64" s="198"/>
      <c r="D64" s="198"/>
      <c r="E64" s="198" t="s">
        <v>772</v>
      </c>
      <c r="F64" s="199">
        <v>44145</v>
      </c>
      <c r="G64" s="198" t="s">
        <v>1414</v>
      </c>
      <c r="H64" s="198" t="s">
        <v>1412</v>
      </c>
      <c r="I64" s="198" t="s">
        <v>1413</v>
      </c>
      <c r="J64" s="198" t="s">
        <v>675</v>
      </c>
      <c r="K64" s="200"/>
      <c r="L64" s="198" t="s">
        <v>775</v>
      </c>
      <c r="M64" s="201">
        <v>25.92</v>
      </c>
      <c r="N64" s="201"/>
      <c r="O64" s="201">
        <v>39832.76</v>
      </c>
      <c r="P64" s="205"/>
      <c r="Q64" s="66"/>
      <c r="R64" s="66"/>
      <c r="S64" s="66"/>
      <c r="T64" s="66"/>
      <c r="U64" s="66"/>
      <c r="V64" s="66"/>
      <c r="W64" s="66"/>
      <c r="X64" s="66"/>
    </row>
    <row r="65" spans="1:24">
      <c r="A65" s="198"/>
      <c r="B65" s="198"/>
      <c r="C65" s="198"/>
      <c r="D65" s="198"/>
      <c r="E65" s="198" t="s">
        <v>772</v>
      </c>
      <c r="F65" s="199">
        <v>44145</v>
      </c>
      <c r="G65" s="198" t="s">
        <v>1414</v>
      </c>
      <c r="H65" s="198" t="s">
        <v>1412</v>
      </c>
      <c r="I65" s="198" t="s">
        <v>1413</v>
      </c>
      <c r="J65" s="198" t="s">
        <v>519</v>
      </c>
      <c r="K65" s="200"/>
      <c r="L65" s="198" t="s">
        <v>775</v>
      </c>
      <c r="M65" s="201">
        <v>190.08</v>
      </c>
      <c r="N65" s="201"/>
      <c r="O65" s="201">
        <v>40022.839999999997</v>
      </c>
      <c r="P65" s="205"/>
      <c r="Q65" s="66"/>
      <c r="R65" s="66"/>
      <c r="S65" s="66"/>
      <c r="T65" s="66"/>
      <c r="U65" s="66"/>
      <c r="V65" s="66"/>
      <c r="W65" s="66"/>
      <c r="X65" s="66"/>
    </row>
    <row r="66" spans="1:24">
      <c r="A66" s="198"/>
      <c r="B66" s="198"/>
      <c r="C66" s="198"/>
      <c r="D66" s="198"/>
      <c r="E66" s="198" t="s">
        <v>772</v>
      </c>
      <c r="F66" s="199">
        <v>44260</v>
      </c>
      <c r="G66" s="198" t="s">
        <v>1415</v>
      </c>
      <c r="H66" s="198" t="s">
        <v>1412</v>
      </c>
      <c r="I66" s="198" t="s">
        <v>1413</v>
      </c>
      <c r="J66" s="198" t="s">
        <v>675</v>
      </c>
      <c r="K66" s="200"/>
      <c r="L66" s="198" t="s">
        <v>775</v>
      </c>
      <c r="M66" s="201">
        <v>35.700000000000003</v>
      </c>
      <c r="N66" s="201"/>
      <c r="O66" s="201">
        <v>72284.710000000006</v>
      </c>
      <c r="P66" s="205"/>
      <c r="Q66" s="66"/>
      <c r="R66" s="66"/>
      <c r="S66" s="66"/>
      <c r="T66" s="66"/>
      <c r="U66" s="66"/>
      <c r="V66" s="66"/>
      <c r="W66" s="66"/>
      <c r="X66" s="66"/>
    </row>
    <row r="67" spans="1:24">
      <c r="A67" s="198"/>
      <c r="B67" s="198"/>
      <c r="C67" s="198"/>
      <c r="D67" s="198"/>
      <c r="E67" s="198" t="s">
        <v>772</v>
      </c>
      <c r="F67" s="199">
        <v>44260</v>
      </c>
      <c r="G67" s="198" t="s">
        <v>1415</v>
      </c>
      <c r="H67" s="198" t="s">
        <v>1412</v>
      </c>
      <c r="I67" s="198" t="s">
        <v>1413</v>
      </c>
      <c r="J67" s="198" t="s">
        <v>519</v>
      </c>
      <c r="K67" s="200"/>
      <c r="L67" s="198" t="s">
        <v>775</v>
      </c>
      <c r="M67" s="201">
        <v>261.8</v>
      </c>
      <c r="N67" s="201"/>
      <c r="O67" s="201">
        <v>72546.509999999995</v>
      </c>
      <c r="P67" s="205"/>
      <c r="Q67" s="66"/>
      <c r="R67" s="66"/>
      <c r="S67" s="66"/>
      <c r="T67" s="66"/>
      <c r="U67" s="66"/>
      <c r="V67" s="66"/>
      <c r="W67" s="66"/>
      <c r="X67" s="66"/>
    </row>
    <row r="68" spans="1:24">
      <c r="A68" s="198"/>
      <c r="B68" s="198"/>
      <c r="C68" s="198"/>
      <c r="D68" s="198"/>
      <c r="E68" s="198" t="s">
        <v>772</v>
      </c>
      <c r="F68" s="199">
        <v>44061</v>
      </c>
      <c r="G68" s="198" t="s">
        <v>1416</v>
      </c>
      <c r="H68" s="198" t="s">
        <v>1417</v>
      </c>
      <c r="I68" s="198" t="s">
        <v>1418</v>
      </c>
      <c r="J68" s="198" t="s">
        <v>675</v>
      </c>
      <c r="K68" s="200"/>
      <c r="L68" s="198" t="s">
        <v>775</v>
      </c>
      <c r="M68" s="201">
        <v>138.75</v>
      </c>
      <c r="N68" s="201"/>
      <c r="O68" s="201">
        <v>24919.64</v>
      </c>
      <c r="P68" s="205"/>
      <c r="Q68" s="66"/>
      <c r="R68" s="66"/>
      <c r="S68" s="66"/>
      <c r="T68" s="66"/>
      <c r="U68" s="66"/>
      <c r="V68" s="66"/>
      <c r="W68" s="66"/>
      <c r="X68" s="66"/>
    </row>
    <row r="69" spans="1:24">
      <c r="A69" s="198"/>
      <c r="B69" s="198"/>
      <c r="C69" s="198"/>
      <c r="D69" s="198"/>
      <c r="E69" s="198" t="s">
        <v>772</v>
      </c>
      <c r="F69" s="199">
        <v>44061</v>
      </c>
      <c r="G69" s="198" t="s">
        <v>1416</v>
      </c>
      <c r="H69" s="198" t="s">
        <v>1417</v>
      </c>
      <c r="I69" s="198" t="s">
        <v>1418</v>
      </c>
      <c r="J69" s="198" t="s">
        <v>519</v>
      </c>
      <c r="K69" s="200"/>
      <c r="L69" s="198" t="s">
        <v>775</v>
      </c>
      <c r="M69" s="201">
        <v>1017.5</v>
      </c>
      <c r="N69" s="201"/>
      <c r="O69" s="201">
        <v>25937.14</v>
      </c>
      <c r="P69" s="205"/>
      <c r="Q69" s="66"/>
      <c r="R69" s="66"/>
      <c r="S69" s="66"/>
      <c r="T69" s="66"/>
      <c r="U69" s="66"/>
      <c r="V69" s="66"/>
      <c r="W69" s="66"/>
      <c r="X69" s="66"/>
    </row>
    <row r="70" spans="1:24">
      <c r="A70" s="198"/>
      <c r="B70" s="198"/>
      <c r="C70" s="198"/>
      <c r="D70" s="198"/>
      <c r="E70" s="198" t="s">
        <v>772</v>
      </c>
      <c r="F70" s="199">
        <v>44258</v>
      </c>
      <c r="G70" s="198" t="s">
        <v>1419</v>
      </c>
      <c r="H70" s="198" t="s">
        <v>1417</v>
      </c>
      <c r="I70" s="198" t="s">
        <v>1418</v>
      </c>
      <c r="J70" s="198" t="s">
        <v>675</v>
      </c>
      <c r="K70" s="200"/>
      <c r="L70" s="198" t="s">
        <v>775</v>
      </c>
      <c r="M70" s="201">
        <v>298.35000000000002</v>
      </c>
      <c r="N70" s="201"/>
      <c r="O70" s="201">
        <v>70061.11</v>
      </c>
      <c r="P70" s="205"/>
      <c r="Q70" s="66"/>
      <c r="R70" s="66"/>
      <c r="S70" s="66"/>
      <c r="T70" s="66"/>
      <c r="U70" s="66"/>
      <c r="V70" s="66"/>
      <c r="W70" s="66"/>
      <c r="X70" s="66"/>
    </row>
    <row r="71" spans="1:24">
      <c r="A71" s="198"/>
      <c r="B71" s="198"/>
      <c r="C71" s="198"/>
      <c r="D71" s="198"/>
      <c r="E71" s="198" t="s">
        <v>772</v>
      </c>
      <c r="F71" s="199">
        <v>44258</v>
      </c>
      <c r="G71" s="198" t="s">
        <v>1419</v>
      </c>
      <c r="H71" s="198" t="s">
        <v>1417</v>
      </c>
      <c r="I71" s="198" t="s">
        <v>1418</v>
      </c>
      <c r="J71" s="198" t="s">
        <v>519</v>
      </c>
      <c r="K71" s="200"/>
      <c r="L71" s="198" t="s">
        <v>775</v>
      </c>
      <c r="M71" s="201">
        <v>2187.9</v>
      </c>
      <c r="N71" s="201"/>
      <c r="O71" s="201">
        <v>72249.009999999995</v>
      </c>
      <c r="P71" s="205"/>
      <c r="Q71" s="66"/>
      <c r="R71" s="66"/>
      <c r="S71" s="66"/>
      <c r="T71" s="66"/>
      <c r="U71" s="66"/>
      <c r="V71" s="66"/>
      <c r="W71" s="66"/>
      <c r="X71" s="66"/>
    </row>
    <row r="72" spans="1:24">
      <c r="A72" s="198"/>
      <c r="B72" s="198"/>
      <c r="C72" s="198"/>
      <c r="D72" s="198"/>
      <c r="E72" s="198" t="s">
        <v>772</v>
      </c>
      <c r="F72" s="199">
        <v>43937</v>
      </c>
      <c r="G72" s="198" t="s">
        <v>1420</v>
      </c>
      <c r="H72" s="198" t="s">
        <v>1421</v>
      </c>
      <c r="I72" s="198" t="s">
        <v>1422</v>
      </c>
      <c r="J72" s="198" t="s">
        <v>675</v>
      </c>
      <c r="K72" s="200"/>
      <c r="L72" s="198" t="s">
        <v>775</v>
      </c>
      <c r="M72" s="201">
        <v>71.28</v>
      </c>
      <c r="N72" s="201"/>
      <c r="O72" s="201">
        <v>1451.7</v>
      </c>
      <c r="P72" s="205"/>
      <c r="Q72" s="66"/>
      <c r="R72" s="66"/>
      <c r="S72" s="66"/>
      <c r="T72" s="66"/>
      <c r="U72" s="66"/>
      <c r="V72" s="66"/>
      <c r="W72" s="66"/>
      <c r="X72" s="66"/>
    </row>
    <row r="73" spans="1:24">
      <c r="A73" s="198"/>
      <c r="B73" s="198"/>
      <c r="C73" s="198"/>
      <c r="D73" s="198"/>
      <c r="E73" s="198" t="s">
        <v>772</v>
      </c>
      <c r="F73" s="199">
        <v>43937</v>
      </c>
      <c r="G73" s="198" t="s">
        <v>1420</v>
      </c>
      <c r="H73" s="198" t="s">
        <v>1421</v>
      </c>
      <c r="I73" s="198" t="s">
        <v>1422</v>
      </c>
      <c r="J73" s="198" t="s">
        <v>519</v>
      </c>
      <c r="K73" s="200"/>
      <c r="L73" s="198" t="s">
        <v>775</v>
      </c>
      <c r="M73" s="201">
        <v>522.72</v>
      </c>
      <c r="N73" s="201"/>
      <c r="O73" s="201">
        <v>1974.42</v>
      </c>
      <c r="P73" s="205"/>
      <c r="Q73" s="66"/>
      <c r="R73" s="66"/>
      <c r="S73" s="66"/>
      <c r="T73" s="66"/>
      <c r="U73" s="66"/>
      <c r="V73" s="66"/>
      <c r="W73" s="66"/>
      <c r="X73" s="66"/>
    </row>
    <row r="74" spans="1:24">
      <c r="A74" s="198"/>
      <c r="B74" s="198"/>
      <c r="C74" s="198"/>
      <c r="D74" s="198"/>
      <c r="E74" s="198" t="s">
        <v>772</v>
      </c>
      <c r="F74" s="199">
        <v>43965</v>
      </c>
      <c r="G74" s="198" t="s">
        <v>1423</v>
      </c>
      <c r="H74" s="198" t="s">
        <v>1421</v>
      </c>
      <c r="I74" s="198" t="s">
        <v>1422</v>
      </c>
      <c r="J74" s="198" t="s">
        <v>675</v>
      </c>
      <c r="K74" s="200"/>
      <c r="L74" s="198" t="s">
        <v>775</v>
      </c>
      <c r="M74" s="201">
        <v>154.44</v>
      </c>
      <c r="N74" s="201"/>
      <c r="O74" s="201">
        <v>8855.92</v>
      </c>
      <c r="P74" s="205"/>
      <c r="Q74" s="66"/>
      <c r="R74" s="66"/>
      <c r="S74" s="66"/>
      <c r="T74" s="66"/>
      <c r="U74" s="66"/>
      <c r="V74" s="66"/>
      <c r="W74" s="66"/>
      <c r="X74" s="66"/>
    </row>
    <row r="75" spans="1:24">
      <c r="A75" s="198"/>
      <c r="B75" s="198"/>
      <c r="C75" s="198"/>
      <c r="D75" s="198"/>
      <c r="E75" s="198" t="s">
        <v>772</v>
      </c>
      <c r="F75" s="199">
        <v>43965</v>
      </c>
      <c r="G75" s="198" t="s">
        <v>1423</v>
      </c>
      <c r="H75" s="198" t="s">
        <v>1421</v>
      </c>
      <c r="I75" s="198" t="s">
        <v>1422</v>
      </c>
      <c r="J75" s="198" t="s">
        <v>519</v>
      </c>
      <c r="K75" s="200"/>
      <c r="L75" s="198" t="s">
        <v>775</v>
      </c>
      <c r="M75" s="201">
        <v>1132.56</v>
      </c>
      <c r="N75" s="201"/>
      <c r="O75" s="201">
        <v>9988.48</v>
      </c>
      <c r="P75" s="205"/>
      <c r="Q75" s="66"/>
      <c r="R75" s="66"/>
      <c r="S75" s="66"/>
      <c r="T75" s="66"/>
      <c r="U75" s="66"/>
      <c r="V75" s="66"/>
      <c r="W75" s="66"/>
      <c r="X75" s="66"/>
    </row>
    <row r="76" spans="1:24">
      <c r="A76" s="198"/>
      <c r="B76" s="198"/>
      <c r="C76" s="198"/>
      <c r="D76" s="198"/>
      <c r="E76" s="198" t="s">
        <v>772</v>
      </c>
      <c r="F76" s="199">
        <v>43992</v>
      </c>
      <c r="G76" s="198" t="s">
        <v>1424</v>
      </c>
      <c r="H76" s="198" t="s">
        <v>1421</v>
      </c>
      <c r="I76" s="198" t="s">
        <v>1425</v>
      </c>
      <c r="J76" s="198" t="s">
        <v>519</v>
      </c>
      <c r="K76" s="200"/>
      <c r="L76" s="198" t="s">
        <v>775</v>
      </c>
      <c r="M76" s="201">
        <v>1039.5</v>
      </c>
      <c r="N76" s="201"/>
      <c r="O76" s="201">
        <v>14678.62</v>
      </c>
      <c r="P76" s="205"/>
      <c r="Q76" s="66"/>
      <c r="R76" s="66"/>
      <c r="S76" s="66"/>
      <c r="T76" s="66"/>
      <c r="U76" s="66"/>
      <c r="V76" s="66"/>
      <c r="W76" s="66"/>
      <c r="X76" s="66"/>
    </row>
    <row r="77" spans="1:24">
      <c r="A77" s="198"/>
      <c r="B77" s="198"/>
      <c r="C77" s="198"/>
      <c r="D77" s="198"/>
      <c r="E77" s="198" t="s">
        <v>772</v>
      </c>
      <c r="F77" s="199">
        <v>44026</v>
      </c>
      <c r="G77" s="198" t="s">
        <v>1426</v>
      </c>
      <c r="H77" s="198" t="s">
        <v>1421</v>
      </c>
      <c r="I77" s="198" t="s">
        <v>1425</v>
      </c>
      <c r="J77" s="198" t="s">
        <v>519</v>
      </c>
      <c r="K77" s="200"/>
      <c r="L77" s="198" t="s">
        <v>775</v>
      </c>
      <c r="M77" s="201">
        <v>297</v>
      </c>
      <c r="N77" s="201"/>
      <c r="O77" s="201">
        <v>19514.05</v>
      </c>
      <c r="P77" s="205"/>
      <c r="Q77" s="66"/>
      <c r="R77" s="66"/>
      <c r="S77" s="66"/>
      <c r="T77" s="66"/>
      <c r="U77" s="66"/>
      <c r="V77" s="66"/>
      <c r="W77" s="66"/>
      <c r="X77" s="66"/>
    </row>
    <row r="78" spans="1:24">
      <c r="A78" s="198"/>
      <c r="B78" s="198"/>
      <c r="C78" s="198"/>
      <c r="D78" s="198"/>
      <c r="E78" s="198" t="s">
        <v>772</v>
      </c>
      <c r="F78" s="199">
        <v>44118</v>
      </c>
      <c r="G78" s="198" t="s">
        <v>1427</v>
      </c>
      <c r="H78" s="198" t="s">
        <v>1421</v>
      </c>
      <c r="I78" s="198" t="s">
        <v>1428</v>
      </c>
      <c r="J78" s="198" t="s">
        <v>519</v>
      </c>
      <c r="K78" s="200"/>
      <c r="L78" s="198" t="s">
        <v>775</v>
      </c>
      <c r="M78" s="201">
        <v>1584</v>
      </c>
      <c r="N78" s="201"/>
      <c r="O78" s="201">
        <v>38050.980000000003</v>
      </c>
      <c r="P78" s="205"/>
      <c r="Q78" s="66"/>
      <c r="R78" s="66"/>
      <c r="S78" s="66"/>
      <c r="T78" s="66"/>
      <c r="U78" s="66"/>
      <c r="V78" s="66"/>
      <c r="W78" s="66"/>
      <c r="X78" s="66"/>
    </row>
    <row r="79" spans="1:24">
      <c r="A79" s="198"/>
      <c r="B79" s="198"/>
      <c r="C79" s="198"/>
      <c r="D79" s="198"/>
      <c r="E79" s="198" t="s">
        <v>772</v>
      </c>
      <c r="F79" s="199">
        <v>44176</v>
      </c>
      <c r="G79" s="198" t="s">
        <v>1429</v>
      </c>
      <c r="H79" s="198" t="s">
        <v>1421</v>
      </c>
      <c r="I79" s="198" t="s">
        <v>1428</v>
      </c>
      <c r="J79" s="198" t="s">
        <v>519</v>
      </c>
      <c r="K79" s="200"/>
      <c r="L79" s="198" t="s">
        <v>775</v>
      </c>
      <c r="M79" s="201">
        <v>1138.5</v>
      </c>
      <c r="N79" s="201"/>
      <c r="O79" s="201">
        <v>45428.1</v>
      </c>
      <c r="P79" s="205"/>
      <c r="Q79" s="66"/>
      <c r="R79" s="66"/>
      <c r="S79" s="66"/>
      <c r="T79" s="66"/>
      <c r="U79" s="66"/>
      <c r="V79" s="66"/>
      <c r="W79" s="66"/>
      <c r="X79" s="66"/>
    </row>
    <row r="80" spans="1:24">
      <c r="A80" s="198"/>
      <c r="B80" s="198"/>
      <c r="C80" s="198"/>
      <c r="D80" s="198"/>
      <c r="E80" s="198" t="s">
        <v>772</v>
      </c>
      <c r="F80" s="199">
        <v>44209</v>
      </c>
      <c r="G80" s="198" t="s">
        <v>1430</v>
      </c>
      <c r="H80" s="198" t="s">
        <v>1421</v>
      </c>
      <c r="I80" s="198" t="s">
        <v>1428</v>
      </c>
      <c r="J80" s="198" t="s">
        <v>519</v>
      </c>
      <c r="K80" s="200"/>
      <c r="L80" s="198" t="s">
        <v>775</v>
      </c>
      <c r="M80" s="201">
        <v>198</v>
      </c>
      <c r="N80" s="201"/>
      <c r="O80" s="201">
        <v>62639.4</v>
      </c>
      <c r="P80" s="205"/>
      <c r="Q80" s="66"/>
      <c r="R80" s="66"/>
      <c r="S80" s="66"/>
      <c r="T80" s="66"/>
      <c r="U80" s="66"/>
      <c r="V80" s="66"/>
      <c r="W80" s="66"/>
      <c r="X80" s="66"/>
    </row>
    <row r="81" spans="1:24">
      <c r="A81" s="198"/>
      <c r="B81" s="198"/>
      <c r="C81" s="198"/>
      <c r="D81" s="198"/>
      <c r="E81" s="198" t="s">
        <v>772</v>
      </c>
      <c r="F81" s="199">
        <v>44238</v>
      </c>
      <c r="G81" s="198" t="s">
        <v>1431</v>
      </c>
      <c r="H81" s="198" t="s">
        <v>1421</v>
      </c>
      <c r="I81" s="198" t="s">
        <v>1428</v>
      </c>
      <c r="J81" s="198" t="s">
        <v>519</v>
      </c>
      <c r="K81" s="200"/>
      <c r="L81" s="198" t="s">
        <v>775</v>
      </c>
      <c r="M81" s="201">
        <v>99</v>
      </c>
      <c r="N81" s="201"/>
      <c r="O81" s="201">
        <v>64505.56</v>
      </c>
      <c r="P81" s="205"/>
      <c r="Q81" s="66"/>
      <c r="R81" s="66"/>
      <c r="S81" s="66"/>
      <c r="T81" s="66"/>
      <c r="U81" s="66"/>
      <c r="V81" s="66"/>
      <c r="W81" s="66"/>
      <c r="X81" s="66"/>
    </row>
    <row r="82" spans="1:24">
      <c r="A82" s="198"/>
      <c r="B82" s="198"/>
      <c r="C82" s="198"/>
      <c r="D82" s="198"/>
      <c r="E82" s="198" t="s">
        <v>874</v>
      </c>
      <c r="F82" s="199">
        <v>43922</v>
      </c>
      <c r="G82" s="198" t="s">
        <v>1432</v>
      </c>
      <c r="H82" s="198"/>
      <c r="I82" s="198" t="s">
        <v>1433</v>
      </c>
      <c r="J82" s="198" t="s">
        <v>675</v>
      </c>
      <c r="K82" s="200"/>
      <c r="L82" s="198" t="s">
        <v>1434</v>
      </c>
      <c r="M82" s="201">
        <v>42.97</v>
      </c>
      <c r="N82" s="201"/>
      <c r="O82" s="201">
        <v>42.97</v>
      </c>
      <c r="P82" s="205"/>
      <c r="Q82" s="66"/>
      <c r="R82" s="66"/>
      <c r="S82" s="66"/>
      <c r="T82" s="66"/>
      <c r="U82" s="66"/>
      <c r="V82" s="66"/>
      <c r="W82" s="66"/>
      <c r="X82" s="66"/>
    </row>
    <row r="83" spans="1:24">
      <c r="A83" s="198"/>
      <c r="B83" s="198"/>
      <c r="C83" s="198"/>
      <c r="D83" s="198"/>
      <c r="E83" s="198" t="s">
        <v>874</v>
      </c>
      <c r="F83" s="199">
        <v>43922</v>
      </c>
      <c r="G83" s="198" t="s">
        <v>1432</v>
      </c>
      <c r="H83" s="198"/>
      <c r="I83" s="198" t="s">
        <v>1433</v>
      </c>
      <c r="J83" s="198" t="s">
        <v>519</v>
      </c>
      <c r="K83" s="200"/>
      <c r="L83" s="198" t="s">
        <v>1434</v>
      </c>
      <c r="M83" s="201">
        <v>315.12</v>
      </c>
      <c r="N83" s="201"/>
      <c r="O83" s="201">
        <v>358.09</v>
      </c>
      <c r="P83" s="205"/>
      <c r="Q83" s="66"/>
      <c r="R83" s="66"/>
      <c r="S83" s="66"/>
      <c r="T83" s="66"/>
      <c r="U83" s="66"/>
      <c r="V83" s="66"/>
      <c r="W83" s="66"/>
      <c r="X83" s="66"/>
    </row>
    <row r="84" spans="1:24">
      <c r="A84" s="198"/>
      <c r="B84" s="198"/>
      <c r="C84" s="198"/>
      <c r="D84" s="198"/>
      <c r="E84" s="198" t="s">
        <v>874</v>
      </c>
      <c r="F84" s="199">
        <v>43924</v>
      </c>
      <c r="G84" s="198" t="s">
        <v>1432</v>
      </c>
      <c r="H84" s="198"/>
      <c r="I84" s="198" t="s">
        <v>1433</v>
      </c>
      <c r="J84" s="198" t="s">
        <v>675</v>
      </c>
      <c r="K84" s="200"/>
      <c r="L84" s="198" t="s">
        <v>1434</v>
      </c>
      <c r="M84" s="201">
        <v>23.45</v>
      </c>
      <c r="N84" s="201"/>
      <c r="O84" s="201">
        <v>381.54</v>
      </c>
      <c r="P84" s="205"/>
      <c r="Q84" s="66"/>
      <c r="R84" s="66"/>
      <c r="S84" s="66"/>
      <c r="T84" s="66"/>
      <c r="U84" s="66"/>
      <c r="V84" s="66"/>
      <c r="W84" s="66"/>
      <c r="X84" s="66"/>
    </row>
    <row r="85" spans="1:24">
      <c r="A85" s="198"/>
      <c r="B85" s="198"/>
      <c r="C85" s="198"/>
      <c r="D85" s="198"/>
      <c r="E85" s="198" t="s">
        <v>874</v>
      </c>
      <c r="F85" s="199">
        <v>43924</v>
      </c>
      <c r="G85" s="198" t="s">
        <v>1432</v>
      </c>
      <c r="H85" s="198"/>
      <c r="I85" s="198" t="s">
        <v>1433</v>
      </c>
      <c r="J85" s="198" t="s">
        <v>519</v>
      </c>
      <c r="K85" s="200"/>
      <c r="L85" s="198" t="s">
        <v>1434</v>
      </c>
      <c r="M85" s="201">
        <v>171.96</v>
      </c>
      <c r="N85" s="201"/>
      <c r="O85" s="201">
        <v>553.5</v>
      </c>
      <c r="P85" s="205"/>
      <c r="Q85" s="66"/>
      <c r="R85" s="66"/>
      <c r="S85" s="66"/>
      <c r="T85" s="66"/>
      <c r="U85" s="66"/>
      <c r="V85" s="66"/>
      <c r="W85" s="66"/>
      <c r="X85" s="66"/>
    </row>
    <row r="86" spans="1:24">
      <c r="A86" s="198"/>
      <c r="B86" s="198"/>
      <c r="C86" s="198"/>
      <c r="D86" s="198"/>
      <c r="E86" s="198" t="s">
        <v>874</v>
      </c>
      <c r="F86" s="199">
        <v>43929</v>
      </c>
      <c r="G86" s="198" t="s">
        <v>1432</v>
      </c>
      <c r="H86" s="198"/>
      <c r="I86" s="198" t="s">
        <v>1433</v>
      </c>
      <c r="J86" s="198" t="s">
        <v>675</v>
      </c>
      <c r="K86" s="200"/>
      <c r="L86" s="198" t="s">
        <v>1434</v>
      </c>
      <c r="M86" s="201">
        <v>43.86</v>
      </c>
      <c r="N86" s="201"/>
      <c r="O86" s="201">
        <v>705.36</v>
      </c>
      <c r="P86" s="205"/>
      <c r="Q86" s="66"/>
      <c r="R86" s="66"/>
      <c r="S86" s="66"/>
      <c r="T86" s="66"/>
      <c r="U86" s="66"/>
      <c r="V86" s="66"/>
      <c r="W86" s="66"/>
      <c r="X86" s="66"/>
    </row>
    <row r="87" spans="1:24">
      <c r="A87" s="198"/>
      <c r="B87" s="198"/>
      <c r="C87" s="198"/>
      <c r="D87" s="198"/>
      <c r="E87" s="198" t="s">
        <v>874</v>
      </c>
      <c r="F87" s="199">
        <v>43929</v>
      </c>
      <c r="G87" s="198" t="s">
        <v>1432</v>
      </c>
      <c r="H87" s="198"/>
      <c r="I87" s="198" t="s">
        <v>1433</v>
      </c>
      <c r="J87" s="198" t="s">
        <v>519</v>
      </c>
      <c r="K87" s="200"/>
      <c r="L87" s="198" t="s">
        <v>1434</v>
      </c>
      <c r="M87" s="201">
        <v>321.60000000000002</v>
      </c>
      <c r="N87" s="201"/>
      <c r="O87" s="201">
        <v>1026.96</v>
      </c>
      <c r="P87" s="205"/>
      <c r="Q87" s="66"/>
      <c r="R87" s="66"/>
      <c r="S87" s="66"/>
      <c r="T87" s="66"/>
      <c r="U87" s="66"/>
      <c r="V87" s="66"/>
      <c r="W87" s="66"/>
      <c r="X87" s="66"/>
    </row>
    <row r="88" spans="1:24">
      <c r="A88" s="198"/>
      <c r="B88" s="198"/>
      <c r="C88" s="198"/>
      <c r="D88" s="198"/>
      <c r="E88" s="198" t="s">
        <v>874</v>
      </c>
      <c r="F88" s="199">
        <v>43936</v>
      </c>
      <c r="G88" s="198" t="s">
        <v>1432</v>
      </c>
      <c r="H88" s="198"/>
      <c r="I88" s="198" t="s">
        <v>1433</v>
      </c>
      <c r="J88" s="198" t="s">
        <v>675</v>
      </c>
      <c r="K88" s="200"/>
      <c r="L88" s="198" t="s">
        <v>1434</v>
      </c>
      <c r="M88" s="201">
        <v>42.42</v>
      </c>
      <c r="N88" s="201"/>
      <c r="O88" s="201">
        <v>1069.3800000000001</v>
      </c>
      <c r="P88" s="205"/>
      <c r="Q88" s="66"/>
      <c r="R88" s="66"/>
      <c r="S88" s="66"/>
      <c r="T88" s="66"/>
      <c r="U88" s="66"/>
      <c r="V88" s="66"/>
      <c r="W88" s="66"/>
      <c r="X88" s="66"/>
    </row>
    <row r="89" spans="1:24">
      <c r="A89" s="198"/>
      <c r="B89" s="198"/>
      <c r="C89" s="198"/>
      <c r="D89" s="198"/>
      <c r="E89" s="198" t="s">
        <v>874</v>
      </c>
      <c r="F89" s="199">
        <v>43936</v>
      </c>
      <c r="G89" s="198" t="s">
        <v>1432</v>
      </c>
      <c r="H89" s="198"/>
      <c r="I89" s="198" t="s">
        <v>1433</v>
      </c>
      <c r="J89" s="198" t="s">
        <v>519</v>
      </c>
      <c r="K89" s="200"/>
      <c r="L89" s="198" t="s">
        <v>1434</v>
      </c>
      <c r="M89" s="201">
        <v>311.04000000000002</v>
      </c>
      <c r="N89" s="201"/>
      <c r="O89" s="201">
        <v>1380.42</v>
      </c>
      <c r="P89" s="205"/>
      <c r="Q89" s="66"/>
      <c r="R89" s="66"/>
      <c r="S89" s="66"/>
      <c r="T89" s="66"/>
      <c r="U89" s="66"/>
      <c r="V89" s="66"/>
      <c r="W89" s="66"/>
      <c r="X89" s="66"/>
    </row>
    <row r="90" spans="1:24">
      <c r="A90" s="198"/>
      <c r="B90" s="198"/>
      <c r="C90" s="198"/>
      <c r="D90" s="198"/>
      <c r="E90" s="198" t="s">
        <v>874</v>
      </c>
      <c r="F90" s="199">
        <v>43943</v>
      </c>
      <c r="G90" s="198" t="s">
        <v>1432</v>
      </c>
      <c r="H90" s="198"/>
      <c r="I90" s="198" t="s">
        <v>1433</v>
      </c>
      <c r="J90" s="198" t="s">
        <v>675</v>
      </c>
      <c r="K90" s="200"/>
      <c r="L90" s="198" t="s">
        <v>1434</v>
      </c>
      <c r="M90" s="201">
        <v>42.42</v>
      </c>
      <c r="N90" s="201"/>
      <c r="O90" s="201">
        <v>2016.84</v>
      </c>
      <c r="P90" s="205"/>
      <c r="Q90" s="66"/>
      <c r="R90" s="66"/>
      <c r="S90" s="66"/>
      <c r="T90" s="66"/>
      <c r="U90" s="66"/>
      <c r="V90" s="66"/>
      <c r="W90" s="66"/>
      <c r="X90" s="66"/>
    </row>
    <row r="91" spans="1:24">
      <c r="A91" s="198"/>
      <c r="B91" s="198"/>
      <c r="C91" s="198"/>
      <c r="D91" s="198"/>
      <c r="E91" s="198" t="s">
        <v>874</v>
      </c>
      <c r="F91" s="199">
        <v>43943</v>
      </c>
      <c r="G91" s="198" t="s">
        <v>1432</v>
      </c>
      <c r="H91" s="198"/>
      <c r="I91" s="198" t="s">
        <v>1433</v>
      </c>
      <c r="J91" s="198" t="s">
        <v>519</v>
      </c>
      <c r="K91" s="200"/>
      <c r="L91" s="198" t="s">
        <v>1434</v>
      </c>
      <c r="M91" s="201">
        <v>311.04000000000002</v>
      </c>
      <c r="N91" s="201"/>
      <c r="O91" s="201">
        <v>2327.88</v>
      </c>
      <c r="P91" s="205"/>
      <c r="Q91" s="66"/>
      <c r="R91" s="66"/>
      <c r="S91" s="66"/>
      <c r="T91" s="66"/>
      <c r="U91" s="66"/>
      <c r="V91" s="66"/>
      <c r="W91" s="66"/>
      <c r="X91" s="66"/>
    </row>
    <row r="92" spans="1:24">
      <c r="A92" s="198"/>
      <c r="B92" s="198"/>
      <c r="C92" s="198"/>
      <c r="D92" s="198"/>
      <c r="E92" s="198" t="s">
        <v>874</v>
      </c>
      <c r="F92" s="199">
        <v>43950</v>
      </c>
      <c r="G92" s="198" t="s">
        <v>1432</v>
      </c>
      <c r="H92" s="198"/>
      <c r="I92" s="198" t="s">
        <v>1433</v>
      </c>
      <c r="J92" s="198" t="s">
        <v>675</v>
      </c>
      <c r="K92" s="200"/>
      <c r="L92" s="198" t="s">
        <v>1434</v>
      </c>
      <c r="M92" s="201">
        <v>41.86</v>
      </c>
      <c r="N92" s="201"/>
      <c r="O92" s="201">
        <v>7138.74</v>
      </c>
      <c r="P92" s="205"/>
      <c r="Q92" s="66"/>
      <c r="R92" s="66"/>
      <c r="S92" s="66"/>
      <c r="T92" s="66"/>
      <c r="U92" s="66"/>
      <c r="V92" s="66"/>
      <c r="W92" s="66"/>
      <c r="X92" s="66"/>
    </row>
    <row r="93" spans="1:24">
      <c r="A93" s="198"/>
      <c r="B93" s="198"/>
      <c r="C93" s="198"/>
      <c r="D93" s="198"/>
      <c r="E93" s="198" t="s">
        <v>874</v>
      </c>
      <c r="F93" s="199">
        <v>43950</v>
      </c>
      <c r="G93" s="198" t="s">
        <v>1432</v>
      </c>
      <c r="H93" s="198"/>
      <c r="I93" s="198" t="s">
        <v>1433</v>
      </c>
      <c r="J93" s="198" t="s">
        <v>519</v>
      </c>
      <c r="K93" s="200"/>
      <c r="L93" s="198" t="s">
        <v>1434</v>
      </c>
      <c r="M93" s="201">
        <v>306.95999999999998</v>
      </c>
      <c r="N93" s="201"/>
      <c r="O93" s="201">
        <v>7445.7</v>
      </c>
      <c r="P93" s="205"/>
      <c r="Q93" s="66"/>
      <c r="R93" s="66"/>
      <c r="S93" s="66"/>
      <c r="T93" s="66"/>
      <c r="U93" s="66"/>
      <c r="V93" s="66"/>
      <c r="W93" s="66"/>
      <c r="X93" s="66"/>
    </row>
    <row r="94" spans="1:24">
      <c r="A94" s="198"/>
      <c r="B94" s="198"/>
      <c r="C94" s="198"/>
      <c r="D94" s="198"/>
      <c r="E94" s="198" t="s">
        <v>874</v>
      </c>
      <c r="F94" s="199">
        <v>43951</v>
      </c>
      <c r="G94" s="198" t="s">
        <v>1435</v>
      </c>
      <c r="H94" s="198"/>
      <c r="I94" s="198" t="s">
        <v>1436</v>
      </c>
      <c r="J94" s="198" t="s">
        <v>675</v>
      </c>
      <c r="K94" s="200"/>
      <c r="L94" s="198" t="s">
        <v>840</v>
      </c>
      <c r="M94" s="201">
        <v>0</v>
      </c>
      <c r="N94" s="201"/>
      <c r="O94" s="201">
        <v>7932.01</v>
      </c>
      <c r="P94" s="205"/>
      <c r="Q94" s="66"/>
      <c r="R94" s="66"/>
      <c r="S94" s="66"/>
      <c r="T94" s="66"/>
      <c r="U94" s="66"/>
      <c r="V94" s="66"/>
      <c r="W94" s="66"/>
      <c r="X94" s="66"/>
    </row>
    <row r="95" spans="1:24">
      <c r="A95" s="198"/>
      <c r="B95" s="198"/>
      <c r="C95" s="198"/>
      <c r="D95" s="198"/>
      <c r="E95" s="198" t="s">
        <v>874</v>
      </c>
      <c r="F95" s="199">
        <v>43951</v>
      </c>
      <c r="G95" s="198" t="s">
        <v>1435</v>
      </c>
      <c r="H95" s="198"/>
      <c r="I95" s="198" t="s">
        <v>1436</v>
      </c>
      <c r="J95" s="198" t="s">
        <v>519</v>
      </c>
      <c r="K95" s="200"/>
      <c r="L95" s="198" t="s">
        <v>840</v>
      </c>
      <c r="M95" s="201">
        <v>0</v>
      </c>
      <c r="N95" s="201"/>
      <c r="O95" s="201">
        <v>7932.01</v>
      </c>
      <c r="P95" s="205"/>
      <c r="Q95" s="66"/>
      <c r="R95" s="66"/>
      <c r="S95" s="66"/>
      <c r="T95" s="66"/>
      <c r="U95" s="66"/>
      <c r="V95" s="66"/>
      <c r="W95" s="66"/>
      <c r="X95" s="66"/>
    </row>
    <row r="96" spans="1:24">
      <c r="A96" s="198"/>
      <c r="B96" s="198"/>
      <c r="C96" s="198"/>
      <c r="D96" s="198"/>
      <c r="E96" s="198" t="s">
        <v>874</v>
      </c>
      <c r="F96" s="199">
        <v>43951</v>
      </c>
      <c r="G96" s="198" t="s">
        <v>1435</v>
      </c>
      <c r="H96" s="198"/>
      <c r="I96" s="198" t="s">
        <v>1436</v>
      </c>
      <c r="J96" s="198" t="s">
        <v>519</v>
      </c>
      <c r="K96" s="200"/>
      <c r="L96" s="198" t="s">
        <v>840</v>
      </c>
      <c r="M96" s="201">
        <v>0</v>
      </c>
      <c r="N96" s="201"/>
      <c r="O96" s="201">
        <v>7932.01</v>
      </c>
      <c r="P96" s="205"/>
      <c r="Q96" s="66"/>
      <c r="R96" s="66"/>
      <c r="S96" s="66"/>
      <c r="T96" s="66"/>
      <c r="U96" s="66"/>
      <c r="V96" s="66"/>
      <c r="W96" s="66"/>
      <c r="X96" s="66"/>
    </row>
    <row r="97" spans="1:24">
      <c r="A97" s="198"/>
      <c r="B97" s="198"/>
      <c r="C97" s="198"/>
      <c r="D97" s="198"/>
      <c r="E97" s="198" t="s">
        <v>874</v>
      </c>
      <c r="F97" s="199">
        <v>43957</v>
      </c>
      <c r="G97" s="198" t="s">
        <v>1432</v>
      </c>
      <c r="H97" s="198"/>
      <c r="I97" s="198" t="s">
        <v>1433</v>
      </c>
      <c r="J97" s="198" t="s">
        <v>675</v>
      </c>
      <c r="K97" s="200"/>
      <c r="L97" s="198" t="s">
        <v>1434</v>
      </c>
      <c r="M97" s="201">
        <v>42.42</v>
      </c>
      <c r="N97" s="201"/>
      <c r="O97" s="201">
        <v>8027.71</v>
      </c>
      <c r="P97" s="205"/>
      <c r="Q97" s="66"/>
      <c r="R97" s="66"/>
      <c r="S97" s="66"/>
      <c r="T97" s="66"/>
      <c r="U97" s="66"/>
      <c r="V97" s="66"/>
      <c r="W97" s="66"/>
      <c r="X97" s="66"/>
    </row>
    <row r="98" spans="1:24">
      <c r="A98" s="198"/>
      <c r="B98" s="198"/>
      <c r="C98" s="198"/>
      <c r="D98" s="198"/>
      <c r="E98" s="198" t="s">
        <v>874</v>
      </c>
      <c r="F98" s="199">
        <v>43957</v>
      </c>
      <c r="G98" s="198" t="s">
        <v>1432</v>
      </c>
      <c r="H98" s="198"/>
      <c r="I98" s="198" t="s">
        <v>1433</v>
      </c>
      <c r="J98" s="198" t="s">
        <v>519</v>
      </c>
      <c r="K98" s="200"/>
      <c r="L98" s="198" t="s">
        <v>1434</v>
      </c>
      <c r="M98" s="201">
        <v>311.04000000000002</v>
      </c>
      <c r="N98" s="201"/>
      <c r="O98" s="201">
        <v>8338.75</v>
      </c>
      <c r="P98" s="205"/>
      <c r="Q98" s="66"/>
      <c r="R98" s="66"/>
      <c r="S98" s="66"/>
      <c r="T98" s="66"/>
      <c r="U98" s="66"/>
      <c r="V98" s="66"/>
      <c r="W98" s="66"/>
      <c r="X98" s="66"/>
    </row>
    <row r="99" spans="1:24">
      <c r="A99" s="198"/>
      <c r="B99" s="198"/>
      <c r="C99" s="198"/>
      <c r="D99" s="198"/>
      <c r="E99" s="198" t="s">
        <v>874</v>
      </c>
      <c r="F99" s="199">
        <v>43964</v>
      </c>
      <c r="G99" s="198" t="s">
        <v>1432</v>
      </c>
      <c r="H99" s="198"/>
      <c r="I99" s="198" t="s">
        <v>1433</v>
      </c>
      <c r="J99" s="198" t="s">
        <v>675</v>
      </c>
      <c r="K99" s="200"/>
      <c r="L99" s="198" t="s">
        <v>1434</v>
      </c>
      <c r="M99" s="201">
        <v>43.53</v>
      </c>
      <c r="N99" s="201"/>
      <c r="O99" s="201">
        <v>8382.2800000000007</v>
      </c>
      <c r="P99" s="205"/>
      <c r="Q99" s="66"/>
      <c r="R99" s="66"/>
      <c r="S99" s="66"/>
      <c r="T99" s="66"/>
      <c r="U99" s="66"/>
      <c r="V99" s="66"/>
      <c r="W99" s="66"/>
      <c r="X99" s="66"/>
    </row>
    <row r="100" spans="1:24">
      <c r="A100" s="198"/>
      <c r="B100" s="198"/>
      <c r="C100" s="198"/>
      <c r="D100" s="198"/>
      <c r="E100" s="198" t="s">
        <v>874</v>
      </c>
      <c r="F100" s="199">
        <v>43964</v>
      </c>
      <c r="G100" s="198" t="s">
        <v>1432</v>
      </c>
      <c r="H100" s="198"/>
      <c r="I100" s="198" t="s">
        <v>1433</v>
      </c>
      <c r="J100" s="198" t="s">
        <v>519</v>
      </c>
      <c r="K100" s="200"/>
      <c r="L100" s="198" t="s">
        <v>1434</v>
      </c>
      <c r="M100" s="201">
        <v>319.2</v>
      </c>
      <c r="N100" s="201"/>
      <c r="O100" s="201">
        <v>8701.48</v>
      </c>
      <c r="P100" s="205"/>
      <c r="Q100" s="66"/>
      <c r="R100" s="66"/>
      <c r="S100" s="66"/>
      <c r="T100" s="66"/>
      <c r="U100" s="66"/>
      <c r="V100" s="66"/>
      <c r="W100" s="66"/>
      <c r="X100" s="66"/>
    </row>
    <row r="101" spans="1:24">
      <c r="A101" s="198"/>
      <c r="B101" s="198"/>
      <c r="C101" s="198"/>
      <c r="D101" s="198"/>
      <c r="E101" s="198" t="s">
        <v>874</v>
      </c>
      <c r="F101" s="199">
        <v>43971</v>
      </c>
      <c r="G101" s="198" t="s">
        <v>1432</v>
      </c>
      <c r="H101" s="198"/>
      <c r="I101" s="198" t="s">
        <v>1433</v>
      </c>
      <c r="J101" s="198" t="s">
        <v>675</v>
      </c>
      <c r="K101" s="200"/>
      <c r="L101" s="198" t="s">
        <v>1434</v>
      </c>
      <c r="M101" s="201">
        <v>42.42</v>
      </c>
      <c r="N101" s="201"/>
      <c r="O101" s="201">
        <v>10030.9</v>
      </c>
      <c r="P101" s="205"/>
      <c r="Q101" s="66"/>
      <c r="R101" s="66"/>
      <c r="S101" s="66"/>
      <c r="T101" s="66"/>
      <c r="U101" s="66"/>
      <c r="V101" s="66"/>
      <c r="W101" s="66"/>
      <c r="X101" s="66"/>
    </row>
    <row r="102" spans="1:24">
      <c r="A102" s="198"/>
      <c r="B102" s="198"/>
      <c r="C102" s="198"/>
      <c r="D102" s="198"/>
      <c r="E102" s="198" t="s">
        <v>874</v>
      </c>
      <c r="F102" s="199">
        <v>43971</v>
      </c>
      <c r="G102" s="198" t="s">
        <v>1432</v>
      </c>
      <c r="H102" s="198"/>
      <c r="I102" s="198" t="s">
        <v>1433</v>
      </c>
      <c r="J102" s="198" t="s">
        <v>519</v>
      </c>
      <c r="K102" s="200"/>
      <c r="L102" s="198" t="s">
        <v>1434</v>
      </c>
      <c r="M102" s="201">
        <v>311.04000000000002</v>
      </c>
      <c r="N102" s="201"/>
      <c r="O102" s="201">
        <v>10341.94</v>
      </c>
      <c r="P102" s="205"/>
      <c r="Q102" s="66"/>
      <c r="R102" s="66"/>
      <c r="S102" s="66"/>
      <c r="T102" s="66"/>
      <c r="U102" s="66"/>
      <c r="V102" s="66"/>
      <c r="W102" s="66"/>
      <c r="X102" s="66"/>
    </row>
    <row r="103" spans="1:24">
      <c r="A103" s="198"/>
      <c r="B103" s="198"/>
      <c r="C103" s="198"/>
      <c r="D103" s="198"/>
      <c r="E103" s="198" t="s">
        <v>874</v>
      </c>
      <c r="F103" s="199">
        <v>43978</v>
      </c>
      <c r="G103" s="198" t="s">
        <v>1432</v>
      </c>
      <c r="H103" s="198"/>
      <c r="I103" s="198" t="s">
        <v>1433</v>
      </c>
      <c r="J103" s="198" t="s">
        <v>675</v>
      </c>
      <c r="K103" s="200"/>
      <c r="L103" s="198" t="s">
        <v>1434</v>
      </c>
      <c r="M103" s="201">
        <v>48.5</v>
      </c>
      <c r="N103" s="201"/>
      <c r="O103" s="201">
        <v>12590.44</v>
      </c>
      <c r="P103" s="205"/>
      <c r="Q103" s="66"/>
      <c r="R103" s="66"/>
      <c r="S103" s="66"/>
      <c r="T103" s="66"/>
      <c r="U103" s="66"/>
      <c r="V103" s="66"/>
      <c r="W103" s="66"/>
      <c r="X103" s="66"/>
    </row>
    <row r="104" spans="1:24">
      <c r="A104" s="198"/>
      <c r="B104" s="198"/>
      <c r="C104" s="198"/>
      <c r="D104" s="198"/>
      <c r="E104" s="198" t="s">
        <v>874</v>
      </c>
      <c r="F104" s="199">
        <v>43978</v>
      </c>
      <c r="G104" s="198" t="s">
        <v>1432</v>
      </c>
      <c r="H104" s="198"/>
      <c r="I104" s="198" t="s">
        <v>1433</v>
      </c>
      <c r="J104" s="198" t="s">
        <v>519</v>
      </c>
      <c r="K104" s="200"/>
      <c r="L104" s="198" t="s">
        <v>1434</v>
      </c>
      <c r="M104" s="201">
        <v>355.68</v>
      </c>
      <c r="N104" s="201"/>
      <c r="O104" s="201">
        <v>12946.12</v>
      </c>
      <c r="P104" s="205"/>
      <c r="Q104" s="66"/>
      <c r="R104" s="66"/>
      <c r="S104" s="66"/>
      <c r="T104" s="66"/>
      <c r="U104" s="66"/>
      <c r="V104" s="66"/>
      <c r="W104" s="66"/>
      <c r="X104" s="66"/>
    </row>
    <row r="105" spans="1:24">
      <c r="A105" s="198"/>
      <c r="B105" s="198"/>
      <c r="C105" s="198"/>
      <c r="D105" s="198"/>
      <c r="E105" s="198" t="s">
        <v>874</v>
      </c>
      <c r="F105" s="199">
        <v>43982</v>
      </c>
      <c r="G105" s="198" t="s">
        <v>1437</v>
      </c>
      <c r="H105" s="198"/>
      <c r="I105" s="198" t="s">
        <v>1438</v>
      </c>
      <c r="J105" s="198" t="s">
        <v>675</v>
      </c>
      <c r="K105" s="200"/>
      <c r="L105" s="198" t="s">
        <v>840</v>
      </c>
      <c r="M105" s="201">
        <v>0</v>
      </c>
      <c r="N105" s="201"/>
      <c r="O105" s="201">
        <v>12946.12</v>
      </c>
      <c r="P105" s="205"/>
      <c r="Q105" s="66"/>
      <c r="R105" s="66"/>
      <c r="S105" s="66"/>
      <c r="T105" s="66"/>
      <c r="U105" s="66"/>
      <c r="V105" s="66"/>
      <c r="W105" s="66"/>
      <c r="X105" s="66"/>
    </row>
    <row r="106" spans="1:24">
      <c r="A106" s="198"/>
      <c r="B106" s="198"/>
      <c r="C106" s="198"/>
      <c r="D106" s="198"/>
      <c r="E106" s="198" t="s">
        <v>874</v>
      </c>
      <c r="F106" s="199">
        <v>43982</v>
      </c>
      <c r="G106" s="198" t="s">
        <v>1437</v>
      </c>
      <c r="H106" s="198"/>
      <c r="I106" s="198" t="s">
        <v>1438</v>
      </c>
      <c r="J106" s="198" t="s">
        <v>519</v>
      </c>
      <c r="K106" s="200"/>
      <c r="L106" s="198" t="s">
        <v>840</v>
      </c>
      <c r="M106" s="201">
        <v>0</v>
      </c>
      <c r="N106" s="201"/>
      <c r="O106" s="201">
        <v>12946.12</v>
      </c>
      <c r="P106" s="205"/>
      <c r="Q106" s="66"/>
      <c r="R106" s="66"/>
      <c r="S106" s="66"/>
      <c r="T106" s="66"/>
      <c r="U106" s="66"/>
      <c r="V106" s="66"/>
      <c r="W106" s="66"/>
      <c r="X106" s="66"/>
    </row>
    <row r="107" spans="1:24">
      <c r="A107" s="198"/>
      <c r="B107" s="198"/>
      <c r="C107" s="198"/>
      <c r="D107" s="198"/>
      <c r="E107" s="198" t="s">
        <v>874</v>
      </c>
      <c r="F107" s="199">
        <v>43985</v>
      </c>
      <c r="G107" s="198" t="s">
        <v>1432</v>
      </c>
      <c r="H107" s="198"/>
      <c r="I107" s="198" t="s">
        <v>1433</v>
      </c>
      <c r="J107" s="198" t="s">
        <v>675</v>
      </c>
      <c r="K107" s="200"/>
      <c r="L107" s="198" t="s">
        <v>1434</v>
      </c>
      <c r="M107" s="201">
        <v>41.86</v>
      </c>
      <c r="N107" s="201"/>
      <c r="O107" s="201">
        <v>12987.98</v>
      </c>
      <c r="P107" s="205"/>
      <c r="Q107" s="66"/>
      <c r="R107" s="66"/>
      <c r="S107" s="66"/>
      <c r="T107" s="66"/>
      <c r="U107" s="66"/>
      <c r="V107" s="66"/>
      <c r="W107" s="66"/>
      <c r="X107" s="66"/>
    </row>
    <row r="108" spans="1:24">
      <c r="A108" s="198"/>
      <c r="B108" s="198"/>
      <c r="C108" s="198"/>
      <c r="D108" s="198"/>
      <c r="E108" s="198" t="s">
        <v>874</v>
      </c>
      <c r="F108" s="199">
        <v>43985</v>
      </c>
      <c r="G108" s="198" t="s">
        <v>1432</v>
      </c>
      <c r="H108" s="198"/>
      <c r="I108" s="198" t="s">
        <v>1433</v>
      </c>
      <c r="J108" s="198" t="s">
        <v>519</v>
      </c>
      <c r="K108" s="200"/>
      <c r="L108" s="198" t="s">
        <v>1434</v>
      </c>
      <c r="M108" s="201">
        <v>306.95999999999998</v>
      </c>
      <c r="N108" s="201"/>
      <c r="O108" s="201">
        <v>13294.94</v>
      </c>
      <c r="P108" s="205"/>
      <c r="Q108" s="66"/>
      <c r="R108" s="66"/>
      <c r="S108" s="66"/>
      <c r="T108" s="66"/>
      <c r="U108" s="66"/>
      <c r="V108" s="66"/>
      <c r="W108" s="66"/>
      <c r="X108" s="66"/>
    </row>
    <row r="109" spans="1:24">
      <c r="A109" s="198"/>
      <c r="B109" s="198"/>
      <c r="C109" s="198"/>
      <c r="D109" s="198"/>
      <c r="E109" s="198" t="s">
        <v>874</v>
      </c>
      <c r="F109" s="199">
        <v>43991</v>
      </c>
      <c r="G109" s="198" t="s">
        <v>1432</v>
      </c>
      <c r="H109" s="198"/>
      <c r="I109" s="198" t="s">
        <v>1433</v>
      </c>
      <c r="J109" s="198" t="s">
        <v>675</v>
      </c>
      <c r="K109" s="200"/>
      <c r="L109" s="198" t="s">
        <v>1434</v>
      </c>
      <c r="M109" s="201">
        <v>41.3</v>
      </c>
      <c r="N109" s="201"/>
      <c r="O109" s="201">
        <v>13336.24</v>
      </c>
      <c r="P109" s="205"/>
      <c r="Q109" s="66"/>
      <c r="R109" s="66"/>
      <c r="S109" s="66"/>
      <c r="T109" s="66"/>
      <c r="U109" s="66"/>
      <c r="V109" s="66"/>
      <c r="W109" s="66"/>
      <c r="X109" s="66"/>
    </row>
    <row r="110" spans="1:24">
      <c r="A110" s="198"/>
      <c r="B110" s="198"/>
      <c r="C110" s="198"/>
      <c r="D110" s="198"/>
      <c r="E110" s="198" t="s">
        <v>874</v>
      </c>
      <c r="F110" s="199">
        <v>43991</v>
      </c>
      <c r="G110" s="198" t="s">
        <v>1432</v>
      </c>
      <c r="H110" s="198"/>
      <c r="I110" s="198" t="s">
        <v>1433</v>
      </c>
      <c r="J110" s="198" t="s">
        <v>519</v>
      </c>
      <c r="K110" s="200"/>
      <c r="L110" s="198" t="s">
        <v>1434</v>
      </c>
      <c r="M110" s="201">
        <v>302.88</v>
      </c>
      <c r="N110" s="201"/>
      <c r="O110" s="201">
        <v>13639.12</v>
      </c>
      <c r="P110" s="205"/>
      <c r="Q110" s="66"/>
      <c r="R110" s="66"/>
      <c r="S110" s="66"/>
      <c r="T110" s="66"/>
      <c r="U110" s="66"/>
      <c r="V110" s="66"/>
      <c r="W110" s="66"/>
      <c r="X110" s="66"/>
    </row>
    <row r="111" spans="1:24">
      <c r="A111" s="198"/>
      <c r="B111" s="198"/>
      <c r="C111" s="198"/>
      <c r="D111" s="198"/>
      <c r="E111" s="198" t="s">
        <v>874</v>
      </c>
      <c r="F111" s="199">
        <v>43999</v>
      </c>
      <c r="G111" s="198" t="s">
        <v>1432</v>
      </c>
      <c r="H111" s="198"/>
      <c r="I111" s="198" t="s">
        <v>1433</v>
      </c>
      <c r="J111" s="198" t="s">
        <v>675</v>
      </c>
      <c r="K111" s="200"/>
      <c r="L111" s="198" t="s">
        <v>1434</v>
      </c>
      <c r="M111" s="201">
        <v>40.74</v>
      </c>
      <c r="N111" s="201"/>
      <c r="O111" s="201">
        <v>15191.99</v>
      </c>
      <c r="P111" s="205"/>
      <c r="Q111" s="66"/>
      <c r="R111" s="66"/>
      <c r="S111" s="66"/>
      <c r="T111" s="66"/>
      <c r="U111" s="66"/>
      <c r="V111" s="66"/>
      <c r="W111" s="66"/>
      <c r="X111" s="66"/>
    </row>
    <row r="112" spans="1:24">
      <c r="A112" s="198"/>
      <c r="B112" s="198"/>
      <c r="C112" s="198"/>
      <c r="D112" s="198"/>
      <c r="E112" s="198" t="s">
        <v>874</v>
      </c>
      <c r="F112" s="199">
        <v>43999</v>
      </c>
      <c r="G112" s="198" t="s">
        <v>1432</v>
      </c>
      <c r="H112" s="198"/>
      <c r="I112" s="198" t="s">
        <v>1433</v>
      </c>
      <c r="J112" s="198" t="s">
        <v>519</v>
      </c>
      <c r="K112" s="200"/>
      <c r="L112" s="198" t="s">
        <v>1434</v>
      </c>
      <c r="M112" s="201">
        <v>298.8</v>
      </c>
      <c r="N112" s="201"/>
      <c r="O112" s="201">
        <v>15490.79</v>
      </c>
      <c r="P112" s="205"/>
      <c r="Q112" s="66"/>
      <c r="R112" s="66"/>
      <c r="S112" s="66"/>
      <c r="T112" s="66"/>
      <c r="U112" s="66"/>
      <c r="V112" s="66"/>
      <c r="W112" s="66"/>
      <c r="X112" s="66"/>
    </row>
    <row r="113" spans="1:24">
      <c r="A113" s="198"/>
      <c r="B113" s="198"/>
      <c r="C113" s="198"/>
      <c r="D113" s="198"/>
      <c r="E113" s="198" t="s">
        <v>874</v>
      </c>
      <c r="F113" s="199">
        <v>44006</v>
      </c>
      <c r="G113" s="198" t="s">
        <v>1432</v>
      </c>
      <c r="H113" s="198"/>
      <c r="I113" s="198" t="s">
        <v>1433</v>
      </c>
      <c r="J113" s="198" t="s">
        <v>675</v>
      </c>
      <c r="K113" s="200"/>
      <c r="L113" s="198" t="s">
        <v>1434</v>
      </c>
      <c r="M113" s="201">
        <v>40.74</v>
      </c>
      <c r="N113" s="201"/>
      <c r="O113" s="201">
        <v>17681.53</v>
      </c>
      <c r="P113" s="205"/>
      <c r="Q113" s="66"/>
      <c r="R113" s="66"/>
      <c r="S113" s="66"/>
      <c r="T113" s="66"/>
      <c r="U113" s="66"/>
      <c r="V113" s="66"/>
      <c r="W113" s="66"/>
      <c r="X113" s="66"/>
    </row>
    <row r="114" spans="1:24">
      <c r="A114" s="198"/>
      <c r="B114" s="198"/>
      <c r="C114" s="198"/>
      <c r="D114" s="198"/>
      <c r="E114" s="198" t="s">
        <v>874</v>
      </c>
      <c r="F114" s="199">
        <v>44006</v>
      </c>
      <c r="G114" s="198" t="s">
        <v>1432</v>
      </c>
      <c r="H114" s="198"/>
      <c r="I114" s="198" t="s">
        <v>1433</v>
      </c>
      <c r="J114" s="198" t="s">
        <v>519</v>
      </c>
      <c r="K114" s="200"/>
      <c r="L114" s="198" t="s">
        <v>1434</v>
      </c>
      <c r="M114" s="201">
        <v>298.8</v>
      </c>
      <c r="N114" s="201"/>
      <c r="O114" s="201">
        <v>17980.330000000002</v>
      </c>
      <c r="P114" s="205"/>
      <c r="Q114" s="66"/>
      <c r="R114" s="66"/>
      <c r="S114" s="66"/>
      <c r="T114" s="66"/>
      <c r="U114" s="66"/>
      <c r="V114" s="66"/>
      <c r="W114" s="66"/>
      <c r="X114" s="66"/>
    </row>
    <row r="115" spans="1:24">
      <c r="A115" s="198"/>
      <c r="B115" s="198"/>
      <c r="C115" s="198"/>
      <c r="D115" s="198"/>
      <c r="E115" s="198" t="s">
        <v>874</v>
      </c>
      <c r="F115" s="199">
        <v>44012</v>
      </c>
      <c r="G115" s="198" t="s">
        <v>1439</v>
      </c>
      <c r="H115" s="198"/>
      <c r="I115" s="198" t="s">
        <v>1440</v>
      </c>
      <c r="J115" s="198" t="s">
        <v>675</v>
      </c>
      <c r="K115" s="200"/>
      <c r="L115" s="198" t="s">
        <v>840</v>
      </c>
      <c r="M115" s="201">
        <v>0</v>
      </c>
      <c r="N115" s="201"/>
      <c r="O115" s="201">
        <v>18152.830000000002</v>
      </c>
      <c r="P115" s="205"/>
      <c r="Q115" s="66"/>
      <c r="R115" s="66"/>
      <c r="S115" s="66"/>
      <c r="T115" s="66"/>
      <c r="U115" s="66"/>
      <c r="V115" s="66"/>
      <c r="W115" s="66"/>
      <c r="X115" s="66"/>
    </row>
    <row r="116" spans="1:24">
      <c r="A116" s="198"/>
      <c r="B116" s="198"/>
      <c r="C116" s="198"/>
      <c r="D116" s="198"/>
      <c r="E116" s="198" t="s">
        <v>874</v>
      </c>
      <c r="F116" s="199">
        <v>44012</v>
      </c>
      <c r="G116" s="198" t="s">
        <v>1439</v>
      </c>
      <c r="H116" s="198"/>
      <c r="I116" s="198" t="s">
        <v>1440</v>
      </c>
      <c r="J116" s="198" t="s">
        <v>519</v>
      </c>
      <c r="K116" s="200"/>
      <c r="L116" s="198" t="s">
        <v>840</v>
      </c>
      <c r="M116" s="201">
        <v>0</v>
      </c>
      <c r="N116" s="201"/>
      <c r="O116" s="201">
        <v>18152.830000000002</v>
      </c>
      <c r="P116" s="205"/>
      <c r="Q116" s="66"/>
      <c r="R116" s="66"/>
      <c r="S116" s="66"/>
      <c r="T116" s="66"/>
      <c r="U116" s="66"/>
      <c r="V116" s="66"/>
      <c r="W116" s="66"/>
      <c r="X116" s="66"/>
    </row>
    <row r="117" spans="1:24">
      <c r="A117" s="198"/>
      <c r="B117" s="198"/>
      <c r="C117" s="198"/>
      <c r="D117" s="198"/>
      <c r="E117" s="198" t="s">
        <v>874</v>
      </c>
      <c r="F117" s="199">
        <v>44013</v>
      </c>
      <c r="G117" s="198" t="s">
        <v>1432</v>
      </c>
      <c r="H117" s="198"/>
      <c r="I117" s="198" t="s">
        <v>1433</v>
      </c>
      <c r="J117" s="198" t="s">
        <v>675</v>
      </c>
      <c r="K117" s="200"/>
      <c r="L117" s="198" t="s">
        <v>1434</v>
      </c>
      <c r="M117" s="201">
        <v>40.74</v>
      </c>
      <c r="N117" s="201"/>
      <c r="O117" s="201">
        <v>18193.57</v>
      </c>
      <c r="P117" s="205"/>
      <c r="Q117" s="66"/>
      <c r="R117" s="66"/>
      <c r="S117" s="66"/>
      <c r="T117" s="66"/>
      <c r="U117" s="66"/>
      <c r="V117" s="66"/>
      <c r="W117" s="66"/>
      <c r="X117" s="66"/>
    </row>
    <row r="118" spans="1:24">
      <c r="A118" s="198"/>
      <c r="B118" s="198"/>
      <c r="C118" s="198"/>
      <c r="D118" s="198"/>
      <c r="E118" s="198" t="s">
        <v>874</v>
      </c>
      <c r="F118" s="199">
        <v>44013</v>
      </c>
      <c r="G118" s="198" t="s">
        <v>1432</v>
      </c>
      <c r="H118" s="198"/>
      <c r="I118" s="198" t="s">
        <v>1433</v>
      </c>
      <c r="J118" s="198" t="s">
        <v>519</v>
      </c>
      <c r="K118" s="200"/>
      <c r="L118" s="198" t="s">
        <v>1434</v>
      </c>
      <c r="M118" s="201">
        <v>298.8</v>
      </c>
      <c r="N118" s="201"/>
      <c r="O118" s="201">
        <v>18492.37</v>
      </c>
      <c r="P118" s="205"/>
      <c r="Q118" s="66"/>
      <c r="R118" s="66"/>
      <c r="S118" s="66"/>
      <c r="T118" s="66"/>
      <c r="U118" s="66"/>
      <c r="V118" s="66"/>
      <c r="W118" s="66"/>
      <c r="X118" s="66"/>
    </row>
    <row r="119" spans="1:24">
      <c r="A119" s="198"/>
      <c r="B119" s="198"/>
      <c r="C119" s="198"/>
      <c r="D119" s="198"/>
      <c r="E119" s="198" t="s">
        <v>874</v>
      </c>
      <c r="F119" s="199">
        <v>44014</v>
      </c>
      <c r="G119" s="198" t="s">
        <v>1432</v>
      </c>
      <c r="H119" s="198"/>
      <c r="I119" s="198" t="s">
        <v>1433</v>
      </c>
      <c r="J119" s="198" t="s">
        <v>675</v>
      </c>
      <c r="K119" s="200"/>
      <c r="L119" s="198" t="s">
        <v>1434</v>
      </c>
      <c r="M119" s="201">
        <v>25.85</v>
      </c>
      <c r="N119" s="201"/>
      <c r="O119" s="201">
        <v>18666.669999999998</v>
      </c>
      <c r="P119" s="205"/>
      <c r="Q119" s="66"/>
      <c r="R119" s="66"/>
      <c r="S119" s="66"/>
      <c r="T119" s="66"/>
      <c r="U119" s="66"/>
      <c r="V119" s="66"/>
      <c r="W119" s="66"/>
      <c r="X119" s="66"/>
    </row>
    <row r="120" spans="1:24">
      <c r="A120" s="198"/>
      <c r="B120" s="198"/>
      <c r="C120" s="198"/>
      <c r="D120" s="198"/>
      <c r="E120" s="198" t="s">
        <v>874</v>
      </c>
      <c r="F120" s="199">
        <v>44014</v>
      </c>
      <c r="G120" s="198" t="s">
        <v>1432</v>
      </c>
      <c r="H120" s="198"/>
      <c r="I120" s="198" t="s">
        <v>1433</v>
      </c>
      <c r="J120" s="198" t="s">
        <v>519</v>
      </c>
      <c r="K120" s="200"/>
      <c r="L120" s="198" t="s">
        <v>1434</v>
      </c>
      <c r="M120" s="201">
        <v>189.56</v>
      </c>
      <c r="N120" s="201"/>
      <c r="O120" s="201">
        <v>18856.23</v>
      </c>
      <c r="P120" s="205"/>
      <c r="Q120" s="66"/>
      <c r="R120" s="66"/>
      <c r="S120" s="66"/>
      <c r="T120" s="66"/>
      <c r="U120" s="66"/>
      <c r="V120" s="66"/>
      <c r="W120" s="66"/>
      <c r="X120" s="66"/>
    </row>
    <row r="121" spans="1:24">
      <c r="A121" s="198"/>
      <c r="B121" s="198"/>
      <c r="C121" s="198"/>
      <c r="D121" s="198"/>
      <c r="E121" s="198" t="s">
        <v>874</v>
      </c>
      <c r="F121" s="199">
        <v>44020</v>
      </c>
      <c r="G121" s="198" t="s">
        <v>1432</v>
      </c>
      <c r="H121" s="198"/>
      <c r="I121" s="198" t="s">
        <v>1433</v>
      </c>
      <c r="J121" s="198" t="s">
        <v>675</v>
      </c>
      <c r="K121" s="200"/>
      <c r="L121" s="198" t="s">
        <v>1434</v>
      </c>
      <c r="M121" s="201">
        <v>43.3</v>
      </c>
      <c r="N121" s="201"/>
      <c r="O121" s="201">
        <v>18899.53</v>
      </c>
      <c r="P121" s="205"/>
      <c r="Q121" s="66"/>
      <c r="R121" s="66"/>
      <c r="S121" s="66"/>
      <c r="T121" s="66"/>
      <c r="U121" s="66"/>
      <c r="V121" s="66"/>
      <c r="W121" s="66"/>
      <c r="X121" s="66"/>
    </row>
    <row r="122" spans="1:24">
      <c r="A122" s="198"/>
      <c r="B122" s="198"/>
      <c r="C122" s="198"/>
      <c r="D122" s="198"/>
      <c r="E122" s="198" t="s">
        <v>874</v>
      </c>
      <c r="F122" s="199">
        <v>44020</v>
      </c>
      <c r="G122" s="198" t="s">
        <v>1432</v>
      </c>
      <c r="H122" s="198"/>
      <c r="I122" s="198" t="s">
        <v>1433</v>
      </c>
      <c r="J122" s="198" t="s">
        <v>519</v>
      </c>
      <c r="K122" s="200"/>
      <c r="L122" s="198" t="s">
        <v>1434</v>
      </c>
      <c r="M122" s="201">
        <v>317.52</v>
      </c>
      <c r="N122" s="201"/>
      <c r="O122" s="201">
        <v>19217.05</v>
      </c>
      <c r="P122" s="205"/>
      <c r="Q122" s="66"/>
      <c r="R122" s="66"/>
      <c r="S122" s="66"/>
      <c r="T122" s="66"/>
      <c r="U122" s="66"/>
      <c r="V122" s="66"/>
      <c r="W122" s="66"/>
      <c r="X122" s="66"/>
    </row>
    <row r="123" spans="1:24">
      <c r="A123" s="198"/>
      <c r="B123" s="198"/>
      <c r="C123" s="198"/>
      <c r="D123" s="198"/>
      <c r="E123" s="198" t="s">
        <v>874</v>
      </c>
      <c r="F123" s="199">
        <v>44027</v>
      </c>
      <c r="G123" s="198" t="s">
        <v>1432</v>
      </c>
      <c r="H123" s="198"/>
      <c r="I123" s="198" t="s">
        <v>1433</v>
      </c>
      <c r="J123" s="198" t="s">
        <v>675</v>
      </c>
      <c r="K123" s="200"/>
      <c r="L123" s="198" t="s">
        <v>1434</v>
      </c>
      <c r="M123" s="201">
        <v>41.86</v>
      </c>
      <c r="N123" s="201"/>
      <c r="O123" s="201">
        <v>19555.91</v>
      </c>
      <c r="P123" s="205"/>
      <c r="Q123" s="66"/>
      <c r="R123" s="66"/>
      <c r="S123" s="66"/>
      <c r="T123" s="66"/>
      <c r="U123" s="66"/>
      <c r="V123" s="66"/>
      <c r="W123" s="66"/>
      <c r="X123" s="66"/>
    </row>
    <row r="124" spans="1:24">
      <c r="A124" s="198"/>
      <c r="B124" s="198"/>
      <c r="C124" s="198"/>
      <c r="D124" s="198"/>
      <c r="E124" s="198" t="s">
        <v>874</v>
      </c>
      <c r="F124" s="199">
        <v>44027</v>
      </c>
      <c r="G124" s="198" t="s">
        <v>1432</v>
      </c>
      <c r="H124" s="198"/>
      <c r="I124" s="198" t="s">
        <v>1433</v>
      </c>
      <c r="J124" s="198" t="s">
        <v>519</v>
      </c>
      <c r="K124" s="200"/>
      <c r="L124" s="198" t="s">
        <v>1434</v>
      </c>
      <c r="M124" s="201">
        <v>306.95999999999998</v>
      </c>
      <c r="N124" s="201"/>
      <c r="O124" s="201">
        <v>19862.87</v>
      </c>
      <c r="P124" s="205"/>
      <c r="Q124" s="66"/>
      <c r="R124" s="66"/>
      <c r="S124" s="66"/>
      <c r="T124" s="66"/>
      <c r="U124" s="66"/>
      <c r="V124" s="66"/>
      <c r="W124" s="66"/>
      <c r="X124" s="66"/>
    </row>
    <row r="125" spans="1:24">
      <c r="A125" s="198"/>
      <c r="B125" s="198"/>
      <c r="C125" s="198"/>
      <c r="D125" s="198"/>
      <c r="E125" s="198" t="s">
        <v>874</v>
      </c>
      <c r="F125" s="199">
        <v>44034</v>
      </c>
      <c r="G125" s="198" t="s">
        <v>1432</v>
      </c>
      <c r="H125" s="198"/>
      <c r="I125" s="198" t="s">
        <v>1433</v>
      </c>
      <c r="J125" s="198" t="s">
        <v>675</v>
      </c>
      <c r="K125" s="200"/>
      <c r="L125" s="198" t="s">
        <v>1434</v>
      </c>
      <c r="M125" s="201">
        <v>41.3</v>
      </c>
      <c r="N125" s="201"/>
      <c r="O125" s="201">
        <v>19904.169999999998</v>
      </c>
      <c r="P125" s="205"/>
      <c r="Q125" s="66"/>
      <c r="R125" s="66"/>
      <c r="S125" s="66"/>
      <c r="T125" s="66"/>
      <c r="U125" s="66"/>
      <c r="V125" s="66"/>
      <c r="W125" s="66"/>
      <c r="X125" s="66"/>
    </row>
    <row r="126" spans="1:24">
      <c r="A126" s="198"/>
      <c r="B126" s="198"/>
      <c r="C126" s="198"/>
      <c r="D126" s="198"/>
      <c r="E126" s="198" t="s">
        <v>874</v>
      </c>
      <c r="F126" s="199">
        <v>44034</v>
      </c>
      <c r="G126" s="198" t="s">
        <v>1432</v>
      </c>
      <c r="H126" s="198"/>
      <c r="I126" s="198" t="s">
        <v>1433</v>
      </c>
      <c r="J126" s="198" t="s">
        <v>519</v>
      </c>
      <c r="K126" s="200"/>
      <c r="L126" s="198" t="s">
        <v>1434</v>
      </c>
      <c r="M126" s="201">
        <v>302.88</v>
      </c>
      <c r="N126" s="201"/>
      <c r="O126" s="201">
        <v>20207.05</v>
      </c>
      <c r="P126" s="205"/>
      <c r="Q126" s="66"/>
      <c r="R126" s="66"/>
      <c r="S126" s="66"/>
      <c r="T126" s="66"/>
      <c r="U126" s="66"/>
      <c r="V126" s="66"/>
      <c r="W126" s="66"/>
      <c r="X126" s="66"/>
    </row>
    <row r="127" spans="1:24">
      <c r="A127" s="198"/>
      <c r="B127" s="198"/>
      <c r="C127" s="198"/>
      <c r="D127" s="198"/>
      <c r="E127" s="198" t="s">
        <v>874</v>
      </c>
      <c r="F127" s="199">
        <v>44041</v>
      </c>
      <c r="G127" s="198" t="s">
        <v>1432</v>
      </c>
      <c r="H127" s="198"/>
      <c r="I127" s="198" t="s">
        <v>1433</v>
      </c>
      <c r="J127" s="198" t="s">
        <v>675</v>
      </c>
      <c r="K127" s="200"/>
      <c r="L127" s="198" t="s">
        <v>1434</v>
      </c>
      <c r="M127" s="201">
        <v>41.86</v>
      </c>
      <c r="N127" s="201"/>
      <c r="O127" s="201">
        <v>23748.91</v>
      </c>
      <c r="P127" s="205"/>
      <c r="Q127" s="66"/>
      <c r="R127" s="66"/>
      <c r="S127" s="66"/>
      <c r="T127" s="66"/>
      <c r="U127" s="66"/>
      <c r="V127" s="66"/>
      <c r="W127" s="66"/>
      <c r="X127" s="66"/>
    </row>
    <row r="128" spans="1:24">
      <c r="A128" s="198"/>
      <c r="B128" s="198"/>
      <c r="C128" s="198"/>
      <c r="D128" s="198"/>
      <c r="E128" s="198" t="s">
        <v>874</v>
      </c>
      <c r="F128" s="199">
        <v>44041</v>
      </c>
      <c r="G128" s="198" t="s">
        <v>1432</v>
      </c>
      <c r="H128" s="198"/>
      <c r="I128" s="198" t="s">
        <v>1433</v>
      </c>
      <c r="J128" s="198" t="s">
        <v>519</v>
      </c>
      <c r="K128" s="200"/>
      <c r="L128" s="198" t="s">
        <v>1434</v>
      </c>
      <c r="M128" s="201">
        <v>306.95999999999998</v>
      </c>
      <c r="N128" s="201"/>
      <c r="O128" s="201">
        <v>24055.87</v>
      </c>
      <c r="P128" s="205"/>
      <c r="Q128" s="66"/>
      <c r="R128" s="66"/>
      <c r="S128" s="66"/>
      <c r="T128" s="66"/>
      <c r="U128" s="66"/>
      <c r="V128" s="66"/>
      <c r="W128" s="66"/>
      <c r="X128" s="66"/>
    </row>
    <row r="129" spans="1:24">
      <c r="A129" s="198"/>
      <c r="B129" s="198"/>
      <c r="C129" s="198"/>
      <c r="D129" s="198"/>
      <c r="E129" s="198" t="s">
        <v>874</v>
      </c>
      <c r="F129" s="199">
        <v>44043</v>
      </c>
      <c r="G129" s="198" t="s">
        <v>1441</v>
      </c>
      <c r="H129" s="198"/>
      <c r="I129" s="198" t="s">
        <v>1442</v>
      </c>
      <c r="J129" s="198" t="s">
        <v>675</v>
      </c>
      <c r="K129" s="200"/>
      <c r="L129" s="198" t="s">
        <v>840</v>
      </c>
      <c r="M129" s="201">
        <v>0</v>
      </c>
      <c r="N129" s="201"/>
      <c r="O129" s="201">
        <v>24055.87</v>
      </c>
      <c r="P129" s="205"/>
      <c r="Q129" s="66"/>
      <c r="R129" s="66"/>
      <c r="S129" s="66"/>
      <c r="T129" s="66"/>
      <c r="U129" s="66"/>
      <c r="V129" s="66"/>
      <c r="W129" s="66"/>
      <c r="X129" s="66"/>
    </row>
    <row r="130" spans="1:24">
      <c r="A130" s="198"/>
      <c r="B130" s="198"/>
      <c r="C130" s="198"/>
      <c r="D130" s="198"/>
      <c r="E130" s="198" t="s">
        <v>874</v>
      </c>
      <c r="F130" s="199">
        <v>44043</v>
      </c>
      <c r="G130" s="198" t="s">
        <v>1441</v>
      </c>
      <c r="H130" s="198"/>
      <c r="I130" s="198" t="s">
        <v>1442</v>
      </c>
      <c r="J130" s="198" t="s">
        <v>519</v>
      </c>
      <c r="K130" s="200"/>
      <c r="L130" s="198" t="s">
        <v>840</v>
      </c>
      <c r="M130" s="201">
        <v>0</v>
      </c>
      <c r="N130" s="201"/>
      <c r="O130" s="201">
        <v>24055.87</v>
      </c>
      <c r="P130" s="205"/>
      <c r="Q130" s="66"/>
      <c r="R130" s="66"/>
      <c r="S130" s="66"/>
      <c r="T130" s="66"/>
      <c r="U130" s="66"/>
      <c r="V130" s="66"/>
      <c r="W130" s="66"/>
      <c r="X130" s="66"/>
    </row>
    <row r="131" spans="1:24">
      <c r="A131" s="198"/>
      <c r="B131" s="198"/>
      <c r="C131" s="198"/>
      <c r="D131" s="198"/>
      <c r="E131" s="198" t="s">
        <v>874</v>
      </c>
      <c r="F131" s="199">
        <v>44048</v>
      </c>
      <c r="G131" s="198" t="s">
        <v>1432</v>
      </c>
      <c r="H131" s="198"/>
      <c r="I131" s="198" t="s">
        <v>1433</v>
      </c>
      <c r="J131" s="198" t="s">
        <v>675</v>
      </c>
      <c r="K131" s="200"/>
      <c r="L131" s="198" t="s">
        <v>1434</v>
      </c>
      <c r="M131" s="201">
        <v>41.86</v>
      </c>
      <c r="N131" s="201"/>
      <c r="O131" s="201">
        <v>24120.47</v>
      </c>
      <c r="P131" s="205"/>
      <c r="Q131" s="66"/>
      <c r="R131" s="66"/>
      <c r="S131" s="66"/>
      <c r="T131" s="66"/>
      <c r="U131" s="66"/>
      <c r="V131" s="66"/>
      <c r="W131" s="66"/>
      <c r="X131" s="66"/>
    </row>
    <row r="132" spans="1:24">
      <c r="A132" s="198"/>
      <c r="B132" s="198"/>
      <c r="C132" s="198"/>
      <c r="D132" s="198"/>
      <c r="E132" s="198" t="s">
        <v>874</v>
      </c>
      <c r="F132" s="199">
        <v>44048</v>
      </c>
      <c r="G132" s="198" t="s">
        <v>1432</v>
      </c>
      <c r="H132" s="198"/>
      <c r="I132" s="198" t="s">
        <v>1433</v>
      </c>
      <c r="J132" s="198" t="s">
        <v>519</v>
      </c>
      <c r="K132" s="200"/>
      <c r="L132" s="198" t="s">
        <v>1434</v>
      </c>
      <c r="M132" s="201">
        <v>306.95999999999998</v>
      </c>
      <c r="N132" s="201"/>
      <c r="O132" s="201">
        <v>24427.43</v>
      </c>
      <c r="P132" s="205"/>
      <c r="Q132" s="66"/>
      <c r="R132" s="66"/>
      <c r="S132" s="66"/>
      <c r="T132" s="66"/>
      <c r="U132" s="66"/>
      <c r="V132" s="66"/>
      <c r="W132" s="66"/>
      <c r="X132" s="66"/>
    </row>
    <row r="133" spans="1:24">
      <c r="A133" s="198"/>
      <c r="B133" s="198"/>
      <c r="C133" s="198"/>
      <c r="D133" s="198"/>
      <c r="E133" s="198" t="s">
        <v>874</v>
      </c>
      <c r="F133" s="199">
        <v>44055</v>
      </c>
      <c r="G133" s="198" t="s">
        <v>1432</v>
      </c>
      <c r="H133" s="198"/>
      <c r="I133" s="198" t="s">
        <v>1433</v>
      </c>
      <c r="J133" s="198" t="s">
        <v>675</v>
      </c>
      <c r="K133" s="200"/>
      <c r="L133" s="198" t="s">
        <v>1434</v>
      </c>
      <c r="M133" s="201">
        <v>42.42</v>
      </c>
      <c r="N133" s="201"/>
      <c r="O133" s="201">
        <v>24469.85</v>
      </c>
      <c r="P133" s="205"/>
      <c r="Q133" s="66"/>
      <c r="R133" s="66"/>
      <c r="S133" s="66"/>
      <c r="T133" s="66"/>
      <c r="U133" s="66"/>
      <c r="V133" s="66"/>
      <c r="W133" s="66"/>
      <c r="X133" s="66"/>
    </row>
    <row r="134" spans="1:24">
      <c r="A134" s="198"/>
      <c r="B134" s="198"/>
      <c r="C134" s="198"/>
      <c r="D134" s="198"/>
      <c r="E134" s="198" t="s">
        <v>874</v>
      </c>
      <c r="F134" s="199">
        <v>44055</v>
      </c>
      <c r="G134" s="198" t="s">
        <v>1432</v>
      </c>
      <c r="H134" s="198"/>
      <c r="I134" s="198" t="s">
        <v>1433</v>
      </c>
      <c r="J134" s="198" t="s">
        <v>519</v>
      </c>
      <c r="K134" s="200"/>
      <c r="L134" s="198" t="s">
        <v>1434</v>
      </c>
      <c r="M134" s="201">
        <v>311.04000000000002</v>
      </c>
      <c r="N134" s="201"/>
      <c r="O134" s="201">
        <v>24780.89</v>
      </c>
      <c r="P134" s="205"/>
      <c r="Q134" s="66"/>
      <c r="R134" s="66"/>
      <c r="S134" s="66"/>
      <c r="T134" s="66"/>
      <c r="U134" s="66"/>
      <c r="V134" s="66"/>
      <c r="W134" s="66"/>
      <c r="X134" s="66"/>
    </row>
    <row r="135" spans="1:24">
      <c r="A135" s="198"/>
      <c r="B135" s="198"/>
      <c r="C135" s="198"/>
      <c r="D135" s="198"/>
      <c r="E135" s="198" t="s">
        <v>874</v>
      </c>
      <c r="F135" s="199">
        <v>44062</v>
      </c>
      <c r="G135" s="198" t="s">
        <v>1432</v>
      </c>
      <c r="H135" s="198"/>
      <c r="I135" s="198" t="s">
        <v>1433</v>
      </c>
      <c r="J135" s="198" t="s">
        <v>675</v>
      </c>
      <c r="K135" s="200"/>
      <c r="L135" s="198" t="s">
        <v>1434</v>
      </c>
      <c r="M135" s="201">
        <v>41.86</v>
      </c>
      <c r="N135" s="201"/>
      <c r="O135" s="201">
        <v>25979</v>
      </c>
      <c r="P135" s="205"/>
      <c r="Q135" s="66"/>
      <c r="R135" s="66"/>
      <c r="S135" s="66"/>
      <c r="T135" s="66"/>
      <c r="U135" s="66"/>
      <c r="V135" s="66"/>
      <c r="W135" s="66"/>
      <c r="X135" s="66"/>
    </row>
    <row r="136" spans="1:24">
      <c r="A136" s="198"/>
      <c r="B136" s="198"/>
      <c r="C136" s="198"/>
      <c r="D136" s="198"/>
      <c r="E136" s="198" t="s">
        <v>874</v>
      </c>
      <c r="F136" s="199">
        <v>44062</v>
      </c>
      <c r="G136" s="198" t="s">
        <v>1432</v>
      </c>
      <c r="H136" s="198"/>
      <c r="I136" s="198" t="s">
        <v>1433</v>
      </c>
      <c r="J136" s="198" t="s">
        <v>519</v>
      </c>
      <c r="K136" s="200"/>
      <c r="L136" s="198" t="s">
        <v>1434</v>
      </c>
      <c r="M136" s="201">
        <v>306.95999999999998</v>
      </c>
      <c r="N136" s="201"/>
      <c r="O136" s="201">
        <v>26285.96</v>
      </c>
      <c r="P136" s="205"/>
      <c r="Q136" s="66"/>
      <c r="R136" s="66"/>
      <c r="S136" s="66"/>
      <c r="T136" s="66"/>
      <c r="U136" s="66"/>
      <c r="V136" s="66"/>
      <c r="W136" s="66"/>
      <c r="X136" s="66"/>
    </row>
    <row r="137" spans="1:24">
      <c r="A137" s="198"/>
      <c r="B137" s="198"/>
      <c r="C137" s="198"/>
      <c r="D137" s="198"/>
      <c r="E137" s="198" t="s">
        <v>874</v>
      </c>
      <c r="F137" s="199">
        <v>44069</v>
      </c>
      <c r="G137" s="198" t="s">
        <v>1432</v>
      </c>
      <c r="H137" s="198"/>
      <c r="I137" s="198" t="s">
        <v>1433</v>
      </c>
      <c r="J137" s="198" t="s">
        <v>675</v>
      </c>
      <c r="K137" s="200"/>
      <c r="L137" s="198" t="s">
        <v>1434</v>
      </c>
      <c r="M137" s="201">
        <v>41.86</v>
      </c>
      <c r="N137" s="201"/>
      <c r="O137" s="201">
        <v>26327.82</v>
      </c>
      <c r="P137" s="205"/>
      <c r="Q137" s="66"/>
      <c r="R137" s="66"/>
      <c r="S137" s="66"/>
      <c r="T137" s="66"/>
      <c r="U137" s="66"/>
      <c r="V137" s="66"/>
      <c r="W137" s="66"/>
      <c r="X137" s="66"/>
    </row>
    <row r="138" spans="1:24">
      <c r="A138" s="198"/>
      <c r="B138" s="198"/>
      <c r="C138" s="198"/>
      <c r="D138" s="198"/>
      <c r="E138" s="198" t="s">
        <v>874</v>
      </c>
      <c r="F138" s="199">
        <v>44069</v>
      </c>
      <c r="G138" s="198" t="s">
        <v>1432</v>
      </c>
      <c r="H138" s="198"/>
      <c r="I138" s="198" t="s">
        <v>1433</v>
      </c>
      <c r="J138" s="198" t="s">
        <v>519</v>
      </c>
      <c r="K138" s="200"/>
      <c r="L138" s="198" t="s">
        <v>1434</v>
      </c>
      <c r="M138" s="201">
        <v>306.95999999999998</v>
      </c>
      <c r="N138" s="201"/>
      <c r="O138" s="201">
        <v>26634.78</v>
      </c>
      <c r="P138" s="205"/>
      <c r="Q138" s="66"/>
      <c r="R138" s="66"/>
      <c r="S138" s="66"/>
      <c r="T138" s="66"/>
      <c r="U138" s="66"/>
      <c r="V138" s="66"/>
      <c r="W138" s="66"/>
      <c r="X138" s="66"/>
    </row>
    <row r="139" spans="1:24">
      <c r="A139" s="198"/>
      <c r="B139" s="198"/>
      <c r="C139" s="198"/>
      <c r="D139" s="198"/>
      <c r="E139" s="198" t="s">
        <v>874</v>
      </c>
      <c r="F139" s="199">
        <v>44074</v>
      </c>
      <c r="G139" s="198" t="s">
        <v>1443</v>
      </c>
      <c r="H139" s="198"/>
      <c r="I139" s="198" t="s">
        <v>1444</v>
      </c>
      <c r="J139" s="198" t="s">
        <v>675</v>
      </c>
      <c r="K139" s="200"/>
      <c r="L139" s="198" t="s">
        <v>840</v>
      </c>
      <c r="M139" s="201">
        <v>0</v>
      </c>
      <c r="N139" s="201"/>
      <c r="O139" s="201">
        <v>31034.78</v>
      </c>
      <c r="P139" s="205"/>
      <c r="Q139" s="66"/>
      <c r="R139" s="66"/>
      <c r="S139" s="66"/>
      <c r="T139" s="66"/>
      <c r="U139" s="66"/>
      <c r="V139" s="66"/>
      <c r="W139" s="66"/>
      <c r="X139" s="66"/>
    </row>
    <row r="140" spans="1:24">
      <c r="A140" s="198"/>
      <c r="B140" s="198"/>
      <c r="C140" s="198"/>
      <c r="D140" s="198"/>
      <c r="E140" s="198" t="s">
        <v>874</v>
      </c>
      <c r="F140" s="199">
        <v>44074</v>
      </c>
      <c r="G140" s="198" t="s">
        <v>1443</v>
      </c>
      <c r="H140" s="198"/>
      <c r="I140" s="198" t="s">
        <v>1444</v>
      </c>
      <c r="J140" s="198" t="s">
        <v>519</v>
      </c>
      <c r="K140" s="200"/>
      <c r="L140" s="198" t="s">
        <v>840</v>
      </c>
      <c r="M140" s="201">
        <v>0</v>
      </c>
      <c r="N140" s="201"/>
      <c r="O140" s="201">
        <v>31034.78</v>
      </c>
      <c r="P140" s="205"/>
      <c r="Q140" s="66"/>
      <c r="R140" s="66"/>
      <c r="S140" s="66"/>
      <c r="T140" s="66"/>
      <c r="U140" s="66"/>
      <c r="V140" s="66"/>
      <c r="W140" s="66"/>
      <c r="X140" s="66"/>
    </row>
    <row r="141" spans="1:24">
      <c r="A141" s="198"/>
      <c r="B141" s="198"/>
      <c r="C141" s="198"/>
      <c r="D141" s="198"/>
      <c r="E141" s="198" t="s">
        <v>874</v>
      </c>
      <c r="F141" s="199">
        <v>44076</v>
      </c>
      <c r="G141" s="198" t="s">
        <v>1432</v>
      </c>
      <c r="H141" s="198"/>
      <c r="I141" s="198" t="s">
        <v>1433</v>
      </c>
      <c r="J141" s="198" t="s">
        <v>675</v>
      </c>
      <c r="K141" s="200"/>
      <c r="L141" s="198" t="s">
        <v>1434</v>
      </c>
      <c r="M141" s="201">
        <v>44.29</v>
      </c>
      <c r="N141" s="201"/>
      <c r="O141" s="201">
        <v>31079.07</v>
      </c>
      <c r="P141" s="205"/>
      <c r="Q141" s="66"/>
      <c r="R141" s="66"/>
      <c r="S141" s="66"/>
      <c r="T141" s="66"/>
      <c r="U141" s="66"/>
      <c r="V141" s="66"/>
      <c r="W141" s="66"/>
      <c r="X141" s="66"/>
    </row>
    <row r="142" spans="1:24">
      <c r="A142" s="198"/>
      <c r="B142" s="198"/>
      <c r="C142" s="198"/>
      <c r="D142" s="198"/>
      <c r="E142" s="198" t="s">
        <v>874</v>
      </c>
      <c r="F142" s="199">
        <v>44076</v>
      </c>
      <c r="G142" s="198" t="s">
        <v>1432</v>
      </c>
      <c r="H142" s="198"/>
      <c r="I142" s="198" t="s">
        <v>1433</v>
      </c>
      <c r="J142" s="198" t="s">
        <v>519</v>
      </c>
      <c r="K142" s="200"/>
      <c r="L142" s="198" t="s">
        <v>1434</v>
      </c>
      <c r="M142" s="201">
        <v>324.77</v>
      </c>
      <c r="N142" s="201"/>
      <c r="O142" s="201">
        <v>31403.84</v>
      </c>
      <c r="P142" s="205"/>
      <c r="Q142" s="66"/>
      <c r="R142" s="66"/>
      <c r="S142" s="66"/>
      <c r="T142" s="66"/>
      <c r="U142" s="66"/>
      <c r="V142" s="66"/>
      <c r="W142" s="66"/>
      <c r="X142" s="66"/>
    </row>
    <row r="143" spans="1:24">
      <c r="A143" s="198"/>
      <c r="B143" s="198"/>
      <c r="C143" s="198"/>
      <c r="D143" s="198"/>
      <c r="E143" s="198" t="s">
        <v>874</v>
      </c>
      <c r="F143" s="199">
        <v>44083</v>
      </c>
      <c r="G143" s="198" t="s">
        <v>1432</v>
      </c>
      <c r="H143" s="198"/>
      <c r="I143" s="198" t="s">
        <v>1433</v>
      </c>
      <c r="J143" s="198" t="s">
        <v>675</v>
      </c>
      <c r="K143" s="200"/>
      <c r="L143" s="198" t="s">
        <v>1434</v>
      </c>
      <c r="M143" s="201">
        <v>51.49</v>
      </c>
      <c r="N143" s="201"/>
      <c r="O143" s="201">
        <v>31455.33</v>
      </c>
      <c r="P143" s="205"/>
      <c r="Q143" s="66"/>
      <c r="R143" s="66"/>
      <c r="S143" s="66"/>
      <c r="T143" s="66"/>
      <c r="U143" s="66"/>
      <c r="V143" s="66"/>
      <c r="W143" s="66"/>
      <c r="X143" s="66"/>
    </row>
    <row r="144" spans="1:24">
      <c r="A144" s="198"/>
      <c r="B144" s="198"/>
      <c r="C144" s="198"/>
      <c r="D144" s="198"/>
      <c r="E144" s="198" t="s">
        <v>874</v>
      </c>
      <c r="F144" s="199">
        <v>44083</v>
      </c>
      <c r="G144" s="198" t="s">
        <v>1432</v>
      </c>
      <c r="H144" s="198"/>
      <c r="I144" s="198" t="s">
        <v>1433</v>
      </c>
      <c r="J144" s="198" t="s">
        <v>519</v>
      </c>
      <c r="K144" s="200"/>
      <c r="L144" s="198" t="s">
        <v>1434</v>
      </c>
      <c r="M144" s="201">
        <v>377.57</v>
      </c>
      <c r="N144" s="201"/>
      <c r="O144" s="201">
        <v>31832.9</v>
      </c>
      <c r="P144" s="205"/>
      <c r="Q144" s="66"/>
      <c r="R144" s="66"/>
      <c r="S144" s="66"/>
      <c r="T144" s="66"/>
      <c r="U144" s="66"/>
      <c r="V144" s="66"/>
      <c r="W144" s="66"/>
      <c r="X144" s="66"/>
    </row>
    <row r="145" spans="1:24">
      <c r="A145" s="198"/>
      <c r="B145" s="198"/>
      <c r="C145" s="198"/>
      <c r="D145" s="198"/>
      <c r="E145" s="198" t="s">
        <v>874</v>
      </c>
      <c r="F145" s="199">
        <v>44090</v>
      </c>
      <c r="G145" s="198" t="s">
        <v>1432</v>
      </c>
      <c r="H145" s="198"/>
      <c r="I145" s="198" t="s">
        <v>1433</v>
      </c>
      <c r="J145" s="198" t="s">
        <v>675</v>
      </c>
      <c r="K145" s="200"/>
      <c r="L145" s="198" t="s">
        <v>1434</v>
      </c>
      <c r="M145" s="201">
        <v>44.87</v>
      </c>
      <c r="N145" s="201"/>
      <c r="O145" s="201">
        <v>31877.77</v>
      </c>
      <c r="P145" s="205"/>
      <c r="Q145" s="66"/>
      <c r="R145" s="66"/>
      <c r="S145" s="66"/>
      <c r="T145" s="66"/>
      <c r="U145" s="66"/>
      <c r="V145" s="66"/>
      <c r="W145" s="66"/>
      <c r="X145" s="66"/>
    </row>
    <row r="146" spans="1:24">
      <c r="A146" s="198"/>
      <c r="B146" s="198"/>
      <c r="C146" s="198"/>
      <c r="D146" s="198"/>
      <c r="E146" s="198" t="s">
        <v>874</v>
      </c>
      <c r="F146" s="199">
        <v>44090</v>
      </c>
      <c r="G146" s="198" t="s">
        <v>1432</v>
      </c>
      <c r="H146" s="198"/>
      <c r="I146" s="198" t="s">
        <v>1433</v>
      </c>
      <c r="J146" s="198" t="s">
        <v>519</v>
      </c>
      <c r="K146" s="200"/>
      <c r="L146" s="198" t="s">
        <v>1434</v>
      </c>
      <c r="M146" s="201">
        <v>329.02</v>
      </c>
      <c r="N146" s="201"/>
      <c r="O146" s="201">
        <v>32206.79</v>
      </c>
      <c r="P146" s="205"/>
      <c r="Q146" s="66"/>
      <c r="R146" s="66"/>
      <c r="S146" s="66"/>
      <c r="T146" s="66"/>
      <c r="U146" s="66"/>
      <c r="V146" s="66"/>
      <c r="W146" s="66"/>
      <c r="X146" s="66"/>
    </row>
    <row r="147" spans="1:24">
      <c r="A147" s="198"/>
      <c r="B147" s="198"/>
      <c r="C147" s="198"/>
      <c r="D147" s="198"/>
      <c r="E147" s="198" t="s">
        <v>874</v>
      </c>
      <c r="F147" s="199">
        <v>44097</v>
      </c>
      <c r="G147" s="198" t="s">
        <v>1432</v>
      </c>
      <c r="H147" s="198"/>
      <c r="I147" s="198" t="s">
        <v>1433</v>
      </c>
      <c r="J147" s="198" t="s">
        <v>675</v>
      </c>
      <c r="K147" s="200"/>
      <c r="L147" s="198" t="s">
        <v>1434</v>
      </c>
      <c r="M147" s="201">
        <v>43.71</v>
      </c>
      <c r="N147" s="201"/>
      <c r="O147" s="201">
        <v>32250.5</v>
      </c>
      <c r="P147" s="205"/>
      <c r="Q147" s="66"/>
      <c r="R147" s="66"/>
      <c r="S147" s="66"/>
      <c r="T147" s="66"/>
      <c r="U147" s="66"/>
      <c r="V147" s="66"/>
      <c r="W147" s="66"/>
      <c r="X147" s="66"/>
    </row>
    <row r="148" spans="1:24">
      <c r="A148" s="198"/>
      <c r="B148" s="198"/>
      <c r="C148" s="198"/>
      <c r="D148" s="198"/>
      <c r="E148" s="198" t="s">
        <v>874</v>
      </c>
      <c r="F148" s="199">
        <v>44097</v>
      </c>
      <c r="G148" s="198" t="s">
        <v>1432</v>
      </c>
      <c r="H148" s="198"/>
      <c r="I148" s="198" t="s">
        <v>1433</v>
      </c>
      <c r="J148" s="198" t="s">
        <v>519</v>
      </c>
      <c r="K148" s="200"/>
      <c r="L148" s="198" t="s">
        <v>1434</v>
      </c>
      <c r="M148" s="201">
        <v>320.51</v>
      </c>
      <c r="N148" s="201"/>
      <c r="O148" s="201">
        <v>32571.01</v>
      </c>
      <c r="P148" s="205"/>
      <c r="Q148" s="66"/>
      <c r="R148" s="66"/>
      <c r="S148" s="66"/>
      <c r="T148" s="66"/>
      <c r="U148" s="66"/>
      <c r="V148" s="66"/>
      <c r="W148" s="66"/>
      <c r="X148" s="66"/>
    </row>
    <row r="149" spans="1:24">
      <c r="A149" s="198"/>
      <c r="B149" s="198"/>
      <c r="C149" s="198"/>
      <c r="D149" s="198"/>
      <c r="E149" s="198" t="s">
        <v>874</v>
      </c>
      <c r="F149" s="199">
        <v>44104</v>
      </c>
      <c r="G149" s="198" t="s">
        <v>1432</v>
      </c>
      <c r="H149" s="198"/>
      <c r="I149" s="198" t="s">
        <v>1433</v>
      </c>
      <c r="J149" s="198" t="s">
        <v>675</v>
      </c>
      <c r="K149" s="200"/>
      <c r="L149" s="198" t="s">
        <v>1434</v>
      </c>
      <c r="M149" s="201">
        <v>43.71</v>
      </c>
      <c r="N149" s="201"/>
      <c r="O149" s="201">
        <v>35114.720000000001</v>
      </c>
      <c r="P149" s="205"/>
      <c r="Q149" s="66"/>
      <c r="R149" s="66"/>
      <c r="S149" s="66"/>
      <c r="T149" s="66"/>
      <c r="U149" s="66"/>
      <c r="V149" s="66"/>
      <c r="W149" s="66"/>
      <c r="X149" s="66"/>
    </row>
    <row r="150" spans="1:24">
      <c r="A150" s="198"/>
      <c r="B150" s="198"/>
      <c r="C150" s="198"/>
      <c r="D150" s="198"/>
      <c r="E150" s="198" t="s">
        <v>874</v>
      </c>
      <c r="F150" s="199">
        <v>44104</v>
      </c>
      <c r="G150" s="198" t="s">
        <v>1432</v>
      </c>
      <c r="H150" s="198"/>
      <c r="I150" s="198" t="s">
        <v>1433</v>
      </c>
      <c r="J150" s="198" t="s">
        <v>519</v>
      </c>
      <c r="K150" s="200"/>
      <c r="L150" s="198" t="s">
        <v>1434</v>
      </c>
      <c r="M150" s="201">
        <v>320.51</v>
      </c>
      <c r="N150" s="201"/>
      <c r="O150" s="201">
        <v>35435.230000000003</v>
      </c>
      <c r="P150" s="205"/>
      <c r="Q150" s="66"/>
      <c r="R150" s="66"/>
      <c r="S150" s="66"/>
      <c r="T150" s="66"/>
      <c r="U150" s="66"/>
      <c r="V150" s="66"/>
      <c r="W150" s="66"/>
      <c r="X150" s="66"/>
    </row>
    <row r="151" spans="1:24">
      <c r="A151" s="198"/>
      <c r="B151" s="198"/>
      <c r="C151" s="198"/>
      <c r="D151" s="198"/>
      <c r="E151" s="198" t="s">
        <v>874</v>
      </c>
      <c r="F151" s="199">
        <v>44104</v>
      </c>
      <c r="G151" s="198" t="s">
        <v>1445</v>
      </c>
      <c r="H151" s="198"/>
      <c r="I151" s="198" t="s">
        <v>1444</v>
      </c>
      <c r="J151" s="198" t="s">
        <v>675</v>
      </c>
      <c r="K151" s="200"/>
      <c r="L151" s="198" t="s">
        <v>840</v>
      </c>
      <c r="M151" s="201">
        <v>0</v>
      </c>
      <c r="N151" s="201"/>
      <c r="O151" s="201">
        <v>35435.230000000003</v>
      </c>
      <c r="P151" s="205"/>
      <c r="Q151" s="66"/>
      <c r="R151" s="66"/>
      <c r="S151" s="66"/>
      <c r="T151" s="66"/>
      <c r="U151" s="66"/>
      <c r="V151" s="66"/>
      <c r="W151" s="66"/>
      <c r="X151" s="66"/>
    </row>
    <row r="152" spans="1:24">
      <c r="A152" s="198"/>
      <c r="B152" s="198"/>
      <c r="C152" s="198"/>
      <c r="D152" s="198"/>
      <c r="E152" s="198" t="s">
        <v>874</v>
      </c>
      <c r="F152" s="199">
        <v>44104</v>
      </c>
      <c r="G152" s="198" t="s">
        <v>1445</v>
      </c>
      <c r="H152" s="198"/>
      <c r="I152" s="198" t="s">
        <v>1444</v>
      </c>
      <c r="J152" s="198" t="s">
        <v>519</v>
      </c>
      <c r="K152" s="200"/>
      <c r="L152" s="198" t="s">
        <v>840</v>
      </c>
      <c r="M152" s="201">
        <v>0</v>
      </c>
      <c r="N152" s="201"/>
      <c r="O152" s="201">
        <v>35435.230000000003</v>
      </c>
      <c r="P152" s="205"/>
      <c r="Q152" s="66"/>
      <c r="R152" s="66"/>
      <c r="S152" s="66"/>
      <c r="T152" s="66"/>
      <c r="U152" s="66"/>
      <c r="V152" s="66"/>
      <c r="W152" s="66"/>
      <c r="X152" s="66"/>
    </row>
    <row r="153" spans="1:24">
      <c r="A153" s="198"/>
      <c r="B153" s="198"/>
      <c r="C153" s="198"/>
      <c r="D153" s="198"/>
      <c r="E153" s="198" t="s">
        <v>874</v>
      </c>
      <c r="F153" s="199">
        <v>44111</v>
      </c>
      <c r="G153" s="198" t="s">
        <v>1432</v>
      </c>
      <c r="H153" s="198"/>
      <c r="I153" s="198" t="s">
        <v>1433</v>
      </c>
      <c r="J153" s="198" t="s">
        <v>675</v>
      </c>
      <c r="K153" s="200"/>
      <c r="L153" s="198" t="s">
        <v>1434</v>
      </c>
      <c r="M153" s="201">
        <v>44.69</v>
      </c>
      <c r="N153" s="201"/>
      <c r="O153" s="201">
        <v>35479.919999999998</v>
      </c>
      <c r="P153" s="205"/>
      <c r="Q153" s="66"/>
      <c r="R153" s="66"/>
      <c r="S153" s="66"/>
      <c r="T153" s="66"/>
      <c r="U153" s="66"/>
      <c r="V153" s="66"/>
      <c r="W153" s="66"/>
      <c r="X153" s="66"/>
    </row>
    <row r="154" spans="1:24">
      <c r="A154" s="198"/>
      <c r="B154" s="198"/>
      <c r="C154" s="198"/>
      <c r="D154" s="198"/>
      <c r="E154" s="198" t="s">
        <v>874</v>
      </c>
      <c r="F154" s="199">
        <v>44111</v>
      </c>
      <c r="G154" s="198" t="s">
        <v>1432</v>
      </c>
      <c r="H154" s="198"/>
      <c r="I154" s="198" t="s">
        <v>1433</v>
      </c>
      <c r="J154" s="198" t="s">
        <v>519</v>
      </c>
      <c r="K154" s="200"/>
      <c r="L154" s="198" t="s">
        <v>1434</v>
      </c>
      <c r="M154" s="201">
        <v>327.69</v>
      </c>
      <c r="N154" s="201"/>
      <c r="O154" s="201">
        <v>35807.61</v>
      </c>
      <c r="P154" s="205"/>
      <c r="Q154" s="66"/>
      <c r="R154" s="66"/>
      <c r="S154" s="66"/>
      <c r="T154" s="66"/>
      <c r="U154" s="66"/>
      <c r="V154" s="66"/>
      <c r="W154" s="66"/>
      <c r="X154" s="66"/>
    </row>
    <row r="155" spans="1:24">
      <c r="A155" s="198"/>
      <c r="B155" s="198"/>
      <c r="C155" s="198"/>
      <c r="D155" s="198"/>
      <c r="E155" s="198" t="s">
        <v>874</v>
      </c>
      <c r="F155" s="199">
        <v>44118</v>
      </c>
      <c r="G155" s="198" t="s">
        <v>1432</v>
      </c>
      <c r="H155" s="198"/>
      <c r="I155" s="198" t="s">
        <v>1433</v>
      </c>
      <c r="J155" s="198" t="s">
        <v>675</v>
      </c>
      <c r="K155" s="200"/>
      <c r="L155" s="198" t="s">
        <v>1434</v>
      </c>
      <c r="M155" s="201">
        <v>43.71</v>
      </c>
      <c r="N155" s="201"/>
      <c r="O155" s="201">
        <v>36146.47</v>
      </c>
      <c r="P155" s="205"/>
      <c r="Q155" s="66"/>
      <c r="R155" s="66"/>
      <c r="S155" s="66"/>
      <c r="T155" s="66"/>
      <c r="U155" s="66"/>
      <c r="V155" s="66"/>
      <c r="W155" s="66"/>
      <c r="X155" s="66"/>
    </row>
    <row r="156" spans="1:24">
      <c r="A156" s="198"/>
      <c r="B156" s="198"/>
      <c r="C156" s="198"/>
      <c r="D156" s="198"/>
      <c r="E156" s="198" t="s">
        <v>874</v>
      </c>
      <c r="F156" s="199">
        <v>44118</v>
      </c>
      <c r="G156" s="198" t="s">
        <v>1432</v>
      </c>
      <c r="H156" s="198"/>
      <c r="I156" s="198" t="s">
        <v>1433</v>
      </c>
      <c r="J156" s="198" t="s">
        <v>519</v>
      </c>
      <c r="K156" s="200"/>
      <c r="L156" s="198" t="s">
        <v>1434</v>
      </c>
      <c r="M156" s="201">
        <v>320.51</v>
      </c>
      <c r="N156" s="201"/>
      <c r="O156" s="201">
        <v>36466.980000000003</v>
      </c>
      <c r="P156" s="205"/>
      <c r="Q156" s="66"/>
      <c r="R156" s="66"/>
      <c r="S156" s="66"/>
      <c r="T156" s="66"/>
      <c r="U156" s="66"/>
      <c r="V156" s="66"/>
      <c r="W156" s="66"/>
      <c r="X156" s="66"/>
    </row>
    <row r="157" spans="1:24">
      <c r="A157" s="198"/>
      <c r="B157" s="198"/>
      <c r="C157" s="198"/>
      <c r="D157" s="198"/>
      <c r="E157" s="198" t="s">
        <v>874</v>
      </c>
      <c r="F157" s="199">
        <v>44125</v>
      </c>
      <c r="G157" s="198" t="s">
        <v>1432</v>
      </c>
      <c r="H157" s="198"/>
      <c r="I157" s="198" t="s">
        <v>1433</v>
      </c>
      <c r="J157" s="198" t="s">
        <v>675</v>
      </c>
      <c r="K157" s="200"/>
      <c r="L157" s="198" t="s">
        <v>1434</v>
      </c>
      <c r="M157" s="201">
        <v>44.29</v>
      </c>
      <c r="N157" s="201"/>
      <c r="O157" s="201">
        <v>38095.269999999997</v>
      </c>
      <c r="P157" s="205"/>
      <c r="Q157" s="66"/>
      <c r="R157" s="66"/>
      <c r="S157" s="66"/>
      <c r="T157" s="66"/>
      <c r="U157" s="66"/>
      <c r="V157" s="66"/>
      <c r="W157" s="66"/>
      <c r="X157" s="66"/>
    </row>
    <row r="158" spans="1:24">
      <c r="A158" s="198"/>
      <c r="B158" s="198"/>
      <c r="C158" s="198"/>
      <c r="D158" s="198"/>
      <c r="E158" s="198" t="s">
        <v>874</v>
      </c>
      <c r="F158" s="199">
        <v>44125</v>
      </c>
      <c r="G158" s="198" t="s">
        <v>1432</v>
      </c>
      <c r="H158" s="198"/>
      <c r="I158" s="198" t="s">
        <v>1433</v>
      </c>
      <c r="J158" s="198" t="s">
        <v>519</v>
      </c>
      <c r="K158" s="200"/>
      <c r="L158" s="198" t="s">
        <v>1434</v>
      </c>
      <c r="M158" s="201">
        <v>324.77</v>
      </c>
      <c r="N158" s="201"/>
      <c r="O158" s="201">
        <v>38420.04</v>
      </c>
      <c r="P158" s="205"/>
      <c r="Q158" s="66"/>
      <c r="R158" s="66"/>
      <c r="S158" s="66"/>
      <c r="T158" s="66"/>
      <c r="U158" s="66"/>
      <c r="V158" s="66"/>
      <c r="W158" s="66"/>
      <c r="X158" s="66"/>
    </row>
    <row r="159" spans="1:24">
      <c r="A159" s="198"/>
      <c r="B159" s="198"/>
      <c r="C159" s="198"/>
      <c r="D159" s="198"/>
      <c r="E159" s="198" t="s">
        <v>874</v>
      </c>
      <c r="F159" s="199">
        <v>44132</v>
      </c>
      <c r="G159" s="198" t="s">
        <v>1432</v>
      </c>
      <c r="H159" s="198"/>
      <c r="I159" s="198" t="s">
        <v>1433</v>
      </c>
      <c r="J159" s="198" t="s">
        <v>675</v>
      </c>
      <c r="K159" s="200"/>
      <c r="L159" s="198" t="s">
        <v>1434</v>
      </c>
      <c r="M159" s="201">
        <v>44.29</v>
      </c>
      <c r="N159" s="201"/>
      <c r="O159" s="201">
        <v>38464.33</v>
      </c>
      <c r="P159" s="205"/>
      <c r="Q159" s="66"/>
      <c r="R159" s="66"/>
      <c r="S159" s="66"/>
      <c r="T159" s="66"/>
      <c r="U159" s="66"/>
      <c r="V159" s="66"/>
      <c r="W159" s="66"/>
      <c r="X159" s="66"/>
    </row>
    <row r="160" spans="1:24">
      <c r="A160" s="198"/>
      <c r="B160" s="198"/>
      <c r="C160" s="198"/>
      <c r="D160" s="198"/>
      <c r="E160" s="198" t="s">
        <v>874</v>
      </c>
      <c r="F160" s="199">
        <v>44132</v>
      </c>
      <c r="G160" s="198" t="s">
        <v>1432</v>
      </c>
      <c r="H160" s="198"/>
      <c r="I160" s="198" t="s">
        <v>1433</v>
      </c>
      <c r="J160" s="198" t="s">
        <v>519</v>
      </c>
      <c r="K160" s="200"/>
      <c r="L160" s="198" t="s">
        <v>1434</v>
      </c>
      <c r="M160" s="201">
        <v>324.77</v>
      </c>
      <c r="N160" s="201"/>
      <c r="O160" s="201">
        <v>38789.1</v>
      </c>
      <c r="P160" s="205"/>
      <c r="Q160" s="66"/>
      <c r="R160" s="66"/>
      <c r="S160" s="66"/>
      <c r="T160" s="66"/>
      <c r="U160" s="66"/>
      <c r="V160" s="66"/>
      <c r="W160" s="66"/>
      <c r="X160" s="66"/>
    </row>
    <row r="161" spans="1:24">
      <c r="A161" s="198"/>
      <c r="B161" s="198"/>
      <c r="C161" s="198"/>
      <c r="D161" s="198"/>
      <c r="E161" s="198" t="s">
        <v>874</v>
      </c>
      <c r="F161" s="199">
        <v>44134</v>
      </c>
      <c r="G161" s="198" t="s">
        <v>891</v>
      </c>
      <c r="H161" s="198"/>
      <c r="I161" s="198" t="s">
        <v>1446</v>
      </c>
      <c r="J161" s="198" t="s">
        <v>675</v>
      </c>
      <c r="K161" s="200"/>
      <c r="L161" s="198" t="s">
        <v>840</v>
      </c>
      <c r="M161" s="201">
        <v>0</v>
      </c>
      <c r="N161" s="201"/>
      <c r="O161" s="201">
        <v>38789.1</v>
      </c>
      <c r="P161" s="205"/>
      <c r="Q161" s="66"/>
      <c r="R161" s="66"/>
      <c r="S161" s="66"/>
      <c r="T161" s="66"/>
      <c r="U161" s="66"/>
      <c r="V161" s="66"/>
      <c r="W161" s="66"/>
      <c r="X161" s="66"/>
    </row>
    <row r="162" spans="1:24">
      <c r="A162" s="198"/>
      <c r="B162" s="198"/>
      <c r="C162" s="198"/>
      <c r="D162" s="198"/>
      <c r="E162" s="198" t="s">
        <v>874</v>
      </c>
      <c r="F162" s="199">
        <v>44134</v>
      </c>
      <c r="G162" s="198" t="s">
        <v>891</v>
      </c>
      <c r="H162" s="198"/>
      <c r="I162" s="198" t="s">
        <v>1446</v>
      </c>
      <c r="J162" s="198" t="s">
        <v>519</v>
      </c>
      <c r="K162" s="200"/>
      <c r="L162" s="198" t="s">
        <v>840</v>
      </c>
      <c r="M162" s="201">
        <v>0</v>
      </c>
      <c r="N162" s="201"/>
      <c r="O162" s="201">
        <v>38789.1</v>
      </c>
      <c r="P162" s="205"/>
      <c r="Q162" s="66"/>
      <c r="R162" s="66"/>
      <c r="S162" s="66"/>
      <c r="T162" s="66"/>
      <c r="U162" s="66"/>
      <c r="V162" s="66"/>
      <c r="W162" s="66"/>
      <c r="X162" s="66"/>
    </row>
    <row r="163" spans="1:24">
      <c r="A163" s="198"/>
      <c r="B163" s="198"/>
      <c r="C163" s="198"/>
      <c r="D163" s="198"/>
      <c r="E163" s="198" t="s">
        <v>874</v>
      </c>
      <c r="F163" s="199">
        <v>44139</v>
      </c>
      <c r="G163" s="198" t="s">
        <v>1432</v>
      </c>
      <c r="H163" s="198"/>
      <c r="I163" s="198" t="s">
        <v>1433</v>
      </c>
      <c r="J163" s="198" t="s">
        <v>675</v>
      </c>
      <c r="K163" s="200"/>
      <c r="L163" s="198" t="s">
        <v>1434</v>
      </c>
      <c r="M163" s="201">
        <v>44.29</v>
      </c>
      <c r="N163" s="201"/>
      <c r="O163" s="201">
        <v>39053.01</v>
      </c>
      <c r="P163" s="205"/>
      <c r="Q163" s="66"/>
      <c r="R163" s="66"/>
      <c r="S163" s="66"/>
      <c r="T163" s="66"/>
      <c r="U163" s="66"/>
      <c r="V163" s="66"/>
      <c r="W163" s="66"/>
      <c r="X163" s="66"/>
    </row>
    <row r="164" spans="1:24">
      <c r="A164" s="198"/>
      <c r="B164" s="198"/>
      <c r="C164" s="198"/>
      <c r="D164" s="198"/>
      <c r="E164" s="198" t="s">
        <v>874</v>
      </c>
      <c r="F164" s="199">
        <v>44139</v>
      </c>
      <c r="G164" s="198" t="s">
        <v>1432</v>
      </c>
      <c r="H164" s="198"/>
      <c r="I164" s="198" t="s">
        <v>1433</v>
      </c>
      <c r="J164" s="198" t="s">
        <v>519</v>
      </c>
      <c r="K164" s="200"/>
      <c r="L164" s="198" t="s">
        <v>1434</v>
      </c>
      <c r="M164" s="201">
        <v>324.77</v>
      </c>
      <c r="N164" s="201"/>
      <c r="O164" s="201">
        <v>39377.78</v>
      </c>
      <c r="P164" s="205"/>
      <c r="Q164" s="66"/>
      <c r="R164" s="66"/>
      <c r="S164" s="66"/>
      <c r="T164" s="66"/>
      <c r="U164" s="66"/>
      <c r="V164" s="66"/>
      <c r="W164" s="66"/>
      <c r="X164" s="66"/>
    </row>
    <row r="165" spans="1:24">
      <c r="A165" s="198"/>
      <c r="B165" s="198"/>
      <c r="C165" s="198"/>
      <c r="D165" s="198"/>
      <c r="E165" s="198" t="s">
        <v>874</v>
      </c>
      <c r="F165" s="199">
        <v>44145</v>
      </c>
      <c r="G165" s="198" t="s">
        <v>1432</v>
      </c>
      <c r="H165" s="198"/>
      <c r="I165" s="198" t="s">
        <v>1433</v>
      </c>
      <c r="J165" s="198" t="s">
        <v>675</v>
      </c>
      <c r="K165" s="200"/>
      <c r="L165" s="198" t="s">
        <v>1434</v>
      </c>
      <c r="M165" s="201">
        <v>51.49</v>
      </c>
      <c r="N165" s="201"/>
      <c r="O165" s="201">
        <v>39429.269999999997</v>
      </c>
      <c r="P165" s="205"/>
      <c r="Q165" s="66"/>
      <c r="R165" s="66"/>
      <c r="S165" s="66"/>
      <c r="T165" s="66"/>
      <c r="U165" s="66"/>
      <c r="V165" s="66"/>
      <c r="W165" s="66"/>
      <c r="X165" s="66"/>
    </row>
    <row r="166" spans="1:24">
      <c r="A166" s="198"/>
      <c r="B166" s="198"/>
      <c r="C166" s="198"/>
      <c r="D166" s="198"/>
      <c r="E166" s="198" t="s">
        <v>874</v>
      </c>
      <c r="F166" s="199">
        <v>44145</v>
      </c>
      <c r="G166" s="198" t="s">
        <v>1432</v>
      </c>
      <c r="H166" s="198"/>
      <c r="I166" s="198" t="s">
        <v>1433</v>
      </c>
      <c r="J166" s="198" t="s">
        <v>519</v>
      </c>
      <c r="K166" s="200"/>
      <c r="L166" s="198" t="s">
        <v>1434</v>
      </c>
      <c r="M166" s="201">
        <v>377.57</v>
      </c>
      <c r="N166" s="201"/>
      <c r="O166" s="201">
        <v>39806.839999999997</v>
      </c>
      <c r="P166" s="205"/>
      <c r="Q166" s="66"/>
      <c r="R166" s="66"/>
      <c r="S166" s="66"/>
      <c r="T166" s="66"/>
      <c r="U166" s="66"/>
      <c r="V166" s="66"/>
      <c r="W166" s="66"/>
      <c r="X166" s="66"/>
    </row>
    <row r="167" spans="1:24">
      <c r="A167" s="198"/>
      <c r="B167" s="198"/>
      <c r="C167" s="198"/>
      <c r="D167" s="198"/>
      <c r="E167" s="198" t="s">
        <v>874</v>
      </c>
      <c r="F167" s="199">
        <v>44153</v>
      </c>
      <c r="G167" s="198" t="s">
        <v>1432</v>
      </c>
      <c r="H167" s="198"/>
      <c r="I167" s="198" t="s">
        <v>1433</v>
      </c>
      <c r="J167" s="198" t="s">
        <v>675</v>
      </c>
      <c r="K167" s="200"/>
      <c r="L167" s="198" t="s">
        <v>1434</v>
      </c>
      <c r="M167" s="201">
        <v>43.71</v>
      </c>
      <c r="N167" s="201"/>
      <c r="O167" s="201">
        <v>40066.550000000003</v>
      </c>
      <c r="P167" s="205"/>
      <c r="Q167" s="66"/>
      <c r="R167" s="66"/>
      <c r="S167" s="66"/>
      <c r="T167" s="66"/>
      <c r="U167" s="66"/>
      <c r="V167" s="66"/>
      <c r="W167" s="66"/>
      <c r="X167" s="66"/>
    </row>
    <row r="168" spans="1:24">
      <c r="A168" s="198"/>
      <c r="B168" s="198"/>
      <c r="C168" s="198"/>
      <c r="D168" s="198"/>
      <c r="E168" s="198" t="s">
        <v>874</v>
      </c>
      <c r="F168" s="199">
        <v>44153</v>
      </c>
      <c r="G168" s="198" t="s">
        <v>1432</v>
      </c>
      <c r="H168" s="198"/>
      <c r="I168" s="198" t="s">
        <v>1433</v>
      </c>
      <c r="J168" s="198" t="s">
        <v>519</v>
      </c>
      <c r="K168" s="200"/>
      <c r="L168" s="198" t="s">
        <v>1434</v>
      </c>
      <c r="M168" s="201">
        <v>320.51</v>
      </c>
      <c r="N168" s="201"/>
      <c r="O168" s="201">
        <v>40387.06</v>
      </c>
      <c r="P168" s="205"/>
      <c r="Q168" s="66"/>
      <c r="R168" s="66"/>
      <c r="S168" s="66"/>
      <c r="T168" s="66"/>
      <c r="U168" s="66"/>
      <c r="V168" s="66"/>
      <c r="W168" s="66"/>
      <c r="X168" s="66"/>
    </row>
    <row r="169" spans="1:24">
      <c r="A169" s="198"/>
      <c r="B169" s="198"/>
      <c r="C169" s="198"/>
      <c r="D169" s="198"/>
      <c r="E169" s="198" t="s">
        <v>874</v>
      </c>
      <c r="F169" s="199">
        <v>44160</v>
      </c>
      <c r="G169" s="198" t="s">
        <v>1432</v>
      </c>
      <c r="H169" s="198"/>
      <c r="I169" s="198" t="s">
        <v>1433</v>
      </c>
      <c r="J169" s="198" t="s">
        <v>675</v>
      </c>
      <c r="K169" s="200"/>
      <c r="L169" s="198" t="s">
        <v>1434</v>
      </c>
      <c r="M169" s="201">
        <v>45.45</v>
      </c>
      <c r="N169" s="201"/>
      <c r="O169" s="201">
        <v>42632.51</v>
      </c>
      <c r="P169" s="205"/>
      <c r="Q169" s="66"/>
      <c r="R169" s="66"/>
      <c r="S169" s="66"/>
      <c r="T169" s="66"/>
      <c r="U169" s="66"/>
      <c r="V169" s="66"/>
      <c r="W169" s="66"/>
      <c r="X169" s="66"/>
    </row>
    <row r="170" spans="1:24">
      <c r="A170" s="198"/>
      <c r="B170" s="198"/>
      <c r="C170" s="198"/>
      <c r="D170" s="198"/>
      <c r="E170" s="198" t="s">
        <v>874</v>
      </c>
      <c r="F170" s="199">
        <v>44160</v>
      </c>
      <c r="G170" s="198" t="s">
        <v>1432</v>
      </c>
      <c r="H170" s="198"/>
      <c r="I170" s="198" t="s">
        <v>1433</v>
      </c>
      <c r="J170" s="198" t="s">
        <v>519</v>
      </c>
      <c r="K170" s="200"/>
      <c r="L170" s="198" t="s">
        <v>1434</v>
      </c>
      <c r="M170" s="201">
        <v>333.28</v>
      </c>
      <c r="N170" s="201"/>
      <c r="O170" s="201">
        <v>42965.79</v>
      </c>
      <c r="P170" s="205"/>
      <c r="Q170" s="66"/>
      <c r="R170" s="66"/>
      <c r="S170" s="66"/>
      <c r="T170" s="66"/>
      <c r="U170" s="66"/>
      <c r="V170" s="66"/>
      <c r="W170" s="66"/>
      <c r="X170" s="66"/>
    </row>
    <row r="171" spans="1:24">
      <c r="A171" s="198"/>
      <c r="B171" s="198"/>
      <c r="C171" s="198"/>
      <c r="D171" s="198"/>
      <c r="E171" s="198" t="s">
        <v>874</v>
      </c>
      <c r="F171" s="199">
        <v>44165</v>
      </c>
      <c r="G171" s="198" t="s">
        <v>1447</v>
      </c>
      <c r="H171" s="198"/>
      <c r="I171" s="198" t="s">
        <v>1446</v>
      </c>
      <c r="J171" s="198" t="s">
        <v>675</v>
      </c>
      <c r="K171" s="200"/>
      <c r="L171" s="198" t="s">
        <v>840</v>
      </c>
      <c r="M171" s="201">
        <v>0</v>
      </c>
      <c r="N171" s="201"/>
      <c r="O171" s="201">
        <v>42965.79</v>
      </c>
      <c r="P171" s="205"/>
      <c r="Q171" s="66"/>
      <c r="R171" s="66"/>
      <c r="S171" s="66"/>
      <c r="T171" s="66"/>
      <c r="U171" s="66"/>
      <c r="V171" s="66"/>
      <c r="W171" s="66"/>
      <c r="X171" s="66"/>
    </row>
    <row r="172" spans="1:24">
      <c r="A172" s="198"/>
      <c r="B172" s="198"/>
      <c r="C172" s="198"/>
      <c r="D172" s="198"/>
      <c r="E172" s="198" t="s">
        <v>874</v>
      </c>
      <c r="F172" s="199">
        <v>44165</v>
      </c>
      <c r="G172" s="198" t="s">
        <v>1447</v>
      </c>
      <c r="H172" s="198"/>
      <c r="I172" s="198" t="s">
        <v>1446</v>
      </c>
      <c r="J172" s="198" t="s">
        <v>519</v>
      </c>
      <c r="K172" s="200"/>
      <c r="L172" s="198" t="s">
        <v>840</v>
      </c>
      <c r="M172" s="201">
        <v>0</v>
      </c>
      <c r="N172" s="201"/>
      <c r="O172" s="201">
        <v>42965.79</v>
      </c>
      <c r="P172" s="205"/>
      <c r="Q172" s="66"/>
      <c r="R172" s="66"/>
      <c r="S172" s="66"/>
      <c r="T172" s="66"/>
      <c r="U172" s="66"/>
      <c r="V172" s="66"/>
      <c r="W172" s="66"/>
      <c r="X172" s="66"/>
    </row>
    <row r="173" spans="1:24">
      <c r="A173" s="198"/>
      <c r="B173" s="198"/>
      <c r="C173" s="198"/>
      <c r="D173" s="198"/>
      <c r="E173" s="198" t="s">
        <v>874</v>
      </c>
      <c r="F173" s="199">
        <v>44167</v>
      </c>
      <c r="G173" s="198" t="s">
        <v>1432</v>
      </c>
      <c r="H173" s="198"/>
      <c r="I173" s="198" t="s">
        <v>1433</v>
      </c>
      <c r="J173" s="198" t="s">
        <v>675</v>
      </c>
      <c r="K173" s="200"/>
      <c r="L173" s="198" t="s">
        <v>1434</v>
      </c>
      <c r="M173" s="201">
        <v>45.45</v>
      </c>
      <c r="N173" s="201"/>
      <c r="O173" s="201">
        <v>43577.59</v>
      </c>
      <c r="P173" s="205"/>
      <c r="Q173" s="66"/>
      <c r="R173" s="66"/>
      <c r="S173" s="66"/>
      <c r="T173" s="66"/>
      <c r="U173" s="66"/>
      <c r="V173" s="66"/>
      <c r="W173" s="66"/>
      <c r="X173" s="66"/>
    </row>
    <row r="174" spans="1:24">
      <c r="A174" s="198"/>
      <c r="B174" s="198"/>
      <c r="C174" s="198"/>
      <c r="D174" s="198"/>
      <c r="E174" s="198" t="s">
        <v>874</v>
      </c>
      <c r="F174" s="199">
        <v>44167</v>
      </c>
      <c r="G174" s="198" t="s">
        <v>1432</v>
      </c>
      <c r="H174" s="198"/>
      <c r="I174" s="198" t="s">
        <v>1433</v>
      </c>
      <c r="J174" s="198" t="s">
        <v>519</v>
      </c>
      <c r="K174" s="200"/>
      <c r="L174" s="198" t="s">
        <v>1434</v>
      </c>
      <c r="M174" s="201">
        <v>333.28</v>
      </c>
      <c r="N174" s="201"/>
      <c r="O174" s="201">
        <v>43910.87</v>
      </c>
      <c r="P174" s="205"/>
      <c r="Q174" s="66"/>
      <c r="R174" s="66"/>
      <c r="S174" s="66"/>
      <c r="T174" s="66"/>
      <c r="U174" s="66"/>
      <c r="V174" s="66"/>
      <c r="W174" s="66"/>
      <c r="X174" s="66"/>
    </row>
    <row r="175" spans="1:24">
      <c r="A175" s="198"/>
      <c r="B175" s="198"/>
      <c r="C175" s="198"/>
      <c r="D175" s="198"/>
      <c r="E175" s="198" t="s">
        <v>874</v>
      </c>
      <c r="F175" s="199">
        <v>44174</v>
      </c>
      <c r="G175" s="198" t="s">
        <v>1432</v>
      </c>
      <c r="H175" s="198"/>
      <c r="I175" s="198" t="s">
        <v>1433</v>
      </c>
      <c r="J175" s="198" t="s">
        <v>675</v>
      </c>
      <c r="K175" s="200"/>
      <c r="L175" s="198" t="s">
        <v>1434</v>
      </c>
      <c r="M175" s="201">
        <v>45.45</v>
      </c>
      <c r="N175" s="201"/>
      <c r="O175" s="201">
        <v>43956.32</v>
      </c>
      <c r="P175" s="205"/>
      <c r="Q175" s="66"/>
      <c r="R175" s="66"/>
      <c r="S175" s="66"/>
      <c r="T175" s="66"/>
      <c r="U175" s="66"/>
      <c r="V175" s="66"/>
      <c r="W175" s="66"/>
      <c r="X175" s="66"/>
    </row>
    <row r="176" spans="1:24">
      <c r="A176" s="198"/>
      <c r="B176" s="198"/>
      <c r="C176" s="198"/>
      <c r="D176" s="198"/>
      <c r="E176" s="198" t="s">
        <v>874</v>
      </c>
      <c r="F176" s="199">
        <v>44174</v>
      </c>
      <c r="G176" s="198" t="s">
        <v>1432</v>
      </c>
      <c r="H176" s="198"/>
      <c r="I176" s="198" t="s">
        <v>1433</v>
      </c>
      <c r="J176" s="198" t="s">
        <v>519</v>
      </c>
      <c r="K176" s="200"/>
      <c r="L176" s="198" t="s">
        <v>1434</v>
      </c>
      <c r="M176" s="201">
        <v>333.28</v>
      </c>
      <c r="N176" s="201"/>
      <c r="O176" s="201">
        <v>44289.599999999999</v>
      </c>
      <c r="P176" s="205"/>
      <c r="Q176" s="66"/>
      <c r="R176" s="66"/>
      <c r="S176" s="66"/>
      <c r="T176" s="66"/>
      <c r="U176" s="66"/>
      <c r="V176" s="66"/>
      <c r="W176" s="66"/>
      <c r="X176" s="66"/>
    </row>
    <row r="177" spans="1:24">
      <c r="A177" s="198"/>
      <c r="B177" s="198"/>
      <c r="C177" s="198"/>
      <c r="D177" s="198"/>
      <c r="E177" s="198" t="s">
        <v>874</v>
      </c>
      <c r="F177" s="199">
        <v>44181</v>
      </c>
      <c r="G177" s="198" t="s">
        <v>1432</v>
      </c>
      <c r="H177" s="198"/>
      <c r="I177" s="198" t="s">
        <v>1433</v>
      </c>
      <c r="J177" s="198" t="s">
        <v>675</v>
      </c>
      <c r="K177" s="200"/>
      <c r="L177" s="198" t="s">
        <v>1434</v>
      </c>
      <c r="M177" s="201">
        <v>45.45</v>
      </c>
      <c r="N177" s="201"/>
      <c r="O177" s="201">
        <v>46673.55</v>
      </c>
      <c r="P177" s="205"/>
      <c r="Q177" s="66"/>
      <c r="R177" s="66"/>
      <c r="S177" s="66"/>
      <c r="T177" s="66"/>
      <c r="U177" s="66"/>
      <c r="V177" s="66"/>
      <c r="W177" s="66"/>
      <c r="X177" s="66"/>
    </row>
    <row r="178" spans="1:24">
      <c r="A178" s="198"/>
      <c r="B178" s="198"/>
      <c r="C178" s="198"/>
      <c r="D178" s="198"/>
      <c r="E178" s="198" t="s">
        <v>874</v>
      </c>
      <c r="F178" s="199">
        <v>44181</v>
      </c>
      <c r="G178" s="198" t="s">
        <v>1432</v>
      </c>
      <c r="H178" s="198"/>
      <c r="I178" s="198" t="s">
        <v>1433</v>
      </c>
      <c r="J178" s="198" t="s">
        <v>519</v>
      </c>
      <c r="K178" s="200"/>
      <c r="L178" s="198" t="s">
        <v>1434</v>
      </c>
      <c r="M178" s="201">
        <v>333.28</v>
      </c>
      <c r="N178" s="201"/>
      <c r="O178" s="201">
        <v>47006.83</v>
      </c>
      <c r="P178" s="205"/>
      <c r="Q178" s="66"/>
      <c r="R178" s="66"/>
      <c r="S178" s="66"/>
      <c r="T178" s="66"/>
      <c r="U178" s="66"/>
      <c r="V178" s="66"/>
      <c r="W178" s="66"/>
      <c r="X178" s="66"/>
    </row>
    <row r="179" spans="1:24">
      <c r="A179" s="198"/>
      <c r="B179" s="198"/>
      <c r="C179" s="198"/>
      <c r="D179" s="198"/>
      <c r="E179" s="198" t="s">
        <v>874</v>
      </c>
      <c r="F179" s="199">
        <v>44188</v>
      </c>
      <c r="G179" s="198" t="s">
        <v>1432</v>
      </c>
      <c r="H179" s="198"/>
      <c r="I179" s="198" t="s">
        <v>1433</v>
      </c>
      <c r="J179" s="198" t="s">
        <v>675</v>
      </c>
      <c r="K179" s="200"/>
      <c r="L179" s="198" t="s">
        <v>1434</v>
      </c>
      <c r="M179" s="201">
        <v>44.29</v>
      </c>
      <c r="N179" s="201"/>
      <c r="O179" s="201">
        <v>57051.12</v>
      </c>
      <c r="P179" s="205"/>
      <c r="Q179" s="66"/>
      <c r="R179" s="66"/>
      <c r="S179" s="66"/>
      <c r="T179" s="66"/>
      <c r="U179" s="66"/>
      <c r="V179" s="66"/>
      <c r="W179" s="66"/>
      <c r="X179" s="66"/>
    </row>
    <row r="180" spans="1:24">
      <c r="A180" s="198"/>
      <c r="B180" s="198"/>
      <c r="C180" s="198"/>
      <c r="D180" s="198"/>
      <c r="E180" s="198" t="s">
        <v>874</v>
      </c>
      <c r="F180" s="199">
        <v>44188</v>
      </c>
      <c r="G180" s="198" t="s">
        <v>1432</v>
      </c>
      <c r="H180" s="198"/>
      <c r="I180" s="198" t="s">
        <v>1433</v>
      </c>
      <c r="J180" s="198" t="s">
        <v>519</v>
      </c>
      <c r="K180" s="200"/>
      <c r="L180" s="198" t="s">
        <v>1434</v>
      </c>
      <c r="M180" s="201">
        <v>324.77</v>
      </c>
      <c r="N180" s="201"/>
      <c r="O180" s="201">
        <v>57375.89</v>
      </c>
      <c r="P180" s="205"/>
      <c r="Q180" s="66"/>
      <c r="R180" s="66"/>
      <c r="S180" s="66"/>
      <c r="T180" s="66"/>
      <c r="U180" s="66"/>
      <c r="V180" s="66"/>
      <c r="W180" s="66"/>
      <c r="X180" s="66"/>
    </row>
    <row r="181" spans="1:24">
      <c r="A181" s="198"/>
      <c r="B181" s="198"/>
      <c r="C181" s="198"/>
      <c r="D181" s="198"/>
      <c r="E181" s="198" t="s">
        <v>874</v>
      </c>
      <c r="F181" s="199">
        <v>44195</v>
      </c>
      <c r="G181" s="198" t="s">
        <v>1432</v>
      </c>
      <c r="H181" s="198"/>
      <c r="I181" s="198" t="s">
        <v>1433</v>
      </c>
      <c r="J181" s="198" t="s">
        <v>675</v>
      </c>
      <c r="K181" s="200"/>
      <c r="L181" s="198" t="s">
        <v>1434</v>
      </c>
      <c r="M181" s="201">
        <v>46.03</v>
      </c>
      <c r="N181" s="201"/>
      <c r="O181" s="201">
        <v>57421.919999999998</v>
      </c>
      <c r="P181" s="205"/>
      <c r="Q181" s="66"/>
      <c r="R181" s="66"/>
      <c r="S181" s="66"/>
      <c r="T181" s="66"/>
      <c r="U181" s="66"/>
      <c r="V181" s="66"/>
      <c r="W181" s="66"/>
      <c r="X181" s="66"/>
    </row>
    <row r="182" spans="1:24">
      <c r="A182" s="198"/>
      <c r="B182" s="198"/>
      <c r="C182" s="198"/>
      <c r="D182" s="198"/>
      <c r="E182" s="198" t="s">
        <v>874</v>
      </c>
      <c r="F182" s="199">
        <v>44195</v>
      </c>
      <c r="G182" s="198" t="s">
        <v>1432</v>
      </c>
      <c r="H182" s="198"/>
      <c r="I182" s="198" t="s">
        <v>1433</v>
      </c>
      <c r="J182" s="198" t="s">
        <v>519</v>
      </c>
      <c r="K182" s="200"/>
      <c r="L182" s="198" t="s">
        <v>1434</v>
      </c>
      <c r="M182" s="201">
        <v>337.54</v>
      </c>
      <c r="N182" s="201"/>
      <c r="O182" s="201">
        <v>57759.46</v>
      </c>
      <c r="P182" s="205"/>
      <c r="Q182" s="66"/>
      <c r="R182" s="66"/>
      <c r="S182" s="66"/>
      <c r="T182" s="66"/>
      <c r="U182" s="66"/>
      <c r="V182" s="66"/>
      <c r="W182" s="66"/>
      <c r="X182" s="66"/>
    </row>
    <row r="183" spans="1:24">
      <c r="A183" s="198"/>
      <c r="B183" s="198"/>
      <c r="C183" s="198"/>
      <c r="D183" s="198"/>
      <c r="E183" s="198" t="s">
        <v>874</v>
      </c>
      <c r="F183" s="199">
        <v>44195</v>
      </c>
      <c r="G183" s="198" t="s">
        <v>1432</v>
      </c>
      <c r="H183" s="198"/>
      <c r="I183" s="198" t="s">
        <v>1433</v>
      </c>
      <c r="J183" s="198" t="s">
        <v>675</v>
      </c>
      <c r="K183" s="200"/>
      <c r="L183" s="198" t="s">
        <v>1434</v>
      </c>
      <c r="M183" s="201">
        <v>16.989999999999998</v>
      </c>
      <c r="N183" s="201"/>
      <c r="O183" s="201">
        <v>57776.45</v>
      </c>
      <c r="P183" s="205"/>
      <c r="Q183" s="66"/>
      <c r="R183" s="66"/>
      <c r="S183" s="66"/>
      <c r="T183" s="66"/>
      <c r="U183" s="66"/>
      <c r="V183" s="66"/>
      <c r="W183" s="66"/>
      <c r="X183" s="66"/>
    </row>
    <row r="184" spans="1:24">
      <c r="A184" s="198"/>
      <c r="B184" s="198"/>
      <c r="C184" s="198"/>
      <c r="D184" s="198"/>
      <c r="E184" s="198" t="s">
        <v>874</v>
      </c>
      <c r="F184" s="199">
        <v>44195</v>
      </c>
      <c r="G184" s="198" t="s">
        <v>1432</v>
      </c>
      <c r="H184" s="198"/>
      <c r="I184" s="198" t="s">
        <v>1433</v>
      </c>
      <c r="J184" s="198" t="s">
        <v>519</v>
      </c>
      <c r="K184" s="200"/>
      <c r="L184" s="198" t="s">
        <v>1434</v>
      </c>
      <c r="M184" s="201">
        <v>124.62</v>
      </c>
      <c r="N184" s="201"/>
      <c r="O184" s="201">
        <v>57901.07</v>
      </c>
      <c r="P184" s="205"/>
      <c r="Q184" s="66"/>
      <c r="R184" s="66"/>
      <c r="S184" s="66"/>
      <c r="T184" s="66"/>
      <c r="U184" s="66"/>
      <c r="V184" s="66"/>
      <c r="W184" s="66"/>
      <c r="X184" s="66"/>
    </row>
    <row r="185" spans="1:24">
      <c r="A185" s="198"/>
      <c r="B185" s="198"/>
      <c r="C185" s="198"/>
      <c r="D185" s="198"/>
      <c r="E185" s="198" t="s">
        <v>874</v>
      </c>
      <c r="F185" s="199">
        <v>44196</v>
      </c>
      <c r="G185" s="198" t="s">
        <v>1448</v>
      </c>
      <c r="H185" s="198"/>
      <c r="I185" s="198" t="s">
        <v>1449</v>
      </c>
      <c r="J185" s="198" t="s">
        <v>675</v>
      </c>
      <c r="K185" s="200"/>
      <c r="L185" s="198" t="s">
        <v>840</v>
      </c>
      <c r="M185" s="201">
        <v>0</v>
      </c>
      <c r="N185" s="201"/>
      <c r="O185" s="201">
        <v>57901.07</v>
      </c>
      <c r="P185" s="205"/>
      <c r="Q185" s="66"/>
      <c r="R185" s="66"/>
      <c r="S185" s="66"/>
      <c r="T185" s="66"/>
      <c r="U185" s="66"/>
      <c r="V185" s="66"/>
      <c r="W185" s="66"/>
      <c r="X185" s="66"/>
    </row>
    <row r="186" spans="1:24">
      <c r="A186" s="198"/>
      <c r="B186" s="198"/>
      <c r="C186" s="198"/>
      <c r="D186" s="198"/>
      <c r="E186" s="198" t="s">
        <v>874</v>
      </c>
      <c r="F186" s="199">
        <v>44196</v>
      </c>
      <c r="G186" s="198" t="s">
        <v>1448</v>
      </c>
      <c r="H186" s="198"/>
      <c r="I186" s="198" t="s">
        <v>1449</v>
      </c>
      <c r="J186" s="198" t="s">
        <v>519</v>
      </c>
      <c r="K186" s="200"/>
      <c r="L186" s="198" t="s">
        <v>840</v>
      </c>
      <c r="M186" s="201">
        <v>0</v>
      </c>
      <c r="N186" s="201"/>
      <c r="O186" s="201">
        <v>57901.07</v>
      </c>
      <c r="P186" s="205"/>
      <c r="Q186" s="66"/>
      <c r="R186" s="66"/>
      <c r="S186" s="66"/>
      <c r="T186" s="66"/>
      <c r="U186" s="66"/>
      <c r="V186" s="66"/>
      <c r="W186" s="66"/>
      <c r="X186" s="66"/>
    </row>
    <row r="187" spans="1:24">
      <c r="A187" s="198"/>
      <c r="B187" s="198"/>
      <c r="C187" s="198"/>
      <c r="D187" s="198"/>
      <c r="E187" s="198" t="s">
        <v>874</v>
      </c>
      <c r="F187" s="199">
        <v>44202</v>
      </c>
      <c r="G187" s="198" t="s">
        <v>1432</v>
      </c>
      <c r="H187" s="198"/>
      <c r="I187" s="198" t="s">
        <v>1433</v>
      </c>
      <c r="J187" s="198" t="s">
        <v>675</v>
      </c>
      <c r="K187" s="200"/>
      <c r="L187" s="198" t="s">
        <v>1434</v>
      </c>
      <c r="M187" s="201">
        <v>52.65</v>
      </c>
      <c r="N187" s="201"/>
      <c r="O187" s="201">
        <v>57953.72</v>
      </c>
      <c r="P187" s="205"/>
      <c r="Q187" s="66"/>
      <c r="R187" s="66"/>
      <c r="S187" s="66"/>
      <c r="T187" s="66"/>
      <c r="U187" s="66"/>
      <c r="V187" s="66"/>
      <c r="W187" s="66"/>
      <c r="X187" s="66"/>
    </row>
    <row r="188" spans="1:24">
      <c r="A188" s="198"/>
      <c r="B188" s="198"/>
      <c r="C188" s="198"/>
      <c r="D188" s="198"/>
      <c r="E188" s="198" t="s">
        <v>874</v>
      </c>
      <c r="F188" s="199">
        <v>44202</v>
      </c>
      <c r="G188" s="198" t="s">
        <v>1432</v>
      </c>
      <c r="H188" s="198"/>
      <c r="I188" s="198" t="s">
        <v>1433</v>
      </c>
      <c r="J188" s="198" t="s">
        <v>519</v>
      </c>
      <c r="K188" s="200"/>
      <c r="L188" s="198" t="s">
        <v>1434</v>
      </c>
      <c r="M188" s="201">
        <v>386.08</v>
      </c>
      <c r="N188" s="201"/>
      <c r="O188" s="201">
        <v>58339.8</v>
      </c>
      <c r="P188" s="205"/>
      <c r="Q188" s="66"/>
      <c r="R188" s="66"/>
      <c r="S188" s="66"/>
      <c r="T188" s="66"/>
      <c r="U188" s="66"/>
      <c r="V188" s="66"/>
      <c r="W188" s="66"/>
      <c r="X188" s="66"/>
    </row>
    <row r="189" spans="1:24">
      <c r="A189" s="198"/>
      <c r="B189" s="198"/>
      <c r="C189" s="198"/>
      <c r="D189" s="198"/>
      <c r="E189" s="198" t="s">
        <v>874</v>
      </c>
      <c r="F189" s="199">
        <v>44209</v>
      </c>
      <c r="G189" s="198" t="s">
        <v>1432</v>
      </c>
      <c r="H189" s="198"/>
      <c r="I189" s="198" t="s">
        <v>1433</v>
      </c>
      <c r="J189" s="198" t="s">
        <v>675</v>
      </c>
      <c r="K189" s="200"/>
      <c r="L189" s="198" t="s">
        <v>1434</v>
      </c>
      <c r="M189" s="201">
        <v>49.71</v>
      </c>
      <c r="N189" s="201"/>
      <c r="O189" s="201">
        <v>60889.51</v>
      </c>
      <c r="P189" s="205"/>
      <c r="Q189" s="66"/>
      <c r="R189" s="66"/>
      <c r="S189" s="66"/>
      <c r="T189" s="66"/>
      <c r="U189" s="66"/>
      <c r="V189" s="66"/>
      <c r="W189" s="66"/>
      <c r="X189" s="66"/>
    </row>
    <row r="190" spans="1:24">
      <c r="A190" s="198"/>
      <c r="B190" s="198"/>
      <c r="C190" s="198"/>
      <c r="D190" s="198"/>
      <c r="E190" s="198" t="s">
        <v>874</v>
      </c>
      <c r="F190" s="199">
        <v>44209</v>
      </c>
      <c r="G190" s="198" t="s">
        <v>1432</v>
      </c>
      <c r="H190" s="198"/>
      <c r="I190" s="198" t="s">
        <v>1433</v>
      </c>
      <c r="J190" s="198" t="s">
        <v>519</v>
      </c>
      <c r="K190" s="200"/>
      <c r="L190" s="198" t="s">
        <v>1434</v>
      </c>
      <c r="M190" s="201">
        <v>364.52</v>
      </c>
      <c r="N190" s="201"/>
      <c r="O190" s="201">
        <v>61254.03</v>
      </c>
      <c r="P190" s="205"/>
      <c r="Q190" s="66"/>
      <c r="R190" s="66"/>
      <c r="S190" s="66"/>
      <c r="T190" s="66"/>
      <c r="U190" s="66"/>
      <c r="V190" s="66"/>
      <c r="W190" s="66"/>
      <c r="X190" s="66"/>
    </row>
    <row r="191" spans="1:24">
      <c r="A191" s="198"/>
      <c r="B191" s="198"/>
      <c r="C191" s="198"/>
      <c r="D191" s="198"/>
      <c r="E191" s="198" t="s">
        <v>874</v>
      </c>
      <c r="F191" s="199">
        <v>44209</v>
      </c>
      <c r="G191" s="198" t="s">
        <v>1432</v>
      </c>
      <c r="H191" s="198"/>
      <c r="I191" s="198" t="s">
        <v>1433</v>
      </c>
      <c r="J191" s="198" t="s">
        <v>675</v>
      </c>
      <c r="K191" s="200"/>
      <c r="L191" s="198" t="s">
        <v>1434</v>
      </c>
      <c r="M191" s="201">
        <v>44.07</v>
      </c>
      <c r="N191" s="201"/>
      <c r="O191" s="201">
        <v>61298.1</v>
      </c>
      <c r="P191" s="205"/>
      <c r="Q191" s="66"/>
      <c r="R191" s="66"/>
      <c r="S191" s="66"/>
      <c r="T191" s="66"/>
      <c r="U191" s="66"/>
      <c r="V191" s="66"/>
      <c r="W191" s="66"/>
      <c r="X191" s="66"/>
    </row>
    <row r="192" spans="1:24">
      <c r="A192" s="198"/>
      <c r="B192" s="198"/>
      <c r="C192" s="198"/>
      <c r="D192" s="198"/>
      <c r="E192" s="198" t="s">
        <v>874</v>
      </c>
      <c r="F192" s="199">
        <v>44209</v>
      </c>
      <c r="G192" s="198" t="s">
        <v>1432</v>
      </c>
      <c r="H192" s="198"/>
      <c r="I192" s="198" t="s">
        <v>1433</v>
      </c>
      <c r="J192" s="198" t="s">
        <v>519</v>
      </c>
      <c r="K192" s="200"/>
      <c r="L192" s="198" t="s">
        <v>1434</v>
      </c>
      <c r="M192" s="201">
        <v>323.16000000000003</v>
      </c>
      <c r="N192" s="201"/>
      <c r="O192" s="201">
        <v>61621.26</v>
      </c>
      <c r="P192" s="205"/>
      <c r="Q192" s="66"/>
      <c r="R192" s="66"/>
      <c r="S192" s="66"/>
      <c r="T192" s="66"/>
      <c r="U192" s="66"/>
      <c r="V192" s="66"/>
      <c r="W192" s="66"/>
      <c r="X192" s="66"/>
    </row>
    <row r="193" spans="1:24">
      <c r="A193" s="198"/>
      <c r="B193" s="198"/>
      <c r="C193" s="198"/>
      <c r="D193" s="198"/>
      <c r="E193" s="198" t="s">
        <v>874</v>
      </c>
      <c r="F193" s="199">
        <v>44209</v>
      </c>
      <c r="G193" s="198" t="s">
        <v>1432</v>
      </c>
      <c r="H193" s="198"/>
      <c r="I193" s="198" t="s">
        <v>1433</v>
      </c>
      <c r="J193" s="198" t="s">
        <v>675</v>
      </c>
      <c r="K193" s="200"/>
      <c r="L193" s="198" t="s">
        <v>1434</v>
      </c>
      <c r="M193" s="201">
        <v>98.42</v>
      </c>
      <c r="N193" s="201"/>
      <c r="O193" s="201">
        <v>61719.68</v>
      </c>
      <c r="P193" s="205"/>
      <c r="Q193" s="66"/>
      <c r="R193" s="66"/>
      <c r="S193" s="66"/>
      <c r="T193" s="66"/>
      <c r="U193" s="66"/>
      <c r="V193" s="66"/>
      <c r="W193" s="66"/>
      <c r="X193" s="66"/>
    </row>
    <row r="194" spans="1:24">
      <c r="A194" s="198"/>
      <c r="B194" s="198"/>
      <c r="C194" s="198"/>
      <c r="D194" s="198"/>
      <c r="E194" s="198" t="s">
        <v>874</v>
      </c>
      <c r="F194" s="199">
        <v>44209</v>
      </c>
      <c r="G194" s="198" t="s">
        <v>1432</v>
      </c>
      <c r="H194" s="198"/>
      <c r="I194" s="198" t="s">
        <v>1433</v>
      </c>
      <c r="J194" s="198" t="s">
        <v>519</v>
      </c>
      <c r="K194" s="200"/>
      <c r="L194" s="198" t="s">
        <v>1434</v>
      </c>
      <c r="M194" s="201">
        <v>721.72</v>
      </c>
      <c r="N194" s="201"/>
      <c r="O194" s="201">
        <v>62441.4</v>
      </c>
      <c r="P194" s="205"/>
      <c r="Q194" s="66"/>
      <c r="R194" s="66"/>
      <c r="S194" s="66"/>
      <c r="T194" s="66"/>
      <c r="U194" s="66"/>
      <c r="V194" s="66"/>
      <c r="W194" s="66"/>
      <c r="X194" s="66"/>
    </row>
    <row r="195" spans="1:24">
      <c r="A195" s="198"/>
      <c r="B195" s="198"/>
      <c r="C195" s="198"/>
      <c r="D195" s="198"/>
      <c r="E195" s="198" t="s">
        <v>874</v>
      </c>
      <c r="F195" s="199">
        <v>44216</v>
      </c>
      <c r="G195" s="198" t="s">
        <v>1432</v>
      </c>
      <c r="H195" s="198"/>
      <c r="I195" s="198" t="s">
        <v>1433</v>
      </c>
      <c r="J195" s="198" t="s">
        <v>675</v>
      </c>
      <c r="K195" s="200"/>
      <c r="L195" s="198" t="s">
        <v>1434</v>
      </c>
      <c r="M195" s="201">
        <v>44.87</v>
      </c>
      <c r="N195" s="201"/>
      <c r="O195" s="201">
        <v>62684.27</v>
      </c>
      <c r="P195" s="205"/>
      <c r="Q195" s="66"/>
      <c r="R195" s="66"/>
      <c r="S195" s="66"/>
      <c r="T195" s="66"/>
      <c r="U195" s="66"/>
      <c r="V195" s="66"/>
      <c r="W195" s="66"/>
      <c r="X195" s="66"/>
    </row>
    <row r="196" spans="1:24">
      <c r="A196" s="198"/>
      <c r="B196" s="198"/>
      <c r="C196" s="198"/>
      <c r="D196" s="198"/>
      <c r="E196" s="198" t="s">
        <v>874</v>
      </c>
      <c r="F196" s="199">
        <v>44216</v>
      </c>
      <c r="G196" s="198" t="s">
        <v>1432</v>
      </c>
      <c r="H196" s="198"/>
      <c r="I196" s="198" t="s">
        <v>1433</v>
      </c>
      <c r="J196" s="198" t="s">
        <v>519</v>
      </c>
      <c r="K196" s="200"/>
      <c r="L196" s="198" t="s">
        <v>1434</v>
      </c>
      <c r="M196" s="201">
        <v>329.02</v>
      </c>
      <c r="N196" s="201"/>
      <c r="O196" s="201">
        <v>63013.29</v>
      </c>
      <c r="P196" s="205"/>
      <c r="Q196" s="66"/>
      <c r="R196" s="66"/>
      <c r="S196" s="66"/>
      <c r="T196" s="66"/>
      <c r="U196" s="66"/>
      <c r="V196" s="66"/>
      <c r="W196" s="66"/>
      <c r="X196" s="66"/>
    </row>
    <row r="197" spans="1:24">
      <c r="A197" s="198"/>
      <c r="B197" s="198"/>
      <c r="C197" s="198"/>
      <c r="D197" s="198"/>
      <c r="E197" s="198" t="s">
        <v>874</v>
      </c>
      <c r="F197" s="199">
        <v>44216</v>
      </c>
      <c r="G197" s="198" t="s">
        <v>1432</v>
      </c>
      <c r="H197" s="198"/>
      <c r="I197" s="198" t="s">
        <v>1433</v>
      </c>
      <c r="J197" s="198" t="s">
        <v>675</v>
      </c>
      <c r="K197" s="200"/>
      <c r="L197" s="198" t="s">
        <v>1434</v>
      </c>
      <c r="M197" s="201">
        <v>24.19</v>
      </c>
      <c r="N197" s="201"/>
      <c r="O197" s="201">
        <v>63037.48</v>
      </c>
      <c r="P197" s="205"/>
      <c r="Q197" s="66"/>
      <c r="R197" s="66"/>
      <c r="S197" s="66"/>
      <c r="T197" s="66"/>
      <c r="U197" s="66"/>
      <c r="V197" s="66"/>
      <c r="W197" s="66"/>
      <c r="X197" s="66"/>
    </row>
    <row r="198" spans="1:24">
      <c r="A198" s="198"/>
      <c r="B198" s="198"/>
      <c r="C198" s="198"/>
      <c r="D198" s="198"/>
      <c r="E198" s="198" t="s">
        <v>874</v>
      </c>
      <c r="F198" s="199">
        <v>44216</v>
      </c>
      <c r="G198" s="198" t="s">
        <v>1432</v>
      </c>
      <c r="H198" s="198"/>
      <c r="I198" s="198" t="s">
        <v>1433</v>
      </c>
      <c r="J198" s="198" t="s">
        <v>519</v>
      </c>
      <c r="K198" s="200"/>
      <c r="L198" s="198" t="s">
        <v>1434</v>
      </c>
      <c r="M198" s="201">
        <v>177.42</v>
      </c>
      <c r="N198" s="201"/>
      <c r="O198" s="201">
        <v>63214.9</v>
      </c>
      <c r="P198" s="205"/>
      <c r="Q198" s="66"/>
      <c r="R198" s="66"/>
      <c r="S198" s="66"/>
      <c r="T198" s="66"/>
      <c r="U198" s="66"/>
      <c r="V198" s="66"/>
      <c r="W198" s="66"/>
      <c r="X198" s="66"/>
    </row>
    <row r="199" spans="1:24">
      <c r="A199" s="198"/>
      <c r="B199" s="198"/>
      <c r="C199" s="198"/>
      <c r="D199" s="198"/>
      <c r="E199" s="198" t="s">
        <v>874</v>
      </c>
      <c r="F199" s="199">
        <v>44223</v>
      </c>
      <c r="G199" s="198" t="s">
        <v>1432</v>
      </c>
      <c r="H199" s="198"/>
      <c r="I199" s="198" t="s">
        <v>1433</v>
      </c>
      <c r="J199" s="198" t="s">
        <v>675</v>
      </c>
      <c r="K199" s="200"/>
      <c r="L199" s="198" t="s">
        <v>1434</v>
      </c>
      <c r="M199" s="201">
        <v>55.59</v>
      </c>
      <c r="N199" s="201"/>
      <c r="O199" s="201">
        <v>63270.49</v>
      </c>
      <c r="P199" s="205"/>
      <c r="Q199" s="66"/>
      <c r="R199" s="66"/>
      <c r="S199" s="66"/>
      <c r="T199" s="66"/>
      <c r="U199" s="66"/>
      <c r="V199" s="66"/>
      <c r="W199" s="66"/>
      <c r="X199" s="66"/>
    </row>
    <row r="200" spans="1:24">
      <c r="A200" s="198"/>
      <c r="B200" s="198"/>
      <c r="C200" s="198"/>
      <c r="D200" s="198"/>
      <c r="E200" s="198" t="s">
        <v>874</v>
      </c>
      <c r="F200" s="199">
        <v>44223</v>
      </c>
      <c r="G200" s="198" t="s">
        <v>1432</v>
      </c>
      <c r="H200" s="198"/>
      <c r="I200" s="198" t="s">
        <v>1433</v>
      </c>
      <c r="J200" s="198" t="s">
        <v>519</v>
      </c>
      <c r="K200" s="200"/>
      <c r="L200" s="198" t="s">
        <v>1434</v>
      </c>
      <c r="M200" s="201">
        <v>407.63</v>
      </c>
      <c r="N200" s="201"/>
      <c r="O200" s="201">
        <v>63678.12</v>
      </c>
      <c r="P200" s="205"/>
      <c r="Q200" s="66"/>
      <c r="R200" s="66"/>
      <c r="S200" s="66"/>
      <c r="T200" s="66"/>
      <c r="U200" s="66"/>
      <c r="V200" s="66"/>
      <c r="W200" s="66"/>
      <c r="X200" s="66"/>
    </row>
    <row r="201" spans="1:24">
      <c r="A201" s="198"/>
      <c r="B201" s="198"/>
      <c r="C201" s="198"/>
      <c r="D201" s="198"/>
      <c r="E201" s="198" t="s">
        <v>874</v>
      </c>
      <c r="F201" s="199">
        <v>44227</v>
      </c>
      <c r="G201" s="198" t="s">
        <v>1450</v>
      </c>
      <c r="H201" s="198"/>
      <c r="I201" s="198" t="s">
        <v>1451</v>
      </c>
      <c r="J201" s="198" t="s">
        <v>675</v>
      </c>
      <c r="K201" s="200"/>
      <c r="L201" s="198" t="s">
        <v>840</v>
      </c>
      <c r="M201" s="201">
        <v>0</v>
      </c>
      <c r="N201" s="201"/>
      <c r="O201" s="201">
        <v>63678.12</v>
      </c>
      <c r="P201" s="205"/>
      <c r="Q201" s="66"/>
      <c r="R201" s="66"/>
      <c r="S201" s="66"/>
      <c r="T201" s="66"/>
      <c r="U201" s="66"/>
      <c r="V201" s="66"/>
      <c r="W201" s="66"/>
      <c r="X201" s="66"/>
    </row>
    <row r="202" spans="1:24">
      <c r="A202" s="198"/>
      <c r="B202" s="198"/>
      <c r="C202" s="198"/>
      <c r="D202" s="198"/>
      <c r="E202" s="198" t="s">
        <v>874</v>
      </c>
      <c r="F202" s="199">
        <v>44227</v>
      </c>
      <c r="G202" s="198" t="s">
        <v>1450</v>
      </c>
      <c r="H202" s="198"/>
      <c r="I202" s="198" t="s">
        <v>1451</v>
      </c>
      <c r="J202" s="198" t="s">
        <v>519</v>
      </c>
      <c r="K202" s="200"/>
      <c r="L202" s="198" t="s">
        <v>840</v>
      </c>
      <c r="M202" s="201">
        <v>0</v>
      </c>
      <c r="N202" s="201"/>
      <c r="O202" s="201">
        <v>63678.12</v>
      </c>
      <c r="P202" s="205"/>
      <c r="Q202" s="66"/>
      <c r="R202" s="66"/>
      <c r="S202" s="66"/>
      <c r="T202" s="66"/>
      <c r="U202" s="66"/>
      <c r="V202" s="66"/>
      <c r="W202" s="66"/>
      <c r="X202" s="66"/>
    </row>
    <row r="203" spans="1:24">
      <c r="A203" s="198"/>
      <c r="B203" s="198"/>
      <c r="C203" s="198"/>
      <c r="D203" s="198"/>
      <c r="E203" s="198" t="s">
        <v>874</v>
      </c>
      <c r="F203" s="199">
        <v>44230</v>
      </c>
      <c r="G203" s="198" t="s">
        <v>1432</v>
      </c>
      <c r="H203" s="198"/>
      <c r="I203" s="198" t="s">
        <v>1433</v>
      </c>
      <c r="J203" s="198" t="s">
        <v>675</v>
      </c>
      <c r="K203" s="200"/>
      <c r="L203" s="198" t="s">
        <v>1434</v>
      </c>
      <c r="M203" s="201">
        <v>43.13</v>
      </c>
      <c r="N203" s="201"/>
      <c r="O203" s="201">
        <v>63721.25</v>
      </c>
      <c r="P203" s="205"/>
      <c r="Q203" s="66"/>
      <c r="R203" s="66"/>
      <c r="S203" s="66"/>
      <c r="T203" s="66"/>
      <c r="U203" s="66"/>
      <c r="V203" s="66"/>
      <c r="W203" s="66"/>
      <c r="X203" s="66"/>
    </row>
    <row r="204" spans="1:24">
      <c r="A204" s="198"/>
      <c r="B204" s="198"/>
      <c r="C204" s="198"/>
      <c r="D204" s="198"/>
      <c r="E204" s="198" t="s">
        <v>874</v>
      </c>
      <c r="F204" s="199">
        <v>44230</v>
      </c>
      <c r="G204" s="198" t="s">
        <v>1432</v>
      </c>
      <c r="H204" s="198"/>
      <c r="I204" s="198" t="s">
        <v>1433</v>
      </c>
      <c r="J204" s="198" t="s">
        <v>519</v>
      </c>
      <c r="K204" s="200"/>
      <c r="L204" s="198" t="s">
        <v>1434</v>
      </c>
      <c r="M204" s="201">
        <v>316.25</v>
      </c>
      <c r="N204" s="201"/>
      <c r="O204" s="201">
        <v>64037.5</v>
      </c>
      <c r="P204" s="205"/>
      <c r="Q204" s="66"/>
      <c r="R204" s="66"/>
      <c r="S204" s="66"/>
      <c r="T204" s="66"/>
      <c r="U204" s="66"/>
      <c r="V204" s="66"/>
      <c r="W204" s="66"/>
      <c r="X204" s="66"/>
    </row>
    <row r="205" spans="1:24">
      <c r="A205" s="198"/>
      <c r="B205" s="198"/>
      <c r="C205" s="198"/>
      <c r="D205" s="198"/>
      <c r="E205" s="198" t="s">
        <v>874</v>
      </c>
      <c r="F205" s="199">
        <v>44237</v>
      </c>
      <c r="G205" s="198" t="s">
        <v>1432</v>
      </c>
      <c r="H205" s="198"/>
      <c r="I205" s="198" t="s">
        <v>1433</v>
      </c>
      <c r="J205" s="198" t="s">
        <v>675</v>
      </c>
      <c r="K205" s="200"/>
      <c r="L205" s="198" t="s">
        <v>1434</v>
      </c>
      <c r="M205" s="201">
        <v>44.29</v>
      </c>
      <c r="N205" s="201"/>
      <c r="O205" s="201">
        <v>64081.79</v>
      </c>
      <c r="P205" s="205"/>
      <c r="Q205" s="66"/>
      <c r="R205" s="66"/>
      <c r="S205" s="66"/>
      <c r="T205" s="66"/>
      <c r="U205" s="66"/>
      <c r="V205" s="66"/>
      <c r="W205" s="66"/>
      <c r="X205" s="66"/>
    </row>
    <row r="206" spans="1:24">
      <c r="A206" s="198"/>
      <c r="B206" s="198"/>
      <c r="C206" s="198"/>
      <c r="D206" s="198"/>
      <c r="E206" s="198" t="s">
        <v>874</v>
      </c>
      <c r="F206" s="199">
        <v>44237</v>
      </c>
      <c r="G206" s="198" t="s">
        <v>1432</v>
      </c>
      <c r="H206" s="198"/>
      <c r="I206" s="198" t="s">
        <v>1433</v>
      </c>
      <c r="J206" s="198" t="s">
        <v>519</v>
      </c>
      <c r="K206" s="200"/>
      <c r="L206" s="198" t="s">
        <v>1434</v>
      </c>
      <c r="M206" s="201">
        <v>324.77</v>
      </c>
      <c r="N206" s="201"/>
      <c r="O206" s="201">
        <v>64406.559999999998</v>
      </c>
      <c r="P206" s="205"/>
      <c r="Q206" s="66"/>
      <c r="R206" s="66"/>
      <c r="S206" s="66"/>
      <c r="T206" s="66"/>
      <c r="U206" s="66"/>
      <c r="V206" s="66"/>
      <c r="W206" s="66"/>
      <c r="X206" s="66"/>
    </row>
    <row r="207" spans="1:24">
      <c r="A207" s="198"/>
      <c r="B207" s="198"/>
      <c r="C207" s="198"/>
      <c r="D207" s="198"/>
      <c r="E207" s="198" t="s">
        <v>874</v>
      </c>
      <c r="F207" s="199">
        <v>44244</v>
      </c>
      <c r="G207" s="198" t="s">
        <v>1432</v>
      </c>
      <c r="H207" s="198"/>
      <c r="I207" s="198" t="s">
        <v>1433</v>
      </c>
      <c r="J207" s="198" t="s">
        <v>675</v>
      </c>
      <c r="K207" s="200"/>
      <c r="L207" s="198" t="s">
        <v>1434</v>
      </c>
      <c r="M207" s="201">
        <v>43.71</v>
      </c>
      <c r="N207" s="201"/>
      <c r="O207" s="201">
        <v>68649.27</v>
      </c>
      <c r="P207" s="205"/>
      <c r="Q207" s="66"/>
      <c r="R207" s="66"/>
      <c r="S207" s="66"/>
      <c r="T207" s="66"/>
      <c r="U207" s="66"/>
      <c r="V207" s="66"/>
      <c r="W207" s="66"/>
      <c r="X207" s="66"/>
    </row>
    <row r="208" spans="1:24">
      <c r="A208" s="198"/>
      <c r="B208" s="198"/>
      <c r="C208" s="198"/>
      <c r="D208" s="198"/>
      <c r="E208" s="198" t="s">
        <v>874</v>
      </c>
      <c r="F208" s="199">
        <v>44244</v>
      </c>
      <c r="G208" s="198" t="s">
        <v>1432</v>
      </c>
      <c r="H208" s="198"/>
      <c r="I208" s="198" t="s">
        <v>1433</v>
      </c>
      <c r="J208" s="198" t="s">
        <v>519</v>
      </c>
      <c r="K208" s="200"/>
      <c r="L208" s="198" t="s">
        <v>1434</v>
      </c>
      <c r="M208" s="201">
        <v>320.51</v>
      </c>
      <c r="N208" s="201"/>
      <c r="O208" s="201">
        <v>68969.78</v>
      </c>
      <c r="P208" s="205"/>
      <c r="Q208" s="66"/>
      <c r="R208" s="66"/>
      <c r="S208" s="66"/>
      <c r="T208" s="66"/>
      <c r="U208" s="66"/>
      <c r="V208" s="66"/>
      <c r="W208" s="66"/>
      <c r="X208" s="66"/>
    </row>
    <row r="209" spans="1:24">
      <c r="A209" s="198"/>
      <c r="B209" s="198"/>
      <c r="C209" s="198"/>
      <c r="D209" s="198"/>
      <c r="E209" s="198" t="s">
        <v>874</v>
      </c>
      <c r="F209" s="199">
        <v>44251</v>
      </c>
      <c r="G209" s="198" t="s">
        <v>1432</v>
      </c>
      <c r="H209" s="198"/>
      <c r="I209" s="198" t="s">
        <v>1433</v>
      </c>
      <c r="J209" s="198" t="s">
        <v>675</v>
      </c>
      <c r="K209" s="200"/>
      <c r="L209" s="198" t="s">
        <v>1434</v>
      </c>
      <c r="M209" s="201">
        <v>43.71</v>
      </c>
      <c r="N209" s="201"/>
      <c r="O209" s="201">
        <v>69013.490000000005</v>
      </c>
      <c r="P209" s="205"/>
      <c r="Q209" s="66"/>
      <c r="R209" s="66"/>
      <c r="S209" s="66"/>
      <c r="T209" s="66"/>
      <c r="U209" s="66"/>
      <c r="V209" s="66"/>
      <c r="W209" s="66"/>
      <c r="X209" s="66"/>
    </row>
    <row r="210" spans="1:24">
      <c r="A210" s="198"/>
      <c r="B210" s="198"/>
      <c r="C210" s="198"/>
      <c r="D210" s="198"/>
      <c r="E210" s="198" t="s">
        <v>874</v>
      </c>
      <c r="F210" s="199">
        <v>44251</v>
      </c>
      <c r="G210" s="198" t="s">
        <v>1432</v>
      </c>
      <c r="H210" s="198"/>
      <c r="I210" s="198" t="s">
        <v>1433</v>
      </c>
      <c r="J210" s="198" t="s">
        <v>519</v>
      </c>
      <c r="K210" s="200"/>
      <c r="L210" s="198" t="s">
        <v>1434</v>
      </c>
      <c r="M210" s="201">
        <v>320.51</v>
      </c>
      <c r="N210" s="201"/>
      <c r="O210" s="201">
        <v>69334</v>
      </c>
      <c r="P210" s="205"/>
      <c r="Q210" s="66"/>
      <c r="R210" s="66"/>
      <c r="S210" s="66"/>
      <c r="T210" s="66"/>
      <c r="U210" s="66"/>
      <c r="V210" s="66"/>
      <c r="W210" s="66"/>
      <c r="X210" s="66"/>
    </row>
    <row r="211" spans="1:24">
      <c r="A211" s="198"/>
      <c r="B211" s="198"/>
      <c r="C211" s="198"/>
      <c r="D211" s="198"/>
      <c r="E211" s="198" t="s">
        <v>874</v>
      </c>
      <c r="F211" s="199">
        <v>44255</v>
      </c>
      <c r="G211" s="198" t="s">
        <v>1452</v>
      </c>
      <c r="H211" s="198"/>
      <c r="I211" s="198" t="s">
        <v>1453</v>
      </c>
      <c r="J211" s="198" t="s">
        <v>675</v>
      </c>
      <c r="K211" s="200"/>
      <c r="L211" s="198" t="s">
        <v>840</v>
      </c>
      <c r="M211" s="201">
        <v>0</v>
      </c>
      <c r="N211" s="201"/>
      <c r="O211" s="201">
        <v>69334</v>
      </c>
      <c r="P211" s="205"/>
      <c r="Q211" s="66"/>
      <c r="R211" s="66"/>
      <c r="S211" s="66"/>
      <c r="T211" s="66"/>
      <c r="U211" s="66"/>
      <c r="V211" s="66"/>
      <c r="W211" s="66"/>
      <c r="X211" s="66"/>
    </row>
    <row r="212" spans="1:24">
      <c r="A212" s="198"/>
      <c r="B212" s="198"/>
      <c r="C212" s="198"/>
      <c r="D212" s="198"/>
      <c r="E212" s="198" t="s">
        <v>874</v>
      </c>
      <c r="F212" s="199">
        <v>44255</v>
      </c>
      <c r="G212" s="198" t="s">
        <v>1452</v>
      </c>
      <c r="H212" s="198"/>
      <c r="I212" s="198" t="s">
        <v>1453</v>
      </c>
      <c r="J212" s="198" t="s">
        <v>519</v>
      </c>
      <c r="K212" s="200"/>
      <c r="L212" s="198" t="s">
        <v>840</v>
      </c>
      <c r="M212" s="201">
        <v>0</v>
      </c>
      <c r="N212" s="201"/>
      <c r="O212" s="201">
        <v>69334</v>
      </c>
      <c r="P212" s="205"/>
      <c r="Q212" s="66"/>
      <c r="R212" s="66"/>
      <c r="S212" s="66"/>
      <c r="T212" s="66"/>
      <c r="U212" s="66"/>
      <c r="V212" s="66"/>
      <c r="W212" s="66"/>
      <c r="X212" s="66"/>
    </row>
    <row r="213" spans="1:24">
      <c r="A213" s="198"/>
      <c r="B213" s="198"/>
      <c r="C213" s="198"/>
      <c r="D213" s="198"/>
      <c r="E213" s="198" t="s">
        <v>874</v>
      </c>
      <c r="F213" s="199">
        <v>44258</v>
      </c>
      <c r="G213" s="198" t="s">
        <v>1432</v>
      </c>
      <c r="H213" s="198"/>
      <c r="I213" s="198" t="s">
        <v>1433</v>
      </c>
      <c r="J213" s="198" t="s">
        <v>675</v>
      </c>
      <c r="K213" s="200"/>
      <c r="L213" s="198" t="s">
        <v>1434</v>
      </c>
      <c r="M213" s="201">
        <v>43.71</v>
      </c>
      <c r="N213" s="201"/>
      <c r="O213" s="201">
        <v>69442.25</v>
      </c>
      <c r="P213" s="205"/>
      <c r="Q213" s="66"/>
      <c r="R213" s="66"/>
      <c r="S213" s="66"/>
      <c r="T213" s="66"/>
      <c r="U213" s="66"/>
      <c r="V213" s="66"/>
      <c r="W213" s="66"/>
      <c r="X213" s="66"/>
    </row>
    <row r="214" spans="1:24">
      <c r="A214" s="198"/>
      <c r="B214" s="198"/>
      <c r="C214" s="198"/>
      <c r="D214" s="198"/>
      <c r="E214" s="198" t="s">
        <v>874</v>
      </c>
      <c r="F214" s="199">
        <v>44258</v>
      </c>
      <c r="G214" s="198" t="s">
        <v>1432</v>
      </c>
      <c r="H214" s="198"/>
      <c r="I214" s="198" t="s">
        <v>1433</v>
      </c>
      <c r="J214" s="198" t="s">
        <v>519</v>
      </c>
      <c r="K214" s="200"/>
      <c r="L214" s="198" t="s">
        <v>1434</v>
      </c>
      <c r="M214" s="201">
        <v>320.51</v>
      </c>
      <c r="N214" s="201"/>
      <c r="O214" s="201">
        <v>69762.759999999995</v>
      </c>
      <c r="P214" s="205"/>
      <c r="Q214" s="66"/>
      <c r="R214" s="66"/>
      <c r="S214" s="66"/>
      <c r="T214" s="66"/>
      <c r="U214" s="66"/>
      <c r="V214" s="66"/>
      <c r="W214" s="66"/>
      <c r="X214" s="66"/>
    </row>
    <row r="215" spans="1:24">
      <c r="A215" s="198"/>
      <c r="B215" s="198"/>
      <c r="C215" s="198"/>
      <c r="D215" s="198"/>
      <c r="E215" s="198" t="s">
        <v>874</v>
      </c>
      <c r="F215" s="199">
        <v>44265</v>
      </c>
      <c r="G215" s="198" t="s">
        <v>1432</v>
      </c>
      <c r="H215" s="198"/>
      <c r="I215" s="198" t="s">
        <v>1433</v>
      </c>
      <c r="J215" s="198" t="s">
        <v>675</v>
      </c>
      <c r="K215" s="200"/>
      <c r="L215" s="198" t="s">
        <v>1434</v>
      </c>
      <c r="M215" s="201">
        <v>44.87</v>
      </c>
      <c r="N215" s="201"/>
      <c r="O215" s="201">
        <v>73035.95</v>
      </c>
      <c r="P215" s="205"/>
      <c r="Q215" s="66"/>
      <c r="R215" s="66"/>
      <c r="S215" s="66"/>
      <c r="T215" s="66"/>
      <c r="U215" s="66"/>
      <c r="V215" s="66"/>
      <c r="W215" s="66"/>
      <c r="X215" s="66"/>
    </row>
    <row r="216" spans="1:24">
      <c r="A216" s="198"/>
      <c r="B216" s="198"/>
      <c r="C216" s="198"/>
      <c r="D216" s="198"/>
      <c r="E216" s="198" t="s">
        <v>874</v>
      </c>
      <c r="F216" s="199">
        <v>44265</v>
      </c>
      <c r="G216" s="198" t="s">
        <v>1432</v>
      </c>
      <c r="H216" s="198"/>
      <c r="I216" s="198" t="s">
        <v>1433</v>
      </c>
      <c r="J216" s="198" t="s">
        <v>519</v>
      </c>
      <c r="K216" s="200"/>
      <c r="L216" s="198" t="s">
        <v>1434</v>
      </c>
      <c r="M216" s="201">
        <v>329.02</v>
      </c>
      <c r="N216" s="201"/>
      <c r="O216" s="201">
        <v>73364.97</v>
      </c>
      <c r="P216" s="205"/>
      <c r="Q216" s="66"/>
      <c r="R216" s="66"/>
      <c r="S216" s="66"/>
      <c r="T216" s="66"/>
      <c r="U216" s="66"/>
      <c r="V216" s="66"/>
      <c r="W216" s="66"/>
      <c r="X216" s="66"/>
    </row>
    <row r="217" spans="1:24">
      <c r="A217" s="198"/>
      <c r="B217" s="198"/>
      <c r="C217" s="198"/>
      <c r="D217" s="198"/>
      <c r="E217" s="198" t="s">
        <v>874</v>
      </c>
      <c r="F217" s="199">
        <v>44272</v>
      </c>
      <c r="G217" s="198" t="s">
        <v>1432</v>
      </c>
      <c r="H217" s="198"/>
      <c r="I217" s="198" t="s">
        <v>1433</v>
      </c>
      <c r="J217" s="198" t="s">
        <v>675</v>
      </c>
      <c r="K217" s="200"/>
      <c r="L217" s="198" t="s">
        <v>1434</v>
      </c>
      <c r="M217" s="201">
        <v>43.71</v>
      </c>
      <c r="N217" s="201"/>
      <c r="O217" s="201">
        <v>78887.69</v>
      </c>
      <c r="P217" s="205"/>
      <c r="Q217" s="66"/>
      <c r="R217" s="66"/>
      <c r="S217" s="66"/>
      <c r="T217" s="66"/>
      <c r="U217" s="66"/>
      <c r="V217" s="66"/>
      <c r="W217" s="66"/>
      <c r="X217" s="66"/>
    </row>
    <row r="218" spans="1:24">
      <c r="A218" s="198"/>
      <c r="B218" s="198"/>
      <c r="C218" s="198"/>
      <c r="D218" s="198"/>
      <c r="E218" s="198" t="s">
        <v>874</v>
      </c>
      <c r="F218" s="199">
        <v>44272</v>
      </c>
      <c r="G218" s="198" t="s">
        <v>1432</v>
      </c>
      <c r="H218" s="198"/>
      <c r="I218" s="198" t="s">
        <v>1433</v>
      </c>
      <c r="J218" s="198" t="s">
        <v>519</v>
      </c>
      <c r="K218" s="200"/>
      <c r="L218" s="198" t="s">
        <v>1434</v>
      </c>
      <c r="M218" s="201">
        <v>320.51</v>
      </c>
      <c r="N218" s="201"/>
      <c r="O218" s="201">
        <v>79208.2</v>
      </c>
      <c r="P218" s="205"/>
      <c r="Q218" s="66"/>
      <c r="R218" s="66"/>
      <c r="S218" s="66"/>
      <c r="T218" s="66"/>
      <c r="U218" s="66"/>
      <c r="V218" s="66"/>
      <c r="W218" s="66"/>
      <c r="X218" s="66"/>
    </row>
    <row r="219" spans="1:24">
      <c r="A219" s="198"/>
      <c r="B219" s="198"/>
      <c r="C219" s="198"/>
      <c r="D219" s="198"/>
      <c r="E219" s="198" t="s">
        <v>874</v>
      </c>
      <c r="F219" s="199">
        <v>44279</v>
      </c>
      <c r="G219" s="198" t="s">
        <v>1432</v>
      </c>
      <c r="H219" s="198"/>
      <c r="I219" s="198" t="s">
        <v>1433</v>
      </c>
      <c r="J219" s="198" t="s">
        <v>675</v>
      </c>
      <c r="K219" s="200"/>
      <c r="L219" s="198" t="s">
        <v>1434</v>
      </c>
      <c r="M219" s="201">
        <v>43.13</v>
      </c>
      <c r="N219" s="201"/>
      <c r="O219" s="201">
        <v>79251.33</v>
      </c>
      <c r="P219" s="205"/>
      <c r="Q219" s="66"/>
      <c r="R219" s="66"/>
      <c r="S219" s="66"/>
      <c r="T219" s="66"/>
      <c r="U219" s="66"/>
      <c r="V219" s="66"/>
      <c r="W219" s="66"/>
      <c r="X219" s="66"/>
    </row>
    <row r="220" spans="1:24">
      <c r="A220" s="198"/>
      <c r="B220" s="198"/>
      <c r="C220" s="198"/>
      <c r="D220" s="198"/>
      <c r="E220" s="198" t="s">
        <v>874</v>
      </c>
      <c r="F220" s="199">
        <v>44279</v>
      </c>
      <c r="G220" s="198" t="s">
        <v>1432</v>
      </c>
      <c r="H220" s="198"/>
      <c r="I220" s="198" t="s">
        <v>1433</v>
      </c>
      <c r="J220" s="198" t="s">
        <v>519</v>
      </c>
      <c r="K220" s="200"/>
      <c r="L220" s="198" t="s">
        <v>1434</v>
      </c>
      <c r="M220" s="201">
        <v>316.25</v>
      </c>
      <c r="N220" s="201"/>
      <c r="O220" s="201">
        <v>79567.58</v>
      </c>
      <c r="P220" s="205"/>
      <c r="Q220" s="66"/>
      <c r="R220" s="66"/>
      <c r="S220" s="66"/>
      <c r="T220" s="66"/>
      <c r="U220" s="66"/>
      <c r="V220" s="66"/>
      <c r="W220" s="66"/>
      <c r="X220" s="66"/>
    </row>
    <row r="221" spans="1:24">
      <c r="A221" s="198"/>
      <c r="B221" s="198"/>
      <c r="C221" s="198"/>
      <c r="D221" s="198"/>
      <c r="E221" s="198" t="s">
        <v>874</v>
      </c>
      <c r="F221" s="199">
        <v>44286</v>
      </c>
      <c r="G221" s="198" t="s">
        <v>1432</v>
      </c>
      <c r="H221" s="198"/>
      <c r="I221" s="198" t="s">
        <v>1433</v>
      </c>
      <c r="J221" s="198" t="s">
        <v>675</v>
      </c>
      <c r="K221" s="200"/>
      <c r="L221" s="198" t="s">
        <v>1434</v>
      </c>
      <c r="M221" s="201">
        <v>42.54</v>
      </c>
      <c r="N221" s="201"/>
      <c r="O221" s="201">
        <v>79610.12</v>
      </c>
      <c r="P221" s="205"/>
      <c r="Q221" s="66"/>
      <c r="R221" s="66"/>
      <c r="S221" s="66"/>
      <c r="T221" s="66"/>
      <c r="U221" s="66"/>
      <c r="V221" s="66"/>
      <c r="W221" s="66"/>
      <c r="X221" s="66"/>
    </row>
    <row r="222" spans="1:24">
      <c r="A222" s="198"/>
      <c r="B222" s="198"/>
      <c r="C222" s="198"/>
      <c r="D222" s="198"/>
      <c r="E222" s="198" t="s">
        <v>874</v>
      </c>
      <c r="F222" s="199">
        <v>44286</v>
      </c>
      <c r="G222" s="198" t="s">
        <v>1432</v>
      </c>
      <c r="H222" s="198"/>
      <c r="I222" s="198" t="s">
        <v>1433</v>
      </c>
      <c r="J222" s="198" t="s">
        <v>519</v>
      </c>
      <c r="K222" s="200"/>
      <c r="L222" s="198" t="s">
        <v>1434</v>
      </c>
      <c r="M222" s="201">
        <v>312</v>
      </c>
      <c r="N222" s="201"/>
      <c r="O222" s="201">
        <v>79922.12</v>
      </c>
      <c r="P222" s="205"/>
      <c r="Q222" s="66"/>
      <c r="R222" s="66"/>
      <c r="S222" s="66"/>
      <c r="T222" s="66"/>
      <c r="U222" s="66"/>
      <c r="V222" s="66"/>
      <c r="W222" s="66"/>
      <c r="X222" s="66"/>
    </row>
    <row r="223" spans="1:24">
      <c r="A223" s="198"/>
      <c r="B223" s="198"/>
      <c r="C223" s="198"/>
      <c r="D223" s="198"/>
      <c r="E223" s="198" t="s">
        <v>874</v>
      </c>
      <c r="F223" s="199">
        <v>44286</v>
      </c>
      <c r="G223" s="198" t="s">
        <v>1454</v>
      </c>
      <c r="H223" s="198"/>
      <c r="I223" s="198" t="s">
        <v>1455</v>
      </c>
      <c r="J223" s="198" t="s">
        <v>675</v>
      </c>
      <c r="K223" s="200"/>
      <c r="L223" s="198" t="s">
        <v>840</v>
      </c>
      <c r="M223" s="201">
        <v>0</v>
      </c>
      <c r="N223" s="201"/>
      <c r="O223" s="201">
        <v>80100.22</v>
      </c>
      <c r="P223" s="205"/>
      <c r="Q223" s="66"/>
      <c r="R223" s="66"/>
      <c r="S223" s="66"/>
      <c r="T223" s="66"/>
      <c r="U223" s="66"/>
      <c r="V223" s="66"/>
      <c r="W223" s="66"/>
      <c r="X223" s="66"/>
    </row>
    <row r="224" spans="1:24" ht="15.75" thickBot="1">
      <c r="A224" s="198"/>
      <c r="B224" s="198"/>
      <c r="C224" s="198"/>
      <c r="D224" s="198"/>
      <c r="E224" s="198" t="s">
        <v>874</v>
      </c>
      <c r="F224" s="199">
        <v>44286</v>
      </c>
      <c r="G224" s="198" t="s">
        <v>1454</v>
      </c>
      <c r="H224" s="198"/>
      <c r="I224" s="198" t="s">
        <v>1455</v>
      </c>
      <c r="J224" s="198" t="s">
        <v>519</v>
      </c>
      <c r="K224" s="200"/>
      <c r="L224" s="198" t="s">
        <v>840</v>
      </c>
      <c r="M224" s="201">
        <v>0</v>
      </c>
      <c r="N224" s="201"/>
      <c r="O224" s="201">
        <v>80100.22</v>
      </c>
      <c r="P224" s="205"/>
      <c r="Q224" s="66"/>
      <c r="R224" s="66"/>
      <c r="S224" s="66"/>
      <c r="T224" s="66"/>
      <c r="U224" s="66"/>
      <c r="V224" s="66"/>
      <c r="W224" s="66"/>
      <c r="X224" s="66"/>
    </row>
    <row r="225" spans="1:24" ht="15.75" thickBot="1">
      <c r="A225" s="198"/>
      <c r="B225" s="198"/>
      <c r="C225" s="198" t="s">
        <v>1456</v>
      </c>
      <c r="D225" s="198"/>
      <c r="E225" s="198"/>
      <c r="F225" s="199"/>
      <c r="G225" s="198"/>
      <c r="H225" s="198"/>
      <c r="I225" s="198"/>
      <c r="J225" s="198"/>
      <c r="K225" s="198"/>
      <c r="L225" s="198"/>
      <c r="M225" s="202">
        <f>ROUND(SUM(M3:M224),5)</f>
        <v>80100.22</v>
      </c>
      <c r="N225" s="202">
        <f>ROUND(SUM(N3:N224),5)</f>
        <v>0</v>
      </c>
      <c r="O225" s="202">
        <f>O224</f>
        <v>80100.22</v>
      </c>
      <c r="P225" s="205"/>
      <c r="Q225" s="66"/>
      <c r="R225" s="66"/>
      <c r="S225" s="66"/>
      <c r="T225" s="66"/>
      <c r="U225" s="66"/>
      <c r="V225" s="66"/>
      <c r="W225" s="66"/>
      <c r="X225" s="66"/>
    </row>
    <row r="226" spans="1:24">
      <c r="A226" s="198"/>
      <c r="B226" s="198" t="s">
        <v>419</v>
      </c>
      <c r="C226" s="198"/>
      <c r="D226" s="198"/>
      <c r="E226" s="198"/>
      <c r="F226" s="199"/>
      <c r="G226" s="198"/>
      <c r="H226" s="198"/>
      <c r="I226" s="198"/>
      <c r="J226" s="198"/>
      <c r="K226" s="198"/>
      <c r="L226" s="198"/>
      <c r="M226" s="202">
        <f>M225</f>
        <v>80100.22</v>
      </c>
      <c r="N226" s="202">
        <f>N225</f>
        <v>0</v>
      </c>
      <c r="O226" s="202">
        <f>O225</f>
        <v>80100.22</v>
      </c>
      <c r="P226" s="205"/>
      <c r="Q226" s="66"/>
      <c r="R226" s="66"/>
      <c r="S226" s="66"/>
      <c r="T226" s="66"/>
      <c r="U226" s="66"/>
      <c r="V226" s="66"/>
      <c r="W226" s="66"/>
      <c r="X226" s="66"/>
    </row>
    <row r="227" spans="1:24">
      <c r="A227" s="430"/>
      <c r="B227" s="430"/>
      <c r="C227" s="430"/>
      <c r="D227" s="430"/>
      <c r="E227" s="430"/>
      <c r="F227" s="430"/>
      <c r="G227" s="430"/>
      <c r="H227" s="430"/>
      <c r="I227" s="430"/>
      <c r="J227" s="430"/>
      <c r="K227" s="430"/>
      <c r="L227" s="430"/>
      <c r="M227" s="430"/>
      <c r="N227" s="430"/>
      <c r="O227" s="430"/>
      <c r="P227" s="205"/>
      <c r="Q227" s="66"/>
      <c r="R227" s="66"/>
      <c r="S227" s="66"/>
      <c r="T227" s="66"/>
      <c r="U227" s="66"/>
      <c r="V227" s="66"/>
      <c r="W227" s="66"/>
      <c r="X227" s="66"/>
    </row>
    <row r="228" spans="1:24">
      <c r="A228" s="430"/>
      <c r="B228" s="430"/>
      <c r="C228" s="430"/>
      <c r="D228" s="430"/>
      <c r="E228" s="430"/>
      <c r="F228" s="430"/>
      <c r="G228" s="430"/>
      <c r="H228" s="430"/>
      <c r="I228" s="430"/>
      <c r="J228" s="430"/>
      <c r="K228" s="430"/>
      <c r="L228" s="430"/>
      <c r="M228" s="430"/>
      <c r="N228" s="430"/>
      <c r="O228" s="430"/>
      <c r="P228" s="205"/>
      <c r="Q228" s="66"/>
      <c r="R228" s="66"/>
      <c r="S228" s="66"/>
      <c r="T228" s="66"/>
      <c r="U228" s="66"/>
      <c r="V228" s="66"/>
      <c r="W228" s="66"/>
      <c r="X228" s="66"/>
    </row>
    <row r="229" spans="1:24">
      <c r="A229" s="430"/>
      <c r="B229" s="430"/>
      <c r="C229" s="430"/>
      <c r="D229" s="430"/>
      <c r="E229" s="430"/>
      <c r="F229" s="430"/>
      <c r="G229" s="430"/>
      <c r="H229" s="430"/>
      <c r="I229" s="430"/>
      <c r="J229" s="430"/>
      <c r="K229" s="430"/>
      <c r="L229" s="430"/>
      <c r="M229" s="430"/>
      <c r="N229" s="430"/>
      <c r="O229" s="430"/>
      <c r="P229" s="205"/>
      <c r="Q229" s="66"/>
      <c r="R229" s="66"/>
      <c r="S229" s="66"/>
      <c r="T229" s="66"/>
      <c r="U229" s="66"/>
      <c r="V229" s="66"/>
      <c r="W229" s="66"/>
      <c r="X229" s="66"/>
    </row>
    <row r="230" spans="1:24">
      <c r="A230" s="430"/>
      <c r="B230" s="430"/>
      <c r="C230" s="430"/>
      <c r="D230" s="430"/>
      <c r="E230" s="431" t="s">
        <v>1457</v>
      </c>
      <c r="F230" s="430"/>
      <c r="G230" s="430"/>
      <c r="H230" s="430"/>
      <c r="I230" s="430"/>
      <c r="J230" s="430"/>
      <c r="K230" s="430"/>
      <c r="L230" s="430"/>
      <c r="M230" s="430"/>
      <c r="N230" s="430"/>
      <c r="O230" s="430"/>
      <c r="P230" s="205"/>
      <c r="Q230" s="66"/>
      <c r="R230" s="66"/>
      <c r="S230" s="66"/>
      <c r="T230" s="66"/>
      <c r="U230" s="66"/>
      <c r="V230" s="66"/>
      <c r="W230" s="66"/>
      <c r="X230" s="66"/>
    </row>
    <row r="231" spans="1:24">
      <c r="A231" s="430"/>
      <c r="B231" s="430"/>
      <c r="C231" s="430"/>
      <c r="D231" s="430"/>
      <c r="E231" s="198" t="s">
        <v>1365</v>
      </c>
      <c r="F231" s="430"/>
      <c r="G231" s="430"/>
      <c r="H231" s="205"/>
      <c r="I231" s="430"/>
      <c r="J231" s="430"/>
      <c r="K231" s="430"/>
      <c r="L231" s="430"/>
      <c r="M231" s="206">
        <f>SUM(M4:M9)</f>
        <v>280</v>
      </c>
      <c r="N231" s="430"/>
      <c r="O231" s="430"/>
      <c r="P231" s="205"/>
      <c r="Q231" s="66"/>
      <c r="R231" s="66"/>
      <c r="S231" s="66"/>
      <c r="T231" s="66"/>
      <c r="U231" s="66"/>
      <c r="V231" s="66"/>
      <c r="W231" s="66"/>
      <c r="X231" s="66"/>
    </row>
    <row r="232" spans="1:24">
      <c r="A232" s="205"/>
      <c r="B232" s="205"/>
      <c r="C232" s="205"/>
      <c r="D232" s="205"/>
      <c r="E232" s="198" t="s">
        <v>1369</v>
      </c>
      <c r="F232" s="205"/>
      <c r="G232" s="205"/>
      <c r="H232" s="205"/>
      <c r="I232" s="205"/>
      <c r="J232" s="205"/>
      <c r="K232" s="205"/>
      <c r="L232" s="205"/>
      <c r="M232" s="206">
        <f>SUM(M10:M17)</f>
        <v>529.63</v>
      </c>
      <c r="N232" s="205"/>
      <c r="O232" s="205"/>
      <c r="P232" s="205"/>
      <c r="Q232" s="66"/>
      <c r="R232" s="66"/>
      <c r="S232" s="66"/>
      <c r="T232" s="66"/>
      <c r="U232" s="66"/>
      <c r="V232" s="66"/>
      <c r="W232" s="66"/>
      <c r="X232" s="66"/>
    </row>
    <row r="233" spans="1:24">
      <c r="A233" s="205"/>
      <c r="B233" s="205"/>
      <c r="C233" s="205"/>
      <c r="D233" s="205"/>
      <c r="E233" s="198" t="s">
        <v>1377</v>
      </c>
      <c r="F233" s="205"/>
      <c r="G233" s="205"/>
      <c r="H233" s="205"/>
      <c r="I233" s="205"/>
      <c r="J233" s="205"/>
      <c r="K233" s="205"/>
      <c r="L233" s="205"/>
      <c r="M233" s="206">
        <f>SUM(M18:M25)</f>
        <v>1887.61</v>
      </c>
      <c r="N233" s="205"/>
      <c r="O233" s="205"/>
      <c r="P233" s="205"/>
      <c r="Q233" s="66"/>
      <c r="R233" s="66"/>
      <c r="S233" s="66"/>
      <c r="T233" s="66"/>
      <c r="U233" s="66"/>
      <c r="V233" s="66"/>
      <c r="W233" s="66"/>
      <c r="X233" s="66"/>
    </row>
    <row r="234" spans="1:24">
      <c r="A234" s="205"/>
      <c r="B234" s="205"/>
      <c r="C234" s="205"/>
      <c r="D234" s="205"/>
      <c r="E234" s="198" t="s">
        <v>1382</v>
      </c>
      <c r="F234" s="205"/>
      <c r="G234" s="205"/>
      <c r="H234" s="205"/>
      <c r="I234" s="205"/>
      <c r="J234" s="205"/>
      <c r="K234" s="205"/>
      <c r="L234" s="205"/>
      <c r="M234" s="206">
        <f>SUM(M26:M29)</f>
        <v>241.5</v>
      </c>
      <c r="N234" s="205"/>
      <c r="O234" s="205"/>
      <c r="P234" s="205"/>
      <c r="Q234" s="66"/>
      <c r="R234" s="66"/>
      <c r="S234" s="66"/>
      <c r="T234" s="66"/>
      <c r="U234" s="66"/>
      <c r="V234" s="66"/>
      <c r="W234" s="66"/>
      <c r="X234" s="66"/>
    </row>
    <row r="235" spans="1:24">
      <c r="A235" s="205"/>
      <c r="B235" s="205"/>
      <c r="C235" s="205"/>
      <c r="D235" s="205"/>
      <c r="E235" s="198" t="s">
        <v>1387</v>
      </c>
      <c r="F235" s="205"/>
      <c r="G235" s="205"/>
      <c r="H235" s="205"/>
      <c r="I235" s="205"/>
      <c r="J235" s="205"/>
      <c r="K235" s="205"/>
      <c r="L235" s="205"/>
      <c r="M235" s="206">
        <f>SUM(M30:M37)</f>
        <v>708.51</v>
      </c>
      <c r="N235" s="205"/>
      <c r="O235" s="205"/>
      <c r="P235" s="205"/>
      <c r="Q235" s="66"/>
      <c r="R235" s="66"/>
      <c r="S235" s="66"/>
      <c r="T235" s="66"/>
      <c r="U235" s="66"/>
      <c r="V235" s="66"/>
      <c r="W235" s="66"/>
      <c r="X235" s="66"/>
    </row>
    <row r="236" spans="1:24">
      <c r="A236" s="205"/>
      <c r="B236" s="205"/>
      <c r="C236" s="205"/>
      <c r="D236" s="205"/>
      <c r="E236" s="198" t="s">
        <v>1390</v>
      </c>
      <c r="F236" s="205"/>
      <c r="G236" s="205"/>
      <c r="H236" s="205"/>
      <c r="I236" s="205"/>
      <c r="J236" s="205"/>
      <c r="K236" s="205"/>
      <c r="L236" s="205"/>
      <c r="M236" s="206">
        <f>SUM(M38:M61)</f>
        <v>44475</v>
      </c>
      <c r="N236" s="205"/>
      <c r="O236" s="205"/>
      <c r="P236" s="205"/>
      <c r="Q236" s="66"/>
      <c r="R236" s="66"/>
      <c r="S236" s="66"/>
      <c r="T236" s="66"/>
      <c r="U236" s="66"/>
      <c r="V236" s="66"/>
      <c r="W236" s="66"/>
      <c r="X236" s="66"/>
    </row>
    <row r="237" spans="1:24">
      <c r="A237" s="205"/>
      <c r="B237" s="205"/>
      <c r="C237" s="205"/>
      <c r="D237" s="205"/>
      <c r="E237" s="198" t="s">
        <v>1458</v>
      </c>
      <c r="F237" s="205"/>
      <c r="G237" s="205"/>
      <c r="H237" s="205"/>
      <c r="I237" s="205"/>
      <c r="J237" s="205"/>
      <c r="K237" s="205"/>
      <c r="L237" s="205"/>
      <c r="M237" s="206">
        <f>SUM(M82:M224)</f>
        <v>21476.97</v>
      </c>
      <c r="N237" s="205"/>
      <c r="O237" s="205"/>
      <c r="P237" s="205"/>
      <c r="Q237" s="66"/>
      <c r="R237" s="66"/>
      <c r="S237" s="66"/>
      <c r="T237" s="66"/>
      <c r="U237" s="66"/>
      <c r="V237" s="66"/>
      <c r="W237" s="66"/>
      <c r="X237" s="66"/>
    </row>
    <row r="238" spans="1:24">
      <c r="A238" s="205"/>
      <c r="B238" s="205"/>
      <c r="C238" s="205"/>
      <c r="D238" s="205"/>
      <c r="E238" s="198" t="s">
        <v>1412</v>
      </c>
      <c r="F238" s="205"/>
      <c r="G238" s="205"/>
      <c r="H238" s="205"/>
      <c r="I238" s="205"/>
      <c r="J238" s="205"/>
      <c r="K238" s="205"/>
      <c r="L238" s="205"/>
      <c r="M238" s="206">
        <f>SUM(M62:M67)</f>
        <v>621.5</v>
      </c>
      <c r="N238" s="205"/>
      <c r="O238" s="205"/>
      <c r="P238" s="205"/>
      <c r="Q238" s="66"/>
      <c r="R238" s="66"/>
      <c r="S238" s="66"/>
      <c r="T238" s="66"/>
      <c r="U238" s="66"/>
      <c r="V238" s="66"/>
      <c r="W238" s="66"/>
      <c r="X238" s="66"/>
    </row>
    <row r="239" spans="1:24">
      <c r="A239" s="205"/>
      <c r="B239" s="205"/>
      <c r="C239" s="205"/>
      <c r="D239" s="205"/>
      <c r="E239" s="198" t="s">
        <v>1417</v>
      </c>
      <c r="F239" s="205"/>
      <c r="G239" s="205"/>
      <c r="H239" s="205"/>
      <c r="I239" s="205"/>
      <c r="J239" s="205"/>
      <c r="K239" s="205"/>
      <c r="L239" s="205"/>
      <c r="M239" s="206">
        <f>SUM(M68:M71)</f>
        <v>3642.5</v>
      </c>
      <c r="N239" s="205"/>
      <c r="O239" s="205"/>
      <c r="P239" s="205"/>
      <c r="Q239" s="66"/>
      <c r="R239" s="66"/>
      <c r="S239" s="66"/>
      <c r="T239" s="66"/>
      <c r="U239" s="66"/>
      <c r="V239" s="66"/>
      <c r="W239" s="66"/>
      <c r="X239" s="66"/>
    </row>
    <row r="240" spans="1:24">
      <c r="A240" s="205"/>
      <c r="B240" s="205"/>
      <c r="C240" s="205"/>
      <c r="D240" s="205"/>
      <c r="E240" s="198" t="s">
        <v>1421</v>
      </c>
      <c r="F240" s="205"/>
      <c r="G240" s="205"/>
      <c r="H240" s="205"/>
      <c r="I240" s="205"/>
      <c r="J240" s="205"/>
      <c r="K240" s="205"/>
      <c r="L240" s="205"/>
      <c r="M240" s="432">
        <f>SUM(M72:M81)</f>
        <v>6237</v>
      </c>
      <c r="N240" s="205"/>
      <c r="O240" s="205"/>
      <c r="P240" s="205"/>
      <c r="Q240" s="66"/>
      <c r="R240" s="66"/>
      <c r="S240" s="66"/>
      <c r="T240" s="66"/>
      <c r="U240" s="66"/>
      <c r="V240" s="66"/>
      <c r="W240" s="66"/>
      <c r="X240" s="66"/>
    </row>
    <row r="241" spans="1:24">
      <c r="A241" s="205"/>
      <c r="B241" s="205"/>
      <c r="C241" s="205"/>
      <c r="D241" s="205"/>
      <c r="E241" s="205"/>
      <c r="F241" s="205"/>
      <c r="G241" s="205"/>
      <c r="H241" s="205"/>
      <c r="I241" s="205"/>
      <c r="J241" s="205"/>
      <c r="K241" s="205"/>
      <c r="L241" s="205"/>
      <c r="M241" s="206">
        <f>SUM(M231:M240)</f>
        <v>80100.22</v>
      </c>
      <c r="N241" s="205"/>
      <c r="O241" s="205"/>
      <c r="P241" s="205"/>
      <c r="Q241" s="66"/>
      <c r="R241" s="66"/>
      <c r="S241" s="66"/>
      <c r="T241" s="66"/>
      <c r="U241" s="66"/>
      <c r="V241" s="66"/>
      <c r="W241" s="66"/>
      <c r="X241" s="66"/>
    </row>
    <row r="242" spans="1:24">
      <c r="A242" s="205"/>
      <c r="B242" s="205"/>
      <c r="C242" s="205"/>
      <c r="D242" s="205"/>
      <c r="E242" s="205"/>
      <c r="F242" s="205"/>
      <c r="G242" s="205"/>
      <c r="H242" s="205"/>
      <c r="I242" s="205"/>
      <c r="J242" s="205"/>
      <c r="K242" s="205"/>
      <c r="L242" s="205"/>
      <c r="M242" s="206"/>
      <c r="N242" s="205"/>
      <c r="O242" s="205"/>
      <c r="P242" s="205"/>
      <c r="Q242" s="66"/>
      <c r="R242" s="66"/>
      <c r="S242" s="66"/>
      <c r="T242" s="66"/>
      <c r="U242" s="66"/>
      <c r="V242" s="66"/>
      <c r="W242" s="66"/>
      <c r="X242" s="66"/>
    </row>
    <row r="243" spans="1:24">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row>
    <row r="244" spans="1:24">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row>
    <row r="245" spans="1:24">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row>
    <row r="246" spans="1:24">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row>
    <row r="247" spans="1:24">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row>
    <row r="248" spans="1:24">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row>
    <row r="249" spans="1:24">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row>
    <row r="250" spans="1:24">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row>
    <row r="251" spans="1:24">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row>
    <row r="252" spans="1:24">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row>
    <row r="253" spans="1:24">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row>
    <row r="254" spans="1:24">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row>
    <row r="255" spans="1:24">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row>
    <row r="256" spans="1:24">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row>
    <row r="257" spans="1:24">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row>
    <row r="258" spans="1:24">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row>
    <row r="259" spans="1:24">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row>
    <row r="260" spans="1:24">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row>
    <row r="261" spans="1:24">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row>
    <row r="262" spans="1:24">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row>
    <row r="263" spans="1:24">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row>
    <row r="264" spans="1:24">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row>
    <row r="265" spans="1:24">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row>
    <row r="266" spans="1:24">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row>
    <row r="267" spans="1:24">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row>
    <row r="268" spans="1:24">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row>
    <row r="269" spans="1:24">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row>
    <row r="270" spans="1:24">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row>
    <row r="271" spans="1:24">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row>
    <row r="272" spans="1:24">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row>
    <row r="273" spans="1:24">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row>
    <row r="274" spans="1:24">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row>
    <row r="275" spans="1:24">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row>
    <row r="276" spans="1:24">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row>
    <row r="277" spans="1:24">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row>
    <row r="278" spans="1:24">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row>
    <row r="279" spans="1:24">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row>
    <row r="280" spans="1:24">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row>
    <row r="281" spans="1:24">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row>
    <row r="282" spans="1:24">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row>
    <row r="283" spans="1:24">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row>
    <row r="284" spans="1:24">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row>
    <row r="285" spans="1:24">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row>
    <row r="286" spans="1:24">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row>
    <row r="287" spans="1:24">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row>
    <row r="288" spans="1:24">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row>
    <row r="289" spans="1:24">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3E57-4E0E-4006-9A8B-13391CEC938C}">
  <sheetPr codeName="Sheet40"/>
  <dimension ref="A1:W42"/>
  <sheetViews>
    <sheetView topLeftCell="A7" workbookViewId="0">
      <selection activeCell="A18" sqref="A18"/>
    </sheetView>
  </sheetViews>
  <sheetFormatPr defaultColWidth="8.88671875" defaultRowHeight="15"/>
  <cols>
    <col min="1" max="16384" width="8.88671875" style="66"/>
  </cols>
  <sheetData>
    <row r="1" spans="1:23">
      <c r="A1" s="360" t="s">
        <v>128</v>
      </c>
      <c r="B1" s="360"/>
      <c r="C1" s="360"/>
      <c r="D1" s="360"/>
      <c r="E1" s="360"/>
      <c r="F1" s="360"/>
      <c r="G1" s="360"/>
      <c r="H1" s="360"/>
      <c r="I1" s="360"/>
      <c r="J1" s="360"/>
      <c r="K1" s="360"/>
      <c r="L1" s="360"/>
      <c r="M1" s="360"/>
      <c r="N1" s="360"/>
      <c r="O1" s="360"/>
      <c r="P1" s="360"/>
      <c r="Q1" s="360"/>
      <c r="R1" s="360"/>
      <c r="S1" s="360"/>
      <c r="T1" s="360"/>
      <c r="U1" s="360"/>
      <c r="V1" s="360"/>
      <c r="W1" s="360"/>
    </row>
    <row r="2" spans="1:23">
      <c r="A2" s="360" t="s">
        <v>1459</v>
      </c>
      <c r="B2" s="360"/>
      <c r="C2" s="360"/>
      <c r="D2" s="360"/>
      <c r="E2" s="360"/>
      <c r="F2" s="360"/>
      <c r="G2" s="360"/>
      <c r="H2" s="360"/>
      <c r="I2" s="360"/>
      <c r="J2" s="360"/>
      <c r="K2" s="360"/>
      <c r="L2" s="360"/>
      <c r="M2" s="360"/>
      <c r="N2" s="360"/>
      <c r="O2" s="360"/>
      <c r="P2" s="360"/>
      <c r="Q2" s="360"/>
      <c r="R2" s="360"/>
      <c r="S2" s="360"/>
      <c r="T2" s="360"/>
      <c r="U2" s="360"/>
      <c r="V2" s="360"/>
      <c r="W2" s="360"/>
    </row>
    <row r="3" spans="1:23">
      <c r="A3" s="360" t="s">
        <v>1460</v>
      </c>
      <c r="B3" s="360"/>
      <c r="C3" s="360"/>
      <c r="D3" s="360"/>
      <c r="E3" s="360"/>
      <c r="F3" s="360"/>
      <c r="G3" s="360"/>
      <c r="H3" s="360"/>
      <c r="I3" s="360"/>
      <c r="J3" s="360"/>
      <c r="K3" s="360"/>
      <c r="L3" s="360"/>
      <c r="M3" s="360"/>
      <c r="N3" s="360"/>
      <c r="O3" s="360"/>
      <c r="P3" s="360"/>
      <c r="Q3" s="360"/>
      <c r="R3" s="360"/>
      <c r="S3" s="360"/>
      <c r="T3" s="360"/>
      <c r="U3" s="360"/>
      <c r="V3" s="360"/>
      <c r="W3" s="360"/>
    </row>
    <row r="4" spans="1:23">
      <c r="A4" s="360"/>
      <c r="B4" s="360"/>
      <c r="C4" s="360"/>
      <c r="D4" s="360"/>
      <c r="E4" s="360"/>
      <c r="F4" s="360"/>
      <c r="G4" s="360"/>
      <c r="H4" s="360"/>
      <c r="I4" s="360"/>
      <c r="J4" s="360"/>
      <c r="K4" s="360"/>
      <c r="L4" s="360"/>
      <c r="M4" s="360"/>
      <c r="N4" s="360"/>
      <c r="O4" s="360"/>
      <c r="P4" s="360"/>
      <c r="Q4" s="360"/>
      <c r="R4" s="360"/>
      <c r="S4" s="360"/>
      <c r="T4" s="360"/>
      <c r="U4" s="360"/>
      <c r="V4" s="360"/>
      <c r="W4" s="360"/>
    </row>
    <row r="5" spans="1:23">
      <c r="A5" s="360" t="s">
        <v>1461</v>
      </c>
      <c r="B5" s="360"/>
      <c r="C5" s="360"/>
      <c r="D5" s="360"/>
      <c r="E5" s="360"/>
      <c r="F5" s="360"/>
      <c r="G5" s="360"/>
      <c r="H5" s="360"/>
      <c r="I5" s="360"/>
      <c r="J5" s="360"/>
      <c r="K5" s="360"/>
      <c r="L5" s="360"/>
      <c r="M5" s="360"/>
      <c r="N5" s="360"/>
      <c r="O5" s="360"/>
      <c r="P5" s="360"/>
      <c r="Q5" s="360"/>
      <c r="R5" s="360"/>
      <c r="S5" s="360"/>
      <c r="T5" s="360"/>
      <c r="U5" s="360"/>
      <c r="V5" s="360"/>
      <c r="W5" s="360"/>
    </row>
    <row r="6" spans="1:23">
      <c r="A6" s="433">
        <v>44377</v>
      </c>
      <c r="B6" s="360"/>
      <c r="C6" s="360"/>
      <c r="D6" s="360"/>
      <c r="E6" s="295">
        <v>2973.75</v>
      </c>
      <c r="F6" s="360"/>
      <c r="G6" s="360"/>
      <c r="H6" s="360"/>
      <c r="I6" s="360"/>
      <c r="J6" s="360"/>
      <c r="K6" s="360"/>
      <c r="L6" s="360"/>
      <c r="M6" s="360"/>
      <c r="N6" s="360"/>
      <c r="O6" s="360"/>
      <c r="P6" s="360"/>
      <c r="Q6" s="360"/>
      <c r="R6" s="360"/>
      <c r="S6" s="360"/>
      <c r="T6" s="360"/>
      <c r="U6" s="360"/>
      <c r="V6" s="360"/>
      <c r="W6" s="360"/>
    </row>
    <row r="7" spans="1:23">
      <c r="A7" s="433">
        <v>44408</v>
      </c>
      <c r="B7" s="360"/>
      <c r="C7" s="360"/>
      <c r="D7" s="360"/>
      <c r="E7" s="295">
        <v>21137.97</v>
      </c>
      <c r="F7" s="360"/>
      <c r="G7" s="360"/>
      <c r="H7" s="360"/>
      <c r="I7" s="360"/>
      <c r="J7" s="360"/>
      <c r="K7" s="360"/>
      <c r="L7" s="360"/>
      <c r="M7" s="360"/>
      <c r="N7" s="360"/>
      <c r="O7" s="360"/>
      <c r="P7" s="360"/>
      <c r="Q7" s="360"/>
      <c r="R7" s="360"/>
      <c r="S7" s="360"/>
      <c r="T7" s="360"/>
      <c r="U7" s="360"/>
      <c r="V7" s="360"/>
      <c r="W7" s="360"/>
    </row>
    <row r="8" spans="1:23">
      <c r="A8" s="433">
        <v>44439</v>
      </c>
      <c r="B8" s="360"/>
      <c r="C8" s="360"/>
      <c r="D8" s="360"/>
      <c r="E8" s="295">
        <v>12382.5</v>
      </c>
      <c r="F8" s="360"/>
      <c r="G8" s="360"/>
      <c r="H8" s="360"/>
      <c r="I8" s="360"/>
      <c r="J8" s="360"/>
      <c r="K8" s="360"/>
      <c r="L8" s="360"/>
      <c r="M8" s="360"/>
      <c r="N8" s="360"/>
      <c r="O8" s="360"/>
      <c r="P8" s="360"/>
      <c r="Q8" s="360"/>
      <c r="R8" s="360"/>
      <c r="S8" s="360"/>
      <c r="T8" s="360"/>
      <c r="U8" s="360"/>
      <c r="V8" s="360"/>
      <c r="W8" s="360"/>
    </row>
    <row r="9" spans="1:23">
      <c r="A9" s="433">
        <v>44469</v>
      </c>
      <c r="B9" s="360"/>
      <c r="C9" s="360"/>
      <c r="D9" s="360"/>
      <c r="E9" s="352">
        <v>6000</v>
      </c>
      <c r="F9" s="360"/>
      <c r="G9" s="360"/>
      <c r="H9" s="360"/>
      <c r="I9" s="360"/>
      <c r="J9" s="360"/>
      <c r="K9" s="360"/>
      <c r="L9" s="360"/>
      <c r="M9" s="360"/>
      <c r="N9" s="360"/>
      <c r="O9" s="360"/>
      <c r="P9" s="360"/>
      <c r="Q9" s="360"/>
      <c r="R9" s="360"/>
      <c r="S9" s="360"/>
      <c r="T9" s="360"/>
      <c r="U9" s="360"/>
      <c r="V9" s="360"/>
      <c r="W9" s="360"/>
    </row>
    <row r="10" spans="1:23">
      <c r="A10" s="433"/>
      <c r="B10" s="360"/>
      <c r="C10" s="360"/>
      <c r="D10" s="360"/>
      <c r="E10" s="295">
        <f>SUM(E6:E9)</f>
        <v>42494.22</v>
      </c>
      <c r="F10" s="360"/>
      <c r="G10" s="360"/>
      <c r="H10" s="360"/>
      <c r="I10" s="360"/>
      <c r="J10" s="360"/>
      <c r="K10" s="360"/>
      <c r="L10" s="360"/>
      <c r="M10" s="360"/>
      <c r="N10" s="360"/>
      <c r="O10" s="360"/>
      <c r="P10" s="360"/>
      <c r="Q10" s="360"/>
      <c r="R10" s="360"/>
      <c r="S10" s="360"/>
      <c r="T10" s="360"/>
      <c r="U10" s="360"/>
      <c r="V10" s="360"/>
      <c r="W10" s="360"/>
    </row>
    <row r="11" spans="1:23">
      <c r="A11" s="433"/>
      <c r="B11" s="360"/>
      <c r="C11" s="360"/>
      <c r="D11" s="360"/>
      <c r="E11" s="295"/>
      <c r="F11" s="360"/>
      <c r="G11" s="360"/>
      <c r="H11" s="360"/>
      <c r="I11" s="360"/>
      <c r="J11" s="360"/>
      <c r="K11" s="360"/>
      <c r="L11" s="360"/>
      <c r="M11" s="360"/>
      <c r="N11" s="360"/>
      <c r="O11" s="360"/>
      <c r="P11" s="360"/>
      <c r="Q11" s="360"/>
      <c r="R11" s="360"/>
      <c r="S11" s="360"/>
      <c r="T11" s="360"/>
      <c r="U11" s="360"/>
      <c r="V11" s="360"/>
      <c r="W11" s="360"/>
    </row>
    <row r="12" spans="1:23">
      <c r="A12" s="433" t="s">
        <v>1462</v>
      </c>
      <c r="B12" s="360"/>
      <c r="C12" s="360"/>
      <c r="D12" s="360"/>
      <c r="E12" s="295">
        <v>15000</v>
      </c>
      <c r="F12" s="360"/>
      <c r="G12" s="360"/>
      <c r="H12" s="360"/>
      <c r="I12" s="360"/>
      <c r="J12" s="360"/>
      <c r="K12" s="360"/>
      <c r="L12" s="360"/>
      <c r="M12" s="360"/>
      <c r="N12" s="360"/>
      <c r="O12" s="360"/>
      <c r="P12" s="360"/>
      <c r="Q12" s="360"/>
      <c r="R12" s="360"/>
      <c r="S12" s="360"/>
      <c r="T12" s="360"/>
      <c r="U12" s="360"/>
      <c r="V12" s="360"/>
      <c r="W12" s="360"/>
    </row>
    <row r="13" spans="1:23">
      <c r="A13" s="433"/>
      <c r="B13" s="360"/>
      <c r="C13" s="360"/>
      <c r="D13" s="360"/>
      <c r="E13" s="295"/>
      <c r="F13" s="360"/>
      <c r="G13" s="360"/>
      <c r="H13" s="360"/>
      <c r="I13" s="360"/>
      <c r="J13" s="360"/>
      <c r="K13" s="360"/>
      <c r="L13" s="360"/>
      <c r="M13" s="360"/>
      <c r="N13" s="360"/>
      <c r="O13" s="360"/>
      <c r="P13" s="360"/>
      <c r="Q13" s="360"/>
      <c r="R13" s="360"/>
      <c r="S13" s="360"/>
      <c r="T13" s="360"/>
      <c r="U13" s="360"/>
      <c r="V13" s="360"/>
      <c r="W13" s="360"/>
    </row>
    <row r="14" spans="1:23">
      <c r="A14" s="433" t="s">
        <v>1463</v>
      </c>
      <c r="B14" s="360"/>
      <c r="C14" s="360"/>
      <c r="D14" s="360"/>
      <c r="E14" s="295"/>
      <c r="F14" s="360"/>
      <c r="G14" s="360"/>
      <c r="H14" s="360"/>
      <c r="I14" s="360"/>
      <c r="J14" s="360"/>
      <c r="K14" s="360"/>
      <c r="L14" s="360"/>
      <c r="M14" s="360"/>
      <c r="N14" s="360"/>
      <c r="O14" s="360"/>
      <c r="P14" s="360"/>
      <c r="Q14" s="360"/>
      <c r="R14" s="360"/>
      <c r="S14" s="360"/>
      <c r="T14" s="360"/>
      <c r="U14" s="360"/>
      <c r="V14" s="360"/>
      <c r="W14" s="360"/>
    </row>
    <row r="15" spans="1:23">
      <c r="A15" s="433" t="s">
        <v>935</v>
      </c>
      <c r="B15" s="360"/>
      <c r="C15" s="360"/>
      <c r="D15" s="360">
        <v>21000</v>
      </c>
      <c r="E15" s="295"/>
      <c r="F15" s="360"/>
      <c r="G15" s="360"/>
      <c r="H15" s="360"/>
      <c r="I15" s="360"/>
      <c r="J15" s="360"/>
      <c r="K15" s="360"/>
      <c r="L15" s="360"/>
      <c r="M15" s="360"/>
      <c r="N15" s="360"/>
      <c r="O15" s="360"/>
      <c r="P15" s="360"/>
      <c r="Q15" s="360"/>
      <c r="R15" s="360"/>
      <c r="S15" s="360"/>
      <c r="T15" s="360"/>
      <c r="U15" s="360"/>
      <c r="V15" s="360"/>
      <c r="W15" s="360"/>
    </row>
    <row r="16" spans="1:23">
      <c r="A16" s="433" t="s">
        <v>1464</v>
      </c>
      <c r="B16" s="360"/>
      <c r="C16" s="360"/>
      <c r="D16" s="360"/>
      <c r="E16" s="295">
        <f>0.25*D15</f>
        <v>5250</v>
      </c>
      <c r="F16" s="360"/>
      <c r="G16" s="360"/>
      <c r="H16" s="360"/>
      <c r="I16" s="360"/>
      <c r="J16" s="360"/>
      <c r="K16" s="360"/>
      <c r="L16" s="360"/>
      <c r="M16" s="360"/>
      <c r="N16" s="360"/>
      <c r="O16" s="360"/>
      <c r="P16" s="360"/>
      <c r="Q16" s="360"/>
      <c r="R16" s="360"/>
      <c r="S16" s="360"/>
      <c r="T16" s="360"/>
      <c r="U16" s="360"/>
      <c r="V16" s="360"/>
      <c r="W16" s="360"/>
    </row>
    <row r="17" spans="1:23">
      <c r="A17" s="433" t="s">
        <v>1594</v>
      </c>
      <c r="B17" s="360"/>
      <c r="C17" s="360"/>
      <c r="D17" s="360"/>
      <c r="E17" s="352">
        <f>0.45*D15</f>
        <v>9450</v>
      </c>
      <c r="F17" s="360"/>
      <c r="G17" s="360"/>
      <c r="H17" s="360"/>
      <c r="I17" s="360"/>
      <c r="J17" s="360"/>
      <c r="K17" s="360"/>
      <c r="L17" s="360"/>
      <c r="M17" s="360"/>
      <c r="N17" s="360"/>
      <c r="O17" s="360"/>
      <c r="P17" s="360"/>
      <c r="Q17" s="360"/>
      <c r="R17" s="360"/>
      <c r="S17" s="360"/>
      <c r="T17" s="360"/>
      <c r="U17" s="360"/>
      <c r="V17" s="360"/>
      <c r="W17" s="360"/>
    </row>
    <row r="18" spans="1:23">
      <c r="A18" s="433"/>
      <c r="B18" s="360"/>
      <c r="C18" s="360"/>
      <c r="D18" s="360"/>
      <c r="E18" s="435">
        <f>SUM(E16:E17)</f>
        <v>14700</v>
      </c>
      <c r="F18" s="360"/>
      <c r="G18" s="360"/>
      <c r="H18" s="360"/>
      <c r="I18" s="360"/>
      <c r="J18" s="360"/>
      <c r="K18" s="360"/>
      <c r="L18" s="360"/>
      <c r="M18" s="360"/>
      <c r="N18" s="360"/>
      <c r="O18" s="360"/>
      <c r="P18" s="360"/>
      <c r="Q18" s="360"/>
      <c r="R18" s="360"/>
      <c r="S18" s="360"/>
      <c r="T18" s="360"/>
      <c r="U18" s="360"/>
      <c r="V18" s="360"/>
      <c r="W18" s="360"/>
    </row>
    <row r="19" spans="1:23">
      <c r="A19" s="433"/>
      <c r="B19" s="360"/>
      <c r="C19" s="360"/>
      <c r="D19" s="360"/>
      <c r="E19" s="295"/>
      <c r="F19" s="360"/>
      <c r="G19" s="360"/>
      <c r="H19" s="360"/>
      <c r="I19" s="360"/>
      <c r="J19" s="360"/>
      <c r="K19" s="360"/>
      <c r="L19" s="360"/>
      <c r="M19" s="360"/>
      <c r="N19" s="360"/>
      <c r="O19" s="360"/>
      <c r="P19" s="360"/>
      <c r="Q19" s="360"/>
      <c r="R19" s="360"/>
      <c r="S19" s="360"/>
      <c r="T19" s="360"/>
      <c r="U19" s="360"/>
      <c r="V19" s="360"/>
      <c r="W19" s="360"/>
    </row>
    <row r="20" spans="1:23">
      <c r="A20" s="433" t="s">
        <v>103</v>
      </c>
      <c r="B20" s="360"/>
      <c r="C20" s="360"/>
      <c r="D20" s="360"/>
      <c r="E20" s="295">
        <f>+E18+E12+E10</f>
        <v>72194.22</v>
      </c>
      <c r="F20" s="360"/>
      <c r="G20" s="360"/>
      <c r="H20" s="360"/>
      <c r="I20" s="360"/>
      <c r="J20" s="360"/>
      <c r="K20" s="360"/>
      <c r="L20" s="360"/>
      <c r="M20" s="360"/>
      <c r="N20" s="360"/>
      <c r="O20" s="360"/>
      <c r="P20" s="360"/>
      <c r="Q20" s="360"/>
      <c r="R20" s="360"/>
      <c r="S20" s="360"/>
      <c r="T20" s="360"/>
      <c r="U20" s="360"/>
      <c r="V20" s="360"/>
      <c r="W20" s="360"/>
    </row>
    <row r="21" spans="1:23">
      <c r="A21" s="433" t="s">
        <v>1465</v>
      </c>
      <c r="B21" s="360"/>
      <c r="C21" s="360"/>
      <c r="D21" s="360"/>
      <c r="E21" s="295">
        <f>+E20/3</f>
        <v>24064.74</v>
      </c>
      <c r="F21" s="360"/>
      <c r="G21" s="360"/>
      <c r="H21" s="360"/>
      <c r="I21" s="360"/>
      <c r="J21" s="360"/>
      <c r="K21" s="360"/>
      <c r="L21" s="360"/>
      <c r="M21" s="360"/>
      <c r="N21" s="360"/>
      <c r="O21" s="360"/>
      <c r="P21" s="360"/>
      <c r="Q21" s="360"/>
      <c r="R21" s="360"/>
      <c r="S21" s="360"/>
      <c r="T21" s="360"/>
      <c r="U21" s="360"/>
      <c r="V21" s="360"/>
      <c r="W21" s="360"/>
    </row>
    <row r="22" spans="1:23">
      <c r="A22" s="433"/>
      <c r="B22" s="360"/>
      <c r="C22" s="360"/>
      <c r="D22" s="360"/>
      <c r="E22" s="295"/>
      <c r="F22" s="360"/>
      <c r="G22" s="360"/>
      <c r="H22" s="360"/>
      <c r="I22" s="360"/>
      <c r="J22" s="360"/>
      <c r="K22" s="360"/>
      <c r="L22" s="360"/>
      <c r="M22" s="360"/>
      <c r="N22" s="360"/>
      <c r="O22" s="360"/>
      <c r="P22" s="360"/>
      <c r="Q22" s="360"/>
      <c r="R22" s="360"/>
      <c r="S22" s="360"/>
      <c r="T22" s="360"/>
      <c r="U22" s="360"/>
      <c r="V22" s="360"/>
      <c r="W22" s="360"/>
    </row>
    <row r="23" spans="1:23">
      <c r="A23" s="433"/>
      <c r="B23" s="360"/>
      <c r="C23" s="360"/>
      <c r="D23" s="360"/>
      <c r="E23" s="295"/>
      <c r="F23" s="360"/>
      <c r="G23" s="360"/>
      <c r="H23" s="360"/>
      <c r="I23" s="360"/>
      <c r="J23" s="360"/>
      <c r="K23" s="360"/>
      <c r="L23" s="360"/>
      <c r="M23" s="360"/>
      <c r="N23" s="360"/>
      <c r="O23" s="360"/>
      <c r="P23" s="360"/>
      <c r="Q23" s="360"/>
      <c r="R23" s="360"/>
      <c r="S23" s="360"/>
      <c r="T23" s="360"/>
      <c r="U23" s="360"/>
      <c r="V23" s="360"/>
      <c r="W23" s="360"/>
    </row>
    <row r="24" spans="1:23">
      <c r="A24" s="433"/>
      <c r="B24" s="360"/>
      <c r="C24" s="360"/>
      <c r="D24" s="360"/>
      <c r="E24" s="295"/>
      <c r="F24" s="360"/>
      <c r="G24" s="360"/>
      <c r="H24" s="360"/>
      <c r="I24" s="360"/>
      <c r="J24" s="360"/>
      <c r="K24" s="360"/>
      <c r="L24" s="360"/>
      <c r="M24" s="360"/>
      <c r="N24" s="360"/>
      <c r="O24" s="360"/>
      <c r="P24" s="360"/>
      <c r="Q24" s="360"/>
      <c r="R24" s="360"/>
      <c r="S24" s="360"/>
      <c r="T24" s="360"/>
      <c r="U24" s="360"/>
      <c r="V24" s="360"/>
      <c r="W24" s="360"/>
    </row>
    <row r="25" spans="1:23">
      <c r="A25" s="433"/>
      <c r="B25" s="360"/>
      <c r="C25" s="360"/>
      <c r="D25" s="360"/>
      <c r="E25" s="295"/>
      <c r="F25" s="360"/>
      <c r="G25" s="360"/>
      <c r="H25" s="360"/>
      <c r="I25" s="360"/>
      <c r="J25" s="360"/>
      <c r="K25" s="360"/>
      <c r="L25" s="360"/>
      <c r="M25" s="360"/>
      <c r="N25" s="360"/>
      <c r="O25" s="360"/>
      <c r="P25" s="360"/>
      <c r="Q25" s="360"/>
      <c r="R25" s="360"/>
      <c r="S25" s="360"/>
      <c r="T25" s="360"/>
      <c r="U25" s="360"/>
      <c r="V25" s="360"/>
      <c r="W25" s="360"/>
    </row>
    <row r="26" spans="1:23">
      <c r="A26" s="433"/>
      <c r="B26" s="360"/>
      <c r="C26" s="360"/>
      <c r="D26" s="360"/>
      <c r="E26" s="295"/>
      <c r="F26" s="360"/>
      <c r="G26" s="360"/>
      <c r="H26" s="360"/>
      <c r="I26" s="360"/>
      <c r="J26" s="360"/>
      <c r="K26" s="360"/>
      <c r="L26" s="360"/>
      <c r="M26" s="360"/>
      <c r="N26" s="360"/>
      <c r="O26" s="360"/>
      <c r="P26" s="360"/>
      <c r="Q26" s="360"/>
      <c r="R26" s="360"/>
      <c r="S26" s="360"/>
      <c r="T26" s="360"/>
      <c r="U26" s="360"/>
      <c r="V26" s="360"/>
      <c r="W26" s="360"/>
    </row>
    <row r="27" spans="1:23">
      <c r="A27" s="433"/>
      <c r="B27" s="360"/>
      <c r="C27" s="360"/>
      <c r="D27" s="360"/>
      <c r="E27" s="295"/>
      <c r="F27" s="360"/>
      <c r="G27" s="360"/>
      <c r="H27" s="360"/>
      <c r="I27" s="360"/>
      <c r="J27" s="360"/>
      <c r="K27" s="360"/>
      <c r="L27" s="360"/>
      <c r="M27" s="360"/>
      <c r="N27" s="360"/>
      <c r="O27" s="360"/>
      <c r="P27" s="360"/>
      <c r="Q27" s="360"/>
      <c r="R27" s="360"/>
      <c r="S27" s="360"/>
      <c r="T27" s="360"/>
      <c r="U27" s="360"/>
      <c r="V27" s="360"/>
      <c r="W27" s="360"/>
    </row>
    <row r="28" spans="1:23">
      <c r="A28" s="433"/>
      <c r="B28" s="360"/>
      <c r="C28" s="360"/>
      <c r="D28" s="360"/>
      <c r="E28" s="295"/>
      <c r="F28" s="360"/>
      <c r="G28" s="360"/>
      <c r="H28" s="360"/>
      <c r="I28" s="360"/>
      <c r="J28" s="360"/>
      <c r="K28" s="360"/>
      <c r="L28" s="360"/>
      <c r="M28" s="360"/>
      <c r="N28" s="360"/>
      <c r="O28" s="360"/>
      <c r="P28" s="360"/>
      <c r="Q28" s="360"/>
      <c r="R28" s="360"/>
      <c r="S28" s="360"/>
      <c r="T28" s="360"/>
      <c r="U28" s="360"/>
      <c r="V28" s="360"/>
      <c r="W28" s="360"/>
    </row>
    <row r="29" spans="1:23">
      <c r="A29" s="433"/>
      <c r="B29" s="360"/>
      <c r="C29" s="360"/>
      <c r="D29" s="360"/>
      <c r="E29" s="295"/>
      <c r="F29" s="360"/>
      <c r="G29" s="360"/>
      <c r="H29" s="360"/>
      <c r="I29" s="360"/>
      <c r="J29" s="360"/>
      <c r="K29" s="360"/>
      <c r="L29" s="360"/>
      <c r="M29" s="360"/>
      <c r="N29" s="360"/>
      <c r="O29" s="360"/>
      <c r="P29" s="360"/>
      <c r="Q29" s="360"/>
      <c r="R29" s="360"/>
      <c r="S29" s="360"/>
      <c r="T29" s="360"/>
      <c r="U29" s="360"/>
      <c r="V29" s="360"/>
      <c r="W29" s="360"/>
    </row>
    <row r="30" spans="1:23">
      <c r="A30" s="434"/>
      <c r="E30" s="289"/>
    </row>
    <row r="31" spans="1:23">
      <c r="A31" s="434"/>
    </row>
    <row r="32" spans="1:23">
      <c r="A32" s="434"/>
    </row>
    <row r="33" spans="1:1">
      <c r="A33" s="434"/>
    </row>
    <row r="34" spans="1:1">
      <c r="A34" s="434"/>
    </row>
    <row r="35" spans="1:1">
      <c r="A35" s="434"/>
    </row>
    <row r="36" spans="1:1">
      <c r="A36" s="434"/>
    </row>
    <row r="37" spans="1:1">
      <c r="A37" s="434"/>
    </row>
    <row r="38" spans="1:1">
      <c r="A38" s="434"/>
    </row>
    <row r="39" spans="1:1">
      <c r="A39" s="434"/>
    </row>
    <row r="40" spans="1:1">
      <c r="A40" s="434"/>
    </row>
    <row r="41" spans="1:1">
      <c r="A41" s="434"/>
    </row>
    <row r="42" spans="1:1">
      <c r="A42" s="43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6E9-1436-421C-879D-4B68EE59DD4D}">
  <sheetPr codeName="Sheet41">
    <pageSetUpPr fitToPage="1"/>
  </sheetPr>
  <dimension ref="A1:M42"/>
  <sheetViews>
    <sheetView topLeftCell="A13" workbookViewId="0">
      <selection activeCell="F30" sqref="F30"/>
    </sheetView>
  </sheetViews>
  <sheetFormatPr defaultRowHeight="15"/>
  <cols>
    <col min="1" max="1" width="78.77734375" style="545" customWidth="1"/>
    <col min="2" max="2" width="10.77734375" style="545" customWidth="1"/>
    <col min="3" max="16384" width="8.88671875" style="545"/>
  </cols>
  <sheetData>
    <row r="1" spans="1:13" ht="15.75">
      <c r="A1" s="318" t="s">
        <v>128</v>
      </c>
      <c r="B1" s="318"/>
      <c r="C1" s="318"/>
      <c r="D1" s="314"/>
      <c r="E1" s="314"/>
      <c r="F1" s="314"/>
      <c r="G1" s="314"/>
      <c r="H1" s="314"/>
      <c r="I1" s="314"/>
      <c r="J1" s="314"/>
      <c r="K1" s="314"/>
      <c r="L1" s="314"/>
      <c r="M1" s="314"/>
    </row>
    <row r="2" spans="1:13" ht="15.75">
      <c r="A2" s="318" t="s">
        <v>1566</v>
      </c>
      <c r="B2" s="318"/>
      <c r="C2" s="318"/>
      <c r="D2" s="314"/>
      <c r="E2" s="314"/>
      <c r="F2" s="314"/>
      <c r="G2" s="314"/>
      <c r="H2" s="314"/>
      <c r="I2" s="314"/>
      <c r="J2" s="314"/>
      <c r="K2" s="314"/>
      <c r="L2" s="314"/>
      <c r="M2" s="314"/>
    </row>
    <row r="3" spans="1:13" ht="15.75">
      <c r="A3" s="318" t="s">
        <v>1567</v>
      </c>
      <c r="B3" s="318"/>
      <c r="C3" s="318"/>
      <c r="D3" s="314"/>
      <c r="E3" s="314"/>
      <c r="F3" s="314"/>
      <c r="G3" s="314"/>
      <c r="H3" s="314"/>
      <c r="I3" s="314"/>
      <c r="J3" s="314"/>
      <c r="K3" s="314"/>
      <c r="L3" s="314"/>
      <c r="M3" s="314"/>
    </row>
    <row r="4" spans="1:13" ht="15.75">
      <c r="A4" s="314"/>
      <c r="B4" s="314"/>
      <c r="C4" s="314"/>
      <c r="D4" s="314"/>
      <c r="E4" s="314"/>
      <c r="F4" s="314"/>
      <c r="G4" s="314"/>
      <c r="H4" s="314"/>
      <c r="I4" s="314"/>
      <c r="J4" s="314"/>
      <c r="K4" s="314"/>
      <c r="L4" s="314"/>
      <c r="M4" s="314"/>
    </row>
    <row r="5" spans="1:13" ht="56.25" customHeight="1">
      <c r="A5" s="546" t="s">
        <v>1568</v>
      </c>
      <c r="B5" s="547"/>
      <c r="C5" s="547"/>
      <c r="D5" s="547"/>
      <c r="E5" s="547"/>
      <c r="F5" s="547"/>
      <c r="G5" s="547"/>
      <c r="H5" s="314"/>
      <c r="I5" s="314"/>
      <c r="J5" s="314"/>
      <c r="K5" s="314"/>
      <c r="L5" s="314"/>
      <c r="M5" s="314"/>
    </row>
    <row r="6" spans="1:13" ht="9.75" customHeight="1">
      <c r="A6" s="314"/>
      <c r="B6" s="314"/>
      <c r="C6" s="314"/>
      <c r="D6" s="314"/>
      <c r="E6" s="314"/>
      <c r="F6" s="314"/>
      <c r="G6" s="314"/>
      <c r="H6" s="314"/>
      <c r="I6" s="314"/>
      <c r="J6" s="314"/>
      <c r="K6" s="314"/>
      <c r="L6" s="314"/>
      <c r="M6" s="314"/>
    </row>
    <row r="7" spans="1:13" ht="75">
      <c r="A7" s="548" t="s">
        <v>1569</v>
      </c>
      <c r="B7" s="314"/>
      <c r="C7" s="314"/>
      <c r="D7" s="314"/>
      <c r="E7" s="314"/>
      <c r="F7" s="314"/>
      <c r="G7" s="314"/>
      <c r="H7" s="314"/>
      <c r="I7" s="314"/>
      <c r="J7" s="314"/>
      <c r="K7" s="314"/>
      <c r="L7" s="314"/>
      <c r="M7" s="314"/>
    </row>
    <row r="8" spans="1:13" ht="8.25" customHeight="1">
      <c r="A8" s="314"/>
      <c r="B8" s="314"/>
      <c r="C8" s="314"/>
      <c r="D8" s="314"/>
      <c r="E8" s="314"/>
      <c r="F8" s="314"/>
      <c r="G8" s="314"/>
      <c r="H8" s="314"/>
      <c r="I8" s="314"/>
      <c r="J8" s="314"/>
      <c r="K8" s="314"/>
      <c r="L8" s="314"/>
      <c r="M8" s="314"/>
    </row>
    <row r="9" spans="1:13" ht="45">
      <c r="A9" s="546" t="s">
        <v>1570</v>
      </c>
      <c r="B9" s="314"/>
      <c r="C9" s="314"/>
      <c r="D9" s="314"/>
      <c r="E9" s="314"/>
      <c r="F9" s="314"/>
      <c r="G9" s="314"/>
      <c r="H9" s="314"/>
      <c r="I9" s="314"/>
      <c r="J9" s="314"/>
      <c r="K9" s="314"/>
      <c r="L9" s="314"/>
      <c r="M9" s="314"/>
    </row>
    <row r="10" spans="1:13" ht="8.25" customHeight="1">
      <c r="A10" s="546"/>
      <c r="B10" s="314"/>
      <c r="C10" s="314"/>
      <c r="D10" s="314"/>
      <c r="E10" s="314"/>
      <c r="F10" s="314"/>
      <c r="G10" s="314"/>
      <c r="H10" s="314"/>
      <c r="I10" s="314"/>
      <c r="J10" s="314"/>
      <c r="K10" s="314"/>
      <c r="L10" s="314"/>
      <c r="M10" s="314"/>
    </row>
    <row r="11" spans="1:13" ht="30">
      <c r="A11" s="546" t="s">
        <v>1571</v>
      </c>
      <c r="B11" s="314"/>
      <c r="C11" s="314"/>
      <c r="D11" s="314"/>
      <c r="E11" s="314"/>
      <c r="F11" s="314"/>
      <c r="G11" s="314"/>
      <c r="H11" s="314"/>
      <c r="I11" s="314"/>
      <c r="J11" s="314"/>
      <c r="K11" s="314"/>
      <c r="L11" s="314"/>
      <c r="M11" s="314"/>
    </row>
    <row r="12" spans="1:13" ht="8.25" customHeight="1">
      <c r="A12" s="546"/>
      <c r="B12" s="549"/>
      <c r="C12" s="314"/>
      <c r="D12" s="314"/>
      <c r="E12" s="314"/>
      <c r="F12" s="314"/>
      <c r="G12" s="314"/>
      <c r="H12" s="314"/>
      <c r="I12" s="314"/>
      <c r="J12" s="314"/>
      <c r="K12" s="314"/>
      <c r="L12" s="314"/>
      <c r="M12" s="314"/>
    </row>
    <row r="13" spans="1:13" ht="60">
      <c r="A13" s="546" t="s">
        <v>1572</v>
      </c>
      <c r="B13" s="549"/>
      <c r="C13" s="314"/>
      <c r="D13" s="314"/>
      <c r="E13" s="314"/>
      <c r="F13" s="314"/>
      <c r="G13" s="314"/>
      <c r="H13" s="314"/>
      <c r="I13" s="314"/>
      <c r="J13" s="314"/>
      <c r="K13" s="314"/>
      <c r="L13" s="314"/>
      <c r="M13" s="314"/>
    </row>
    <row r="14" spans="1:13" ht="8.25" customHeight="1">
      <c r="A14" s="314"/>
      <c r="B14" s="549"/>
      <c r="C14" s="314"/>
      <c r="D14" s="314"/>
      <c r="E14" s="314"/>
      <c r="F14" s="314"/>
      <c r="G14" s="314"/>
      <c r="H14" s="314"/>
      <c r="I14" s="314"/>
      <c r="J14" s="314"/>
      <c r="K14" s="314"/>
      <c r="L14" s="314"/>
      <c r="M14" s="314"/>
    </row>
    <row r="15" spans="1:13" ht="15.75">
      <c r="A15" s="314" t="s">
        <v>1573</v>
      </c>
      <c r="B15" s="549"/>
      <c r="C15" s="314"/>
      <c r="D15" s="314"/>
      <c r="E15" s="314"/>
      <c r="F15" s="314"/>
      <c r="G15" s="314"/>
      <c r="H15" s="314"/>
      <c r="I15" s="314"/>
      <c r="J15" s="314"/>
      <c r="K15" s="314"/>
      <c r="L15" s="314"/>
      <c r="M15" s="314"/>
    </row>
    <row r="16" spans="1:13" ht="30">
      <c r="A16" s="547" t="s">
        <v>1574</v>
      </c>
      <c r="B16" s="549"/>
      <c r="C16" s="314"/>
      <c r="D16" s="314"/>
      <c r="E16" s="314"/>
      <c r="F16" s="314"/>
      <c r="G16" s="314"/>
      <c r="H16" s="314"/>
      <c r="I16" s="314"/>
      <c r="J16" s="314"/>
      <c r="K16" s="314"/>
      <c r="L16" s="314"/>
      <c r="M16" s="314"/>
    </row>
    <row r="17" spans="1:13" ht="15.75">
      <c r="A17" s="314" t="s">
        <v>1575</v>
      </c>
      <c r="B17" s="550">
        <v>106</v>
      </c>
      <c r="C17" s="314" t="s">
        <v>1576</v>
      </c>
      <c r="D17" s="314"/>
      <c r="E17" s="314"/>
      <c r="F17" s="314"/>
      <c r="H17" s="314"/>
      <c r="I17" s="314"/>
      <c r="J17" s="314"/>
      <c r="K17" s="314"/>
      <c r="L17" s="314"/>
      <c r="M17" s="314"/>
    </row>
    <row r="18" spans="1:13" ht="15.75">
      <c r="A18" s="314" t="s">
        <v>1577</v>
      </c>
      <c r="B18" s="551">
        <v>13.67</v>
      </c>
      <c r="C18" s="314"/>
      <c r="D18" s="314"/>
      <c r="E18" s="314"/>
      <c r="F18" s="314"/>
      <c r="G18" s="314"/>
      <c r="H18" s="314"/>
      <c r="I18" s="314"/>
      <c r="J18" s="314"/>
      <c r="K18" s="314"/>
      <c r="L18" s="314"/>
      <c r="M18" s="314"/>
    </row>
    <row r="19" spans="1:13" ht="15.75">
      <c r="A19" s="314" t="s">
        <v>1578</v>
      </c>
      <c r="B19" s="550">
        <f>SUM(B17:B18)</f>
        <v>119.67</v>
      </c>
      <c r="C19" s="314" t="s">
        <v>1576</v>
      </c>
      <c r="D19" s="314"/>
      <c r="E19" s="314"/>
      <c r="F19" s="314"/>
      <c r="G19" s="314"/>
      <c r="H19" s="314"/>
      <c r="I19" s="314"/>
      <c r="J19" s="314"/>
      <c r="K19" s="314"/>
      <c r="L19" s="314"/>
      <c r="M19" s="314"/>
    </row>
    <row r="20" spans="1:13" ht="15.75">
      <c r="A20" s="314"/>
      <c r="B20" s="550"/>
      <c r="C20" s="314"/>
      <c r="D20" s="314"/>
      <c r="E20" s="314"/>
      <c r="F20" s="314"/>
      <c r="G20" s="314"/>
      <c r="H20" s="314"/>
      <c r="I20" s="314"/>
      <c r="J20" s="314"/>
      <c r="K20" s="314"/>
      <c r="L20" s="314"/>
      <c r="M20" s="314"/>
    </row>
    <row r="21" spans="1:13" ht="15.75">
      <c r="A21" s="314" t="s">
        <v>1579</v>
      </c>
      <c r="B21" s="552">
        <f>13.67*15820</f>
        <v>216259.4</v>
      </c>
      <c r="C21" s="314"/>
      <c r="D21" s="314"/>
      <c r="H21" s="314"/>
      <c r="I21" s="314"/>
      <c r="J21" s="314"/>
      <c r="K21" s="314"/>
      <c r="L21" s="314"/>
      <c r="M21" s="314"/>
    </row>
    <row r="22" spans="1:13" ht="15.75">
      <c r="A22" s="314"/>
      <c r="B22" s="314"/>
      <c r="C22" s="314"/>
      <c r="D22" s="314"/>
      <c r="H22" s="314"/>
      <c r="I22" s="314"/>
      <c r="J22" s="314"/>
      <c r="K22" s="314"/>
      <c r="L22" s="314"/>
      <c r="M22" s="314"/>
    </row>
    <row r="23" spans="1:13" ht="15.75">
      <c r="A23" s="553" t="s">
        <v>1580</v>
      </c>
      <c r="B23" s="314"/>
      <c r="C23" s="314"/>
      <c r="D23" s="314"/>
      <c r="H23" s="314"/>
      <c r="I23" s="314"/>
      <c r="J23" s="314"/>
      <c r="K23" s="314"/>
      <c r="L23" s="314"/>
      <c r="M23" s="314"/>
    </row>
    <row r="24" spans="1:13" ht="15.75">
      <c r="A24" s="553" t="s">
        <v>1581</v>
      </c>
      <c r="B24" s="554">
        <v>160</v>
      </c>
      <c r="C24" s="314"/>
      <c r="D24" s="314"/>
      <c r="H24" s="314"/>
      <c r="I24" s="314"/>
      <c r="J24" s="314"/>
      <c r="K24" s="314"/>
      <c r="L24" s="314"/>
      <c r="M24" s="314"/>
    </row>
    <row r="25" spans="1:13" ht="15.75">
      <c r="A25" s="553" t="s">
        <v>1582</v>
      </c>
      <c r="B25" s="554">
        <v>145</v>
      </c>
      <c r="C25" s="314"/>
      <c r="D25" s="314"/>
      <c r="H25" s="314"/>
      <c r="I25" s="314"/>
      <c r="J25" s="314"/>
      <c r="K25" s="314"/>
      <c r="L25" s="314"/>
      <c r="M25" s="314"/>
    </row>
    <row r="26" spans="1:13" ht="15.75">
      <c r="A26" s="553" t="s">
        <v>1583</v>
      </c>
      <c r="B26" s="554">
        <v>138</v>
      </c>
      <c r="C26" s="314"/>
      <c r="D26" s="314"/>
      <c r="H26" s="314"/>
      <c r="I26" s="314"/>
      <c r="J26" s="314"/>
      <c r="K26" s="314"/>
      <c r="L26" s="314"/>
      <c r="M26" s="314"/>
    </row>
    <row r="27" spans="1:13" ht="15.75">
      <c r="A27" s="553" t="s">
        <v>1584</v>
      </c>
      <c r="B27" s="554">
        <v>118</v>
      </c>
      <c r="C27" s="314"/>
      <c r="D27" s="314"/>
      <c r="H27" s="314"/>
      <c r="I27" s="314"/>
      <c r="J27" s="314"/>
      <c r="K27" s="314"/>
      <c r="L27" s="314"/>
      <c r="M27" s="314"/>
    </row>
    <row r="28" spans="1:13" ht="15.75">
      <c r="A28" s="314" t="s">
        <v>1585</v>
      </c>
      <c r="B28" s="549"/>
      <c r="C28" s="314"/>
      <c r="D28" s="314"/>
      <c r="E28" s="314"/>
      <c r="F28" s="314"/>
      <c r="G28" s="314"/>
      <c r="H28" s="314"/>
      <c r="I28" s="314"/>
      <c r="J28" s="314"/>
      <c r="K28" s="314"/>
      <c r="L28" s="314"/>
      <c r="M28" s="314"/>
    </row>
    <row r="29" spans="1:13" ht="15.75">
      <c r="A29" s="314"/>
      <c r="B29" s="549"/>
      <c r="C29" s="314"/>
      <c r="D29" s="314"/>
      <c r="E29" s="314"/>
      <c r="F29" s="314"/>
      <c r="G29" s="314"/>
      <c r="H29" s="314"/>
      <c r="I29" s="314"/>
      <c r="J29" s="314"/>
      <c r="K29" s="314"/>
      <c r="L29" s="314"/>
      <c r="M29" s="314"/>
    </row>
    <row r="30" spans="1:13" ht="30">
      <c r="A30" s="546" t="s">
        <v>1586</v>
      </c>
      <c r="B30" s="549"/>
      <c r="C30" s="314"/>
      <c r="D30" s="314"/>
      <c r="E30" s="314"/>
      <c r="F30" s="314"/>
      <c r="G30" s="314"/>
      <c r="H30" s="314"/>
      <c r="I30" s="314"/>
      <c r="J30" s="314"/>
      <c r="K30" s="314"/>
      <c r="L30" s="314"/>
      <c r="M30" s="314"/>
    </row>
    <row r="31" spans="1:13" ht="15.75">
      <c r="A31" s="314"/>
      <c r="B31" s="549"/>
      <c r="C31" s="314"/>
      <c r="D31" s="314"/>
      <c r="E31" s="314"/>
      <c r="F31" s="314"/>
      <c r="G31" s="314"/>
      <c r="H31" s="314"/>
      <c r="I31" s="314"/>
      <c r="J31" s="314"/>
      <c r="K31" s="314"/>
      <c r="L31" s="314"/>
      <c r="M31" s="314"/>
    </row>
    <row r="32" spans="1:13" ht="15.75">
      <c r="A32" s="314"/>
      <c r="B32" s="549"/>
      <c r="C32" s="314"/>
      <c r="D32" s="314"/>
      <c r="E32" s="314"/>
      <c r="F32" s="314"/>
      <c r="G32" s="314"/>
      <c r="H32" s="314"/>
      <c r="I32" s="314"/>
      <c r="J32" s="314"/>
      <c r="K32" s="314"/>
      <c r="L32" s="314"/>
      <c r="M32" s="314"/>
    </row>
    <row r="33" spans="1:13" ht="15.75">
      <c r="A33" s="314"/>
      <c r="B33" s="549"/>
      <c r="C33" s="314"/>
      <c r="D33" s="314"/>
      <c r="E33" s="314"/>
      <c r="F33" s="314"/>
      <c r="G33" s="314"/>
      <c r="H33" s="314"/>
      <c r="I33" s="314"/>
      <c r="J33" s="314"/>
      <c r="K33" s="314"/>
      <c r="L33" s="314"/>
      <c r="M33" s="314"/>
    </row>
    <row r="34" spans="1:13" ht="15.75">
      <c r="A34" s="314"/>
      <c r="B34" s="549"/>
      <c r="C34" s="314"/>
      <c r="D34" s="314"/>
      <c r="E34" s="314"/>
      <c r="F34" s="314"/>
      <c r="G34" s="314"/>
      <c r="H34" s="314"/>
      <c r="I34" s="314"/>
      <c r="J34" s="314"/>
      <c r="K34" s="314"/>
      <c r="L34" s="314"/>
      <c r="M34" s="314"/>
    </row>
    <row r="35" spans="1:13" ht="15.75">
      <c r="A35" s="314"/>
      <c r="B35" s="549"/>
      <c r="C35" s="314"/>
      <c r="D35" s="314"/>
      <c r="E35" s="314"/>
      <c r="F35" s="314"/>
      <c r="G35" s="314"/>
      <c r="H35" s="314"/>
      <c r="I35" s="314"/>
      <c r="J35" s="314"/>
      <c r="K35" s="314"/>
      <c r="L35" s="314"/>
      <c r="M35" s="314"/>
    </row>
    <row r="36" spans="1:13" ht="15.75">
      <c r="A36" s="314"/>
      <c r="B36" s="549"/>
      <c r="C36" s="314"/>
      <c r="D36" s="314"/>
    </row>
    <row r="37" spans="1:13" ht="15.75">
      <c r="A37" s="314"/>
      <c r="B37" s="549"/>
      <c r="C37" s="314"/>
      <c r="D37" s="314"/>
    </row>
    <row r="38" spans="1:13" ht="15.75">
      <c r="A38" s="314"/>
      <c r="B38" s="549"/>
      <c r="C38" s="314"/>
      <c r="D38" s="314"/>
    </row>
    <row r="39" spans="1:13" ht="15.75">
      <c r="A39" s="314"/>
      <c r="B39" s="549"/>
      <c r="C39" s="314"/>
      <c r="D39" s="314"/>
    </row>
    <row r="40" spans="1:13" ht="15.75">
      <c r="A40" s="314"/>
      <c r="B40" s="549"/>
      <c r="C40" s="314"/>
      <c r="D40" s="314"/>
    </row>
    <row r="41" spans="1:13" ht="15.75">
      <c r="A41" s="314"/>
      <c r="B41" s="549"/>
      <c r="C41" s="314"/>
      <c r="D41" s="314"/>
    </row>
    <row r="42" spans="1:13" ht="15.75">
      <c r="A42" s="314"/>
      <c r="B42" s="549"/>
      <c r="C42" s="314"/>
      <c r="D42" s="314"/>
    </row>
  </sheetData>
  <pageMargins left="0.45" right="0.2" top="0.75" bottom="0.75" header="0.3" footer="0.3"/>
  <pageSetup scale="84" fitToHeight="0" orientation="portrait" r:id="rId1"/>
  <rowBreaks count="1" manualBreakCount="1">
    <brk id="33" max="2"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C8640-A259-461A-81D6-7514BF77DFD0}">
  <sheetPr codeName="Sheet42"/>
  <dimension ref="A1:Z101"/>
  <sheetViews>
    <sheetView workbookViewId="0">
      <selection sqref="A1:B4"/>
    </sheetView>
  </sheetViews>
  <sheetFormatPr defaultRowHeight="15"/>
  <cols>
    <col min="1" max="1" width="15.6640625" bestFit="1" customWidth="1"/>
    <col min="5" max="5" width="9.109375" bestFit="1" customWidth="1"/>
    <col min="7" max="7" width="9.109375" bestFit="1" customWidth="1"/>
  </cols>
  <sheetData>
    <row r="1" spans="1:26" ht="15.75">
      <c r="A1" s="291" t="s">
        <v>1587</v>
      </c>
      <c r="B1" s="291"/>
      <c r="C1" s="291"/>
      <c r="D1" s="291"/>
      <c r="E1" s="291"/>
      <c r="F1" s="291"/>
      <c r="G1" s="291"/>
      <c r="H1" s="291"/>
      <c r="I1" s="291"/>
      <c r="J1" s="291"/>
      <c r="K1" s="291"/>
      <c r="L1" s="291"/>
      <c r="M1" s="291"/>
      <c r="N1" s="291"/>
      <c r="O1" s="291"/>
      <c r="P1" s="291"/>
      <c r="Q1" s="291"/>
      <c r="R1" s="291"/>
      <c r="S1" s="291"/>
      <c r="T1" s="291"/>
      <c r="U1" s="291"/>
      <c r="V1" s="291"/>
      <c r="W1" s="291"/>
      <c r="X1" s="291"/>
      <c r="Y1" s="291"/>
      <c r="Z1" s="291"/>
    </row>
    <row r="2" spans="1:26" ht="15.75">
      <c r="A2" s="291" t="s">
        <v>1588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row>
    <row r="3" spans="1:26" ht="15.7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row>
    <row r="4" spans="1:26" ht="33.75" customHeight="1">
      <c r="A4" s="859" t="s">
        <v>1589</v>
      </c>
      <c r="B4" s="859"/>
      <c r="C4" s="291"/>
      <c r="D4" s="291"/>
      <c r="E4" s="291"/>
      <c r="F4" s="291"/>
      <c r="G4" s="860" t="s">
        <v>1699</v>
      </c>
      <c r="H4" s="860"/>
      <c r="I4" s="291"/>
      <c r="J4" s="291"/>
      <c r="K4" s="291"/>
      <c r="L4" s="291"/>
      <c r="M4" s="291"/>
      <c r="N4" s="291"/>
      <c r="O4" s="291"/>
      <c r="P4" s="291"/>
      <c r="Q4" s="291"/>
      <c r="R4" s="291"/>
      <c r="S4" s="291"/>
      <c r="T4" s="291"/>
      <c r="U4" s="291"/>
      <c r="V4" s="291"/>
      <c r="W4" s="291"/>
      <c r="X4" s="291"/>
      <c r="Y4" s="291"/>
      <c r="Z4" s="291"/>
    </row>
    <row r="5" spans="1:26" ht="15.75">
      <c r="A5" s="291"/>
      <c r="B5" s="291"/>
      <c r="C5" s="291" t="s">
        <v>1686</v>
      </c>
      <c r="D5" s="291" t="s">
        <v>1687</v>
      </c>
      <c r="E5" s="291" t="s">
        <v>1688</v>
      </c>
      <c r="F5" s="291" t="s">
        <v>1687</v>
      </c>
      <c r="G5" s="860" t="s">
        <v>1688</v>
      </c>
      <c r="H5" s="860" t="s">
        <v>949</v>
      </c>
      <c r="I5" s="291"/>
      <c r="J5" s="291"/>
      <c r="K5" s="291"/>
      <c r="L5" s="291"/>
      <c r="M5" s="291"/>
      <c r="N5" s="291"/>
      <c r="O5" s="291"/>
      <c r="P5" s="291"/>
      <c r="Q5" s="291"/>
      <c r="R5" s="291"/>
      <c r="S5" s="291"/>
      <c r="T5" s="291"/>
      <c r="U5" s="291"/>
      <c r="V5" s="291"/>
      <c r="W5" s="291"/>
      <c r="X5" s="291"/>
      <c r="Y5" s="291"/>
      <c r="Z5" s="291"/>
    </row>
    <row r="6" spans="1:26" ht="15.75">
      <c r="A6" s="291" t="s">
        <v>1590</v>
      </c>
      <c r="B6" s="291"/>
      <c r="C6" s="291">
        <v>12192</v>
      </c>
      <c r="D6" s="291">
        <v>120</v>
      </c>
      <c r="E6" s="293">
        <f>+D6*C6</f>
        <v>1463040</v>
      </c>
      <c r="F6" s="293">
        <v>136.5</v>
      </c>
      <c r="G6" s="293">
        <f>+F6*C6</f>
        <v>1664208</v>
      </c>
      <c r="H6" s="291"/>
      <c r="I6" s="291"/>
      <c r="J6" s="291"/>
      <c r="K6" s="291"/>
      <c r="L6" s="291"/>
      <c r="M6" s="291"/>
      <c r="N6" s="291"/>
      <c r="O6" s="291"/>
      <c r="P6" s="291"/>
      <c r="Q6" s="291"/>
      <c r="R6" s="291"/>
      <c r="S6" s="291"/>
      <c r="T6" s="291"/>
      <c r="U6" s="291"/>
      <c r="V6" s="291"/>
      <c r="W6" s="291"/>
      <c r="X6" s="291"/>
      <c r="Y6" s="291"/>
      <c r="Z6" s="291"/>
    </row>
    <row r="7" spans="1:26" ht="15.75">
      <c r="A7" s="291" t="s">
        <v>1591</v>
      </c>
      <c r="B7" s="291"/>
      <c r="C7" s="291">
        <v>7863</v>
      </c>
      <c r="D7" s="291">
        <v>68</v>
      </c>
      <c r="E7" s="293">
        <f>+D7*C7</f>
        <v>534684</v>
      </c>
      <c r="F7" s="293">
        <v>72</v>
      </c>
      <c r="G7" s="293">
        <f>+F7*C7</f>
        <v>566136</v>
      </c>
      <c r="H7" s="291"/>
      <c r="I7" s="291"/>
      <c r="J7" s="291"/>
      <c r="K7" s="291"/>
      <c r="L7" s="291"/>
      <c r="M7" s="291"/>
      <c r="N7" s="291"/>
      <c r="O7" s="291"/>
      <c r="P7" s="291"/>
      <c r="Q7" s="291"/>
      <c r="R7" s="291"/>
      <c r="S7" s="291"/>
      <c r="T7" s="291"/>
      <c r="U7" s="291"/>
      <c r="V7" s="291"/>
      <c r="W7" s="291"/>
      <c r="X7" s="291"/>
      <c r="Y7" s="291"/>
      <c r="Z7" s="291"/>
    </row>
    <row r="8" spans="1:26" ht="15.75">
      <c r="A8" s="291" t="s">
        <v>1592</v>
      </c>
      <c r="B8" s="291"/>
      <c r="C8" s="291"/>
      <c r="D8" s="291"/>
      <c r="E8" s="293">
        <f>605546.48-68063.45</f>
        <v>537483.03</v>
      </c>
      <c r="F8" s="293"/>
      <c r="G8" s="293">
        <v>605546.48</v>
      </c>
      <c r="H8" s="291"/>
      <c r="I8" s="291"/>
      <c r="J8" s="291"/>
      <c r="K8" s="291"/>
      <c r="L8" s="291"/>
      <c r="M8" s="291"/>
      <c r="N8" s="291"/>
      <c r="O8" s="291"/>
      <c r="P8" s="291"/>
      <c r="Q8" s="291"/>
      <c r="R8" s="291"/>
      <c r="S8" s="291"/>
      <c r="T8" s="291"/>
      <c r="U8" s="291"/>
      <c r="V8" s="291"/>
      <c r="W8" s="291"/>
      <c r="X8" s="291"/>
      <c r="Y8" s="291"/>
      <c r="Z8" s="291"/>
    </row>
    <row r="9" spans="1:26" ht="15.75">
      <c r="A9" s="291" t="s">
        <v>1593</v>
      </c>
      <c r="B9" s="291"/>
      <c r="C9" s="291"/>
      <c r="D9" s="291"/>
      <c r="E9" s="293">
        <v>4583.17</v>
      </c>
      <c r="F9" s="293"/>
      <c r="G9" s="293">
        <v>4583.17</v>
      </c>
      <c r="H9" s="291"/>
      <c r="I9" s="291"/>
      <c r="J9" s="291"/>
      <c r="K9" s="291"/>
      <c r="L9" s="291"/>
      <c r="M9" s="291"/>
      <c r="N9" s="291"/>
      <c r="O9" s="291"/>
      <c r="P9" s="291"/>
      <c r="Q9" s="291"/>
      <c r="R9" s="291"/>
      <c r="S9" s="291"/>
      <c r="T9" s="291"/>
      <c r="U9" s="291"/>
      <c r="V9" s="291"/>
      <c r="W9" s="291"/>
      <c r="X9" s="291"/>
      <c r="Y9" s="291"/>
      <c r="Z9" s="291"/>
    </row>
    <row r="10" spans="1:26" ht="15.75">
      <c r="A10" s="291" t="s">
        <v>1527</v>
      </c>
      <c r="B10" s="291"/>
      <c r="C10" s="291"/>
      <c r="D10" s="291"/>
      <c r="E10" s="267">
        <v>248899.57</v>
      </c>
      <c r="F10" s="293"/>
      <c r="G10" s="267">
        <v>248899.57</v>
      </c>
      <c r="H10" s="291"/>
      <c r="I10" s="291"/>
      <c r="J10" s="291"/>
      <c r="K10" s="291"/>
      <c r="L10" s="291"/>
      <c r="M10" s="291"/>
      <c r="N10" s="291"/>
      <c r="O10" s="291"/>
      <c r="P10" s="291"/>
      <c r="Q10" s="291"/>
      <c r="R10" s="291"/>
      <c r="S10" s="291"/>
      <c r="T10" s="291"/>
      <c r="U10" s="291"/>
      <c r="V10" s="291"/>
      <c r="W10" s="291"/>
      <c r="X10" s="291"/>
      <c r="Y10" s="291"/>
      <c r="Z10" s="291"/>
    </row>
    <row r="11" spans="1:26" ht="15.75">
      <c r="A11" s="291" t="s">
        <v>103</v>
      </c>
      <c r="B11" s="291"/>
      <c r="C11" s="291"/>
      <c r="D11" s="291"/>
      <c r="E11" s="293">
        <f>SUM(E6:E10)</f>
        <v>2788689.77</v>
      </c>
      <c r="F11" s="293"/>
      <c r="G11" s="293">
        <f>SUM(G6:G10)</f>
        <v>3089373.2199999997</v>
      </c>
      <c r="H11" s="293">
        <f>+G11-E11</f>
        <v>300683.44999999972</v>
      </c>
      <c r="I11" s="291"/>
      <c r="J11" s="291"/>
      <c r="K11" s="291"/>
      <c r="L11" s="291"/>
      <c r="M11" s="291"/>
      <c r="N11" s="291"/>
      <c r="O11" s="291"/>
      <c r="P11" s="291"/>
      <c r="Q11" s="291"/>
      <c r="R11" s="291"/>
      <c r="S11" s="291"/>
      <c r="T11" s="291"/>
      <c r="U11" s="291"/>
      <c r="V11" s="291"/>
      <c r="W11" s="291"/>
      <c r="X11" s="291"/>
      <c r="Y11" s="291"/>
      <c r="Z11" s="291"/>
    </row>
    <row r="12" spans="1:26" ht="15.75">
      <c r="A12" s="291"/>
      <c r="B12" s="291"/>
      <c r="C12" s="291"/>
      <c r="D12" s="291"/>
      <c r="E12" s="293"/>
      <c r="F12" s="293"/>
      <c r="G12" s="293"/>
      <c r="H12" s="291"/>
      <c r="I12" s="291"/>
      <c r="J12" s="291"/>
      <c r="K12" s="291"/>
      <c r="L12" s="291"/>
      <c r="M12" s="291"/>
      <c r="N12" s="291"/>
      <c r="O12" s="291"/>
      <c r="P12" s="291"/>
      <c r="Q12" s="291"/>
      <c r="R12" s="291"/>
      <c r="S12" s="291"/>
      <c r="T12" s="291"/>
      <c r="U12" s="291"/>
      <c r="V12" s="291"/>
      <c r="W12" s="291"/>
      <c r="X12" s="291"/>
      <c r="Y12" s="291"/>
      <c r="Z12" s="291"/>
    </row>
    <row r="13" spans="1:26" ht="15.75">
      <c r="A13" s="291"/>
      <c r="B13" s="291"/>
      <c r="C13" s="291"/>
      <c r="D13" s="291"/>
      <c r="E13" s="293"/>
      <c r="F13" s="293"/>
      <c r="G13" s="293"/>
      <c r="H13" s="291"/>
      <c r="I13" s="291"/>
      <c r="J13" s="291"/>
      <c r="K13" s="291"/>
      <c r="L13" s="291"/>
      <c r="M13" s="291"/>
      <c r="N13" s="291"/>
      <c r="O13" s="291"/>
      <c r="P13" s="291"/>
      <c r="Q13" s="291"/>
      <c r="R13" s="291"/>
      <c r="S13" s="291"/>
      <c r="T13" s="291"/>
      <c r="U13" s="291"/>
      <c r="V13" s="291"/>
      <c r="W13" s="291"/>
      <c r="X13" s="291"/>
      <c r="Y13" s="291"/>
      <c r="Z13" s="291"/>
    </row>
    <row r="14" spans="1:26" ht="15.75">
      <c r="A14" s="291"/>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row>
    <row r="15" spans="1:26" ht="15.75">
      <c r="A15" s="291"/>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row>
    <row r="16" spans="1:26" ht="15.75">
      <c r="A16" s="553" t="s">
        <v>1580</v>
      </c>
      <c r="B16" s="314"/>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row>
    <row r="17" spans="1:26" ht="15.75">
      <c r="A17" s="553" t="s">
        <v>1581</v>
      </c>
      <c r="C17" s="291"/>
      <c r="D17" s="554">
        <v>170</v>
      </c>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26" ht="15.75">
      <c r="A18" s="553" t="s">
        <v>1582</v>
      </c>
      <c r="C18" s="291"/>
      <c r="D18" s="554">
        <v>174</v>
      </c>
      <c r="E18" s="291"/>
      <c r="F18" s="291"/>
      <c r="G18" s="291"/>
      <c r="H18" s="291"/>
      <c r="I18" s="291"/>
      <c r="J18" s="291"/>
      <c r="K18" s="291"/>
      <c r="L18" s="291"/>
      <c r="M18" s="291"/>
      <c r="N18" s="291"/>
      <c r="O18" s="291"/>
      <c r="P18" s="291"/>
      <c r="Q18" s="291"/>
      <c r="R18" s="291"/>
      <c r="S18" s="291"/>
      <c r="T18" s="291"/>
      <c r="U18" s="291"/>
      <c r="V18" s="291"/>
      <c r="W18" s="291"/>
      <c r="X18" s="291"/>
      <c r="Y18" s="291"/>
      <c r="Z18" s="291"/>
    </row>
    <row r="19" spans="1:26" ht="15.75">
      <c r="A19" s="553" t="s">
        <v>1680</v>
      </c>
      <c r="C19" s="291"/>
      <c r="D19" s="554">
        <v>160</v>
      </c>
      <c r="E19" s="291"/>
      <c r="F19" s="291"/>
      <c r="G19" s="291"/>
      <c r="H19" s="291"/>
      <c r="I19" s="291"/>
      <c r="J19" s="291"/>
      <c r="K19" s="291"/>
      <c r="L19" s="291"/>
      <c r="M19" s="291"/>
      <c r="N19" s="291"/>
      <c r="O19" s="291"/>
      <c r="P19" s="291"/>
      <c r="Q19" s="291"/>
      <c r="R19" s="291"/>
      <c r="S19" s="291"/>
      <c r="T19" s="291"/>
      <c r="U19" s="291"/>
      <c r="V19" s="291"/>
      <c r="W19" s="291"/>
      <c r="X19" s="291"/>
      <c r="Y19" s="291"/>
      <c r="Z19" s="291"/>
    </row>
    <row r="20" spans="1:26" ht="15.75">
      <c r="A20" s="553" t="s">
        <v>1583</v>
      </c>
      <c r="C20" s="291"/>
      <c r="D20" s="554">
        <v>138</v>
      </c>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26" ht="15.75">
      <c r="A21" s="553" t="s">
        <v>1584</v>
      </c>
      <c r="C21" s="291"/>
      <c r="D21" s="818">
        <v>135</v>
      </c>
      <c r="E21" s="291"/>
      <c r="F21" s="291"/>
      <c r="G21" s="291"/>
      <c r="H21" s="291"/>
      <c r="I21" s="291"/>
      <c r="J21" s="291"/>
      <c r="K21" s="291"/>
      <c r="L21" s="291"/>
      <c r="M21" s="291"/>
      <c r="N21" s="291"/>
      <c r="O21" s="291"/>
      <c r="P21" s="291"/>
      <c r="Q21" s="291"/>
      <c r="R21" s="291"/>
      <c r="S21" s="291"/>
      <c r="T21" s="291"/>
      <c r="U21" s="291"/>
      <c r="V21" s="291"/>
      <c r="W21" s="291"/>
      <c r="X21" s="291"/>
      <c r="Y21" s="291"/>
      <c r="Z21" s="291"/>
    </row>
    <row r="22" spans="1:26" ht="15.75">
      <c r="A22" s="553" t="s">
        <v>1681</v>
      </c>
      <c r="C22" s="291"/>
      <c r="D22" s="554">
        <f>AVERAGE(D17:D21)</f>
        <v>155.4</v>
      </c>
      <c r="E22" s="291"/>
      <c r="F22" s="291"/>
      <c r="G22" s="291"/>
      <c r="H22" s="291"/>
      <c r="I22" s="291"/>
      <c r="J22" s="291"/>
      <c r="K22" s="291"/>
      <c r="L22" s="291"/>
      <c r="M22" s="291"/>
      <c r="N22" s="291"/>
      <c r="O22" s="291"/>
      <c r="P22" s="291"/>
      <c r="Q22" s="291"/>
      <c r="R22" s="291"/>
      <c r="S22" s="291"/>
      <c r="T22" s="291"/>
      <c r="U22" s="291"/>
      <c r="V22" s="291"/>
      <c r="W22" s="291"/>
      <c r="X22" s="291"/>
      <c r="Y22" s="291"/>
      <c r="Z22" s="291"/>
    </row>
    <row r="23" spans="1:26" ht="15.75">
      <c r="A23" s="553"/>
      <c r="C23" s="291"/>
      <c r="D23" s="554"/>
      <c r="E23" s="291"/>
      <c r="F23" s="291"/>
      <c r="G23" s="291"/>
      <c r="H23" s="291"/>
      <c r="I23" s="291"/>
      <c r="J23" s="291"/>
      <c r="K23" s="291"/>
      <c r="L23" s="291"/>
      <c r="M23" s="291"/>
      <c r="N23" s="291"/>
      <c r="O23" s="291"/>
      <c r="P23" s="291"/>
      <c r="Q23" s="291"/>
      <c r="R23" s="291"/>
      <c r="S23" s="291"/>
      <c r="T23" s="291"/>
      <c r="U23" s="291"/>
      <c r="V23" s="291"/>
      <c r="W23" s="291"/>
      <c r="X23" s="291"/>
      <c r="Y23" s="291"/>
      <c r="Z23" s="291"/>
    </row>
    <row r="24" spans="1:26" ht="15.75">
      <c r="A24" s="314" t="s">
        <v>1682</v>
      </c>
      <c r="B24" s="549"/>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row>
    <row r="25" spans="1:26" ht="15.75">
      <c r="A25" s="314"/>
      <c r="B25" s="549"/>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row>
    <row r="26" spans="1:26" ht="15.75">
      <c r="A26" s="314" t="s">
        <v>1683</v>
      </c>
      <c r="B26" s="549"/>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row>
    <row r="27" spans="1:26" ht="15.75">
      <c r="A27" s="314" t="s">
        <v>1684</v>
      </c>
      <c r="B27" s="549"/>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26" ht="15.75">
      <c r="A28" s="314" t="s">
        <v>1685</v>
      </c>
      <c r="B28" s="549"/>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row>
    <row r="29" spans="1:26" ht="15.75">
      <c r="A29" s="314"/>
      <c r="B29" s="549"/>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row>
    <row r="30" spans="1:26" ht="15.75">
      <c r="A30" s="314"/>
      <c r="B30" s="549"/>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row>
    <row r="31" spans="1:26" ht="42" customHeight="1">
      <c r="A31" s="858" t="s">
        <v>1586</v>
      </c>
      <c r="B31" s="858"/>
      <c r="C31" s="858"/>
      <c r="D31" s="858"/>
      <c r="E31" s="858"/>
      <c r="F31" s="858"/>
      <c r="G31" s="858"/>
      <c r="H31" s="858"/>
      <c r="I31" s="291"/>
      <c r="J31" s="291"/>
      <c r="K31" s="291"/>
      <c r="L31" s="291"/>
      <c r="M31" s="291"/>
      <c r="N31" s="291"/>
      <c r="O31" s="291"/>
      <c r="P31" s="291"/>
      <c r="Q31" s="291"/>
      <c r="R31" s="291"/>
      <c r="S31" s="291"/>
      <c r="T31" s="291"/>
      <c r="U31" s="291"/>
      <c r="V31" s="291"/>
      <c r="W31" s="291"/>
      <c r="X31" s="291"/>
      <c r="Y31" s="291"/>
      <c r="Z31" s="291"/>
    </row>
    <row r="32" spans="1:26" ht="15.75">
      <c r="A32" s="29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row>
    <row r="33" spans="1:26" ht="15.75">
      <c r="A33" s="29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row>
    <row r="34" spans="1:26" ht="15.75">
      <c r="A34" s="29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row>
    <row r="35" spans="1:26" ht="15.75">
      <c r="A35" s="29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row>
    <row r="36" spans="1:26" ht="15.75">
      <c r="A36" s="29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row>
    <row r="37" spans="1:26" ht="15.75">
      <c r="A37" s="29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row>
    <row r="38" spans="1:26" ht="15.75">
      <c r="A38" s="29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row>
    <row r="39" spans="1:26" ht="15.75">
      <c r="A39" s="29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row>
    <row r="40" spans="1:26" ht="15.75">
      <c r="A40" s="29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row>
    <row r="41" spans="1:26" ht="15.75">
      <c r="A41" s="29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row>
    <row r="42" spans="1:26" ht="15.75">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row>
    <row r="43" spans="1:26" ht="15.75">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row>
    <row r="44" spans="1:26" ht="15.75">
      <c r="A44" s="29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row>
    <row r="45" spans="1:26" ht="15.75">
      <c r="A45" s="29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row>
    <row r="46" spans="1:26" ht="15.75">
      <c r="A46" s="29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row>
    <row r="47" spans="1:26" ht="15.75">
      <c r="A47" s="29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row>
    <row r="48" spans="1:26" ht="15.75">
      <c r="A48" s="29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row>
    <row r="49" spans="1:26" ht="15.75">
      <c r="A49" s="29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row>
    <row r="50" spans="1:26" ht="15.75">
      <c r="A50" s="29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row>
    <row r="51" spans="1:26" ht="15.75">
      <c r="A51" s="29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row>
    <row r="52" spans="1:26" ht="15.75">
      <c r="A52" s="29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row>
    <row r="53" spans="1:26" ht="15.75">
      <c r="A53" s="29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row>
    <row r="54" spans="1:26" ht="15.75">
      <c r="A54" s="29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row>
    <row r="55" spans="1:26" ht="15.75">
      <c r="A55" s="29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row>
    <row r="56" spans="1:26" ht="15.75">
      <c r="A56" s="29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row>
    <row r="57" spans="1:26" ht="15.75">
      <c r="A57" s="29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row>
    <row r="58" spans="1:26" ht="15.75">
      <c r="A58" s="29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row>
    <row r="59" spans="1:26" ht="15.75">
      <c r="A59" s="29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row>
    <row r="60" spans="1:26" ht="15.75">
      <c r="A60" s="29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row>
    <row r="61" spans="1:26" ht="15.75">
      <c r="A61" s="29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row>
    <row r="62" spans="1:26" ht="15.75">
      <c r="A62" s="29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row>
    <row r="63" spans="1:26" ht="15.75">
      <c r="A63" s="29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row>
    <row r="64" spans="1:26" ht="15.75">
      <c r="A64" s="29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row>
    <row r="65" spans="1:26" ht="15.75">
      <c r="A65" s="291"/>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row>
    <row r="66" spans="1:26" ht="15.75">
      <c r="A66" s="291"/>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row>
    <row r="67" spans="1:26" ht="15.75">
      <c r="A67" s="291"/>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row>
    <row r="68" spans="1:26" ht="15.75">
      <c r="A68" s="291"/>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row>
    <row r="69" spans="1:26" ht="15.75">
      <c r="A69" s="291"/>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row>
    <row r="70" spans="1:26" ht="15.75">
      <c r="A70" s="291"/>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row>
    <row r="71" spans="1:26" ht="15.75">
      <c r="A71" s="291"/>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row>
    <row r="72" spans="1:26" ht="15.75">
      <c r="A72" s="291"/>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row>
    <row r="73" spans="1:26" ht="15.75">
      <c r="A73" s="291"/>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row>
    <row r="74" spans="1:26" ht="15.75">
      <c r="A74" s="291"/>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row>
    <row r="75" spans="1:26" ht="15.75">
      <c r="A75" s="291"/>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row>
    <row r="76" spans="1:26" ht="15.75">
      <c r="A76" s="291"/>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row>
    <row r="77" spans="1:26" ht="15.75">
      <c r="A77" s="291"/>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row>
    <row r="78" spans="1:26" ht="15.75">
      <c r="A78" s="291"/>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row>
    <row r="79" spans="1:26" ht="15.75">
      <c r="A79" s="291"/>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row>
    <row r="80" spans="1:26" ht="15.75">
      <c r="A80" s="291"/>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row>
    <row r="81" spans="1:26" ht="15.75">
      <c r="A81" s="291"/>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row>
    <row r="82" spans="1:26" ht="15.75">
      <c r="A82" s="291"/>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row>
    <row r="83" spans="1:26" ht="15.75">
      <c r="A83" s="291"/>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row>
    <row r="84" spans="1:26" ht="15.75">
      <c r="A84" s="291"/>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row>
    <row r="85" spans="1:26" ht="15.75">
      <c r="A85" s="291"/>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row>
    <row r="86" spans="1:26" ht="15.75">
      <c r="A86" s="291"/>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row>
    <row r="87" spans="1:26" ht="15.75">
      <c r="A87" s="291"/>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row>
    <row r="88" spans="1:26" ht="15.75">
      <c r="A88" s="291"/>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row>
    <row r="89" spans="1:26" ht="15.75">
      <c r="A89" s="291"/>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row>
    <row r="90" spans="1:26" ht="15.75">
      <c r="A90" s="291"/>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row>
    <row r="91" spans="1:26" ht="15.75">
      <c r="A91" s="291"/>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row>
    <row r="92" spans="1:26" ht="15.75">
      <c r="A92" s="291"/>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row>
    <row r="93" spans="1:26" ht="15.75">
      <c r="A93" s="291"/>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row>
    <row r="94" spans="1:26" ht="15.75">
      <c r="A94" s="291"/>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row>
    <row r="95" spans="1:26" ht="15.75">
      <c r="A95" s="291"/>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row>
    <row r="96" spans="1:26" ht="15.75">
      <c r="A96" s="291"/>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row>
    <row r="97" spans="1:26" ht="15.75">
      <c r="A97" s="291"/>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row>
    <row r="98" spans="1:26" ht="15.75">
      <c r="A98" s="291"/>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row>
    <row r="99" spans="1:26" ht="15.75">
      <c r="A99" s="291"/>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row>
    <row r="100" spans="1:26" ht="15.75">
      <c r="A100" s="291"/>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row>
    <row r="101" spans="1:26" ht="15.75">
      <c r="A101" s="291"/>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row>
  </sheetData>
  <mergeCells count="2">
    <mergeCell ref="A31:H31"/>
    <mergeCell ref="A4:B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09FE-EF7A-4988-8B5D-4DE46E40F43F}">
  <dimension ref="A1:AC407"/>
  <sheetViews>
    <sheetView tabSelected="1" workbookViewId="0">
      <selection activeCell="A12" sqref="A12"/>
    </sheetView>
  </sheetViews>
  <sheetFormatPr defaultRowHeight="15"/>
  <sheetData>
    <row r="1" spans="1:29" ht="15.75">
      <c r="A1" s="291" t="s">
        <v>1704</v>
      </c>
      <c r="B1" s="291"/>
      <c r="C1" s="66"/>
      <c r="D1" s="537"/>
      <c r="E1" s="537"/>
      <c r="F1" s="537"/>
      <c r="G1" s="537"/>
      <c r="H1" s="537"/>
      <c r="I1" s="537"/>
      <c r="J1" s="537"/>
      <c r="K1" s="537"/>
      <c r="L1" s="537"/>
      <c r="M1" s="537"/>
      <c r="N1" s="537"/>
      <c r="O1" s="537"/>
      <c r="P1" s="537"/>
      <c r="Q1" s="537"/>
      <c r="R1" s="537"/>
      <c r="S1" s="537"/>
      <c r="T1" s="537"/>
      <c r="U1" s="537"/>
      <c r="V1" s="537"/>
      <c r="W1" s="537"/>
      <c r="X1" s="878"/>
      <c r="Y1" s="878"/>
      <c r="Z1" s="878"/>
      <c r="AA1" s="878"/>
      <c r="AB1" s="878"/>
      <c r="AC1" s="878"/>
    </row>
    <row r="2" spans="1:29" ht="15.75">
      <c r="A2" s="291" t="s">
        <v>1588</v>
      </c>
      <c r="B2" s="291"/>
      <c r="C2" s="66"/>
      <c r="D2" s="537"/>
      <c r="E2" s="537"/>
      <c r="F2" s="537"/>
      <c r="G2" s="537"/>
      <c r="H2" s="537"/>
      <c r="I2" s="537"/>
      <c r="J2" s="537"/>
      <c r="K2" s="537"/>
      <c r="L2" s="537"/>
      <c r="M2" s="537"/>
      <c r="N2" s="537"/>
      <c r="O2" s="537"/>
      <c r="P2" s="537"/>
      <c r="Q2" s="537"/>
      <c r="R2" s="537"/>
      <c r="S2" s="537"/>
      <c r="T2" s="537"/>
      <c r="U2" s="537"/>
      <c r="V2" s="537"/>
      <c r="W2" s="537"/>
      <c r="X2" s="878"/>
      <c r="Y2" s="878"/>
      <c r="Z2" s="878"/>
      <c r="AA2" s="878"/>
      <c r="AB2" s="878"/>
      <c r="AC2" s="878"/>
    </row>
    <row r="3" spans="1:29" ht="15.75">
      <c r="A3" s="291"/>
      <c r="B3" s="291"/>
      <c r="C3" s="66"/>
      <c r="D3" s="537"/>
      <c r="E3" s="537"/>
      <c r="F3" s="537"/>
      <c r="G3" s="537"/>
      <c r="H3" s="537"/>
      <c r="I3" s="537"/>
      <c r="J3" s="537"/>
      <c r="K3" s="537"/>
      <c r="L3" s="537"/>
      <c r="M3" s="537"/>
      <c r="N3" s="537"/>
      <c r="O3" s="537"/>
      <c r="P3" s="537"/>
      <c r="Q3" s="537"/>
      <c r="R3" s="537"/>
      <c r="S3" s="537"/>
      <c r="T3" s="537"/>
      <c r="U3" s="537"/>
      <c r="V3" s="537"/>
      <c r="W3" s="537"/>
      <c r="X3" s="878"/>
      <c r="Y3" s="878"/>
      <c r="Z3" s="878"/>
      <c r="AA3" s="878"/>
      <c r="AB3" s="878"/>
      <c r="AC3" s="878"/>
    </row>
    <row r="4" spans="1:29" ht="15.75" customHeight="1">
      <c r="A4" s="877" t="s">
        <v>1705</v>
      </c>
      <c r="B4" s="877"/>
      <c r="C4" s="66"/>
      <c r="D4" s="537"/>
      <c r="E4" s="537"/>
      <c r="F4" s="537"/>
      <c r="G4" s="537"/>
      <c r="H4" s="537"/>
      <c r="I4" s="537"/>
      <c r="J4" s="537"/>
      <c r="K4" s="537"/>
      <c r="L4" s="537"/>
      <c r="M4" s="537"/>
      <c r="N4" s="537"/>
      <c r="O4" s="537"/>
      <c r="P4" s="537"/>
      <c r="Q4" s="537"/>
      <c r="R4" s="537"/>
      <c r="S4" s="537"/>
      <c r="T4" s="537"/>
      <c r="U4" s="537"/>
      <c r="V4" s="537"/>
      <c r="W4" s="537"/>
      <c r="X4" s="878"/>
      <c r="Y4" s="878"/>
      <c r="Z4" s="878"/>
      <c r="AA4" s="878"/>
      <c r="AB4" s="878"/>
      <c r="AC4" s="878"/>
    </row>
    <row r="5" spans="1:29" ht="15.75">
      <c r="A5" s="66"/>
      <c r="B5" s="66"/>
      <c r="C5" s="66"/>
      <c r="D5" s="537"/>
      <c r="E5" s="537"/>
      <c r="F5" s="537"/>
      <c r="G5" s="537"/>
      <c r="H5" s="537"/>
      <c r="I5" s="537"/>
      <c r="J5" s="537"/>
      <c r="K5" s="537"/>
      <c r="L5" s="537"/>
      <c r="M5" s="537"/>
      <c r="N5" s="537"/>
      <c r="O5" s="537"/>
      <c r="P5" s="537"/>
      <c r="Q5" s="537"/>
      <c r="R5" s="537"/>
      <c r="S5" s="537"/>
      <c r="T5" s="537"/>
      <c r="U5" s="537"/>
      <c r="V5" s="537"/>
      <c r="W5" s="537"/>
      <c r="X5" s="878"/>
      <c r="Y5" s="878"/>
      <c r="Z5" s="878"/>
      <c r="AA5" s="878"/>
      <c r="AB5" s="878"/>
      <c r="AC5" s="878"/>
    </row>
    <row r="6" spans="1:29" ht="15.75">
      <c r="A6" s="877" t="s">
        <v>1706</v>
      </c>
      <c r="B6" s="66"/>
      <c r="C6" s="66"/>
      <c r="D6" s="537">
        <v>43011.63</v>
      </c>
      <c r="E6" s="537"/>
      <c r="F6" s="537"/>
      <c r="G6" s="537"/>
      <c r="H6" s="537"/>
      <c r="I6" s="537"/>
      <c r="J6" s="537"/>
      <c r="K6" s="537"/>
      <c r="L6" s="537"/>
      <c r="M6" s="537"/>
      <c r="N6" s="537"/>
      <c r="O6" s="537"/>
      <c r="P6" s="537"/>
      <c r="Q6" s="537"/>
      <c r="R6" s="537"/>
      <c r="S6" s="537"/>
      <c r="T6" s="537"/>
      <c r="U6" s="537"/>
      <c r="V6" s="537"/>
      <c r="W6" s="537"/>
      <c r="X6" s="878"/>
      <c r="Y6" s="878"/>
      <c r="Z6" s="878"/>
      <c r="AA6" s="878"/>
      <c r="AB6" s="878"/>
      <c r="AC6" s="878"/>
    </row>
    <row r="7" spans="1:29" ht="15.75">
      <c r="A7" s="537" t="s">
        <v>1707</v>
      </c>
      <c r="B7" s="537"/>
      <c r="C7" s="537"/>
      <c r="D7" s="537">
        <v>114136.28</v>
      </c>
      <c r="E7" s="537"/>
      <c r="F7" s="537"/>
      <c r="G7" s="537"/>
      <c r="H7" s="537"/>
      <c r="I7" s="537"/>
      <c r="J7" s="537"/>
      <c r="K7" s="537"/>
      <c r="L7" s="537"/>
      <c r="M7" s="537"/>
      <c r="N7" s="537"/>
      <c r="O7" s="537"/>
      <c r="P7" s="537"/>
      <c r="Q7" s="537"/>
      <c r="R7" s="537"/>
      <c r="S7" s="537"/>
      <c r="T7" s="537"/>
      <c r="U7" s="537"/>
      <c r="V7" s="537"/>
      <c r="W7" s="537"/>
      <c r="X7" s="878"/>
      <c r="Y7" s="878"/>
      <c r="Z7" s="878"/>
      <c r="AA7" s="878"/>
      <c r="AB7" s="878"/>
      <c r="AC7" s="878"/>
    </row>
    <row r="8" spans="1:29" ht="15.75">
      <c r="A8" s="537" t="s">
        <v>1708</v>
      </c>
      <c r="B8" s="537"/>
      <c r="C8" s="537"/>
      <c r="D8" s="537">
        <v>29937.5</v>
      </c>
      <c r="E8" s="537"/>
      <c r="F8" s="537"/>
      <c r="G8" s="537"/>
      <c r="H8" s="537"/>
      <c r="I8" s="537"/>
      <c r="J8" s="537"/>
      <c r="K8" s="537"/>
      <c r="L8" s="537"/>
      <c r="M8" s="537"/>
      <c r="N8" s="537"/>
      <c r="O8" s="537"/>
      <c r="P8" s="537"/>
      <c r="Q8" s="537"/>
      <c r="R8" s="537"/>
      <c r="S8" s="537"/>
      <c r="T8" s="537"/>
      <c r="U8" s="537"/>
      <c r="V8" s="537"/>
      <c r="W8" s="537"/>
      <c r="X8" s="878"/>
      <c r="Y8" s="878"/>
      <c r="Z8" s="878"/>
      <c r="AA8" s="878"/>
      <c r="AB8" s="878"/>
      <c r="AC8" s="878"/>
    </row>
    <row r="9" spans="1:29" ht="15.75">
      <c r="A9" s="537" t="s">
        <v>1709</v>
      </c>
      <c r="B9" s="537"/>
      <c r="C9" s="537"/>
      <c r="D9" s="537">
        <v>79240.38</v>
      </c>
      <c r="E9" s="537"/>
      <c r="F9" s="537"/>
      <c r="G9" s="537"/>
      <c r="H9" s="537"/>
      <c r="I9" s="537"/>
      <c r="J9" s="537"/>
      <c r="K9" s="537"/>
      <c r="L9" s="537"/>
      <c r="M9" s="537"/>
      <c r="N9" s="537"/>
      <c r="O9" s="537"/>
      <c r="P9" s="537"/>
      <c r="Q9" s="537"/>
      <c r="R9" s="537"/>
      <c r="S9" s="537"/>
      <c r="T9" s="537"/>
      <c r="U9" s="537"/>
      <c r="V9" s="537"/>
      <c r="W9" s="537"/>
      <c r="X9" s="878"/>
      <c r="Y9" s="878"/>
      <c r="Z9" s="878"/>
      <c r="AA9" s="878"/>
      <c r="AB9" s="878"/>
      <c r="AC9" s="878"/>
    </row>
    <row r="10" spans="1:29" ht="15.75">
      <c r="A10" s="537" t="s">
        <v>1710</v>
      </c>
      <c r="B10" s="537"/>
      <c r="C10" s="537"/>
      <c r="D10" s="555">
        <v>481798.54</v>
      </c>
      <c r="E10" s="537"/>
      <c r="F10" s="537"/>
      <c r="G10" s="537"/>
      <c r="H10" s="537"/>
      <c r="I10" s="537"/>
      <c r="J10" s="537"/>
      <c r="K10" s="537"/>
      <c r="L10" s="537"/>
      <c r="M10" s="537"/>
      <c r="N10" s="537"/>
      <c r="O10" s="537"/>
      <c r="P10" s="537"/>
      <c r="Q10" s="537"/>
      <c r="R10" s="537"/>
      <c r="S10" s="537"/>
      <c r="T10" s="537"/>
      <c r="U10" s="537"/>
      <c r="V10" s="537"/>
      <c r="W10" s="537"/>
      <c r="X10" s="878"/>
      <c r="Y10" s="878"/>
      <c r="Z10" s="878"/>
      <c r="AA10" s="878"/>
      <c r="AB10" s="878"/>
      <c r="AC10" s="878"/>
    </row>
    <row r="11" spans="1:29" ht="15.75">
      <c r="A11" s="537" t="s">
        <v>103</v>
      </c>
      <c r="B11" s="537"/>
      <c r="C11" s="537"/>
      <c r="D11" s="537">
        <f>SUM(D6:D10)</f>
        <v>748124.33000000007</v>
      </c>
      <c r="E11" s="537"/>
      <c r="F11" s="537"/>
      <c r="G11" s="537"/>
      <c r="H11" s="537"/>
      <c r="I11" s="537"/>
      <c r="J11" s="537"/>
      <c r="K11" s="537"/>
      <c r="L11" s="537"/>
      <c r="M11" s="537"/>
      <c r="N11" s="537"/>
      <c r="O11" s="537"/>
      <c r="P11" s="537"/>
      <c r="Q11" s="537"/>
      <c r="R11" s="537"/>
      <c r="S11" s="537"/>
      <c r="T11" s="537"/>
      <c r="U11" s="537"/>
      <c r="V11" s="537"/>
      <c r="W11" s="537"/>
      <c r="X11" s="878"/>
      <c r="Y11" s="878"/>
      <c r="Z11" s="878"/>
      <c r="AA11" s="878"/>
      <c r="AB11" s="878"/>
      <c r="AC11" s="878"/>
    </row>
    <row r="12" spans="1:29" ht="15.75">
      <c r="A12" s="537"/>
      <c r="B12" s="537"/>
      <c r="C12" s="537"/>
      <c r="D12" s="537"/>
      <c r="E12" s="537"/>
      <c r="F12" s="537"/>
      <c r="G12" s="537"/>
      <c r="H12" s="537"/>
      <c r="I12" s="537"/>
      <c r="J12" s="537"/>
      <c r="K12" s="537"/>
      <c r="L12" s="537"/>
      <c r="M12" s="537"/>
      <c r="N12" s="537"/>
      <c r="O12" s="537"/>
      <c r="P12" s="537"/>
      <c r="Q12" s="537"/>
      <c r="R12" s="537"/>
      <c r="S12" s="537"/>
      <c r="T12" s="537"/>
      <c r="U12" s="537"/>
      <c r="V12" s="537"/>
      <c r="W12" s="537"/>
      <c r="X12" s="878"/>
      <c r="Y12" s="878"/>
      <c r="Z12" s="878"/>
      <c r="AA12" s="878"/>
      <c r="AB12" s="878"/>
      <c r="AC12" s="878"/>
    </row>
    <row r="13" spans="1:29" ht="15.75">
      <c r="A13" s="537"/>
      <c r="B13" s="537"/>
      <c r="C13" s="537"/>
      <c r="D13" s="537"/>
      <c r="E13" s="537"/>
      <c r="F13" s="537"/>
      <c r="G13" s="537"/>
      <c r="H13" s="537"/>
      <c r="I13" s="537"/>
      <c r="J13" s="537"/>
      <c r="K13" s="537"/>
      <c r="L13" s="537"/>
      <c r="M13" s="537"/>
      <c r="N13" s="537"/>
      <c r="O13" s="537"/>
      <c r="P13" s="537"/>
      <c r="Q13" s="537"/>
      <c r="R13" s="537"/>
      <c r="S13" s="537"/>
      <c r="T13" s="537"/>
      <c r="U13" s="537"/>
      <c r="V13" s="537"/>
      <c r="W13" s="537"/>
      <c r="X13" s="878"/>
      <c r="Y13" s="878"/>
      <c r="Z13" s="878"/>
      <c r="AA13" s="878"/>
      <c r="AB13" s="878"/>
      <c r="AC13" s="878"/>
    </row>
    <row r="14" spans="1:29" ht="15.75">
      <c r="A14" s="537"/>
      <c r="B14" s="537"/>
      <c r="C14" s="537"/>
      <c r="D14" s="537"/>
      <c r="E14" s="537"/>
      <c r="F14" s="537"/>
      <c r="G14" s="537"/>
      <c r="H14" s="537"/>
      <c r="I14" s="537"/>
      <c r="J14" s="537"/>
      <c r="K14" s="537"/>
      <c r="L14" s="537"/>
      <c r="M14" s="537"/>
      <c r="N14" s="537"/>
      <c r="O14" s="537"/>
      <c r="P14" s="537"/>
      <c r="Q14" s="537"/>
      <c r="R14" s="537"/>
      <c r="S14" s="537"/>
      <c r="T14" s="537"/>
      <c r="U14" s="537"/>
      <c r="V14" s="537"/>
      <c r="W14" s="537"/>
      <c r="X14" s="878"/>
      <c r="Y14" s="878"/>
      <c r="Z14" s="878"/>
      <c r="AA14" s="878"/>
      <c r="AB14" s="878"/>
      <c r="AC14" s="878"/>
    </row>
    <row r="15" spans="1:29" ht="15.75">
      <c r="A15" s="537"/>
      <c r="B15" s="537"/>
      <c r="C15" s="537"/>
      <c r="D15" s="537"/>
      <c r="E15" s="537"/>
      <c r="F15" s="537"/>
      <c r="G15" s="537"/>
      <c r="H15" s="537"/>
      <c r="I15" s="537"/>
      <c r="J15" s="537"/>
      <c r="K15" s="537"/>
      <c r="L15" s="537"/>
      <c r="M15" s="537"/>
      <c r="N15" s="537"/>
      <c r="O15" s="537"/>
      <c r="P15" s="537"/>
      <c r="Q15" s="537"/>
      <c r="R15" s="537"/>
      <c r="S15" s="537"/>
      <c r="T15" s="537"/>
      <c r="U15" s="537"/>
      <c r="V15" s="537"/>
      <c r="W15" s="537"/>
      <c r="X15" s="878"/>
      <c r="Y15" s="878"/>
      <c r="Z15" s="878"/>
      <c r="AA15" s="878"/>
      <c r="AB15" s="878"/>
      <c r="AC15" s="878"/>
    </row>
    <row r="16" spans="1:29" ht="15.75">
      <c r="A16" s="537"/>
      <c r="B16" s="537"/>
      <c r="C16" s="537"/>
      <c r="D16" s="537"/>
      <c r="E16" s="537"/>
      <c r="F16" s="537"/>
      <c r="G16" s="537"/>
      <c r="H16" s="537"/>
      <c r="I16" s="537"/>
      <c r="J16" s="537"/>
      <c r="K16" s="537"/>
      <c r="L16" s="537"/>
      <c r="M16" s="537"/>
      <c r="N16" s="537"/>
      <c r="O16" s="537"/>
      <c r="P16" s="537"/>
      <c r="Q16" s="537"/>
      <c r="R16" s="537"/>
      <c r="S16" s="537"/>
      <c r="T16" s="537"/>
      <c r="U16" s="537"/>
      <c r="V16" s="537"/>
      <c r="W16" s="537"/>
      <c r="X16" s="878"/>
      <c r="Y16" s="878"/>
      <c r="Z16" s="878"/>
      <c r="AA16" s="878"/>
      <c r="AB16" s="878"/>
      <c r="AC16" s="878"/>
    </row>
    <row r="17" spans="1:29" ht="15.75">
      <c r="A17" s="537"/>
      <c r="B17" s="537"/>
      <c r="C17" s="537"/>
      <c r="D17" s="537"/>
      <c r="E17" s="537"/>
      <c r="F17" s="537"/>
      <c r="G17" s="537"/>
      <c r="H17" s="537"/>
      <c r="I17" s="537"/>
      <c r="J17" s="537"/>
      <c r="K17" s="537"/>
      <c r="L17" s="537"/>
      <c r="M17" s="537"/>
      <c r="N17" s="537"/>
      <c r="O17" s="537"/>
      <c r="P17" s="537"/>
      <c r="Q17" s="537"/>
      <c r="R17" s="537"/>
      <c r="S17" s="537"/>
      <c r="T17" s="537"/>
      <c r="U17" s="537"/>
      <c r="V17" s="537"/>
      <c r="W17" s="537"/>
      <c r="X17" s="878"/>
      <c r="Y17" s="878"/>
      <c r="Z17" s="878"/>
      <c r="AA17" s="878"/>
      <c r="AB17" s="878"/>
      <c r="AC17" s="878"/>
    </row>
    <row r="18" spans="1:29" ht="15.75">
      <c r="A18" s="537"/>
      <c r="B18" s="537"/>
      <c r="C18" s="537"/>
      <c r="D18" s="537"/>
      <c r="E18" s="537"/>
      <c r="F18" s="537"/>
      <c r="G18" s="537"/>
      <c r="H18" s="537"/>
      <c r="I18" s="537"/>
      <c r="J18" s="537"/>
      <c r="K18" s="537"/>
      <c r="L18" s="537"/>
      <c r="M18" s="537"/>
      <c r="N18" s="537"/>
      <c r="O18" s="537"/>
      <c r="P18" s="537"/>
      <c r="Q18" s="537"/>
      <c r="R18" s="537"/>
      <c r="S18" s="537"/>
      <c r="T18" s="537"/>
      <c r="U18" s="537"/>
      <c r="V18" s="537"/>
      <c r="W18" s="537"/>
      <c r="X18" s="878"/>
      <c r="Y18" s="878"/>
      <c r="Z18" s="878"/>
      <c r="AA18" s="878"/>
      <c r="AB18" s="878"/>
      <c r="AC18" s="878"/>
    </row>
    <row r="19" spans="1:29" ht="15.75">
      <c r="A19" s="537"/>
      <c r="B19" s="537"/>
      <c r="C19" s="537"/>
      <c r="D19" s="537"/>
      <c r="E19" s="537"/>
      <c r="F19" s="537"/>
      <c r="G19" s="537"/>
      <c r="H19" s="537"/>
      <c r="I19" s="537"/>
      <c r="J19" s="537"/>
      <c r="K19" s="537"/>
      <c r="L19" s="537"/>
      <c r="M19" s="537"/>
      <c r="N19" s="537"/>
      <c r="O19" s="537"/>
      <c r="P19" s="537"/>
      <c r="Q19" s="537"/>
      <c r="R19" s="537"/>
      <c r="S19" s="537"/>
      <c r="T19" s="537"/>
      <c r="U19" s="537"/>
      <c r="V19" s="537"/>
      <c r="W19" s="537"/>
      <c r="X19" s="878"/>
      <c r="Y19" s="878"/>
      <c r="Z19" s="878"/>
      <c r="AA19" s="878"/>
      <c r="AB19" s="878"/>
      <c r="AC19" s="878"/>
    </row>
    <row r="20" spans="1:29" ht="15.75">
      <c r="A20" s="537"/>
      <c r="B20" s="537"/>
      <c r="C20" s="537"/>
      <c r="D20" s="537"/>
      <c r="E20" s="537"/>
      <c r="F20" s="537"/>
      <c r="G20" s="537"/>
      <c r="H20" s="537"/>
      <c r="I20" s="537"/>
      <c r="J20" s="537"/>
      <c r="K20" s="537"/>
      <c r="L20" s="537"/>
      <c r="M20" s="537"/>
      <c r="N20" s="537"/>
      <c r="O20" s="537"/>
      <c r="P20" s="537"/>
      <c r="Q20" s="537"/>
      <c r="R20" s="537"/>
      <c r="S20" s="537"/>
      <c r="T20" s="537"/>
      <c r="U20" s="537"/>
      <c r="V20" s="537"/>
      <c r="W20" s="537"/>
      <c r="X20" s="878"/>
      <c r="Y20" s="878"/>
      <c r="Z20" s="878"/>
      <c r="AA20" s="878"/>
      <c r="AB20" s="878"/>
      <c r="AC20" s="878"/>
    </row>
    <row r="21" spans="1:29" ht="15.75">
      <c r="A21" s="537"/>
      <c r="B21" s="537"/>
      <c r="C21" s="537"/>
      <c r="D21" s="537"/>
      <c r="E21" s="537"/>
      <c r="F21" s="537"/>
      <c r="G21" s="537"/>
      <c r="H21" s="537"/>
      <c r="I21" s="537"/>
      <c r="J21" s="537"/>
      <c r="K21" s="537"/>
      <c r="L21" s="537"/>
      <c r="M21" s="537"/>
      <c r="N21" s="537"/>
      <c r="O21" s="537"/>
      <c r="P21" s="537"/>
      <c r="Q21" s="537"/>
      <c r="R21" s="537"/>
      <c r="S21" s="537"/>
      <c r="T21" s="537"/>
      <c r="U21" s="537"/>
      <c r="V21" s="537"/>
      <c r="W21" s="537"/>
      <c r="X21" s="878"/>
      <c r="Y21" s="878"/>
      <c r="Z21" s="878"/>
      <c r="AA21" s="878"/>
      <c r="AB21" s="878"/>
      <c r="AC21" s="878"/>
    </row>
    <row r="22" spans="1:29" ht="15.75">
      <c r="A22" s="537"/>
      <c r="B22" s="537"/>
      <c r="C22" s="537"/>
      <c r="D22" s="537"/>
      <c r="E22" s="537"/>
      <c r="F22" s="537"/>
      <c r="G22" s="537"/>
      <c r="H22" s="537"/>
      <c r="I22" s="537"/>
      <c r="J22" s="537"/>
      <c r="K22" s="537"/>
      <c r="L22" s="537"/>
      <c r="M22" s="537"/>
      <c r="N22" s="537"/>
      <c r="O22" s="537"/>
      <c r="P22" s="537"/>
      <c r="Q22" s="537"/>
      <c r="R22" s="537"/>
      <c r="S22" s="537"/>
      <c r="T22" s="537"/>
      <c r="U22" s="537"/>
      <c r="V22" s="537"/>
      <c r="W22" s="537"/>
      <c r="X22" s="878"/>
      <c r="Y22" s="878"/>
      <c r="Z22" s="878"/>
      <c r="AA22" s="878"/>
      <c r="AB22" s="878"/>
      <c r="AC22" s="878"/>
    </row>
    <row r="23" spans="1:29" ht="15.75">
      <c r="A23" s="537"/>
      <c r="B23" s="537"/>
      <c r="C23" s="537"/>
      <c r="D23" s="537"/>
      <c r="E23" s="537"/>
      <c r="F23" s="537"/>
      <c r="G23" s="537"/>
      <c r="H23" s="537"/>
      <c r="I23" s="537"/>
      <c r="J23" s="537"/>
      <c r="K23" s="537"/>
      <c r="L23" s="537"/>
      <c r="M23" s="537"/>
      <c r="N23" s="537"/>
      <c r="O23" s="537"/>
      <c r="P23" s="537"/>
      <c r="Q23" s="537"/>
      <c r="R23" s="537"/>
      <c r="S23" s="537"/>
      <c r="T23" s="537"/>
      <c r="U23" s="537"/>
      <c r="V23" s="537"/>
      <c r="W23" s="537"/>
      <c r="X23" s="878"/>
      <c r="Y23" s="878"/>
      <c r="Z23" s="878"/>
      <c r="AA23" s="878"/>
      <c r="AB23" s="878"/>
      <c r="AC23" s="878"/>
    </row>
    <row r="24" spans="1:29" ht="15.75">
      <c r="A24" s="537"/>
      <c r="B24" s="537"/>
      <c r="C24" s="537"/>
      <c r="D24" s="537"/>
      <c r="E24" s="537"/>
      <c r="F24" s="537"/>
      <c r="G24" s="537"/>
      <c r="H24" s="537"/>
      <c r="I24" s="537"/>
      <c r="J24" s="537"/>
      <c r="K24" s="537"/>
      <c r="L24" s="537"/>
      <c r="M24" s="537"/>
      <c r="N24" s="537"/>
      <c r="O24" s="537"/>
      <c r="P24" s="537"/>
      <c r="Q24" s="537"/>
      <c r="R24" s="537"/>
      <c r="S24" s="537"/>
      <c r="T24" s="537"/>
      <c r="U24" s="537"/>
      <c r="V24" s="537"/>
      <c r="W24" s="537"/>
      <c r="X24" s="878"/>
      <c r="Y24" s="878"/>
      <c r="Z24" s="878"/>
      <c r="AA24" s="878"/>
      <c r="AB24" s="878"/>
      <c r="AC24" s="878"/>
    </row>
    <row r="25" spans="1:29" ht="15.75">
      <c r="A25" s="537"/>
      <c r="B25" s="537"/>
      <c r="C25" s="537"/>
      <c r="D25" s="537"/>
      <c r="E25" s="537"/>
      <c r="F25" s="537"/>
      <c r="G25" s="537"/>
      <c r="H25" s="537"/>
      <c r="I25" s="537"/>
      <c r="J25" s="537"/>
      <c r="K25" s="537"/>
      <c r="L25" s="537"/>
      <c r="M25" s="537"/>
      <c r="N25" s="537"/>
      <c r="O25" s="537"/>
      <c r="P25" s="537"/>
      <c r="Q25" s="537"/>
      <c r="R25" s="537"/>
      <c r="S25" s="537"/>
      <c r="T25" s="537"/>
      <c r="U25" s="537"/>
      <c r="V25" s="537"/>
      <c r="W25" s="537"/>
      <c r="X25" s="878"/>
      <c r="Y25" s="878"/>
      <c r="Z25" s="878"/>
      <c r="AA25" s="878"/>
      <c r="AB25" s="878"/>
      <c r="AC25" s="878"/>
    </row>
    <row r="26" spans="1:29" ht="15.75">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878"/>
      <c r="Y26" s="878"/>
      <c r="Z26" s="878"/>
      <c r="AA26" s="878"/>
      <c r="AB26" s="878"/>
      <c r="AC26" s="878"/>
    </row>
    <row r="27" spans="1:29" ht="15.75">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878"/>
      <c r="Y27" s="878"/>
      <c r="Z27" s="878"/>
      <c r="AA27" s="878"/>
      <c r="AB27" s="878"/>
      <c r="AC27" s="878"/>
    </row>
    <row r="28" spans="1:29" ht="15.75">
      <c r="A28" s="537"/>
      <c r="B28" s="537"/>
      <c r="C28" s="537"/>
      <c r="D28" s="537"/>
      <c r="E28" s="537"/>
      <c r="F28" s="537"/>
      <c r="G28" s="537"/>
      <c r="H28" s="537"/>
      <c r="I28" s="537"/>
      <c r="J28" s="537"/>
      <c r="K28" s="537"/>
      <c r="L28" s="537"/>
      <c r="M28" s="537"/>
      <c r="N28" s="537"/>
      <c r="O28" s="537"/>
      <c r="P28" s="537"/>
      <c r="Q28" s="537"/>
      <c r="R28" s="537"/>
      <c r="S28" s="537"/>
      <c r="T28" s="537"/>
      <c r="U28" s="537"/>
      <c r="V28" s="537"/>
      <c r="W28" s="537"/>
      <c r="X28" s="878"/>
      <c r="Y28" s="878"/>
      <c r="Z28" s="878"/>
      <c r="AA28" s="878"/>
      <c r="AB28" s="878"/>
      <c r="AC28" s="878"/>
    </row>
    <row r="29" spans="1:29" ht="15.75">
      <c r="A29" s="537"/>
      <c r="B29" s="537"/>
      <c r="C29" s="537"/>
      <c r="D29" s="537"/>
      <c r="E29" s="537"/>
      <c r="F29" s="537"/>
      <c r="G29" s="537"/>
      <c r="H29" s="537"/>
      <c r="I29" s="537"/>
      <c r="J29" s="537"/>
      <c r="K29" s="537"/>
      <c r="L29" s="537"/>
      <c r="M29" s="537"/>
      <c r="N29" s="537"/>
      <c r="O29" s="537"/>
      <c r="P29" s="537"/>
      <c r="Q29" s="537"/>
      <c r="R29" s="537"/>
      <c r="S29" s="537"/>
      <c r="T29" s="537"/>
      <c r="U29" s="537"/>
      <c r="V29" s="537"/>
      <c r="W29" s="537"/>
      <c r="X29" s="878"/>
      <c r="Y29" s="878"/>
      <c r="Z29" s="878"/>
      <c r="AA29" s="878"/>
      <c r="AB29" s="878"/>
      <c r="AC29" s="878"/>
    </row>
    <row r="30" spans="1:29" ht="15.75">
      <c r="A30" s="537"/>
      <c r="B30" s="537"/>
      <c r="C30" s="537"/>
      <c r="D30" s="537"/>
      <c r="E30" s="537"/>
      <c r="F30" s="537"/>
      <c r="G30" s="537"/>
      <c r="H30" s="537"/>
      <c r="I30" s="537"/>
      <c r="J30" s="537"/>
      <c r="K30" s="537"/>
      <c r="L30" s="537"/>
      <c r="M30" s="537"/>
      <c r="N30" s="537"/>
      <c r="O30" s="537"/>
      <c r="P30" s="537"/>
      <c r="Q30" s="537"/>
      <c r="R30" s="537"/>
      <c r="S30" s="537"/>
      <c r="T30" s="537"/>
      <c r="U30" s="537"/>
      <c r="V30" s="537"/>
      <c r="W30" s="537"/>
      <c r="X30" s="878"/>
      <c r="Y30" s="878"/>
      <c r="Z30" s="878"/>
      <c r="AA30" s="878"/>
      <c r="AB30" s="878"/>
      <c r="AC30" s="878"/>
    </row>
    <row r="31" spans="1:29" ht="15.75">
      <c r="A31" s="537"/>
      <c r="B31" s="537"/>
      <c r="C31" s="537"/>
      <c r="D31" s="537"/>
      <c r="E31" s="537"/>
      <c r="F31" s="537"/>
      <c r="G31" s="537"/>
      <c r="H31" s="537"/>
      <c r="I31" s="537"/>
      <c r="J31" s="537"/>
      <c r="K31" s="537"/>
      <c r="L31" s="537"/>
      <c r="M31" s="537"/>
      <c r="N31" s="537"/>
      <c r="O31" s="537"/>
      <c r="P31" s="537"/>
      <c r="Q31" s="537"/>
      <c r="R31" s="537"/>
      <c r="S31" s="537"/>
      <c r="T31" s="537"/>
      <c r="U31" s="537"/>
      <c r="V31" s="537"/>
      <c r="W31" s="537"/>
      <c r="X31" s="878"/>
      <c r="Y31" s="878"/>
      <c r="Z31" s="878"/>
      <c r="AA31" s="878"/>
      <c r="AB31" s="878"/>
      <c r="AC31" s="878"/>
    </row>
    <row r="32" spans="1:29" ht="15.75">
      <c r="A32" s="66"/>
      <c r="B32" s="66"/>
      <c r="C32" s="66"/>
      <c r="D32" s="537"/>
      <c r="E32" s="537"/>
      <c r="F32" s="537"/>
      <c r="G32" s="537"/>
      <c r="H32" s="537"/>
      <c r="I32" s="537"/>
      <c r="J32" s="537"/>
      <c r="K32" s="537"/>
      <c r="L32" s="537"/>
      <c r="M32" s="537"/>
      <c r="N32" s="537"/>
      <c r="O32" s="537"/>
      <c r="P32" s="537"/>
      <c r="Q32" s="537"/>
      <c r="R32" s="537"/>
      <c r="S32" s="537"/>
      <c r="T32" s="537"/>
      <c r="U32" s="537"/>
      <c r="V32" s="537"/>
      <c r="W32" s="537"/>
      <c r="X32" s="878"/>
      <c r="Y32" s="878"/>
      <c r="Z32" s="878"/>
      <c r="AA32" s="878"/>
      <c r="AB32" s="878"/>
      <c r="AC32" s="878"/>
    </row>
    <row r="33" spans="1:29" ht="15.75">
      <c r="A33" s="66"/>
      <c r="B33" s="66"/>
      <c r="C33" s="66"/>
      <c r="D33" s="537"/>
      <c r="E33" s="537"/>
      <c r="F33" s="537"/>
      <c r="G33" s="537"/>
      <c r="H33" s="537"/>
      <c r="I33" s="537"/>
      <c r="J33" s="537"/>
      <c r="K33" s="537"/>
      <c r="L33" s="537"/>
      <c r="M33" s="537"/>
      <c r="N33" s="537"/>
      <c r="O33" s="537"/>
      <c r="P33" s="537"/>
      <c r="Q33" s="537"/>
      <c r="R33" s="537"/>
      <c r="S33" s="537"/>
      <c r="T33" s="537"/>
      <c r="U33" s="537"/>
      <c r="V33" s="537"/>
      <c r="W33" s="537"/>
      <c r="X33" s="878"/>
      <c r="Y33" s="878"/>
      <c r="Z33" s="878"/>
      <c r="AA33" s="878"/>
      <c r="AB33" s="878"/>
      <c r="AC33" s="878"/>
    </row>
    <row r="34" spans="1:29" ht="15.75">
      <c r="A34" s="66"/>
      <c r="B34" s="66"/>
      <c r="C34" s="66"/>
      <c r="D34" s="537"/>
      <c r="E34" s="537"/>
      <c r="F34" s="537"/>
      <c r="G34" s="537"/>
      <c r="H34" s="537"/>
      <c r="I34" s="537"/>
      <c r="J34" s="537"/>
      <c r="K34" s="537"/>
      <c r="L34" s="537"/>
      <c r="M34" s="537"/>
      <c r="N34" s="537"/>
      <c r="O34" s="537"/>
      <c r="P34" s="537"/>
      <c r="Q34" s="537"/>
      <c r="R34" s="537"/>
      <c r="S34" s="537"/>
      <c r="T34" s="537"/>
      <c r="U34" s="537"/>
      <c r="V34" s="537"/>
      <c r="W34" s="537"/>
      <c r="X34" s="878"/>
      <c r="Y34" s="878"/>
      <c r="Z34" s="878"/>
      <c r="AA34" s="878"/>
      <c r="AB34" s="878"/>
      <c r="AC34" s="878"/>
    </row>
    <row r="35" spans="1:29" ht="15.75">
      <c r="A35" s="66"/>
      <c r="B35" s="66"/>
      <c r="C35" s="66"/>
      <c r="D35" s="537"/>
      <c r="E35" s="537"/>
      <c r="F35" s="537"/>
      <c r="G35" s="537"/>
      <c r="H35" s="537"/>
      <c r="I35" s="537"/>
      <c r="J35" s="537"/>
      <c r="K35" s="537"/>
      <c r="L35" s="537"/>
      <c r="M35" s="537"/>
      <c r="N35" s="537"/>
      <c r="O35" s="537"/>
      <c r="P35" s="537"/>
      <c r="Q35" s="537"/>
      <c r="R35" s="537"/>
      <c r="S35" s="537"/>
      <c r="T35" s="537"/>
      <c r="U35" s="537"/>
      <c r="V35" s="537"/>
      <c r="W35" s="537"/>
      <c r="X35" s="878"/>
      <c r="Y35" s="878"/>
      <c r="Z35" s="878"/>
      <c r="AA35" s="878"/>
      <c r="AB35" s="878"/>
      <c r="AC35" s="878"/>
    </row>
    <row r="36" spans="1:29" ht="15.75">
      <c r="A36" s="66"/>
      <c r="B36" s="66"/>
      <c r="C36" s="66"/>
      <c r="D36" s="537"/>
      <c r="E36" s="537"/>
      <c r="F36" s="537"/>
      <c r="G36" s="537"/>
      <c r="H36" s="537"/>
      <c r="I36" s="537"/>
      <c r="J36" s="537"/>
      <c r="K36" s="537"/>
      <c r="L36" s="537"/>
      <c r="M36" s="537"/>
      <c r="N36" s="537"/>
      <c r="O36" s="537"/>
      <c r="P36" s="537"/>
      <c r="Q36" s="537"/>
      <c r="R36" s="537"/>
      <c r="S36" s="537"/>
      <c r="T36" s="537"/>
      <c r="U36" s="537"/>
      <c r="V36" s="537"/>
      <c r="W36" s="537"/>
      <c r="X36" s="878"/>
      <c r="Y36" s="878"/>
      <c r="Z36" s="878"/>
      <c r="AA36" s="878"/>
      <c r="AB36" s="878"/>
      <c r="AC36" s="878"/>
    </row>
    <row r="37" spans="1:29" ht="15.75">
      <c r="A37" s="66"/>
      <c r="B37" s="66"/>
      <c r="C37" s="66"/>
      <c r="D37" s="537"/>
      <c r="E37" s="537"/>
      <c r="F37" s="537"/>
      <c r="G37" s="537"/>
      <c r="H37" s="537"/>
      <c r="I37" s="537"/>
      <c r="J37" s="537"/>
      <c r="K37" s="537"/>
      <c r="L37" s="537"/>
      <c r="M37" s="537"/>
      <c r="N37" s="537"/>
      <c r="O37" s="537"/>
      <c r="P37" s="537"/>
      <c r="Q37" s="537"/>
      <c r="R37" s="537"/>
      <c r="S37" s="537"/>
      <c r="T37" s="537"/>
      <c r="U37" s="537"/>
      <c r="V37" s="537"/>
      <c r="W37" s="537"/>
      <c r="X37" s="878"/>
      <c r="Y37" s="878"/>
      <c r="Z37" s="878"/>
      <c r="AA37" s="878"/>
      <c r="AB37" s="878"/>
      <c r="AC37" s="878"/>
    </row>
    <row r="38" spans="1:29" ht="15.75">
      <c r="A38" s="66"/>
      <c r="B38" s="66"/>
      <c r="C38" s="66"/>
      <c r="D38" s="537"/>
      <c r="E38" s="537"/>
      <c r="F38" s="537"/>
      <c r="G38" s="537"/>
      <c r="H38" s="537"/>
      <c r="I38" s="537"/>
      <c r="J38" s="537"/>
      <c r="K38" s="537"/>
      <c r="L38" s="537"/>
      <c r="M38" s="537"/>
      <c r="N38" s="537"/>
      <c r="O38" s="537"/>
      <c r="P38" s="537"/>
      <c r="Q38" s="537"/>
      <c r="R38" s="537"/>
      <c r="S38" s="537"/>
      <c r="T38" s="537"/>
      <c r="U38" s="537"/>
      <c r="V38" s="537"/>
      <c r="W38" s="537"/>
      <c r="X38" s="878"/>
      <c r="Y38" s="878"/>
      <c r="Z38" s="878"/>
      <c r="AA38" s="878"/>
      <c r="AB38" s="878"/>
      <c r="AC38" s="878"/>
    </row>
    <row r="39" spans="1:29" ht="15.75">
      <c r="A39" s="66"/>
      <c r="B39" s="66"/>
      <c r="C39" s="66"/>
      <c r="D39" s="537"/>
      <c r="E39" s="537"/>
      <c r="F39" s="537"/>
      <c r="G39" s="537"/>
      <c r="H39" s="537"/>
      <c r="I39" s="537"/>
      <c r="J39" s="537"/>
      <c r="K39" s="537"/>
      <c r="L39" s="537"/>
      <c r="M39" s="537"/>
      <c r="N39" s="537"/>
      <c r="O39" s="537"/>
      <c r="P39" s="537"/>
      <c r="Q39" s="537"/>
      <c r="R39" s="537"/>
      <c r="S39" s="537"/>
      <c r="T39" s="537"/>
      <c r="U39" s="537"/>
      <c r="V39" s="537"/>
      <c r="W39" s="537"/>
      <c r="X39" s="878"/>
      <c r="Y39" s="878"/>
      <c r="Z39" s="878"/>
      <c r="AA39" s="878"/>
      <c r="AB39" s="878"/>
      <c r="AC39" s="878"/>
    </row>
    <row r="40" spans="1:29" ht="15.75">
      <c r="A40" s="66"/>
      <c r="B40" s="66"/>
      <c r="C40" s="66"/>
      <c r="D40" s="537"/>
      <c r="E40" s="537"/>
      <c r="F40" s="537"/>
      <c r="G40" s="537"/>
      <c r="H40" s="537"/>
      <c r="I40" s="537"/>
      <c r="J40" s="537"/>
      <c r="K40" s="537"/>
      <c r="L40" s="537"/>
      <c r="M40" s="537"/>
      <c r="N40" s="537"/>
      <c r="O40" s="537"/>
      <c r="P40" s="537"/>
      <c r="Q40" s="537"/>
      <c r="R40" s="537"/>
      <c r="S40" s="537"/>
      <c r="T40" s="537"/>
      <c r="U40" s="537"/>
      <c r="V40" s="537"/>
      <c r="W40" s="537"/>
      <c r="X40" s="878"/>
      <c r="Y40" s="878"/>
      <c r="Z40" s="878"/>
      <c r="AA40" s="878"/>
      <c r="AB40" s="878"/>
      <c r="AC40" s="878"/>
    </row>
    <row r="41" spans="1:29" ht="15.75">
      <c r="A41" s="66"/>
      <c r="B41" s="66"/>
      <c r="C41" s="66"/>
      <c r="D41" s="537"/>
      <c r="E41" s="537"/>
      <c r="F41" s="537"/>
      <c r="G41" s="537"/>
      <c r="H41" s="537"/>
      <c r="I41" s="537"/>
      <c r="J41" s="537"/>
      <c r="K41" s="537"/>
      <c r="L41" s="537"/>
      <c r="M41" s="537"/>
      <c r="N41" s="537"/>
      <c r="O41" s="537"/>
      <c r="P41" s="537"/>
      <c r="Q41" s="537"/>
      <c r="R41" s="537"/>
      <c r="S41" s="537"/>
      <c r="T41" s="537"/>
      <c r="U41" s="537"/>
      <c r="V41" s="537"/>
      <c r="W41" s="537"/>
      <c r="X41" s="878"/>
      <c r="Y41" s="878"/>
      <c r="Z41" s="878"/>
      <c r="AA41" s="878"/>
      <c r="AB41" s="878"/>
      <c r="AC41" s="878"/>
    </row>
    <row r="42" spans="1:29" ht="15.75">
      <c r="A42" s="66"/>
      <c r="B42" s="66"/>
      <c r="C42" s="66"/>
      <c r="D42" s="537"/>
      <c r="E42" s="537"/>
      <c r="F42" s="537"/>
      <c r="G42" s="537"/>
      <c r="H42" s="537"/>
      <c r="I42" s="537"/>
      <c r="J42" s="537"/>
      <c r="K42" s="537"/>
      <c r="L42" s="537"/>
      <c r="M42" s="537"/>
      <c r="N42" s="537"/>
      <c r="O42" s="537"/>
      <c r="P42" s="537"/>
      <c r="Q42" s="537"/>
      <c r="R42" s="537"/>
      <c r="S42" s="537"/>
      <c r="T42" s="537"/>
      <c r="U42" s="537"/>
      <c r="V42" s="537"/>
      <c r="W42" s="537"/>
      <c r="X42" s="878"/>
      <c r="Y42" s="878"/>
      <c r="Z42" s="878"/>
      <c r="AA42" s="878"/>
      <c r="AB42" s="878"/>
      <c r="AC42" s="878"/>
    </row>
    <row r="43" spans="1:29" ht="15.75">
      <c r="A43" s="66"/>
      <c r="B43" s="66"/>
      <c r="C43" s="66"/>
      <c r="D43" s="537"/>
      <c r="E43" s="537"/>
      <c r="F43" s="537"/>
      <c r="G43" s="537"/>
      <c r="H43" s="537"/>
      <c r="I43" s="537"/>
      <c r="J43" s="537"/>
      <c r="K43" s="537"/>
      <c r="L43" s="537"/>
      <c r="M43" s="537"/>
      <c r="N43" s="537"/>
      <c r="O43" s="537"/>
      <c r="P43" s="537"/>
      <c r="Q43" s="537"/>
      <c r="R43" s="537"/>
      <c r="S43" s="537"/>
      <c r="T43" s="537"/>
      <c r="U43" s="537"/>
      <c r="V43" s="537"/>
      <c r="W43" s="537"/>
      <c r="X43" s="878"/>
      <c r="Y43" s="878"/>
      <c r="Z43" s="878"/>
      <c r="AA43" s="878"/>
      <c r="AB43" s="878"/>
      <c r="AC43" s="878"/>
    </row>
    <row r="44" spans="1:29" ht="15.75">
      <c r="A44" s="66"/>
      <c r="B44" s="66"/>
      <c r="C44" s="66"/>
      <c r="D44" s="537"/>
      <c r="E44" s="537"/>
      <c r="F44" s="537"/>
      <c r="G44" s="537"/>
      <c r="H44" s="537"/>
      <c r="I44" s="537"/>
      <c r="J44" s="537"/>
      <c r="K44" s="537"/>
      <c r="L44" s="537"/>
      <c r="M44" s="537"/>
      <c r="N44" s="537"/>
      <c r="O44" s="537"/>
      <c r="P44" s="537"/>
      <c r="Q44" s="537"/>
      <c r="R44" s="537"/>
      <c r="S44" s="537"/>
      <c r="T44" s="537"/>
      <c r="U44" s="537"/>
      <c r="V44" s="537"/>
      <c r="W44" s="537"/>
      <c r="X44" s="878"/>
      <c r="Y44" s="878"/>
      <c r="Z44" s="878"/>
      <c r="AA44" s="878"/>
      <c r="AB44" s="878"/>
      <c r="AC44" s="878"/>
    </row>
    <row r="45" spans="1:29" ht="15.75">
      <c r="A45" s="66"/>
      <c r="B45" s="66"/>
      <c r="C45" s="66"/>
      <c r="D45" s="537"/>
      <c r="E45" s="537"/>
      <c r="F45" s="537"/>
      <c r="G45" s="537"/>
      <c r="H45" s="537"/>
      <c r="I45" s="537"/>
      <c r="J45" s="537"/>
      <c r="K45" s="537"/>
      <c r="L45" s="537"/>
      <c r="M45" s="537"/>
      <c r="N45" s="537"/>
      <c r="O45" s="537"/>
      <c r="P45" s="537"/>
      <c r="Q45" s="537"/>
      <c r="R45" s="537"/>
      <c r="S45" s="537"/>
      <c r="T45" s="537"/>
      <c r="U45" s="537"/>
      <c r="V45" s="537"/>
      <c r="W45" s="537"/>
      <c r="X45" s="878"/>
      <c r="Y45" s="878"/>
      <c r="Z45" s="878"/>
      <c r="AA45" s="878"/>
      <c r="AB45" s="878"/>
      <c r="AC45" s="878"/>
    </row>
    <row r="46" spans="1:29" ht="15.75">
      <c r="A46" s="66"/>
      <c r="B46" s="66"/>
      <c r="C46" s="66"/>
      <c r="D46" s="537"/>
      <c r="E46" s="537"/>
      <c r="F46" s="537"/>
      <c r="G46" s="537"/>
      <c r="H46" s="537"/>
      <c r="I46" s="537"/>
      <c r="J46" s="537"/>
      <c r="K46" s="537"/>
      <c r="L46" s="537"/>
      <c r="M46" s="537"/>
      <c r="N46" s="537"/>
      <c r="O46" s="537"/>
      <c r="P46" s="537"/>
      <c r="Q46" s="537"/>
      <c r="R46" s="537"/>
      <c r="S46" s="537"/>
      <c r="T46" s="537"/>
      <c r="U46" s="537"/>
      <c r="V46" s="537"/>
      <c r="W46" s="537"/>
      <c r="X46" s="878"/>
      <c r="Y46" s="878"/>
      <c r="Z46" s="878"/>
      <c r="AA46" s="878"/>
      <c r="AB46" s="878"/>
      <c r="AC46" s="878"/>
    </row>
    <row r="47" spans="1:29" ht="15.75">
      <c r="A47" s="66"/>
      <c r="B47" s="66"/>
      <c r="C47" s="66"/>
      <c r="D47" s="537"/>
      <c r="E47" s="537"/>
      <c r="F47" s="537"/>
      <c r="G47" s="537"/>
      <c r="H47" s="537"/>
      <c r="I47" s="537"/>
      <c r="J47" s="537"/>
      <c r="K47" s="537"/>
      <c r="L47" s="537"/>
      <c r="M47" s="537"/>
      <c r="N47" s="537"/>
      <c r="O47" s="537"/>
      <c r="P47" s="537"/>
      <c r="Q47" s="537"/>
      <c r="R47" s="537"/>
      <c r="S47" s="537"/>
      <c r="T47" s="537"/>
      <c r="U47" s="537"/>
      <c r="V47" s="537"/>
      <c r="W47" s="537"/>
      <c r="X47" s="878"/>
      <c r="Y47" s="878"/>
      <c r="Z47" s="878"/>
      <c r="AA47" s="878"/>
      <c r="AB47" s="878"/>
      <c r="AC47" s="878"/>
    </row>
    <row r="48" spans="1:29" ht="15.75">
      <c r="A48" s="66"/>
      <c r="B48" s="66"/>
      <c r="C48" s="66"/>
      <c r="D48" s="537"/>
      <c r="E48" s="537"/>
      <c r="F48" s="537"/>
      <c r="G48" s="537"/>
      <c r="H48" s="537"/>
      <c r="I48" s="537"/>
      <c r="J48" s="537"/>
      <c r="K48" s="537"/>
      <c r="L48" s="537"/>
      <c r="M48" s="537"/>
      <c r="N48" s="537"/>
      <c r="O48" s="537"/>
      <c r="P48" s="537"/>
      <c r="Q48" s="537"/>
      <c r="R48" s="537"/>
      <c r="S48" s="537"/>
      <c r="T48" s="537"/>
      <c r="U48" s="537"/>
      <c r="V48" s="537"/>
      <c r="W48" s="537"/>
      <c r="X48" s="878"/>
      <c r="Y48" s="878"/>
      <c r="Z48" s="878"/>
      <c r="AA48" s="878"/>
      <c r="AB48" s="878"/>
      <c r="AC48" s="878"/>
    </row>
    <row r="49" spans="1:29" ht="15.75">
      <c r="A49" s="66"/>
      <c r="B49" s="66"/>
      <c r="C49" s="66"/>
      <c r="D49" s="537"/>
      <c r="E49" s="537"/>
      <c r="F49" s="537"/>
      <c r="G49" s="537"/>
      <c r="H49" s="537"/>
      <c r="I49" s="537"/>
      <c r="J49" s="537"/>
      <c r="K49" s="537"/>
      <c r="L49" s="537"/>
      <c r="M49" s="537"/>
      <c r="N49" s="537"/>
      <c r="O49" s="537"/>
      <c r="P49" s="537"/>
      <c r="Q49" s="537"/>
      <c r="R49" s="537"/>
      <c r="S49" s="537"/>
      <c r="T49" s="537"/>
      <c r="U49" s="537"/>
      <c r="V49" s="537"/>
      <c r="W49" s="537"/>
      <c r="X49" s="878"/>
      <c r="Y49" s="878"/>
      <c r="Z49" s="878"/>
      <c r="AA49" s="878"/>
      <c r="AB49" s="878"/>
      <c r="AC49" s="878"/>
    </row>
    <row r="50" spans="1:29" ht="15.75">
      <c r="A50" s="66"/>
      <c r="B50" s="66"/>
      <c r="C50" s="66"/>
      <c r="D50" s="537"/>
      <c r="E50" s="537"/>
      <c r="F50" s="537"/>
      <c r="G50" s="537"/>
      <c r="H50" s="537"/>
      <c r="I50" s="537"/>
      <c r="J50" s="537"/>
      <c r="K50" s="537"/>
      <c r="L50" s="537"/>
      <c r="M50" s="537"/>
      <c r="N50" s="537"/>
      <c r="O50" s="537"/>
      <c r="P50" s="537"/>
      <c r="Q50" s="537"/>
      <c r="R50" s="537"/>
      <c r="S50" s="537"/>
      <c r="T50" s="537"/>
      <c r="U50" s="537"/>
      <c r="V50" s="537"/>
      <c r="W50" s="537"/>
      <c r="X50" s="878"/>
      <c r="Y50" s="878"/>
      <c r="Z50" s="878"/>
      <c r="AA50" s="878"/>
      <c r="AB50" s="878"/>
      <c r="AC50" s="878"/>
    </row>
    <row r="51" spans="1:29" ht="15.75">
      <c r="A51" s="66"/>
      <c r="B51" s="66"/>
      <c r="C51" s="66"/>
      <c r="D51" s="537"/>
      <c r="E51" s="537"/>
      <c r="F51" s="537"/>
      <c r="G51" s="537"/>
      <c r="H51" s="537"/>
      <c r="I51" s="537"/>
      <c r="J51" s="537"/>
      <c r="K51" s="537"/>
      <c r="L51" s="537"/>
      <c r="M51" s="537"/>
      <c r="N51" s="537"/>
      <c r="O51" s="537"/>
      <c r="P51" s="537"/>
      <c r="Q51" s="537"/>
      <c r="R51" s="537"/>
      <c r="S51" s="537"/>
      <c r="T51" s="537"/>
      <c r="U51" s="537"/>
      <c r="V51" s="537"/>
      <c r="W51" s="537"/>
      <c r="X51" s="878"/>
      <c r="Y51" s="878"/>
      <c r="Z51" s="878"/>
      <c r="AA51" s="878"/>
      <c r="AB51" s="878"/>
      <c r="AC51" s="878"/>
    </row>
    <row r="52" spans="1:29" ht="15.75">
      <c r="A52" s="66"/>
      <c r="B52" s="66"/>
      <c r="C52" s="66"/>
      <c r="D52" s="537"/>
      <c r="E52" s="537"/>
      <c r="F52" s="537"/>
      <c r="G52" s="537"/>
      <c r="H52" s="537"/>
      <c r="I52" s="537"/>
      <c r="J52" s="537"/>
      <c r="K52" s="537"/>
      <c r="L52" s="537"/>
      <c r="M52" s="537"/>
      <c r="N52" s="537"/>
      <c r="O52" s="537"/>
      <c r="P52" s="537"/>
      <c r="Q52" s="537"/>
      <c r="R52" s="537"/>
      <c r="S52" s="537"/>
      <c r="T52" s="537"/>
      <c r="U52" s="537"/>
      <c r="V52" s="537"/>
      <c r="W52" s="537"/>
      <c r="X52" s="878"/>
      <c r="Y52" s="878"/>
      <c r="Z52" s="878"/>
      <c r="AA52" s="878"/>
      <c r="AB52" s="878"/>
      <c r="AC52" s="878"/>
    </row>
    <row r="53" spans="1:29" ht="15.75">
      <c r="A53" s="66"/>
      <c r="B53" s="66"/>
      <c r="C53" s="66"/>
      <c r="D53" s="537"/>
      <c r="E53" s="537"/>
      <c r="F53" s="537"/>
      <c r="G53" s="537"/>
      <c r="H53" s="537"/>
      <c r="I53" s="537"/>
      <c r="J53" s="537"/>
      <c r="K53" s="537"/>
      <c r="L53" s="537"/>
      <c r="M53" s="537"/>
      <c r="N53" s="537"/>
      <c r="O53" s="537"/>
      <c r="P53" s="537"/>
      <c r="Q53" s="537"/>
      <c r="R53" s="537"/>
      <c r="S53" s="537"/>
      <c r="T53" s="537"/>
      <c r="U53" s="537"/>
      <c r="V53" s="537"/>
      <c r="W53" s="537"/>
      <c r="X53" s="878"/>
      <c r="Y53" s="878"/>
      <c r="Z53" s="878"/>
      <c r="AA53" s="878"/>
      <c r="AB53" s="878"/>
      <c r="AC53" s="878"/>
    </row>
    <row r="54" spans="1:29" ht="15.75">
      <c r="A54" s="66"/>
      <c r="B54" s="66"/>
      <c r="C54" s="66"/>
      <c r="D54" s="537"/>
      <c r="E54" s="537"/>
      <c r="F54" s="537"/>
      <c r="G54" s="537"/>
      <c r="H54" s="537"/>
      <c r="I54" s="537"/>
      <c r="J54" s="537"/>
      <c r="K54" s="537"/>
      <c r="L54" s="537"/>
      <c r="M54" s="537"/>
      <c r="N54" s="537"/>
      <c r="O54" s="537"/>
      <c r="P54" s="537"/>
      <c r="Q54" s="537"/>
      <c r="R54" s="537"/>
      <c r="S54" s="537"/>
      <c r="T54" s="537"/>
      <c r="U54" s="537"/>
      <c r="V54" s="537"/>
      <c r="W54" s="537"/>
      <c r="X54" s="878"/>
      <c r="Y54" s="878"/>
      <c r="Z54" s="878"/>
      <c r="AA54" s="878"/>
      <c r="AB54" s="878"/>
      <c r="AC54" s="878"/>
    </row>
    <row r="55" spans="1:29" ht="15.75">
      <c r="A55" s="66"/>
      <c r="B55" s="66"/>
      <c r="C55" s="66"/>
      <c r="D55" s="537"/>
      <c r="E55" s="537"/>
      <c r="F55" s="537"/>
      <c r="G55" s="537"/>
      <c r="H55" s="537"/>
      <c r="I55" s="537"/>
      <c r="J55" s="537"/>
      <c r="K55" s="537"/>
      <c r="L55" s="537"/>
      <c r="M55" s="537"/>
      <c r="N55" s="537"/>
      <c r="O55" s="537"/>
      <c r="P55" s="537"/>
      <c r="Q55" s="537"/>
      <c r="R55" s="537"/>
      <c r="S55" s="537"/>
      <c r="T55" s="537"/>
      <c r="U55" s="537"/>
      <c r="V55" s="537"/>
      <c r="W55" s="537"/>
      <c r="X55" s="878"/>
      <c r="Y55" s="878"/>
      <c r="Z55" s="878"/>
      <c r="AA55" s="878"/>
      <c r="AB55" s="878"/>
      <c r="AC55" s="878"/>
    </row>
    <row r="56" spans="1:29" ht="15.75">
      <c r="A56" s="66"/>
      <c r="B56" s="66"/>
      <c r="C56" s="66"/>
      <c r="D56" s="537"/>
      <c r="E56" s="537"/>
      <c r="F56" s="537"/>
      <c r="G56" s="537"/>
      <c r="H56" s="537"/>
      <c r="I56" s="537"/>
      <c r="J56" s="537"/>
      <c r="K56" s="537"/>
      <c r="L56" s="537"/>
      <c r="M56" s="537"/>
      <c r="N56" s="537"/>
      <c r="O56" s="537"/>
      <c r="P56" s="537"/>
      <c r="Q56" s="537"/>
      <c r="R56" s="537"/>
      <c r="S56" s="537"/>
      <c r="T56" s="537"/>
      <c r="U56" s="537"/>
      <c r="V56" s="537"/>
      <c r="W56" s="537"/>
      <c r="X56" s="878"/>
      <c r="Y56" s="878"/>
      <c r="Z56" s="878"/>
      <c r="AA56" s="878"/>
      <c r="AB56" s="878"/>
      <c r="AC56" s="878"/>
    </row>
    <row r="57" spans="1:29" ht="15.75">
      <c r="A57" s="66"/>
      <c r="B57" s="66"/>
      <c r="C57" s="66"/>
      <c r="D57" s="537"/>
      <c r="E57" s="537"/>
      <c r="F57" s="537"/>
      <c r="G57" s="537"/>
      <c r="H57" s="537"/>
      <c r="I57" s="537"/>
      <c r="J57" s="537"/>
      <c r="K57" s="537"/>
      <c r="L57" s="537"/>
      <c r="M57" s="537"/>
      <c r="N57" s="537"/>
      <c r="O57" s="537"/>
      <c r="P57" s="537"/>
      <c r="Q57" s="537"/>
      <c r="R57" s="537"/>
      <c r="S57" s="537"/>
      <c r="T57" s="537"/>
      <c r="U57" s="537"/>
      <c r="V57" s="537"/>
      <c r="W57" s="537"/>
      <c r="X57" s="878"/>
      <c r="Y57" s="878"/>
      <c r="Z57" s="878"/>
      <c r="AA57" s="878"/>
      <c r="AB57" s="878"/>
      <c r="AC57" s="878"/>
    </row>
    <row r="58" spans="1:29" ht="15.75">
      <c r="A58" s="66"/>
      <c r="B58" s="66"/>
      <c r="C58" s="66"/>
      <c r="D58" s="537"/>
      <c r="E58" s="537"/>
      <c r="F58" s="537"/>
      <c r="G58" s="537"/>
      <c r="H58" s="537"/>
      <c r="I58" s="537"/>
      <c r="J58" s="537"/>
      <c r="K58" s="537"/>
      <c r="L58" s="537"/>
      <c r="M58" s="537"/>
      <c r="N58" s="537"/>
      <c r="O58" s="537"/>
      <c r="P58" s="537"/>
      <c r="Q58" s="537"/>
      <c r="R58" s="537"/>
      <c r="S58" s="537"/>
      <c r="T58" s="537"/>
      <c r="U58" s="537"/>
      <c r="V58" s="537"/>
      <c r="W58" s="537"/>
      <c r="X58" s="878"/>
      <c r="Y58" s="878"/>
      <c r="Z58" s="878"/>
      <c r="AA58" s="878"/>
      <c r="AB58" s="878"/>
      <c r="AC58" s="878"/>
    </row>
    <row r="59" spans="1:29" ht="15.75">
      <c r="A59" s="66"/>
      <c r="B59" s="66"/>
      <c r="C59" s="66"/>
      <c r="D59" s="537"/>
      <c r="E59" s="537"/>
      <c r="F59" s="537"/>
      <c r="G59" s="537"/>
      <c r="H59" s="537"/>
      <c r="I59" s="537"/>
      <c r="J59" s="537"/>
      <c r="K59" s="537"/>
      <c r="L59" s="537"/>
      <c r="M59" s="537"/>
      <c r="N59" s="537"/>
      <c r="O59" s="537"/>
      <c r="P59" s="537"/>
      <c r="Q59" s="537"/>
      <c r="R59" s="537"/>
      <c r="S59" s="537"/>
      <c r="T59" s="537"/>
      <c r="U59" s="537"/>
      <c r="V59" s="537"/>
      <c r="W59" s="537"/>
      <c r="X59" s="878"/>
      <c r="Y59" s="878"/>
      <c r="Z59" s="878"/>
      <c r="AA59" s="878"/>
      <c r="AB59" s="878"/>
      <c r="AC59" s="878"/>
    </row>
    <row r="60" spans="1:29" ht="15.75">
      <c r="A60" s="66"/>
      <c r="B60" s="66"/>
      <c r="C60" s="66"/>
      <c r="D60" s="537"/>
      <c r="E60" s="537"/>
      <c r="F60" s="537"/>
      <c r="G60" s="537"/>
      <c r="H60" s="537"/>
      <c r="I60" s="537"/>
      <c r="J60" s="537"/>
      <c r="K60" s="537"/>
      <c r="L60" s="537"/>
      <c r="M60" s="537"/>
      <c r="N60" s="537"/>
      <c r="O60" s="537"/>
      <c r="P60" s="537"/>
      <c r="Q60" s="537"/>
      <c r="R60" s="537"/>
      <c r="S60" s="537"/>
      <c r="T60" s="537"/>
      <c r="U60" s="537"/>
      <c r="V60" s="537"/>
      <c r="W60" s="537"/>
      <c r="X60" s="878"/>
      <c r="Y60" s="878"/>
      <c r="Z60" s="878"/>
      <c r="AA60" s="878"/>
      <c r="AB60" s="878"/>
      <c r="AC60" s="878"/>
    </row>
    <row r="61" spans="1:29" ht="15.75">
      <c r="A61" s="66"/>
      <c r="B61" s="66"/>
      <c r="C61" s="66"/>
      <c r="D61" s="537"/>
      <c r="E61" s="537"/>
      <c r="F61" s="537"/>
      <c r="G61" s="537"/>
      <c r="H61" s="537"/>
      <c r="I61" s="537"/>
      <c r="J61" s="537"/>
      <c r="K61" s="537"/>
      <c r="L61" s="537"/>
      <c r="M61" s="537"/>
      <c r="N61" s="537"/>
      <c r="O61" s="537"/>
      <c r="P61" s="537"/>
      <c r="Q61" s="537"/>
      <c r="R61" s="537"/>
      <c r="S61" s="537"/>
      <c r="T61" s="537"/>
      <c r="U61" s="537"/>
      <c r="V61" s="537"/>
      <c r="W61" s="537"/>
      <c r="X61" s="878"/>
      <c r="Y61" s="878"/>
      <c r="Z61" s="878"/>
      <c r="AA61" s="878"/>
      <c r="AB61" s="878"/>
      <c r="AC61" s="878"/>
    </row>
    <row r="62" spans="1:29" ht="15.75">
      <c r="A62" s="66"/>
      <c r="B62" s="66"/>
      <c r="C62" s="66"/>
      <c r="D62" s="537"/>
      <c r="E62" s="537"/>
      <c r="F62" s="537"/>
      <c r="G62" s="537"/>
      <c r="H62" s="537"/>
      <c r="I62" s="537"/>
      <c r="J62" s="537"/>
      <c r="K62" s="537"/>
      <c r="L62" s="537"/>
      <c r="M62" s="537"/>
      <c r="N62" s="537"/>
      <c r="O62" s="537"/>
      <c r="P62" s="537"/>
      <c r="Q62" s="537"/>
      <c r="R62" s="537"/>
      <c r="S62" s="537"/>
      <c r="T62" s="537"/>
      <c r="U62" s="537"/>
      <c r="V62" s="537"/>
      <c r="W62" s="537"/>
      <c r="X62" s="878"/>
      <c r="Y62" s="878"/>
      <c r="Z62" s="878"/>
      <c r="AA62" s="878"/>
      <c r="AB62" s="878"/>
      <c r="AC62" s="878"/>
    </row>
    <row r="63" spans="1:29" ht="15.75">
      <c r="A63" s="66"/>
      <c r="B63" s="66"/>
      <c r="C63" s="66"/>
      <c r="D63" s="537"/>
      <c r="E63" s="537"/>
      <c r="F63" s="537"/>
      <c r="G63" s="537"/>
      <c r="H63" s="537"/>
      <c r="I63" s="537"/>
      <c r="J63" s="537"/>
      <c r="K63" s="537"/>
      <c r="L63" s="537"/>
      <c r="M63" s="537"/>
      <c r="N63" s="537"/>
      <c r="O63" s="537"/>
      <c r="P63" s="537"/>
      <c r="Q63" s="537"/>
      <c r="R63" s="537"/>
      <c r="S63" s="537"/>
      <c r="T63" s="537"/>
      <c r="U63" s="537"/>
      <c r="V63" s="537"/>
      <c r="W63" s="537"/>
      <c r="X63" s="878"/>
      <c r="Y63" s="878"/>
      <c r="Z63" s="878"/>
      <c r="AA63" s="878"/>
      <c r="AB63" s="878"/>
      <c r="AC63" s="878"/>
    </row>
    <row r="64" spans="1:29" ht="15.75">
      <c r="A64" s="66"/>
      <c r="B64" s="66"/>
      <c r="C64" s="66"/>
      <c r="D64" s="537"/>
      <c r="E64" s="537"/>
      <c r="F64" s="537"/>
      <c r="G64" s="537"/>
      <c r="H64" s="537"/>
      <c r="I64" s="537"/>
      <c r="J64" s="537"/>
      <c r="K64" s="537"/>
      <c r="L64" s="537"/>
      <c r="M64" s="537"/>
      <c r="N64" s="537"/>
      <c r="O64" s="537"/>
      <c r="P64" s="537"/>
      <c r="Q64" s="537"/>
      <c r="R64" s="537"/>
      <c r="S64" s="537"/>
      <c r="T64" s="537"/>
      <c r="U64" s="537"/>
      <c r="V64" s="537"/>
      <c r="W64" s="537"/>
      <c r="X64" s="878"/>
      <c r="Y64" s="878"/>
      <c r="Z64" s="878"/>
      <c r="AA64" s="878"/>
      <c r="AB64" s="878"/>
      <c r="AC64" s="878"/>
    </row>
    <row r="65" spans="1:29" ht="15.75">
      <c r="A65" s="66"/>
      <c r="B65" s="66"/>
      <c r="C65" s="66"/>
      <c r="D65" s="537"/>
      <c r="E65" s="537"/>
      <c r="F65" s="537"/>
      <c r="G65" s="537"/>
      <c r="H65" s="537"/>
      <c r="I65" s="537"/>
      <c r="J65" s="537"/>
      <c r="K65" s="537"/>
      <c r="L65" s="537"/>
      <c r="M65" s="537"/>
      <c r="N65" s="537"/>
      <c r="O65" s="537"/>
      <c r="P65" s="537"/>
      <c r="Q65" s="537"/>
      <c r="R65" s="537"/>
      <c r="S65" s="537"/>
      <c r="T65" s="537"/>
      <c r="U65" s="537"/>
      <c r="V65" s="537"/>
      <c r="W65" s="537"/>
      <c r="X65" s="878"/>
      <c r="Y65" s="878"/>
      <c r="Z65" s="878"/>
      <c r="AA65" s="878"/>
      <c r="AB65" s="878"/>
      <c r="AC65" s="878"/>
    </row>
    <row r="66" spans="1:29" ht="15.75">
      <c r="A66" s="66"/>
      <c r="B66" s="66"/>
      <c r="C66" s="66"/>
      <c r="D66" s="537"/>
      <c r="E66" s="537"/>
      <c r="F66" s="537"/>
      <c r="G66" s="537"/>
      <c r="H66" s="537"/>
      <c r="I66" s="537"/>
      <c r="J66" s="537"/>
      <c r="K66" s="537"/>
      <c r="L66" s="537"/>
      <c r="M66" s="537"/>
      <c r="N66" s="537"/>
      <c r="O66" s="537"/>
      <c r="P66" s="537"/>
      <c r="Q66" s="537"/>
      <c r="R66" s="537"/>
      <c r="S66" s="537"/>
      <c r="T66" s="537"/>
      <c r="U66" s="537"/>
      <c r="V66" s="537"/>
      <c r="W66" s="537"/>
      <c r="X66" s="878"/>
      <c r="Y66" s="878"/>
      <c r="Z66" s="878"/>
      <c r="AA66" s="878"/>
      <c r="AB66" s="878"/>
      <c r="AC66" s="878"/>
    </row>
    <row r="67" spans="1:29" ht="15.75">
      <c r="A67" s="66"/>
      <c r="B67" s="66"/>
      <c r="C67" s="66"/>
      <c r="D67" s="537"/>
      <c r="E67" s="537"/>
      <c r="F67" s="537"/>
      <c r="G67" s="537"/>
      <c r="H67" s="537"/>
      <c r="I67" s="537"/>
      <c r="J67" s="537"/>
      <c r="K67" s="537"/>
      <c r="L67" s="537"/>
      <c r="M67" s="537"/>
      <c r="N67" s="537"/>
      <c r="O67" s="537"/>
      <c r="P67" s="537"/>
      <c r="Q67" s="537"/>
      <c r="R67" s="537"/>
      <c r="S67" s="537"/>
      <c r="T67" s="537"/>
      <c r="U67" s="537"/>
      <c r="V67" s="537"/>
      <c r="W67" s="537"/>
      <c r="X67" s="878"/>
      <c r="Y67" s="878"/>
      <c r="Z67" s="878"/>
      <c r="AA67" s="878"/>
      <c r="AB67" s="878"/>
      <c r="AC67" s="878"/>
    </row>
    <row r="68" spans="1:29" ht="15.75">
      <c r="A68" s="66"/>
      <c r="B68" s="66"/>
      <c r="C68" s="66"/>
      <c r="D68" s="537"/>
      <c r="E68" s="537"/>
      <c r="F68" s="537"/>
      <c r="G68" s="537"/>
      <c r="H68" s="537"/>
      <c r="I68" s="537"/>
      <c r="J68" s="537"/>
      <c r="K68" s="537"/>
      <c r="L68" s="537"/>
      <c r="M68" s="537"/>
      <c r="N68" s="537"/>
      <c r="O68" s="537"/>
      <c r="P68" s="537"/>
      <c r="Q68" s="537"/>
      <c r="R68" s="537"/>
      <c r="S68" s="537"/>
      <c r="T68" s="537"/>
      <c r="U68" s="537"/>
      <c r="V68" s="537"/>
      <c r="W68" s="537"/>
      <c r="X68" s="878"/>
      <c r="Y68" s="878"/>
      <c r="Z68" s="878"/>
      <c r="AA68" s="878"/>
      <c r="AB68" s="878"/>
      <c r="AC68" s="878"/>
    </row>
    <row r="69" spans="1:29" ht="15.75">
      <c r="A69" s="66"/>
      <c r="B69" s="66"/>
      <c r="C69" s="66"/>
      <c r="D69" s="537"/>
      <c r="E69" s="537"/>
      <c r="F69" s="537"/>
      <c r="G69" s="537"/>
      <c r="H69" s="537"/>
      <c r="I69" s="537"/>
      <c r="J69" s="537"/>
      <c r="K69" s="537"/>
      <c r="L69" s="537"/>
      <c r="M69" s="537"/>
      <c r="N69" s="537"/>
      <c r="O69" s="537"/>
      <c r="P69" s="537"/>
      <c r="Q69" s="537"/>
      <c r="R69" s="537"/>
      <c r="S69" s="537"/>
      <c r="T69" s="537"/>
      <c r="U69" s="537"/>
      <c r="V69" s="537"/>
      <c r="W69" s="537"/>
      <c r="X69" s="878"/>
      <c r="Y69" s="878"/>
      <c r="Z69" s="878"/>
      <c r="AA69" s="878"/>
      <c r="AB69" s="878"/>
      <c r="AC69" s="878"/>
    </row>
    <row r="70" spans="1:29" ht="15.75">
      <c r="A70" s="66"/>
      <c r="B70" s="66"/>
      <c r="C70" s="66"/>
      <c r="D70" s="537"/>
      <c r="E70" s="537"/>
      <c r="F70" s="537"/>
      <c r="G70" s="537"/>
      <c r="H70" s="537"/>
      <c r="I70" s="537"/>
      <c r="J70" s="537"/>
      <c r="K70" s="537"/>
      <c r="L70" s="537"/>
      <c r="M70" s="537"/>
      <c r="N70" s="537"/>
      <c r="O70" s="537"/>
      <c r="P70" s="537"/>
      <c r="Q70" s="537"/>
      <c r="R70" s="537"/>
      <c r="S70" s="537"/>
      <c r="T70" s="537"/>
      <c r="U70" s="537"/>
      <c r="V70" s="537"/>
      <c r="W70" s="537"/>
      <c r="X70" s="878"/>
      <c r="Y70" s="878"/>
      <c r="Z70" s="878"/>
      <c r="AA70" s="878"/>
      <c r="AB70" s="878"/>
      <c r="AC70" s="878"/>
    </row>
    <row r="71" spans="1:29" ht="15.75">
      <c r="A71" s="66"/>
      <c r="B71" s="66"/>
      <c r="C71" s="66"/>
      <c r="D71" s="537"/>
      <c r="E71" s="537"/>
      <c r="F71" s="537"/>
      <c r="G71" s="537"/>
      <c r="H71" s="537"/>
      <c r="I71" s="537"/>
      <c r="J71" s="537"/>
      <c r="K71" s="537"/>
      <c r="L71" s="537"/>
      <c r="M71" s="537"/>
      <c r="N71" s="537"/>
      <c r="O71" s="537"/>
      <c r="P71" s="537"/>
      <c r="Q71" s="537"/>
      <c r="R71" s="537"/>
      <c r="S71" s="537"/>
      <c r="T71" s="537"/>
      <c r="U71" s="537"/>
      <c r="V71" s="537"/>
      <c r="W71" s="537"/>
      <c r="X71" s="878"/>
      <c r="Y71" s="878"/>
      <c r="Z71" s="878"/>
      <c r="AA71" s="878"/>
      <c r="AB71" s="878"/>
      <c r="AC71" s="878"/>
    </row>
    <row r="72" spans="1:29" ht="15.75">
      <c r="A72" s="66"/>
      <c r="B72" s="66"/>
      <c r="C72" s="66"/>
      <c r="D72" s="537"/>
      <c r="E72" s="537"/>
      <c r="F72" s="537"/>
      <c r="G72" s="537"/>
      <c r="H72" s="537"/>
      <c r="I72" s="537"/>
      <c r="J72" s="537"/>
      <c r="K72" s="537"/>
      <c r="L72" s="537"/>
      <c r="M72" s="537"/>
      <c r="N72" s="537"/>
      <c r="O72" s="537"/>
      <c r="P72" s="537"/>
      <c r="Q72" s="537"/>
      <c r="R72" s="537"/>
      <c r="S72" s="537"/>
      <c r="T72" s="537"/>
      <c r="U72" s="537"/>
      <c r="V72" s="537"/>
      <c r="W72" s="537"/>
      <c r="X72" s="878"/>
      <c r="Y72" s="878"/>
      <c r="Z72" s="878"/>
      <c r="AA72" s="878"/>
      <c r="AB72" s="878"/>
      <c r="AC72" s="878"/>
    </row>
    <row r="73" spans="1:29" ht="15.75">
      <c r="A73" s="66"/>
      <c r="B73" s="66"/>
      <c r="C73" s="66"/>
      <c r="D73" s="537"/>
      <c r="E73" s="537"/>
      <c r="F73" s="537"/>
      <c r="G73" s="537"/>
      <c r="H73" s="537"/>
      <c r="I73" s="537"/>
      <c r="J73" s="537"/>
      <c r="K73" s="537"/>
      <c r="L73" s="537"/>
      <c r="M73" s="537"/>
      <c r="N73" s="537"/>
      <c r="O73" s="537"/>
      <c r="P73" s="537"/>
      <c r="Q73" s="537"/>
      <c r="R73" s="537"/>
      <c r="S73" s="537"/>
      <c r="T73" s="537"/>
      <c r="U73" s="537"/>
      <c r="V73" s="537"/>
      <c r="W73" s="537"/>
      <c r="X73" s="878"/>
      <c r="Y73" s="878"/>
      <c r="Z73" s="878"/>
      <c r="AA73" s="878"/>
      <c r="AB73" s="878"/>
      <c r="AC73" s="878"/>
    </row>
    <row r="74" spans="1:29" ht="15.75">
      <c r="A74" s="66"/>
      <c r="B74" s="66"/>
      <c r="C74" s="66"/>
      <c r="D74" s="537"/>
      <c r="E74" s="537"/>
      <c r="F74" s="537"/>
      <c r="G74" s="537"/>
      <c r="H74" s="537"/>
      <c r="I74" s="537"/>
      <c r="J74" s="537"/>
      <c r="K74" s="537"/>
      <c r="L74" s="537"/>
      <c r="M74" s="537"/>
      <c r="N74" s="537"/>
      <c r="O74" s="537"/>
      <c r="P74" s="537"/>
      <c r="Q74" s="537"/>
      <c r="R74" s="537"/>
      <c r="S74" s="537"/>
      <c r="T74" s="537"/>
      <c r="U74" s="537"/>
      <c r="V74" s="537"/>
      <c r="W74" s="537"/>
      <c r="X74" s="878"/>
      <c r="Y74" s="878"/>
      <c r="Z74" s="878"/>
      <c r="AA74" s="878"/>
      <c r="AB74" s="878"/>
      <c r="AC74" s="878"/>
    </row>
    <row r="75" spans="1:29" ht="15.75">
      <c r="A75" s="66"/>
      <c r="B75" s="66"/>
      <c r="C75" s="66"/>
      <c r="D75" s="537"/>
      <c r="E75" s="537"/>
      <c r="F75" s="537"/>
      <c r="G75" s="537"/>
      <c r="H75" s="537"/>
      <c r="I75" s="537"/>
      <c r="J75" s="537"/>
      <c r="K75" s="537"/>
      <c r="L75" s="537"/>
      <c r="M75" s="537"/>
      <c r="N75" s="537"/>
      <c r="O75" s="537"/>
      <c r="P75" s="537"/>
      <c r="Q75" s="537"/>
      <c r="R75" s="537"/>
      <c r="S75" s="537"/>
      <c r="T75" s="537"/>
      <c r="U75" s="537"/>
      <c r="V75" s="537"/>
      <c r="W75" s="537"/>
      <c r="X75" s="878"/>
      <c r="Y75" s="878"/>
      <c r="Z75" s="878"/>
      <c r="AA75" s="878"/>
      <c r="AB75" s="878"/>
      <c r="AC75" s="878"/>
    </row>
    <row r="76" spans="1:29" ht="15.75">
      <c r="A76" s="66"/>
      <c r="B76" s="66"/>
      <c r="C76" s="66"/>
      <c r="D76" s="537"/>
      <c r="E76" s="537"/>
      <c r="F76" s="537"/>
      <c r="G76" s="537"/>
      <c r="H76" s="537"/>
      <c r="I76" s="537"/>
      <c r="J76" s="537"/>
      <c r="K76" s="537"/>
      <c r="L76" s="537"/>
      <c r="M76" s="537"/>
      <c r="N76" s="537"/>
      <c r="O76" s="537"/>
      <c r="P76" s="537"/>
      <c r="Q76" s="537"/>
      <c r="R76" s="537"/>
      <c r="S76" s="537"/>
      <c r="T76" s="537"/>
      <c r="U76" s="537"/>
      <c r="V76" s="537"/>
      <c r="W76" s="537"/>
      <c r="X76" s="878"/>
      <c r="Y76" s="878"/>
      <c r="Z76" s="878"/>
      <c r="AA76" s="878"/>
      <c r="AB76" s="878"/>
      <c r="AC76" s="878"/>
    </row>
    <row r="77" spans="1:29" ht="15.75">
      <c r="A77" s="66"/>
      <c r="B77" s="66"/>
      <c r="C77" s="66"/>
      <c r="D77" s="537"/>
      <c r="E77" s="537"/>
      <c r="F77" s="537"/>
      <c r="G77" s="537"/>
      <c r="H77" s="537"/>
      <c r="I77" s="537"/>
      <c r="J77" s="537"/>
      <c r="K77" s="537"/>
      <c r="L77" s="537"/>
      <c r="M77" s="537"/>
      <c r="N77" s="537"/>
      <c r="O77" s="537"/>
      <c r="P77" s="537"/>
      <c r="Q77" s="537"/>
      <c r="R77" s="537"/>
      <c r="S77" s="537"/>
      <c r="T77" s="537"/>
      <c r="U77" s="537"/>
      <c r="V77" s="537"/>
      <c r="W77" s="537"/>
      <c r="X77" s="878"/>
      <c r="Y77" s="878"/>
      <c r="Z77" s="878"/>
      <c r="AA77" s="878"/>
      <c r="AB77" s="878"/>
      <c r="AC77" s="878"/>
    </row>
    <row r="78" spans="1:29" ht="15.75">
      <c r="A78" s="66"/>
      <c r="B78" s="66"/>
      <c r="C78" s="66"/>
      <c r="D78" s="537"/>
      <c r="E78" s="537"/>
      <c r="F78" s="537"/>
      <c r="G78" s="537"/>
      <c r="H78" s="537"/>
      <c r="I78" s="537"/>
      <c r="J78" s="537"/>
      <c r="K78" s="537"/>
      <c r="L78" s="537"/>
      <c r="M78" s="537"/>
      <c r="N78" s="537"/>
      <c r="O78" s="537"/>
      <c r="P78" s="537"/>
      <c r="Q78" s="537"/>
      <c r="R78" s="537"/>
      <c r="S78" s="537"/>
      <c r="T78" s="537"/>
      <c r="U78" s="537"/>
      <c r="V78" s="537"/>
      <c r="W78" s="537"/>
      <c r="X78" s="878"/>
      <c r="Y78" s="878"/>
      <c r="Z78" s="878"/>
      <c r="AA78" s="878"/>
      <c r="AB78" s="878"/>
      <c r="AC78" s="878"/>
    </row>
    <row r="79" spans="1:29" ht="15.75">
      <c r="A79" s="66"/>
      <c r="B79" s="66"/>
      <c r="C79" s="66"/>
      <c r="D79" s="537"/>
      <c r="E79" s="537"/>
      <c r="F79" s="537"/>
      <c r="G79" s="537"/>
      <c r="H79" s="537"/>
      <c r="I79" s="537"/>
      <c r="J79" s="537"/>
      <c r="K79" s="537"/>
      <c r="L79" s="537"/>
      <c r="M79" s="537"/>
      <c r="N79" s="537"/>
      <c r="O79" s="537"/>
      <c r="P79" s="537"/>
      <c r="Q79" s="537"/>
      <c r="R79" s="537"/>
      <c r="S79" s="537"/>
      <c r="T79" s="537"/>
      <c r="U79" s="537"/>
      <c r="V79" s="537"/>
      <c r="W79" s="537"/>
      <c r="X79" s="878"/>
      <c r="Y79" s="878"/>
      <c r="Z79" s="878"/>
      <c r="AA79" s="878"/>
      <c r="AB79" s="878"/>
      <c r="AC79" s="878"/>
    </row>
    <row r="80" spans="1:29" ht="15.75">
      <c r="A80" s="66"/>
      <c r="B80" s="66"/>
      <c r="C80" s="66"/>
      <c r="D80" s="537"/>
      <c r="E80" s="537"/>
      <c r="F80" s="537"/>
      <c r="G80" s="537"/>
      <c r="H80" s="537"/>
      <c r="I80" s="537"/>
      <c r="J80" s="537"/>
      <c r="K80" s="537"/>
      <c r="L80" s="537"/>
      <c r="M80" s="537"/>
      <c r="N80" s="537"/>
      <c r="O80" s="537"/>
      <c r="P80" s="537"/>
      <c r="Q80" s="537"/>
      <c r="R80" s="537"/>
      <c r="S80" s="537"/>
      <c r="T80" s="537"/>
      <c r="U80" s="537"/>
      <c r="V80" s="537"/>
      <c r="W80" s="537"/>
      <c r="X80" s="878"/>
      <c r="Y80" s="878"/>
      <c r="Z80" s="878"/>
      <c r="AA80" s="878"/>
      <c r="AB80" s="878"/>
      <c r="AC80" s="878"/>
    </row>
    <row r="81" spans="1:29" ht="15.75">
      <c r="A81" s="66"/>
      <c r="B81" s="66"/>
      <c r="C81" s="66"/>
      <c r="D81" s="537"/>
      <c r="E81" s="537"/>
      <c r="F81" s="537"/>
      <c r="G81" s="537"/>
      <c r="H81" s="537"/>
      <c r="I81" s="537"/>
      <c r="J81" s="537"/>
      <c r="K81" s="537"/>
      <c r="L81" s="537"/>
      <c r="M81" s="537"/>
      <c r="N81" s="537"/>
      <c r="O81" s="537"/>
      <c r="P81" s="537"/>
      <c r="Q81" s="537"/>
      <c r="R81" s="537"/>
      <c r="S81" s="537"/>
      <c r="T81" s="537"/>
      <c r="U81" s="537"/>
      <c r="V81" s="537"/>
      <c r="W81" s="537"/>
      <c r="X81" s="878"/>
      <c r="Y81" s="878"/>
      <c r="Z81" s="878"/>
      <c r="AA81" s="878"/>
      <c r="AB81" s="878"/>
      <c r="AC81" s="878"/>
    </row>
    <row r="82" spans="1:29" ht="15.75">
      <c r="A82" s="66"/>
      <c r="B82" s="66"/>
      <c r="C82" s="66"/>
      <c r="D82" s="537"/>
      <c r="E82" s="537"/>
      <c r="F82" s="537"/>
      <c r="G82" s="537"/>
      <c r="H82" s="537"/>
      <c r="I82" s="537"/>
      <c r="J82" s="537"/>
      <c r="K82" s="537"/>
      <c r="L82" s="537"/>
      <c r="M82" s="537"/>
      <c r="N82" s="537"/>
      <c r="O82" s="537"/>
      <c r="P82" s="537"/>
      <c r="Q82" s="537"/>
      <c r="R82" s="537"/>
      <c r="S82" s="537"/>
      <c r="T82" s="537"/>
      <c r="U82" s="537"/>
      <c r="V82" s="537"/>
      <c r="W82" s="537"/>
      <c r="X82" s="878"/>
      <c r="Y82" s="878"/>
      <c r="Z82" s="878"/>
      <c r="AA82" s="878"/>
      <c r="AB82" s="878"/>
      <c r="AC82" s="878"/>
    </row>
    <row r="83" spans="1:29" ht="15.75">
      <c r="A83" s="66"/>
      <c r="B83" s="66"/>
      <c r="C83" s="66"/>
      <c r="D83" s="537"/>
      <c r="E83" s="537"/>
      <c r="F83" s="537"/>
      <c r="G83" s="537"/>
      <c r="H83" s="537"/>
      <c r="I83" s="537"/>
      <c r="J83" s="537"/>
      <c r="K83" s="537"/>
      <c r="L83" s="537"/>
      <c r="M83" s="537"/>
      <c r="N83" s="537"/>
      <c r="O83" s="537"/>
      <c r="P83" s="537"/>
      <c r="Q83" s="537"/>
      <c r="R83" s="537"/>
      <c r="S83" s="537"/>
      <c r="T83" s="537"/>
      <c r="U83" s="537"/>
      <c r="V83" s="537"/>
      <c r="W83" s="537"/>
      <c r="X83" s="878"/>
      <c r="Y83" s="878"/>
      <c r="Z83" s="878"/>
      <c r="AA83" s="878"/>
      <c r="AB83" s="878"/>
      <c r="AC83" s="878"/>
    </row>
    <row r="84" spans="1:29" ht="15.75">
      <c r="A84" s="66"/>
      <c r="B84" s="66"/>
      <c r="C84" s="66"/>
      <c r="D84" s="537"/>
      <c r="E84" s="537"/>
      <c r="F84" s="537"/>
      <c r="G84" s="537"/>
      <c r="H84" s="537"/>
      <c r="I84" s="537"/>
      <c r="J84" s="537"/>
      <c r="K84" s="537"/>
      <c r="L84" s="537"/>
      <c r="M84" s="537"/>
      <c r="N84" s="537"/>
      <c r="O84" s="537"/>
      <c r="P84" s="537"/>
      <c r="Q84" s="537"/>
      <c r="R84" s="537"/>
      <c r="S84" s="537"/>
      <c r="T84" s="537"/>
      <c r="U84" s="537"/>
      <c r="V84" s="537"/>
      <c r="W84" s="537"/>
      <c r="X84" s="878"/>
      <c r="Y84" s="878"/>
      <c r="Z84" s="878"/>
      <c r="AA84" s="878"/>
      <c r="AB84" s="878"/>
      <c r="AC84" s="878"/>
    </row>
    <row r="85" spans="1:29" ht="15.75">
      <c r="A85" s="66"/>
      <c r="B85" s="66"/>
      <c r="C85" s="66"/>
      <c r="D85" s="537"/>
      <c r="E85" s="537"/>
      <c r="F85" s="537"/>
      <c r="G85" s="537"/>
      <c r="H85" s="537"/>
      <c r="I85" s="537"/>
      <c r="J85" s="537"/>
      <c r="K85" s="537"/>
      <c r="L85" s="537"/>
      <c r="M85" s="537"/>
      <c r="N85" s="537"/>
      <c r="O85" s="537"/>
      <c r="P85" s="537"/>
      <c r="Q85" s="537"/>
      <c r="R85" s="537"/>
      <c r="S85" s="537"/>
      <c r="T85" s="537"/>
      <c r="U85" s="537"/>
      <c r="V85" s="537"/>
      <c r="W85" s="537"/>
      <c r="X85" s="878"/>
      <c r="Y85" s="878"/>
      <c r="Z85" s="878"/>
      <c r="AA85" s="878"/>
      <c r="AB85" s="878"/>
      <c r="AC85" s="878"/>
    </row>
    <row r="86" spans="1:29" ht="15.75">
      <c r="A86" s="66"/>
      <c r="B86" s="66"/>
      <c r="C86" s="66"/>
      <c r="D86" s="537"/>
      <c r="E86" s="537"/>
      <c r="F86" s="537"/>
      <c r="G86" s="537"/>
      <c r="H86" s="537"/>
      <c r="I86" s="537"/>
      <c r="J86" s="537"/>
      <c r="K86" s="537"/>
      <c r="L86" s="537"/>
      <c r="M86" s="537"/>
      <c r="N86" s="537"/>
      <c r="O86" s="537"/>
      <c r="P86" s="537"/>
      <c r="Q86" s="537"/>
      <c r="R86" s="537"/>
      <c r="S86" s="537"/>
      <c r="T86" s="537"/>
      <c r="U86" s="537"/>
      <c r="V86" s="537"/>
      <c r="W86" s="537"/>
      <c r="X86" s="878"/>
      <c r="Y86" s="878"/>
      <c r="Z86" s="878"/>
      <c r="AA86" s="878"/>
      <c r="AB86" s="878"/>
      <c r="AC86" s="878"/>
    </row>
    <row r="87" spans="1:29" ht="15.75">
      <c r="A87" s="66"/>
      <c r="B87" s="66"/>
      <c r="C87" s="66"/>
      <c r="D87" s="537"/>
      <c r="E87" s="537"/>
      <c r="F87" s="537"/>
      <c r="G87" s="537"/>
      <c r="H87" s="537"/>
      <c r="I87" s="537"/>
      <c r="J87" s="537"/>
      <c r="K87" s="537"/>
      <c r="L87" s="537"/>
      <c r="M87" s="537"/>
      <c r="N87" s="537"/>
      <c r="O87" s="537"/>
      <c r="P87" s="537"/>
      <c r="Q87" s="537"/>
      <c r="R87" s="537"/>
      <c r="S87" s="537"/>
      <c r="T87" s="537"/>
      <c r="U87" s="537"/>
      <c r="V87" s="537"/>
      <c r="W87" s="537"/>
      <c r="X87" s="878"/>
      <c r="Y87" s="878"/>
      <c r="Z87" s="878"/>
      <c r="AA87" s="878"/>
      <c r="AB87" s="878"/>
      <c r="AC87" s="878"/>
    </row>
    <row r="88" spans="1:29" ht="15.75">
      <c r="A88" s="66"/>
      <c r="B88" s="66"/>
      <c r="C88" s="66"/>
      <c r="D88" s="537"/>
      <c r="E88" s="537"/>
      <c r="F88" s="537"/>
      <c r="G88" s="537"/>
      <c r="H88" s="537"/>
      <c r="I88" s="537"/>
      <c r="J88" s="537"/>
      <c r="K88" s="537"/>
      <c r="L88" s="537"/>
      <c r="M88" s="537"/>
      <c r="N88" s="537"/>
      <c r="O88" s="537"/>
      <c r="P88" s="537"/>
      <c r="Q88" s="537"/>
      <c r="R88" s="537"/>
      <c r="S88" s="537"/>
      <c r="T88" s="537"/>
      <c r="U88" s="537"/>
      <c r="V88" s="537"/>
      <c r="W88" s="537"/>
      <c r="X88" s="878"/>
      <c r="Y88" s="878"/>
      <c r="Z88" s="878"/>
      <c r="AA88" s="878"/>
      <c r="AB88" s="878"/>
      <c r="AC88" s="878"/>
    </row>
    <row r="89" spans="1:29" ht="15.75">
      <c r="A89" s="66"/>
      <c r="B89" s="66"/>
      <c r="C89" s="66"/>
      <c r="D89" s="537"/>
      <c r="E89" s="537"/>
      <c r="F89" s="537"/>
      <c r="G89" s="537"/>
      <c r="H89" s="537"/>
      <c r="I89" s="537"/>
      <c r="J89" s="537"/>
      <c r="K89" s="537"/>
      <c r="L89" s="537"/>
      <c r="M89" s="537"/>
      <c r="N89" s="537"/>
      <c r="O89" s="537"/>
      <c r="P89" s="537"/>
      <c r="Q89" s="537"/>
      <c r="R89" s="537"/>
      <c r="S89" s="537"/>
      <c r="T89" s="537"/>
      <c r="U89" s="537"/>
      <c r="V89" s="537"/>
      <c r="W89" s="537"/>
      <c r="X89" s="878"/>
      <c r="Y89" s="878"/>
      <c r="Z89" s="878"/>
      <c r="AA89" s="878"/>
      <c r="AB89" s="878"/>
      <c r="AC89" s="878"/>
    </row>
    <row r="90" spans="1:29" ht="15.75">
      <c r="A90" s="66"/>
      <c r="B90" s="66"/>
      <c r="C90" s="66"/>
      <c r="D90" s="537"/>
      <c r="E90" s="537"/>
      <c r="F90" s="537"/>
      <c r="G90" s="537"/>
      <c r="H90" s="537"/>
      <c r="I90" s="537"/>
      <c r="J90" s="537"/>
      <c r="K90" s="537"/>
      <c r="L90" s="537"/>
      <c r="M90" s="537"/>
      <c r="N90" s="537"/>
      <c r="O90" s="537"/>
      <c r="P90" s="537"/>
      <c r="Q90" s="537"/>
      <c r="R90" s="537"/>
      <c r="S90" s="537"/>
      <c r="T90" s="537"/>
      <c r="U90" s="537"/>
      <c r="V90" s="537"/>
      <c r="W90" s="537"/>
      <c r="X90" s="878"/>
      <c r="Y90" s="878"/>
      <c r="Z90" s="878"/>
      <c r="AA90" s="878"/>
      <c r="AB90" s="878"/>
      <c r="AC90" s="878"/>
    </row>
    <row r="91" spans="1:29" ht="15.75">
      <c r="A91" s="66"/>
      <c r="B91" s="66"/>
      <c r="C91" s="66"/>
      <c r="D91" s="537"/>
      <c r="E91" s="537"/>
      <c r="F91" s="537"/>
      <c r="G91" s="537"/>
      <c r="H91" s="537"/>
      <c r="I91" s="537"/>
      <c r="J91" s="537"/>
      <c r="K91" s="537"/>
      <c r="L91" s="537"/>
      <c r="M91" s="537"/>
      <c r="N91" s="537"/>
      <c r="O91" s="537"/>
      <c r="P91" s="537"/>
      <c r="Q91" s="537"/>
      <c r="R91" s="537"/>
      <c r="S91" s="537"/>
      <c r="T91" s="537"/>
      <c r="U91" s="537"/>
      <c r="V91" s="537"/>
      <c r="W91" s="537"/>
      <c r="X91" s="878"/>
      <c r="Y91" s="878"/>
      <c r="Z91" s="878"/>
      <c r="AA91" s="878"/>
      <c r="AB91" s="878"/>
      <c r="AC91" s="878"/>
    </row>
    <row r="92" spans="1:29" ht="15.75">
      <c r="A92" s="66"/>
      <c r="B92" s="66"/>
      <c r="C92" s="66"/>
      <c r="D92" s="537"/>
      <c r="E92" s="537"/>
      <c r="F92" s="537"/>
      <c r="G92" s="537"/>
      <c r="H92" s="537"/>
      <c r="I92" s="537"/>
      <c r="J92" s="537"/>
      <c r="K92" s="537"/>
      <c r="L92" s="537"/>
      <c r="M92" s="537"/>
      <c r="N92" s="537"/>
      <c r="O92" s="537"/>
      <c r="P92" s="537"/>
      <c r="Q92" s="537"/>
      <c r="R92" s="537"/>
      <c r="S92" s="537"/>
      <c r="T92" s="537"/>
      <c r="U92" s="537"/>
      <c r="V92" s="537"/>
      <c r="W92" s="537"/>
      <c r="X92" s="878"/>
      <c r="Y92" s="878"/>
      <c r="Z92" s="878"/>
      <c r="AA92" s="878"/>
      <c r="AB92" s="878"/>
      <c r="AC92" s="878"/>
    </row>
    <row r="93" spans="1:29" ht="15.75">
      <c r="A93" s="66"/>
      <c r="B93" s="66"/>
      <c r="C93" s="66"/>
      <c r="D93" s="537"/>
      <c r="E93" s="537"/>
      <c r="F93" s="537"/>
      <c r="G93" s="537"/>
      <c r="H93" s="537"/>
      <c r="I93" s="537"/>
      <c r="J93" s="537"/>
      <c r="K93" s="537"/>
      <c r="L93" s="537"/>
      <c r="M93" s="537"/>
      <c r="N93" s="537"/>
      <c r="O93" s="537"/>
      <c r="P93" s="537"/>
      <c r="Q93" s="537"/>
      <c r="R93" s="537"/>
      <c r="S93" s="537"/>
      <c r="T93" s="537"/>
      <c r="U93" s="537"/>
      <c r="V93" s="537"/>
      <c r="W93" s="537"/>
      <c r="X93" s="878"/>
      <c r="Y93" s="878"/>
      <c r="Z93" s="878"/>
      <c r="AA93" s="878"/>
      <c r="AB93" s="878"/>
      <c r="AC93" s="878"/>
    </row>
    <row r="94" spans="1:29" ht="15.75">
      <c r="A94" s="66"/>
      <c r="B94" s="66"/>
      <c r="C94" s="66"/>
      <c r="D94" s="537"/>
      <c r="E94" s="537"/>
      <c r="F94" s="537"/>
      <c r="G94" s="537"/>
      <c r="H94" s="537"/>
      <c r="I94" s="537"/>
      <c r="J94" s="537"/>
      <c r="K94" s="537"/>
      <c r="L94" s="537"/>
      <c r="M94" s="537"/>
      <c r="N94" s="537"/>
      <c r="O94" s="537"/>
      <c r="P94" s="537"/>
      <c r="Q94" s="537"/>
      <c r="R94" s="537"/>
      <c r="S94" s="537"/>
      <c r="T94" s="537"/>
      <c r="U94" s="537"/>
      <c r="V94" s="537"/>
      <c r="W94" s="537"/>
      <c r="X94" s="878"/>
      <c r="Y94" s="878"/>
      <c r="Z94" s="878"/>
      <c r="AA94" s="878"/>
      <c r="AB94" s="878"/>
      <c r="AC94" s="878"/>
    </row>
    <row r="95" spans="1:29" ht="15.75">
      <c r="A95" s="66"/>
      <c r="B95" s="66"/>
      <c r="C95" s="66"/>
      <c r="D95" s="537"/>
      <c r="E95" s="537"/>
      <c r="F95" s="537"/>
      <c r="G95" s="537"/>
      <c r="H95" s="537"/>
      <c r="I95" s="537"/>
      <c r="J95" s="537"/>
      <c r="K95" s="537"/>
      <c r="L95" s="537"/>
      <c r="M95" s="537"/>
      <c r="N95" s="537"/>
      <c r="O95" s="537"/>
      <c r="P95" s="537"/>
      <c r="Q95" s="537"/>
      <c r="R95" s="537"/>
      <c r="S95" s="537"/>
      <c r="T95" s="537"/>
      <c r="U95" s="537"/>
      <c r="V95" s="537"/>
      <c r="W95" s="537"/>
      <c r="X95" s="878"/>
      <c r="Y95" s="878"/>
      <c r="Z95" s="878"/>
      <c r="AA95" s="878"/>
      <c r="AB95" s="878"/>
      <c r="AC95" s="878"/>
    </row>
    <row r="96" spans="1:29" ht="15.75">
      <c r="A96" s="66"/>
      <c r="B96" s="66"/>
      <c r="C96" s="66"/>
      <c r="D96" s="537"/>
      <c r="E96" s="537"/>
      <c r="F96" s="537"/>
      <c r="G96" s="537"/>
      <c r="H96" s="537"/>
      <c r="I96" s="537"/>
      <c r="J96" s="537"/>
      <c r="K96" s="537"/>
      <c r="L96" s="537"/>
      <c r="M96" s="537"/>
      <c r="N96" s="537"/>
      <c r="O96" s="537"/>
      <c r="P96" s="537"/>
      <c r="Q96" s="537"/>
      <c r="R96" s="537"/>
      <c r="S96" s="537"/>
      <c r="T96" s="537"/>
      <c r="U96" s="537"/>
      <c r="V96" s="537"/>
      <c r="W96" s="537"/>
      <c r="X96" s="878"/>
      <c r="Y96" s="878"/>
      <c r="Z96" s="878"/>
      <c r="AA96" s="878"/>
      <c r="AB96" s="878"/>
      <c r="AC96" s="878"/>
    </row>
    <row r="97" spans="1:23">
      <c r="A97" s="66"/>
      <c r="B97" s="66"/>
      <c r="C97" s="66"/>
      <c r="D97" s="66"/>
      <c r="E97" s="66"/>
      <c r="F97" s="66"/>
      <c r="G97" s="66"/>
      <c r="H97" s="66"/>
      <c r="I97" s="66"/>
      <c r="J97" s="66"/>
      <c r="K97" s="66"/>
      <c r="L97" s="66"/>
      <c r="M97" s="66"/>
      <c r="N97" s="66"/>
      <c r="O97" s="66"/>
      <c r="P97" s="66"/>
      <c r="Q97" s="66"/>
      <c r="R97" s="66"/>
      <c r="S97" s="66"/>
      <c r="T97" s="66"/>
      <c r="U97" s="66"/>
      <c r="V97" s="66"/>
      <c r="W97" s="66"/>
    </row>
    <row r="98" spans="1:23">
      <c r="A98" s="66"/>
      <c r="B98" s="66"/>
      <c r="C98" s="66"/>
      <c r="D98" s="66"/>
      <c r="E98" s="66"/>
      <c r="F98" s="66"/>
      <c r="G98" s="66"/>
      <c r="H98" s="66"/>
      <c r="I98" s="66"/>
      <c r="J98" s="66"/>
      <c r="K98" s="66"/>
      <c r="L98" s="66"/>
      <c r="M98" s="66"/>
      <c r="N98" s="66"/>
      <c r="O98" s="66"/>
      <c r="P98" s="66"/>
      <c r="Q98" s="66"/>
      <c r="R98" s="66"/>
      <c r="S98" s="66"/>
      <c r="T98" s="66"/>
      <c r="U98" s="66"/>
      <c r="V98" s="66"/>
      <c r="W98" s="66"/>
    </row>
    <row r="99" spans="1:23">
      <c r="A99" s="66"/>
      <c r="B99" s="66"/>
      <c r="C99" s="66"/>
      <c r="D99" s="66"/>
      <c r="E99" s="66"/>
      <c r="F99" s="66"/>
      <c r="G99" s="66"/>
      <c r="H99" s="66"/>
      <c r="I99" s="66"/>
      <c r="J99" s="66"/>
      <c r="K99" s="66"/>
      <c r="L99" s="66"/>
      <c r="M99" s="66"/>
      <c r="N99" s="66"/>
      <c r="O99" s="66"/>
      <c r="P99" s="66"/>
      <c r="Q99" s="66"/>
      <c r="R99" s="66"/>
      <c r="S99" s="66"/>
      <c r="T99" s="66"/>
      <c r="U99" s="66"/>
      <c r="V99" s="66"/>
      <c r="W99" s="66"/>
    </row>
    <row r="100" spans="1:23">
      <c r="A100" s="66"/>
      <c r="B100" s="66"/>
      <c r="C100" s="66"/>
      <c r="D100" s="66"/>
      <c r="E100" s="66"/>
      <c r="F100" s="66"/>
      <c r="G100" s="66"/>
      <c r="H100" s="66"/>
      <c r="I100" s="66"/>
      <c r="J100" s="66"/>
      <c r="K100" s="66"/>
      <c r="L100" s="66"/>
      <c r="M100" s="66"/>
      <c r="N100" s="66"/>
      <c r="O100" s="66"/>
      <c r="P100" s="66"/>
      <c r="Q100" s="66"/>
      <c r="R100" s="66"/>
      <c r="S100" s="66"/>
      <c r="T100" s="66"/>
      <c r="U100" s="66"/>
      <c r="V100" s="66"/>
      <c r="W100" s="66"/>
    </row>
    <row r="101" spans="1:23">
      <c r="A101" s="66"/>
      <c r="B101" s="66"/>
      <c r="C101" s="66"/>
      <c r="D101" s="66"/>
      <c r="E101" s="66"/>
      <c r="F101" s="66"/>
      <c r="G101" s="66"/>
      <c r="H101" s="66"/>
      <c r="I101" s="66"/>
      <c r="J101" s="66"/>
      <c r="K101" s="66"/>
      <c r="L101" s="66"/>
      <c r="M101" s="66"/>
      <c r="N101" s="66"/>
      <c r="O101" s="66"/>
      <c r="P101" s="66"/>
      <c r="Q101" s="66"/>
      <c r="R101" s="66"/>
      <c r="S101" s="66"/>
      <c r="T101" s="66"/>
      <c r="U101" s="66"/>
      <c r="V101" s="66"/>
      <c r="W101" s="66"/>
    </row>
    <row r="102" spans="1:23">
      <c r="A102" s="66"/>
      <c r="B102" s="66"/>
      <c r="C102" s="66"/>
      <c r="D102" s="66"/>
      <c r="E102" s="66"/>
      <c r="F102" s="66"/>
      <c r="G102" s="66"/>
      <c r="H102" s="66"/>
      <c r="I102" s="66"/>
      <c r="J102" s="66"/>
      <c r="K102" s="66"/>
      <c r="L102" s="66"/>
      <c r="M102" s="66"/>
      <c r="N102" s="66"/>
      <c r="O102" s="66"/>
      <c r="P102" s="66"/>
      <c r="Q102" s="66"/>
      <c r="R102" s="66"/>
      <c r="S102" s="66"/>
      <c r="T102" s="66"/>
      <c r="U102" s="66"/>
      <c r="V102" s="66"/>
      <c r="W102" s="66"/>
    </row>
    <row r="103" spans="1:23">
      <c r="A103" s="66"/>
      <c r="B103" s="66"/>
      <c r="C103" s="66"/>
      <c r="D103" s="66"/>
      <c r="E103" s="66"/>
      <c r="F103" s="66"/>
      <c r="G103" s="66"/>
      <c r="H103" s="66"/>
      <c r="I103" s="66"/>
      <c r="J103" s="66"/>
      <c r="K103" s="66"/>
      <c r="L103" s="66"/>
      <c r="M103" s="66"/>
      <c r="N103" s="66"/>
      <c r="O103" s="66"/>
      <c r="P103" s="66"/>
      <c r="Q103" s="66"/>
      <c r="R103" s="66"/>
      <c r="S103" s="66"/>
      <c r="T103" s="66"/>
      <c r="U103" s="66"/>
      <c r="V103" s="66"/>
      <c r="W103" s="66"/>
    </row>
    <row r="104" spans="1:23">
      <c r="A104" s="66"/>
      <c r="B104" s="66"/>
      <c r="C104" s="66"/>
      <c r="D104" s="66"/>
      <c r="E104" s="66"/>
      <c r="F104" s="66"/>
      <c r="G104" s="66"/>
      <c r="H104" s="66"/>
      <c r="I104" s="66"/>
      <c r="J104" s="66"/>
      <c r="K104" s="66"/>
      <c r="L104" s="66"/>
      <c r="M104" s="66"/>
      <c r="N104" s="66"/>
      <c r="O104" s="66"/>
      <c r="P104" s="66"/>
      <c r="Q104" s="66"/>
      <c r="R104" s="66"/>
      <c r="S104" s="66"/>
      <c r="T104" s="66"/>
      <c r="U104" s="66"/>
      <c r="V104" s="66"/>
      <c r="W104" s="66"/>
    </row>
    <row r="105" spans="1:23">
      <c r="A105" s="66"/>
      <c r="B105" s="66"/>
      <c r="C105" s="66"/>
      <c r="D105" s="66"/>
      <c r="E105" s="66"/>
      <c r="F105" s="66"/>
      <c r="G105" s="66"/>
      <c r="H105" s="66"/>
      <c r="I105" s="66"/>
      <c r="J105" s="66"/>
      <c r="K105" s="66"/>
      <c r="L105" s="66"/>
      <c r="M105" s="66"/>
      <c r="N105" s="66"/>
      <c r="O105" s="66"/>
      <c r="P105" s="66"/>
      <c r="Q105" s="66"/>
      <c r="R105" s="66"/>
      <c r="S105" s="66"/>
      <c r="T105" s="66"/>
      <c r="U105" s="66"/>
      <c r="V105" s="66"/>
      <c r="W105" s="66"/>
    </row>
    <row r="106" spans="1:23">
      <c r="A106" s="66"/>
      <c r="B106" s="66"/>
      <c r="C106" s="66"/>
      <c r="D106" s="66"/>
      <c r="E106" s="66"/>
      <c r="F106" s="66"/>
      <c r="G106" s="66"/>
      <c r="H106" s="66"/>
      <c r="I106" s="66"/>
      <c r="J106" s="66"/>
      <c r="K106" s="66"/>
      <c r="L106" s="66"/>
      <c r="M106" s="66"/>
      <c r="N106" s="66"/>
      <c r="O106" s="66"/>
      <c r="P106" s="66"/>
      <c r="Q106" s="66"/>
      <c r="R106" s="66"/>
      <c r="S106" s="66"/>
      <c r="T106" s="66"/>
      <c r="U106" s="66"/>
      <c r="V106" s="66"/>
      <c r="W106" s="66"/>
    </row>
    <row r="107" spans="1:23">
      <c r="A107" s="66"/>
      <c r="B107" s="66"/>
      <c r="C107" s="66"/>
      <c r="D107" s="66"/>
      <c r="E107" s="66"/>
      <c r="F107" s="66"/>
      <c r="G107" s="66"/>
      <c r="H107" s="66"/>
      <c r="I107" s="66"/>
      <c r="J107" s="66"/>
      <c r="K107" s="66"/>
      <c r="L107" s="66"/>
      <c r="M107" s="66"/>
      <c r="N107" s="66"/>
      <c r="O107" s="66"/>
      <c r="P107" s="66"/>
      <c r="Q107" s="66"/>
      <c r="R107" s="66"/>
      <c r="S107" s="66"/>
      <c r="T107" s="66"/>
      <c r="U107" s="66"/>
      <c r="V107" s="66"/>
      <c r="W107" s="66"/>
    </row>
    <row r="108" spans="1:23">
      <c r="A108" s="66"/>
      <c r="B108" s="66"/>
      <c r="C108" s="66"/>
      <c r="D108" s="66"/>
      <c r="E108" s="66"/>
      <c r="F108" s="66"/>
      <c r="G108" s="66"/>
      <c r="H108" s="66"/>
      <c r="I108" s="66"/>
      <c r="J108" s="66"/>
      <c r="K108" s="66"/>
      <c r="L108" s="66"/>
      <c r="M108" s="66"/>
      <c r="N108" s="66"/>
      <c r="O108" s="66"/>
      <c r="P108" s="66"/>
      <c r="Q108" s="66"/>
      <c r="R108" s="66"/>
      <c r="S108" s="66"/>
      <c r="T108" s="66"/>
      <c r="U108" s="66"/>
      <c r="V108" s="66"/>
      <c r="W108" s="66"/>
    </row>
    <row r="109" spans="1:23">
      <c r="A109" s="66"/>
      <c r="B109" s="66"/>
      <c r="C109" s="66"/>
      <c r="D109" s="66"/>
      <c r="E109" s="66"/>
      <c r="F109" s="66"/>
      <c r="G109" s="66"/>
      <c r="H109" s="66"/>
      <c r="I109" s="66"/>
      <c r="J109" s="66"/>
      <c r="K109" s="66"/>
      <c r="L109" s="66"/>
      <c r="M109" s="66"/>
      <c r="N109" s="66"/>
      <c r="O109" s="66"/>
      <c r="P109" s="66"/>
      <c r="Q109" s="66"/>
      <c r="R109" s="66"/>
      <c r="S109" s="66"/>
      <c r="T109" s="66"/>
      <c r="U109" s="66"/>
      <c r="V109" s="66"/>
      <c r="W109" s="66"/>
    </row>
    <row r="110" spans="1:23">
      <c r="A110" s="66"/>
      <c r="B110" s="66"/>
      <c r="C110" s="66"/>
      <c r="D110" s="66"/>
      <c r="E110" s="66"/>
      <c r="F110" s="66"/>
      <c r="G110" s="66"/>
      <c r="H110" s="66"/>
      <c r="I110" s="66"/>
      <c r="J110" s="66"/>
      <c r="K110" s="66"/>
      <c r="L110" s="66"/>
      <c r="M110" s="66"/>
      <c r="N110" s="66"/>
      <c r="O110" s="66"/>
      <c r="P110" s="66"/>
      <c r="Q110" s="66"/>
      <c r="R110" s="66"/>
      <c r="S110" s="66"/>
      <c r="T110" s="66"/>
      <c r="U110" s="66"/>
      <c r="V110" s="66"/>
      <c r="W110" s="66"/>
    </row>
    <row r="111" spans="1:23">
      <c r="A111" s="66"/>
      <c r="B111" s="66"/>
      <c r="C111" s="66"/>
      <c r="D111" s="66"/>
      <c r="E111" s="66"/>
      <c r="F111" s="66"/>
      <c r="G111" s="66"/>
      <c r="H111" s="66"/>
      <c r="I111" s="66"/>
      <c r="J111" s="66"/>
      <c r="K111" s="66"/>
      <c r="L111" s="66"/>
      <c r="M111" s="66"/>
      <c r="N111" s="66"/>
      <c r="O111" s="66"/>
      <c r="P111" s="66"/>
      <c r="Q111" s="66"/>
      <c r="R111" s="66"/>
      <c r="S111" s="66"/>
      <c r="T111" s="66"/>
      <c r="U111" s="66"/>
      <c r="V111" s="66"/>
      <c r="W111" s="66"/>
    </row>
    <row r="112" spans="1:23">
      <c r="A112" s="66"/>
      <c r="B112" s="66"/>
      <c r="C112" s="66"/>
      <c r="D112" s="66"/>
      <c r="E112" s="66"/>
      <c r="F112" s="66"/>
      <c r="G112" s="66"/>
      <c r="H112" s="66"/>
      <c r="I112" s="66"/>
      <c r="J112" s="66"/>
      <c r="K112" s="66"/>
      <c r="L112" s="66"/>
      <c r="M112" s="66"/>
      <c r="N112" s="66"/>
      <c r="O112" s="66"/>
      <c r="P112" s="66"/>
      <c r="Q112" s="66"/>
      <c r="R112" s="66"/>
      <c r="S112" s="66"/>
      <c r="T112" s="66"/>
      <c r="U112" s="66"/>
      <c r="V112" s="66"/>
      <c r="W112" s="66"/>
    </row>
    <row r="113" spans="1:23">
      <c r="A113" s="66"/>
      <c r="B113" s="66"/>
      <c r="C113" s="66"/>
      <c r="D113" s="66"/>
      <c r="E113" s="66"/>
      <c r="F113" s="66"/>
      <c r="G113" s="66"/>
      <c r="H113" s="66"/>
      <c r="I113" s="66"/>
      <c r="J113" s="66"/>
      <c r="K113" s="66"/>
      <c r="L113" s="66"/>
      <c r="M113" s="66"/>
      <c r="N113" s="66"/>
      <c r="O113" s="66"/>
      <c r="P113" s="66"/>
      <c r="Q113" s="66"/>
      <c r="R113" s="66"/>
      <c r="S113" s="66"/>
      <c r="T113" s="66"/>
      <c r="U113" s="66"/>
      <c r="V113" s="66"/>
      <c r="W113" s="66"/>
    </row>
    <row r="114" spans="1:23">
      <c r="A114" s="66"/>
      <c r="B114" s="66"/>
      <c r="C114" s="66"/>
      <c r="D114" s="66"/>
      <c r="E114" s="66"/>
      <c r="F114" s="66"/>
      <c r="G114" s="66"/>
      <c r="H114" s="66"/>
      <c r="I114" s="66"/>
      <c r="J114" s="66"/>
      <c r="K114" s="66"/>
      <c r="L114" s="66"/>
      <c r="M114" s="66"/>
      <c r="N114" s="66"/>
      <c r="O114" s="66"/>
      <c r="P114" s="66"/>
      <c r="Q114" s="66"/>
      <c r="R114" s="66"/>
      <c r="S114" s="66"/>
      <c r="T114" s="66"/>
      <c r="U114" s="66"/>
      <c r="V114" s="66"/>
      <c r="W114" s="66"/>
    </row>
    <row r="115" spans="1:23">
      <c r="A115" s="66"/>
      <c r="B115" s="66"/>
      <c r="C115" s="66"/>
      <c r="D115" s="66"/>
      <c r="E115" s="66"/>
      <c r="F115" s="66"/>
      <c r="G115" s="66"/>
      <c r="H115" s="66"/>
      <c r="I115" s="66"/>
      <c r="J115" s="66"/>
      <c r="K115" s="66"/>
      <c r="L115" s="66"/>
      <c r="M115" s="66"/>
      <c r="N115" s="66"/>
      <c r="O115" s="66"/>
      <c r="P115" s="66"/>
      <c r="Q115" s="66"/>
      <c r="R115" s="66"/>
      <c r="S115" s="66"/>
      <c r="T115" s="66"/>
      <c r="U115" s="66"/>
      <c r="V115" s="66"/>
      <c r="W115" s="66"/>
    </row>
    <row r="116" spans="1:23">
      <c r="A116" s="66"/>
      <c r="B116" s="66"/>
      <c r="C116" s="66"/>
      <c r="D116" s="66"/>
      <c r="E116" s="66"/>
      <c r="F116" s="66"/>
      <c r="G116" s="66"/>
      <c r="H116" s="66"/>
      <c r="I116" s="66"/>
      <c r="J116" s="66"/>
      <c r="K116" s="66"/>
      <c r="L116" s="66"/>
      <c r="M116" s="66"/>
      <c r="N116" s="66"/>
      <c r="O116" s="66"/>
      <c r="P116" s="66"/>
      <c r="Q116" s="66"/>
      <c r="R116" s="66"/>
      <c r="S116" s="66"/>
      <c r="T116" s="66"/>
      <c r="U116" s="66"/>
      <c r="V116" s="66"/>
      <c r="W116" s="66"/>
    </row>
    <row r="117" spans="1:23">
      <c r="A117" s="66"/>
      <c r="B117" s="66"/>
      <c r="C117" s="66"/>
      <c r="D117" s="66"/>
      <c r="E117" s="66"/>
      <c r="F117" s="66"/>
      <c r="G117" s="66"/>
      <c r="H117" s="66"/>
      <c r="I117" s="66"/>
      <c r="J117" s="66"/>
      <c r="K117" s="66"/>
      <c r="L117" s="66"/>
      <c r="M117" s="66"/>
      <c r="N117" s="66"/>
      <c r="O117" s="66"/>
      <c r="P117" s="66"/>
      <c r="Q117" s="66"/>
      <c r="R117" s="66"/>
      <c r="S117" s="66"/>
      <c r="T117" s="66"/>
      <c r="U117" s="66"/>
      <c r="V117" s="66"/>
      <c r="W117" s="66"/>
    </row>
    <row r="118" spans="1:23">
      <c r="A118" s="66"/>
      <c r="B118" s="66"/>
      <c r="C118" s="66"/>
      <c r="D118" s="66"/>
      <c r="E118" s="66"/>
      <c r="F118" s="66"/>
      <c r="G118" s="66"/>
      <c r="H118" s="66"/>
      <c r="I118" s="66"/>
      <c r="J118" s="66"/>
      <c r="K118" s="66"/>
      <c r="L118" s="66"/>
      <c r="M118" s="66"/>
      <c r="N118" s="66"/>
      <c r="O118" s="66"/>
      <c r="P118" s="66"/>
      <c r="Q118" s="66"/>
      <c r="R118" s="66"/>
      <c r="S118" s="66"/>
      <c r="T118" s="66"/>
      <c r="U118" s="66"/>
      <c r="V118" s="66"/>
      <c r="W118" s="66"/>
    </row>
    <row r="119" spans="1:23">
      <c r="A119" s="66"/>
      <c r="B119" s="66"/>
      <c r="C119" s="66"/>
      <c r="D119" s="66"/>
      <c r="E119" s="66"/>
      <c r="F119" s="66"/>
      <c r="G119" s="66"/>
      <c r="H119" s="66"/>
      <c r="I119" s="66"/>
      <c r="J119" s="66"/>
      <c r="K119" s="66"/>
      <c r="L119" s="66"/>
      <c r="M119" s="66"/>
      <c r="N119" s="66"/>
      <c r="O119" s="66"/>
      <c r="P119" s="66"/>
      <c r="Q119" s="66"/>
      <c r="R119" s="66"/>
      <c r="S119" s="66"/>
      <c r="T119" s="66"/>
      <c r="U119" s="66"/>
      <c r="V119" s="66"/>
      <c r="W119" s="66"/>
    </row>
    <row r="120" spans="1:23">
      <c r="A120" s="66"/>
      <c r="B120" s="66"/>
      <c r="C120" s="66"/>
      <c r="D120" s="66"/>
      <c r="E120" s="66"/>
      <c r="F120" s="66"/>
      <c r="G120" s="66"/>
      <c r="H120" s="66"/>
      <c r="I120" s="66"/>
      <c r="J120" s="66"/>
      <c r="K120" s="66"/>
      <c r="L120" s="66"/>
      <c r="M120" s="66"/>
      <c r="N120" s="66"/>
      <c r="O120" s="66"/>
      <c r="P120" s="66"/>
      <c r="Q120" s="66"/>
      <c r="R120" s="66"/>
      <c r="S120" s="66"/>
      <c r="T120" s="66"/>
      <c r="U120" s="66"/>
      <c r="V120" s="66"/>
      <c r="W120" s="66"/>
    </row>
    <row r="121" spans="1:23">
      <c r="A121" s="66"/>
      <c r="B121" s="66"/>
      <c r="C121" s="66"/>
      <c r="D121" s="66"/>
      <c r="E121" s="66"/>
      <c r="F121" s="66"/>
      <c r="G121" s="66"/>
      <c r="H121" s="66"/>
      <c r="I121" s="66"/>
      <c r="J121" s="66"/>
      <c r="K121" s="66"/>
      <c r="L121" s="66"/>
      <c r="M121" s="66"/>
      <c r="N121" s="66"/>
      <c r="O121" s="66"/>
      <c r="P121" s="66"/>
      <c r="Q121" s="66"/>
      <c r="R121" s="66"/>
      <c r="S121" s="66"/>
      <c r="T121" s="66"/>
      <c r="U121" s="66"/>
      <c r="V121" s="66"/>
      <c r="W121" s="66"/>
    </row>
    <row r="122" spans="1:23">
      <c r="A122" s="66"/>
      <c r="B122" s="66"/>
      <c r="C122" s="66"/>
      <c r="D122" s="66"/>
      <c r="E122" s="66"/>
      <c r="F122" s="66"/>
      <c r="G122" s="66"/>
      <c r="H122" s="66"/>
      <c r="I122" s="66"/>
      <c r="J122" s="66"/>
      <c r="K122" s="66"/>
      <c r="L122" s="66"/>
      <c r="M122" s="66"/>
      <c r="N122" s="66"/>
      <c r="O122" s="66"/>
      <c r="P122" s="66"/>
      <c r="Q122" s="66"/>
      <c r="R122" s="66"/>
      <c r="S122" s="66"/>
      <c r="T122" s="66"/>
      <c r="U122" s="66"/>
      <c r="V122" s="66"/>
      <c r="W122" s="66"/>
    </row>
    <row r="123" spans="1:23">
      <c r="A123" s="66"/>
      <c r="B123" s="66"/>
      <c r="C123" s="66"/>
      <c r="D123" s="66"/>
      <c r="E123" s="66"/>
      <c r="F123" s="66"/>
      <c r="G123" s="66"/>
      <c r="H123" s="66"/>
      <c r="I123" s="66"/>
      <c r="J123" s="66"/>
      <c r="K123" s="66"/>
      <c r="L123" s="66"/>
      <c r="M123" s="66"/>
      <c r="N123" s="66"/>
      <c r="O123" s="66"/>
      <c r="P123" s="66"/>
      <c r="Q123" s="66"/>
      <c r="R123" s="66"/>
      <c r="S123" s="66"/>
      <c r="T123" s="66"/>
      <c r="U123" s="66"/>
      <c r="V123" s="66"/>
      <c r="W123" s="66"/>
    </row>
    <row r="124" spans="1:23">
      <c r="A124" s="66"/>
      <c r="B124" s="66"/>
      <c r="C124" s="66"/>
      <c r="D124" s="66"/>
      <c r="E124" s="66"/>
      <c r="F124" s="66"/>
      <c r="G124" s="66"/>
      <c r="H124" s="66"/>
      <c r="I124" s="66"/>
      <c r="J124" s="66"/>
      <c r="K124" s="66"/>
      <c r="L124" s="66"/>
      <c r="M124" s="66"/>
      <c r="N124" s="66"/>
      <c r="O124" s="66"/>
      <c r="P124" s="66"/>
      <c r="Q124" s="66"/>
      <c r="R124" s="66"/>
      <c r="S124" s="66"/>
      <c r="T124" s="66"/>
      <c r="U124" s="66"/>
      <c r="V124" s="66"/>
      <c r="W124" s="66"/>
    </row>
    <row r="125" spans="1:23">
      <c r="A125" s="66"/>
      <c r="B125" s="66"/>
      <c r="C125" s="66"/>
      <c r="D125" s="66"/>
      <c r="E125" s="66"/>
      <c r="F125" s="66"/>
      <c r="G125" s="66"/>
      <c r="H125" s="66"/>
      <c r="I125" s="66"/>
      <c r="J125" s="66"/>
      <c r="K125" s="66"/>
      <c r="L125" s="66"/>
      <c r="M125" s="66"/>
      <c r="N125" s="66"/>
      <c r="O125" s="66"/>
      <c r="P125" s="66"/>
      <c r="Q125" s="66"/>
      <c r="R125" s="66"/>
      <c r="S125" s="66"/>
      <c r="T125" s="66"/>
      <c r="U125" s="66"/>
      <c r="V125" s="66"/>
      <c r="W125" s="66"/>
    </row>
    <row r="126" spans="1:23">
      <c r="A126" s="66"/>
      <c r="B126" s="66"/>
      <c r="C126" s="66"/>
      <c r="D126" s="66"/>
      <c r="E126" s="66"/>
      <c r="F126" s="66"/>
      <c r="G126" s="66"/>
      <c r="H126" s="66"/>
      <c r="I126" s="66"/>
      <c r="J126" s="66"/>
      <c r="K126" s="66"/>
      <c r="L126" s="66"/>
      <c r="M126" s="66"/>
      <c r="N126" s="66"/>
      <c r="O126" s="66"/>
      <c r="P126" s="66"/>
      <c r="Q126" s="66"/>
      <c r="R126" s="66"/>
      <c r="S126" s="66"/>
      <c r="T126" s="66"/>
      <c r="U126" s="66"/>
      <c r="V126" s="66"/>
      <c r="W126" s="66"/>
    </row>
    <row r="127" spans="1:23">
      <c r="A127" s="66"/>
      <c r="B127" s="66"/>
      <c r="C127" s="66"/>
      <c r="D127" s="66"/>
      <c r="E127" s="66"/>
      <c r="F127" s="66"/>
      <c r="G127" s="66"/>
      <c r="H127" s="66"/>
      <c r="I127" s="66"/>
      <c r="J127" s="66"/>
      <c r="K127" s="66"/>
      <c r="L127" s="66"/>
      <c r="M127" s="66"/>
      <c r="N127" s="66"/>
      <c r="O127" s="66"/>
      <c r="P127" s="66"/>
      <c r="Q127" s="66"/>
      <c r="R127" s="66"/>
      <c r="S127" s="66"/>
      <c r="T127" s="66"/>
      <c r="U127" s="66"/>
      <c r="V127" s="66"/>
      <c r="W127" s="66"/>
    </row>
    <row r="128" spans="1:23">
      <c r="A128" s="66"/>
      <c r="B128" s="66"/>
      <c r="C128" s="66"/>
      <c r="D128" s="66"/>
      <c r="E128" s="66"/>
      <c r="F128" s="66"/>
      <c r="G128" s="66"/>
      <c r="H128" s="66"/>
      <c r="I128" s="66"/>
      <c r="J128" s="66"/>
      <c r="K128" s="66"/>
      <c r="L128" s="66"/>
      <c r="M128" s="66"/>
      <c r="N128" s="66"/>
      <c r="O128" s="66"/>
      <c r="P128" s="66"/>
      <c r="Q128" s="66"/>
      <c r="R128" s="66"/>
      <c r="S128" s="66"/>
      <c r="T128" s="66"/>
      <c r="U128" s="66"/>
      <c r="V128" s="66"/>
      <c r="W128" s="66"/>
    </row>
    <row r="129" spans="1:23">
      <c r="A129" s="66"/>
      <c r="B129" s="66"/>
      <c r="C129" s="66"/>
      <c r="D129" s="66"/>
      <c r="E129" s="66"/>
      <c r="F129" s="66"/>
      <c r="G129" s="66"/>
      <c r="H129" s="66"/>
      <c r="I129" s="66"/>
      <c r="J129" s="66"/>
      <c r="K129" s="66"/>
      <c r="L129" s="66"/>
      <c r="M129" s="66"/>
      <c r="N129" s="66"/>
      <c r="O129" s="66"/>
      <c r="P129" s="66"/>
      <c r="Q129" s="66"/>
      <c r="R129" s="66"/>
      <c r="S129" s="66"/>
      <c r="T129" s="66"/>
      <c r="U129" s="66"/>
      <c r="V129" s="66"/>
      <c r="W129" s="66"/>
    </row>
    <row r="130" spans="1:23">
      <c r="A130" s="66"/>
      <c r="B130" s="66"/>
      <c r="C130" s="66"/>
      <c r="D130" s="66"/>
      <c r="E130" s="66"/>
      <c r="F130" s="66"/>
      <c r="G130" s="66"/>
      <c r="H130" s="66"/>
      <c r="I130" s="66"/>
      <c r="J130" s="66"/>
      <c r="K130" s="66"/>
      <c r="L130" s="66"/>
      <c r="M130" s="66"/>
      <c r="N130" s="66"/>
      <c r="O130" s="66"/>
      <c r="P130" s="66"/>
      <c r="Q130" s="66"/>
      <c r="R130" s="66"/>
      <c r="S130" s="66"/>
      <c r="T130" s="66"/>
      <c r="U130" s="66"/>
      <c r="V130" s="66"/>
      <c r="W130" s="66"/>
    </row>
    <row r="131" spans="1:23">
      <c r="A131" s="66"/>
      <c r="B131" s="66"/>
      <c r="C131" s="66"/>
      <c r="D131" s="66"/>
      <c r="E131" s="66"/>
      <c r="F131" s="66"/>
      <c r="G131" s="66"/>
      <c r="H131" s="66"/>
      <c r="I131" s="66"/>
      <c r="J131" s="66"/>
      <c r="K131" s="66"/>
      <c r="L131" s="66"/>
      <c r="M131" s="66"/>
      <c r="N131" s="66"/>
      <c r="O131" s="66"/>
      <c r="P131" s="66"/>
      <c r="Q131" s="66"/>
      <c r="R131" s="66"/>
      <c r="S131" s="66"/>
      <c r="T131" s="66"/>
      <c r="U131" s="66"/>
      <c r="V131" s="66"/>
      <c r="W131" s="66"/>
    </row>
    <row r="132" spans="1:23">
      <c r="A132" s="66"/>
      <c r="B132" s="66"/>
      <c r="C132" s="66"/>
      <c r="D132" s="66"/>
      <c r="E132" s="66"/>
      <c r="F132" s="66"/>
      <c r="G132" s="66"/>
      <c r="H132" s="66"/>
      <c r="I132" s="66"/>
      <c r="J132" s="66"/>
      <c r="K132" s="66"/>
      <c r="L132" s="66"/>
      <c r="M132" s="66"/>
      <c r="N132" s="66"/>
      <c r="O132" s="66"/>
      <c r="P132" s="66"/>
      <c r="Q132" s="66"/>
      <c r="R132" s="66"/>
      <c r="S132" s="66"/>
      <c r="T132" s="66"/>
      <c r="U132" s="66"/>
      <c r="V132" s="66"/>
      <c r="W132" s="66"/>
    </row>
    <row r="133" spans="1:23">
      <c r="A133" s="66"/>
      <c r="B133" s="66"/>
      <c r="C133" s="66"/>
      <c r="D133" s="66"/>
      <c r="E133" s="66"/>
      <c r="F133" s="66"/>
      <c r="G133" s="66"/>
      <c r="H133" s="66"/>
      <c r="I133" s="66"/>
      <c r="J133" s="66"/>
      <c r="K133" s="66"/>
      <c r="L133" s="66"/>
      <c r="M133" s="66"/>
      <c r="N133" s="66"/>
      <c r="O133" s="66"/>
      <c r="P133" s="66"/>
      <c r="Q133" s="66"/>
      <c r="R133" s="66"/>
      <c r="S133" s="66"/>
      <c r="T133" s="66"/>
      <c r="U133" s="66"/>
      <c r="V133" s="66"/>
      <c r="W133" s="66"/>
    </row>
    <row r="134" spans="1:23">
      <c r="A134" s="66"/>
      <c r="B134" s="66"/>
      <c r="C134" s="66"/>
      <c r="D134" s="66"/>
      <c r="E134" s="66"/>
      <c r="F134" s="66"/>
      <c r="G134" s="66"/>
      <c r="H134" s="66"/>
      <c r="I134" s="66"/>
      <c r="J134" s="66"/>
      <c r="K134" s="66"/>
      <c r="L134" s="66"/>
      <c r="M134" s="66"/>
      <c r="N134" s="66"/>
      <c r="O134" s="66"/>
      <c r="P134" s="66"/>
      <c r="Q134" s="66"/>
      <c r="R134" s="66"/>
      <c r="S134" s="66"/>
      <c r="T134" s="66"/>
      <c r="U134" s="66"/>
      <c r="V134" s="66"/>
      <c r="W134" s="66"/>
    </row>
    <row r="135" spans="1:23">
      <c r="A135" s="66"/>
      <c r="B135" s="66"/>
      <c r="C135" s="66"/>
      <c r="D135" s="66"/>
      <c r="E135" s="66"/>
      <c r="F135" s="66"/>
      <c r="G135" s="66"/>
      <c r="H135" s="66"/>
      <c r="I135" s="66"/>
      <c r="J135" s="66"/>
      <c r="K135" s="66"/>
      <c r="L135" s="66"/>
      <c r="M135" s="66"/>
      <c r="N135" s="66"/>
      <c r="O135" s="66"/>
      <c r="P135" s="66"/>
      <c r="Q135" s="66"/>
      <c r="R135" s="66"/>
      <c r="S135" s="66"/>
      <c r="T135" s="66"/>
      <c r="U135" s="66"/>
      <c r="V135" s="66"/>
      <c r="W135" s="66"/>
    </row>
    <row r="136" spans="1:23">
      <c r="A136" s="66"/>
      <c r="B136" s="66"/>
      <c r="C136" s="66"/>
      <c r="D136" s="66"/>
      <c r="E136" s="66"/>
      <c r="F136" s="66"/>
      <c r="G136" s="66"/>
      <c r="H136" s="66"/>
      <c r="I136" s="66"/>
      <c r="J136" s="66"/>
      <c r="K136" s="66"/>
      <c r="L136" s="66"/>
      <c r="M136" s="66"/>
      <c r="N136" s="66"/>
      <c r="O136" s="66"/>
      <c r="P136" s="66"/>
      <c r="Q136" s="66"/>
      <c r="R136" s="66"/>
      <c r="S136" s="66"/>
      <c r="T136" s="66"/>
      <c r="U136" s="66"/>
      <c r="V136" s="66"/>
      <c r="W136" s="66"/>
    </row>
    <row r="137" spans="1:23">
      <c r="A137" s="66"/>
      <c r="B137" s="66"/>
      <c r="C137" s="66"/>
      <c r="D137" s="66"/>
      <c r="E137" s="66"/>
      <c r="F137" s="66"/>
      <c r="G137" s="66"/>
      <c r="H137" s="66"/>
      <c r="I137" s="66"/>
      <c r="J137" s="66"/>
      <c r="K137" s="66"/>
      <c r="L137" s="66"/>
      <c r="M137" s="66"/>
      <c r="N137" s="66"/>
      <c r="O137" s="66"/>
      <c r="P137" s="66"/>
      <c r="Q137" s="66"/>
      <c r="R137" s="66"/>
      <c r="S137" s="66"/>
      <c r="T137" s="66"/>
      <c r="U137" s="66"/>
      <c r="V137" s="66"/>
      <c r="W137" s="66"/>
    </row>
    <row r="138" spans="1:23">
      <c r="A138" s="66"/>
      <c r="B138" s="66"/>
      <c r="C138" s="66"/>
      <c r="D138" s="66"/>
      <c r="E138" s="66"/>
      <c r="F138" s="66"/>
      <c r="G138" s="66"/>
      <c r="H138" s="66"/>
      <c r="I138" s="66"/>
      <c r="J138" s="66"/>
      <c r="K138" s="66"/>
      <c r="L138" s="66"/>
      <c r="M138" s="66"/>
      <c r="N138" s="66"/>
      <c r="O138" s="66"/>
      <c r="P138" s="66"/>
      <c r="Q138" s="66"/>
      <c r="R138" s="66"/>
      <c r="S138" s="66"/>
      <c r="T138" s="66"/>
      <c r="U138" s="66"/>
      <c r="V138" s="66"/>
      <c r="W138" s="66"/>
    </row>
    <row r="139" spans="1:23">
      <c r="A139" s="66"/>
      <c r="B139" s="66"/>
      <c r="C139" s="66"/>
      <c r="D139" s="66"/>
      <c r="E139" s="66"/>
      <c r="F139" s="66"/>
      <c r="G139" s="66"/>
      <c r="H139" s="66"/>
      <c r="I139" s="66"/>
      <c r="J139" s="66"/>
      <c r="K139" s="66"/>
      <c r="L139" s="66"/>
      <c r="M139" s="66"/>
      <c r="N139" s="66"/>
      <c r="O139" s="66"/>
      <c r="P139" s="66"/>
      <c r="Q139" s="66"/>
      <c r="R139" s="66"/>
      <c r="S139" s="66"/>
      <c r="T139" s="66"/>
      <c r="U139" s="66"/>
      <c r="V139" s="66"/>
      <c r="W139" s="66"/>
    </row>
    <row r="140" spans="1:23">
      <c r="A140" s="66"/>
      <c r="B140" s="66"/>
      <c r="C140" s="66"/>
      <c r="D140" s="66"/>
      <c r="E140" s="66"/>
      <c r="F140" s="66"/>
      <c r="G140" s="66"/>
      <c r="H140" s="66"/>
      <c r="I140" s="66"/>
      <c r="J140" s="66"/>
      <c r="K140" s="66"/>
      <c r="L140" s="66"/>
      <c r="M140" s="66"/>
      <c r="N140" s="66"/>
      <c r="O140" s="66"/>
      <c r="P140" s="66"/>
      <c r="Q140" s="66"/>
      <c r="R140" s="66"/>
      <c r="S140" s="66"/>
      <c r="T140" s="66"/>
      <c r="U140" s="66"/>
      <c r="V140" s="66"/>
      <c r="W140" s="66"/>
    </row>
    <row r="141" spans="1:23">
      <c r="A141" s="66"/>
      <c r="B141" s="66"/>
      <c r="C141" s="66"/>
      <c r="D141" s="66"/>
      <c r="E141" s="66"/>
      <c r="F141" s="66"/>
      <c r="G141" s="66"/>
      <c r="H141" s="66"/>
      <c r="I141" s="66"/>
      <c r="J141" s="66"/>
      <c r="K141" s="66"/>
      <c r="L141" s="66"/>
      <c r="M141" s="66"/>
      <c r="N141" s="66"/>
      <c r="O141" s="66"/>
      <c r="P141" s="66"/>
      <c r="Q141" s="66"/>
      <c r="R141" s="66"/>
      <c r="S141" s="66"/>
      <c r="T141" s="66"/>
      <c r="U141" s="66"/>
      <c r="V141" s="66"/>
      <c r="W141" s="66"/>
    </row>
    <row r="142" spans="1:23">
      <c r="A142" s="66"/>
      <c r="B142" s="66"/>
      <c r="C142" s="66"/>
      <c r="D142" s="66"/>
      <c r="E142" s="66"/>
      <c r="F142" s="66"/>
      <c r="G142" s="66"/>
      <c r="H142" s="66"/>
      <c r="I142" s="66"/>
      <c r="J142" s="66"/>
      <c r="K142" s="66"/>
      <c r="L142" s="66"/>
      <c r="M142" s="66"/>
      <c r="N142" s="66"/>
      <c r="O142" s="66"/>
      <c r="P142" s="66"/>
      <c r="Q142" s="66"/>
      <c r="R142" s="66"/>
      <c r="S142" s="66"/>
      <c r="T142" s="66"/>
      <c r="U142" s="66"/>
      <c r="V142" s="66"/>
      <c r="W142" s="66"/>
    </row>
    <row r="143" spans="1:23">
      <c r="A143" s="66"/>
      <c r="B143" s="66"/>
      <c r="C143" s="66"/>
      <c r="D143" s="66"/>
      <c r="E143" s="66"/>
      <c r="F143" s="66"/>
      <c r="G143" s="66"/>
      <c r="H143" s="66"/>
      <c r="I143" s="66"/>
      <c r="J143" s="66"/>
      <c r="K143" s="66"/>
      <c r="L143" s="66"/>
      <c r="M143" s="66"/>
      <c r="N143" s="66"/>
      <c r="O143" s="66"/>
      <c r="P143" s="66"/>
      <c r="Q143" s="66"/>
      <c r="R143" s="66"/>
      <c r="S143" s="66"/>
      <c r="T143" s="66"/>
      <c r="U143" s="66"/>
      <c r="V143" s="66"/>
      <c r="W143" s="66"/>
    </row>
    <row r="144" spans="1:23">
      <c r="A144" s="66"/>
      <c r="B144" s="66"/>
      <c r="C144" s="66"/>
      <c r="D144" s="66"/>
      <c r="E144" s="66"/>
      <c r="F144" s="66"/>
      <c r="G144" s="66"/>
      <c r="H144" s="66"/>
      <c r="I144" s="66"/>
      <c r="J144" s="66"/>
      <c r="K144" s="66"/>
      <c r="L144" s="66"/>
      <c r="M144" s="66"/>
      <c r="N144" s="66"/>
      <c r="O144" s="66"/>
      <c r="P144" s="66"/>
      <c r="Q144" s="66"/>
      <c r="R144" s="66"/>
      <c r="S144" s="66"/>
      <c r="T144" s="66"/>
      <c r="U144" s="66"/>
      <c r="V144" s="66"/>
      <c r="W144" s="66"/>
    </row>
    <row r="145" spans="1:23">
      <c r="A145" s="66"/>
      <c r="B145" s="66"/>
      <c r="C145" s="66"/>
      <c r="D145" s="66"/>
      <c r="E145" s="66"/>
      <c r="F145" s="66"/>
      <c r="G145" s="66"/>
      <c r="H145" s="66"/>
      <c r="I145" s="66"/>
      <c r="J145" s="66"/>
      <c r="K145" s="66"/>
      <c r="L145" s="66"/>
      <c r="M145" s="66"/>
      <c r="N145" s="66"/>
      <c r="O145" s="66"/>
      <c r="P145" s="66"/>
      <c r="Q145" s="66"/>
      <c r="R145" s="66"/>
      <c r="S145" s="66"/>
      <c r="T145" s="66"/>
      <c r="U145" s="66"/>
      <c r="V145" s="66"/>
      <c r="W145" s="66"/>
    </row>
    <row r="146" spans="1:23">
      <c r="A146" s="66"/>
      <c r="B146" s="66"/>
      <c r="C146" s="66"/>
      <c r="D146" s="66"/>
      <c r="E146" s="66"/>
      <c r="F146" s="66"/>
      <c r="G146" s="66"/>
      <c r="H146" s="66"/>
      <c r="I146" s="66"/>
      <c r="J146" s="66"/>
      <c r="K146" s="66"/>
      <c r="L146" s="66"/>
      <c r="M146" s="66"/>
      <c r="N146" s="66"/>
      <c r="O146" s="66"/>
      <c r="P146" s="66"/>
      <c r="Q146" s="66"/>
      <c r="R146" s="66"/>
      <c r="S146" s="66"/>
      <c r="T146" s="66"/>
      <c r="U146" s="66"/>
      <c r="V146" s="66"/>
      <c r="W146" s="66"/>
    </row>
    <row r="147" spans="1:23">
      <c r="A147" s="66"/>
      <c r="B147" s="66"/>
      <c r="C147" s="66"/>
      <c r="D147" s="66"/>
      <c r="E147" s="66"/>
      <c r="F147" s="66"/>
      <c r="G147" s="66"/>
      <c r="H147" s="66"/>
      <c r="I147" s="66"/>
      <c r="J147" s="66"/>
      <c r="K147" s="66"/>
      <c r="L147" s="66"/>
      <c r="M147" s="66"/>
      <c r="N147" s="66"/>
      <c r="O147" s="66"/>
      <c r="P147" s="66"/>
      <c r="Q147" s="66"/>
      <c r="R147" s="66"/>
      <c r="S147" s="66"/>
      <c r="T147" s="66"/>
      <c r="U147" s="66"/>
      <c r="V147" s="66"/>
      <c r="W147" s="66"/>
    </row>
    <row r="148" spans="1:23">
      <c r="A148" s="66"/>
      <c r="B148" s="66"/>
      <c r="C148" s="66"/>
      <c r="D148" s="66"/>
      <c r="E148" s="66"/>
      <c r="F148" s="66"/>
      <c r="G148" s="66"/>
      <c r="H148" s="66"/>
      <c r="I148" s="66"/>
      <c r="J148" s="66"/>
      <c r="K148" s="66"/>
      <c r="L148" s="66"/>
      <c r="M148" s="66"/>
      <c r="N148" s="66"/>
      <c r="O148" s="66"/>
      <c r="P148" s="66"/>
      <c r="Q148" s="66"/>
      <c r="R148" s="66"/>
      <c r="S148" s="66"/>
      <c r="T148" s="66"/>
      <c r="U148" s="66"/>
      <c r="V148" s="66"/>
      <c r="W148" s="66"/>
    </row>
    <row r="149" spans="1:23">
      <c r="A149" s="66"/>
      <c r="B149" s="66"/>
      <c r="C149" s="66"/>
      <c r="D149" s="66"/>
      <c r="E149" s="66"/>
      <c r="F149" s="66"/>
      <c r="G149" s="66"/>
      <c r="H149" s="66"/>
      <c r="I149" s="66"/>
      <c r="J149" s="66"/>
      <c r="K149" s="66"/>
      <c r="L149" s="66"/>
      <c r="M149" s="66"/>
      <c r="N149" s="66"/>
      <c r="O149" s="66"/>
      <c r="P149" s="66"/>
      <c r="Q149" s="66"/>
      <c r="R149" s="66"/>
      <c r="S149" s="66"/>
      <c r="T149" s="66"/>
      <c r="U149" s="66"/>
      <c r="V149" s="66"/>
      <c r="W149" s="66"/>
    </row>
    <row r="150" spans="1:23">
      <c r="A150" s="66"/>
      <c r="B150" s="66"/>
      <c r="C150" s="66"/>
      <c r="D150" s="66"/>
      <c r="E150" s="66"/>
      <c r="F150" s="66"/>
      <c r="G150" s="66"/>
      <c r="H150" s="66"/>
      <c r="I150" s="66"/>
      <c r="J150" s="66"/>
      <c r="K150" s="66"/>
      <c r="L150" s="66"/>
      <c r="M150" s="66"/>
      <c r="N150" s="66"/>
      <c r="O150" s="66"/>
      <c r="P150" s="66"/>
      <c r="Q150" s="66"/>
      <c r="R150" s="66"/>
      <c r="S150" s="66"/>
      <c r="T150" s="66"/>
      <c r="U150" s="66"/>
      <c r="V150" s="66"/>
      <c r="W150" s="66"/>
    </row>
    <row r="151" spans="1:23">
      <c r="A151" s="66"/>
      <c r="B151" s="66"/>
      <c r="C151" s="66"/>
      <c r="D151" s="66"/>
      <c r="E151" s="66"/>
      <c r="F151" s="66"/>
      <c r="G151" s="66"/>
      <c r="H151" s="66"/>
      <c r="I151" s="66"/>
      <c r="J151" s="66"/>
      <c r="K151" s="66"/>
      <c r="L151" s="66"/>
      <c r="M151" s="66"/>
      <c r="N151" s="66"/>
      <c r="O151" s="66"/>
      <c r="P151" s="66"/>
      <c r="Q151" s="66"/>
      <c r="R151" s="66"/>
      <c r="S151" s="66"/>
      <c r="T151" s="66"/>
      <c r="U151" s="66"/>
      <c r="V151" s="66"/>
      <c r="W151" s="66"/>
    </row>
    <row r="152" spans="1:23">
      <c r="A152" s="66"/>
      <c r="B152" s="66"/>
      <c r="C152" s="66"/>
      <c r="D152" s="66"/>
      <c r="E152" s="66"/>
      <c r="F152" s="66"/>
      <c r="G152" s="66"/>
      <c r="H152" s="66"/>
      <c r="I152" s="66"/>
      <c r="J152" s="66"/>
      <c r="K152" s="66"/>
      <c r="L152" s="66"/>
      <c r="M152" s="66"/>
      <c r="N152" s="66"/>
      <c r="O152" s="66"/>
      <c r="P152" s="66"/>
      <c r="Q152" s="66"/>
      <c r="R152" s="66"/>
      <c r="S152" s="66"/>
      <c r="T152" s="66"/>
      <c r="U152" s="66"/>
      <c r="V152" s="66"/>
      <c r="W152" s="66"/>
    </row>
    <row r="153" spans="1:23">
      <c r="A153" s="66"/>
      <c r="B153" s="66"/>
      <c r="C153" s="66"/>
      <c r="D153" s="66"/>
      <c r="E153" s="66"/>
      <c r="F153" s="66"/>
      <c r="G153" s="66"/>
      <c r="H153" s="66"/>
      <c r="I153" s="66"/>
      <c r="J153" s="66"/>
      <c r="K153" s="66"/>
      <c r="L153" s="66"/>
      <c r="M153" s="66"/>
      <c r="N153" s="66"/>
      <c r="O153" s="66"/>
      <c r="P153" s="66"/>
      <c r="Q153" s="66"/>
      <c r="R153" s="66"/>
      <c r="S153" s="66"/>
      <c r="T153" s="66"/>
      <c r="U153" s="66"/>
      <c r="V153" s="66"/>
      <c r="W153" s="66"/>
    </row>
    <row r="154" spans="1:23">
      <c r="A154" s="66"/>
      <c r="B154" s="66"/>
      <c r="C154" s="66"/>
      <c r="D154" s="66"/>
      <c r="E154" s="66"/>
      <c r="F154" s="66"/>
      <c r="G154" s="66"/>
      <c r="H154" s="66"/>
      <c r="I154" s="66"/>
      <c r="J154" s="66"/>
      <c r="K154" s="66"/>
      <c r="L154" s="66"/>
      <c r="M154" s="66"/>
      <c r="N154" s="66"/>
      <c r="O154" s="66"/>
      <c r="P154" s="66"/>
      <c r="Q154" s="66"/>
      <c r="R154" s="66"/>
      <c r="S154" s="66"/>
      <c r="T154" s="66"/>
      <c r="U154" s="66"/>
      <c r="V154" s="66"/>
      <c r="W154" s="66"/>
    </row>
    <row r="155" spans="1:23">
      <c r="A155" s="66"/>
      <c r="B155" s="66"/>
      <c r="C155" s="66"/>
      <c r="D155" s="66"/>
      <c r="E155" s="66"/>
      <c r="F155" s="66"/>
      <c r="G155" s="66"/>
      <c r="H155" s="66"/>
      <c r="I155" s="66"/>
      <c r="J155" s="66"/>
      <c r="K155" s="66"/>
      <c r="L155" s="66"/>
      <c r="M155" s="66"/>
      <c r="N155" s="66"/>
      <c r="O155" s="66"/>
      <c r="P155" s="66"/>
      <c r="Q155" s="66"/>
      <c r="R155" s="66"/>
      <c r="S155" s="66"/>
      <c r="T155" s="66"/>
      <c r="U155" s="66"/>
      <c r="V155" s="66"/>
      <c r="W155" s="66"/>
    </row>
    <row r="156" spans="1:23">
      <c r="A156" s="66"/>
      <c r="B156" s="66"/>
      <c r="C156" s="66"/>
      <c r="D156" s="66"/>
      <c r="E156" s="66"/>
      <c r="F156" s="66"/>
      <c r="G156" s="66"/>
      <c r="H156" s="66"/>
      <c r="I156" s="66"/>
      <c r="J156" s="66"/>
      <c r="K156" s="66"/>
      <c r="L156" s="66"/>
      <c r="M156" s="66"/>
      <c r="N156" s="66"/>
      <c r="O156" s="66"/>
      <c r="P156" s="66"/>
      <c r="Q156" s="66"/>
      <c r="R156" s="66"/>
      <c r="S156" s="66"/>
      <c r="T156" s="66"/>
      <c r="U156" s="66"/>
      <c r="V156" s="66"/>
      <c r="W156" s="66"/>
    </row>
    <row r="157" spans="1:23">
      <c r="A157" s="66"/>
      <c r="B157" s="66"/>
      <c r="C157" s="66"/>
      <c r="D157" s="66"/>
      <c r="E157" s="66"/>
      <c r="F157" s="66"/>
      <c r="G157" s="66"/>
      <c r="H157" s="66"/>
      <c r="I157" s="66"/>
      <c r="J157" s="66"/>
      <c r="K157" s="66"/>
      <c r="L157" s="66"/>
      <c r="M157" s="66"/>
      <c r="N157" s="66"/>
      <c r="O157" s="66"/>
      <c r="P157" s="66"/>
      <c r="Q157" s="66"/>
      <c r="R157" s="66"/>
      <c r="S157" s="66"/>
      <c r="T157" s="66"/>
      <c r="U157" s="66"/>
      <c r="V157" s="66"/>
      <c r="W157" s="66"/>
    </row>
    <row r="158" spans="1:23">
      <c r="A158" s="66"/>
      <c r="B158" s="66"/>
      <c r="C158" s="66"/>
      <c r="D158" s="66"/>
      <c r="E158" s="66"/>
      <c r="F158" s="66"/>
      <c r="G158" s="66"/>
      <c r="H158" s="66"/>
      <c r="I158" s="66"/>
      <c r="J158" s="66"/>
      <c r="K158" s="66"/>
      <c r="L158" s="66"/>
      <c r="M158" s="66"/>
      <c r="N158" s="66"/>
      <c r="O158" s="66"/>
      <c r="P158" s="66"/>
      <c r="Q158" s="66"/>
      <c r="R158" s="66"/>
      <c r="S158" s="66"/>
      <c r="T158" s="66"/>
      <c r="U158" s="66"/>
      <c r="V158" s="66"/>
      <c r="W158" s="66"/>
    </row>
    <row r="159" spans="1:23">
      <c r="A159" s="66"/>
      <c r="B159" s="66"/>
      <c r="C159" s="66"/>
      <c r="D159" s="66"/>
      <c r="E159" s="66"/>
      <c r="F159" s="66"/>
      <c r="G159" s="66"/>
      <c r="H159" s="66"/>
      <c r="I159" s="66"/>
      <c r="J159" s="66"/>
      <c r="K159" s="66"/>
      <c r="L159" s="66"/>
      <c r="M159" s="66"/>
      <c r="N159" s="66"/>
      <c r="O159" s="66"/>
      <c r="P159" s="66"/>
      <c r="Q159" s="66"/>
      <c r="R159" s="66"/>
      <c r="S159" s="66"/>
      <c r="T159" s="66"/>
      <c r="U159" s="66"/>
      <c r="V159" s="66"/>
      <c r="W159" s="66"/>
    </row>
    <row r="160" spans="1:23">
      <c r="A160" s="66"/>
      <c r="B160" s="66"/>
      <c r="C160" s="66"/>
      <c r="D160" s="66"/>
      <c r="E160" s="66"/>
      <c r="F160" s="66"/>
      <c r="G160" s="66"/>
      <c r="H160" s="66"/>
      <c r="I160" s="66"/>
      <c r="J160" s="66"/>
      <c r="K160" s="66"/>
      <c r="L160" s="66"/>
      <c r="M160" s="66"/>
      <c r="N160" s="66"/>
      <c r="O160" s="66"/>
      <c r="P160" s="66"/>
      <c r="Q160" s="66"/>
      <c r="R160" s="66"/>
      <c r="S160" s="66"/>
      <c r="T160" s="66"/>
      <c r="U160" s="66"/>
      <c r="V160" s="66"/>
      <c r="W160" s="66"/>
    </row>
    <row r="161" spans="1:23">
      <c r="A161" s="66"/>
      <c r="B161" s="66"/>
      <c r="C161" s="66"/>
      <c r="D161" s="66"/>
      <c r="E161" s="66"/>
      <c r="F161" s="66"/>
      <c r="G161" s="66"/>
      <c r="H161" s="66"/>
      <c r="I161" s="66"/>
      <c r="J161" s="66"/>
      <c r="K161" s="66"/>
      <c r="L161" s="66"/>
      <c r="M161" s="66"/>
      <c r="N161" s="66"/>
      <c r="O161" s="66"/>
      <c r="P161" s="66"/>
      <c r="Q161" s="66"/>
      <c r="R161" s="66"/>
      <c r="S161" s="66"/>
      <c r="T161" s="66"/>
      <c r="U161" s="66"/>
      <c r="V161" s="66"/>
      <c r="W161" s="66"/>
    </row>
    <row r="162" spans="1:23">
      <c r="A162" s="66"/>
      <c r="B162" s="66"/>
      <c r="C162" s="66"/>
      <c r="D162" s="66"/>
      <c r="E162" s="66"/>
      <c r="F162" s="66"/>
      <c r="G162" s="66"/>
      <c r="H162" s="66"/>
      <c r="I162" s="66"/>
      <c r="J162" s="66"/>
      <c r="K162" s="66"/>
      <c r="L162" s="66"/>
      <c r="M162" s="66"/>
      <c r="N162" s="66"/>
      <c r="O162" s="66"/>
      <c r="P162" s="66"/>
      <c r="Q162" s="66"/>
      <c r="R162" s="66"/>
      <c r="S162" s="66"/>
      <c r="T162" s="66"/>
      <c r="U162" s="66"/>
      <c r="V162" s="66"/>
      <c r="W162" s="66"/>
    </row>
    <row r="163" spans="1:23">
      <c r="A163" s="66"/>
      <c r="B163" s="66"/>
      <c r="C163" s="66"/>
      <c r="D163" s="66"/>
      <c r="E163" s="66"/>
      <c r="F163" s="66"/>
      <c r="G163" s="66"/>
      <c r="H163" s="66"/>
      <c r="I163" s="66"/>
      <c r="J163" s="66"/>
      <c r="K163" s="66"/>
      <c r="L163" s="66"/>
      <c r="M163" s="66"/>
      <c r="N163" s="66"/>
      <c r="O163" s="66"/>
      <c r="P163" s="66"/>
      <c r="Q163" s="66"/>
      <c r="R163" s="66"/>
      <c r="S163" s="66"/>
      <c r="T163" s="66"/>
      <c r="U163" s="66"/>
      <c r="V163" s="66"/>
      <c r="W163" s="66"/>
    </row>
    <row r="164" spans="1:23">
      <c r="A164" s="66"/>
      <c r="B164" s="66"/>
      <c r="C164" s="66"/>
      <c r="D164" s="66"/>
      <c r="E164" s="66"/>
      <c r="F164" s="66"/>
      <c r="G164" s="66"/>
      <c r="H164" s="66"/>
      <c r="I164" s="66"/>
      <c r="J164" s="66"/>
      <c r="K164" s="66"/>
      <c r="L164" s="66"/>
      <c r="M164" s="66"/>
      <c r="N164" s="66"/>
      <c r="O164" s="66"/>
      <c r="P164" s="66"/>
      <c r="Q164" s="66"/>
      <c r="R164" s="66"/>
      <c r="S164" s="66"/>
      <c r="T164" s="66"/>
      <c r="U164" s="66"/>
      <c r="V164" s="66"/>
      <c r="W164" s="66"/>
    </row>
    <row r="165" spans="1:23">
      <c r="A165" s="66"/>
      <c r="B165" s="66"/>
      <c r="C165" s="66"/>
      <c r="D165" s="66"/>
      <c r="E165" s="66"/>
      <c r="F165" s="66"/>
      <c r="G165" s="66"/>
      <c r="H165" s="66"/>
      <c r="I165" s="66"/>
      <c r="J165" s="66"/>
      <c r="K165" s="66"/>
      <c r="L165" s="66"/>
      <c r="M165" s="66"/>
      <c r="N165" s="66"/>
      <c r="O165" s="66"/>
      <c r="P165" s="66"/>
      <c r="Q165" s="66"/>
      <c r="R165" s="66"/>
      <c r="S165" s="66"/>
      <c r="T165" s="66"/>
      <c r="U165" s="66"/>
      <c r="V165" s="66"/>
      <c r="W165" s="66"/>
    </row>
    <row r="166" spans="1:23">
      <c r="A166" s="66"/>
      <c r="B166" s="66"/>
      <c r="C166" s="66"/>
      <c r="D166" s="66"/>
      <c r="E166" s="66"/>
      <c r="F166" s="66"/>
      <c r="G166" s="66"/>
      <c r="H166" s="66"/>
      <c r="I166" s="66"/>
      <c r="J166" s="66"/>
      <c r="K166" s="66"/>
      <c r="L166" s="66"/>
      <c r="M166" s="66"/>
      <c r="N166" s="66"/>
      <c r="O166" s="66"/>
      <c r="P166" s="66"/>
      <c r="Q166" s="66"/>
      <c r="R166" s="66"/>
      <c r="S166" s="66"/>
      <c r="T166" s="66"/>
      <c r="U166" s="66"/>
      <c r="V166" s="66"/>
      <c r="W166" s="66"/>
    </row>
    <row r="167" spans="1:23">
      <c r="A167" s="66"/>
      <c r="B167" s="66"/>
      <c r="C167" s="66"/>
      <c r="D167" s="66"/>
      <c r="E167" s="66"/>
      <c r="F167" s="66"/>
      <c r="G167" s="66"/>
      <c r="H167" s="66"/>
      <c r="I167" s="66"/>
      <c r="J167" s="66"/>
      <c r="K167" s="66"/>
      <c r="L167" s="66"/>
      <c r="M167" s="66"/>
      <c r="N167" s="66"/>
      <c r="O167" s="66"/>
      <c r="P167" s="66"/>
      <c r="Q167" s="66"/>
      <c r="R167" s="66"/>
      <c r="S167" s="66"/>
      <c r="T167" s="66"/>
      <c r="U167" s="66"/>
      <c r="V167" s="66"/>
      <c r="W167" s="66"/>
    </row>
    <row r="168" spans="1:23">
      <c r="A168" s="66"/>
      <c r="B168" s="66"/>
      <c r="C168" s="66"/>
      <c r="D168" s="66"/>
      <c r="E168" s="66"/>
      <c r="F168" s="66"/>
      <c r="G168" s="66"/>
      <c r="H168" s="66"/>
      <c r="I168" s="66"/>
      <c r="J168" s="66"/>
      <c r="K168" s="66"/>
      <c r="L168" s="66"/>
      <c r="M168" s="66"/>
      <c r="N168" s="66"/>
      <c r="O168" s="66"/>
      <c r="P168" s="66"/>
      <c r="Q168" s="66"/>
      <c r="R168" s="66"/>
      <c r="S168" s="66"/>
      <c r="T168" s="66"/>
      <c r="U168" s="66"/>
      <c r="V168" s="66"/>
      <c r="W168" s="66"/>
    </row>
    <row r="169" spans="1:23">
      <c r="A169" s="66"/>
      <c r="B169" s="66"/>
      <c r="C169" s="66"/>
      <c r="D169" s="66"/>
      <c r="E169" s="66"/>
      <c r="F169" s="66"/>
      <c r="G169" s="66"/>
      <c r="H169" s="66"/>
      <c r="I169" s="66"/>
      <c r="J169" s="66"/>
      <c r="K169" s="66"/>
      <c r="L169" s="66"/>
      <c r="M169" s="66"/>
      <c r="N169" s="66"/>
      <c r="O169" s="66"/>
      <c r="P169" s="66"/>
      <c r="Q169" s="66"/>
      <c r="R169" s="66"/>
      <c r="S169" s="66"/>
      <c r="T169" s="66"/>
      <c r="U169" s="66"/>
      <c r="V169" s="66"/>
      <c r="W169" s="66"/>
    </row>
    <row r="170" spans="1:23">
      <c r="A170" s="66"/>
      <c r="B170" s="66"/>
      <c r="C170" s="66"/>
      <c r="D170" s="66"/>
      <c r="E170" s="66"/>
      <c r="F170" s="66"/>
      <c r="G170" s="66"/>
      <c r="H170" s="66"/>
      <c r="I170" s="66"/>
      <c r="J170" s="66"/>
      <c r="K170" s="66"/>
      <c r="L170" s="66"/>
      <c r="M170" s="66"/>
      <c r="N170" s="66"/>
      <c r="O170" s="66"/>
      <c r="P170" s="66"/>
      <c r="Q170" s="66"/>
      <c r="R170" s="66"/>
      <c r="S170" s="66"/>
      <c r="T170" s="66"/>
      <c r="U170" s="66"/>
      <c r="V170" s="66"/>
      <c r="W170" s="66"/>
    </row>
    <row r="171" spans="1:23">
      <c r="A171" s="66"/>
      <c r="B171" s="66"/>
      <c r="C171" s="66"/>
      <c r="D171" s="66"/>
      <c r="E171" s="66"/>
      <c r="F171" s="66"/>
      <c r="G171" s="66"/>
      <c r="H171" s="66"/>
      <c r="I171" s="66"/>
      <c r="J171" s="66"/>
      <c r="K171" s="66"/>
      <c r="L171" s="66"/>
      <c r="M171" s="66"/>
      <c r="N171" s="66"/>
      <c r="O171" s="66"/>
      <c r="P171" s="66"/>
      <c r="Q171" s="66"/>
      <c r="R171" s="66"/>
      <c r="S171" s="66"/>
      <c r="T171" s="66"/>
      <c r="U171" s="66"/>
      <c r="V171" s="66"/>
      <c r="W171" s="66"/>
    </row>
    <row r="172" spans="1:23">
      <c r="A172" s="66"/>
      <c r="B172" s="66"/>
      <c r="C172" s="66"/>
      <c r="D172" s="66"/>
      <c r="E172" s="66"/>
      <c r="F172" s="66"/>
      <c r="G172" s="66"/>
      <c r="H172" s="66"/>
      <c r="I172" s="66"/>
      <c r="J172" s="66"/>
      <c r="K172" s="66"/>
      <c r="L172" s="66"/>
      <c r="M172" s="66"/>
      <c r="N172" s="66"/>
      <c r="O172" s="66"/>
      <c r="P172" s="66"/>
      <c r="Q172" s="66"/>
      <c r="R172" s="66"/>
      <c r="S172" s="66"/>
      <c r="T172" s="66"/>
      <c r="U172" s="66"/>
      <c r="V172" s="66"/>
      <c r="W172" s="66"/>
    </row>
    <row r="173" spans="1:23">
      <c r="A173" s="66"/>
      <c r="B173" s="66"/>
      <c r="C173" s="66"/>
      <c r="D173" s="66"/>
      <c r="E173" s="66"/>
      <c r="F173" s="66"/>
      <c r="G173" s="66"/>
      <c r="H173" s="66"/>
      <c r="I173" s="66"/>
      <c r="J173" s="66"/>
      <c r="K173" s="66"/>
      <c r="L173" s="66"/>
      <c r="M173" s="66"/>
      <c r="N173" s="66"/>
      <c r="O173" s="66"/>
      <c r="P173" s="66"/>
      <c r="Q173" s="66"/>
      <c r="R173" s="66"/>
      <c r="S173" s="66"/>
      <c r="T173" s="66"/>
      <c r="U173" s="66"/>
      <c r="V173" s="66"/>
      <c r="W173" s="66"/>
    </row>
    <row r="174" spans="1:23">
      <c r="A174" s="66"/>
      <c r="B174" s="66"/>
      <c r="C174" s="66"/>
      <c r="D174" s="66"/>
      <c r="E174" s="66"/>
      <c r="F174" s="66"/>
      <c r="G174" s="66"/>
      <c r="H174" s="66"/>
      <c r="I174" s="66"/>
      <c r="J174" s="66"/>
      <c r="K174" s="66"/>
      <c r="L174" s="66"/>
      <c r="M174" s="66"/>
      <c r="N174" s="66"/>
      <c r="O174" s="66"/>
      <c r="P174" s="66"/>
      <c r="Q174" s="66"/>
      <c r="R174" s="66"/>
      <c r="S174" s="66"/>
      <c r="T174" s="66"/>
      <c r="U174" s="66"/>
      <c r="V174" s="66"/>
      <c r="W174" s="66"/>
    </row>
    <row r="175" spans="1:23">
      <c r="A175" s="66"/>
      <c r="B175" s="66"/>
      <c r="C175" s="66"/>
      <c r="D175" s="66"/>
      <c r="E175" s="66"/>
      <c r="F175" s="66"/>
      <c r="G175" s="66"/>
      <c r="H175" s="66"/>
      <c r="I175" s="66"/>
      <c r="J175" s="66"/>
      <c r="K175" s="66"/>
      <c r="L175" s="66"/>
      <c r="M175" s="66"/>
      <c r="N175" s="66"/>
      <c r="O175" s="66"/>
      <c r="P175" s="66"/>
      <c r="Q175" s="66"/>
      <c r="R175" s="66"/>
      <c r="S175" s="66"/>
      <c r="T175" s="66"/>
      <c r="U175" s="66"/>
      <c r="V175" s="66"/>
      <c r="W175" s="66"/>
    </row>
    <row r="176" spans="1:23">
      <c r="A176" s="66"/>
      <c r="B176" s="66"/>
      <c r="C176" s="66"/>
      <c r="D176" s="66"/>
      <c r="E176" s="66"/>
      <c r="F176" s="66"/>
      <c r="G176" s="66"/>
      <c r="H176" s="66"/>
      <c r="I176" s="66"/>
      <c r="J176" s="66"/>
      <c r="K176" s="66"/>
      <c r="L176" s="66"/>
      <c r="M176" s="66"/>
      <c r="N176" s="66"/>
      <c r="O176" s="66"/>
      <c r="P176" s="66"/>
      <c r="Q176" s="66"/>
      <c r="R176" s="66"/>
      <c r="S176" s="66"/>
      <c r="T176" s="66"/>
      <c r="U176" s="66"/>
      <c r="V176" s="66"/>
      <c r="W176" s="66"/>
    </row>
    <row r="177" spans="1:23">
      <c r="A177" s="66"/>
      <c r="B177" s="66"/>
      <c r="C177" s="66"/>
      <c r="D177" s="66"/>
      <c r="E177" s="66"/>
      <c r="F177" s="66"/>
      <c r="G177" s="66"/>
      <c r="H177" s="66"/>
      <c r="I177" s="66"/>
      <c r="J177" s="66"/>
      <c r="K177" s="66"/>
      <c r="L177" s="66"/>
      <c r="M177" s="66"/>
      <c r="N177" s="66"/>
      <c r="O177" s="66"/>
      <c r="P177" s="66"/>
      <c r="Q177" s="66"/>
      <c r="R177" s="66"/>
      <c r="S177" s="66"/>
      <c r="T177" s="66"/>
      <c r="U177" s="66"/>
      <c r="V177" s="66"/>
      <c r="W177" s="66"/>
    </row>
    <row r="178" spans="1:23">
      <c r="A178" s="66"/>
      <c r="B178" s="66"/>
      <c r="C178" s="66"/>
      <c r="D178" s="66"/>
      <c r="E178" s="66"/>
      <c r="F178" s="66"/>
      <c r="G178" s="66"/>
      <c r="H178" s="66"/>
      <c r="I178" s="66"/>
      <c r="J178" s="66"/>
      <c r="K178" s="66"/>
      <c r="L178" s="66"/>
      <c r="M178" s="66"/>
      <c r="N178" s="66"/>
      <c r="O178" s="66"/>
      <c r="P178" s="66"/>
      <c r="Q178" s="66"/>
      <c r="R178" s="66"/>
      <c r="S178" s="66"/>
      <c r="T178" s="66"/>
      <c r="U178" s="66"/>
      <c r="V178" s="66"/>
      <c r="W178" s="66"/>
    </row>
    <row r="179" spans="1:23">
      <c r="A179" s="66"/>
      <c r="B179" s="66"/>
      <c r="C179" s="66"/>
      <c r="D179" s="66"/>
      <c r="E179" s="66"/>
      <c r="F179" s="66"/>
      <c r="G179" s="66"/>
      <c r="H179" s="66"/>
      <c r="I179" s="66"/>
      <c r="J179" s="66"/>
      <c r="K179" s="66"/>
      <c r="L179" s="66"/>
      <c r="M179" s="66"/>
      <c r="N179" s="66"/>
      <c r="O179" s="66"/>
      <c r="P179" s="66"/>
      <c r="Q179" s="66"/>
      <c r="R179" s="66"/>
      <c r="S179" s="66"/>
      <c r="T179" s="66"/>
      <c r="U179" s="66"/>
      <c r="V179" s="66"/>
      <c r="W179" s="66"/>
    </row>
    <row r="180" spans="1:23">
      <c r="A180" s="66"/>
      <c r="B180" s="66"/>
      <c r="C180" s="66"/>
      <c r="D180" s="66"/>
      <c r="E180" s="66"/>
      <c r="F180" s="66"/>
      <c r="G180" s="66"/>
      <c r="H180" s="66"/>
      <c r="I180" s="66"/>
      <c r="J180" s="66"/>
      <c r="K180" s="66"/>
      <c r="L180" s="66"/>
      <c r="M180" s="66"/>
      <c r="N180" s="66"/>
      <c r="O180" s="66"/>
      <c r="P180" s="66"/>
      <c r="Q180" s="66"/>
      <c r="R180" s="66"/>
      <c r="S180" s="66"/>
      <c r="T180" s="66"/>
      <c r="U180" s="66"/>
      <c r="V180" s="66"/>
      <c r="W180" s="66"/>
    </row>
    <row r="181" spans="1:23">
      <c r="A181" s="66"/>
      <c r="B181" s="66"/>
      <c r="C181" s="66"/>
      <c r="D181" s="66"/>
      <c r="E181" s="66"/>
      <c r="F181" s="66"/>
      <c r="G181" s="66"/>
      <c r="H181" s="66"/>
      <c r="I181" s="66"/>
      <c r="J181" s="66"/>
      <c r="K181" s="66"/>
      <c r="L181" s="66"/>
      <c r="M181" s="66"/>
      <c r="N181" s="66"/>
      <c r="O181" s="66"/>
      <c r="P181" s="66"/>
      <c r="Q181" s="66"/>
      <c r="R181" s="66"/>
      <c r="S181" s="66"/>
      <c r="T181" s="66"/>
      <c r="U181" s="66"/>
      <c r="V181" s="66"/>
      <c r="W181" s="66"/>
    </row>
    <row r="182" spans="1:23">
      <c r="A182" s="66"/>
      <c r="B182" s="66"/>
      <c r="C182" s="66"/>
      <c r="D182" s="66"/>
      <c r="E182" s="66"/>
      <c r="F182" s="66"/>
      <c r="G182" s="66"/>
      <c r="H182" s="66"/>
      <c r="I182" s="66"/>
      <c r="J182" s="66"/>
      <c r="K182" s="66"/>
      <c r="L182" s="66"/>
      <c r="M182" s="66"/>
      <c r="N182" s="66"/>
      <c r="O182" s="66"/>
      <c r="P182" s="66"/>
      <c r="Q182" s="66"/>
      <c r="R182" s="66"/>
      <c r="S182" s="66"/>
      <c r="T182" s="66"/>
      <c r="U182" s="66"/>
      <c r="V182" s="66"/>
      <c r="W182" s="66"/>
    </row>
    <row r="183" spans="1:23">
      <c r="A183" s="66"/>
      <c r="B183" s="66"/>
      <c r="C183" s="66"/>
      <c r="D183" s="66"/>
      <c r="E183" s="66"/>
      <c r="F183" s="66"/>
      <c r="G183" s="66"/>
      <c r="H183" s="66"/>
      <c r="I183" s="66"/>
      <c r="J183" s="66"/>
      <c r="K183" s="66"/>
      <c r="L183" s="66"/>
      <c r="M183" s="66"/>
      <c r="N183" s="66"/>
      <c r="O183" s="66"/>
      <c r="P183" s="66"/>
      <c r="Q183" s="66"/>
      <c r="R183" s="66"/>
      <c r="S183" s="66"/>
      <c r="T183" s="66"/>
      <c r="U183" s="66"/>
      <c r="V183" s="66"/>
      <c r="W183" s="66"/>
    </row>
    <row r="184" spans="1:23">
      <c r="A184" s="66"/>
      <c r="B184" s="66"/>
      <c r="C184" s="66"/>
      <c r="D184" s="66"/>
      <c r="E184" s="66"/>
      <c r="F184" s="66"/>
      <c r="G184" s="66"/>
      <c r="H184" s="66"/>
      <c r="I184" s="66"/>
      <c r="J184" s="66"/>
      <c r="K184" s="66"/>
      <c r="L184" s="66"/>
      <c r="M184" s="66"/>
      <c r="N184" s="66"/>
      <c r="O184" s="66"/>
      <c r="P184" s="66"/>
      <c r="Q184" s="66"/>
      <c r="R184" s="66"/>
      <c r="S184" s="66"/>
      <c r="T184" s="66"/>
      <c r="U184" s="66"/>
      <c r="V184" s="66"/>
      <c r="W184" s="66"/>
    </row>
    <row r="185" spans="1:23">
      <c r="A185" s="66"/>
      <c r="B185" s="66"/>
      <c r="C185" s="66"/>
      <c r="D185" s="66"/>
      <c r="E185" s="66"/>
      <c r="F185" s="66"/>
      <c r="G185" s="66"/>
      <c r="H185" s="66"/>
      <c r="I185" s="66"/>
      <c r="J185" s="66"/>
      <c r="K185" s="66"/>
      <c r="L185" s="66"/>
      <c r="M185" s="66"/>
      <c r="N185" s="66"/>
      <c r="O185" s="66"/>
      <c r="P185" s="66"/>
      <c r="Q185" s="66"/>
      <c r="R185" s="66"/>
      <c r="S185" s="66"/>
      <c r="T185" s="66"/>
      <c r="U185" s="66"/>
      <c r="V185" s="66"/>
      <c r="W185" s="66"/>
    </row>
    <row r="186" spans="1:23">
      <c r="A186" s="66"/>
      <c r="B186" s="66"/>
      <c r="C186" s="66"/>
      <c r="D186" s="66"/>
      <c r="E186" s="66"/>
      <c r="F186" s="66"/>
      <c r="G186" s="66"/>
      <c r="H186" s="66"/>
      <c r="I186" s="66"/>
      <c r="J186" s="66"/>
      <c r="K186" s="66"/>
      <c r="L186" s="66"/>
      <c r="M186" s="66"/>
      <c r="N186" s="66"/>
      <c r="O186" s="66"/>
      <c r="P186" s="66"/>
      <c r="Q186" s="66"/>
      <c r="R186" s="66"/>
      <c r="S186" s="66"/>
      <c r="T186" s="66"/>
      <c r="U186" s="66"/>
      <c r="V186" s="66"/>
      <c r="W186" s="66"/>
    </row>
    <row r="187" spans="1:23">
      <c r="A187" s="66"/>
      <c r="B187" s="66"/>
      <c r="C187" s="66"/>
      <c r="D187" s="66"/>
      <c r="E187" s="66"/>
      <c r="F187" s="66"/>
      <c r="G187" s="66"/>
      <c r="H187" s="66"/>
      <c r="I187" s="66"/>
      <c r="J187" s="66"/>
      <c r="K187" s="66"/>
      <c r="L187" s="66"/>
      <c r="M187" s="66"/>
      <c r="N187" s="66"/>
      <c r="O187" s="66"/>
      <c r="P187" s="66"/>
      <c r="Q187" s="66"/>
      <c r="R187" s="66"/>
      <c r="S187" s="66"/>
      <c r="T187" s="66"/>
      <c r="U187" s="66"/>
      <c r="V187" s="66"/>
      <c r="W187" s="66"/>
    </row>
    <row r="188" spans="1:23">
      <c r="A188" s="66"/>
      <c r="B188" s="66"/>
      <c r="C188" s="66"/>
      <c r="D188" s="66"/>
      <c r="E188" s="66"/>
      <c r="F188" s="66"/>
      <c r="G188" s="66"/>
      <c r="H188" s="66"/>
      <c r="I188" s="66"/>
      <c r="J188" s="66"/>
      <c r="K188" s="66"/>
      <c r="L188" s="66"/>
      <c r="M188" s="66"/>
      <c r="N188" s="66"/>
      <c r="O188" s="66"/>
      <c r="P188" s="66"/>
      <c r="Q188" s="66"/>
      <c r="R188" s="66"/>
      <c r="S188" s="66"/>
      <c r="T188" s="66"/>
      <c r="U188" s="66"/>
      <c r="V188" s="66"/>
      <c r="W188" s="66"/>
    </row>
    <row r="189" spans="1:23">
      <c r="A189" s="66"/>
      <c r="B189" s="66"/>
      <c r="C189" s="66"/>
      <c r="D189" s="66"/>
      <c r="E189" s="66"/>
      <c r="F189" s="66"/>
      <c r="G189" s="66"/>
      <c r="H189" s="66"/>
      <c r="I189" s="66"/>
      <c r="J189" s="66"/>
      <c r="K189" s="66"/>
      <c r="L189" s="66"/>
      <c r="M189" s="66"/>
      <c r="N189" s="66"/>
      <c r="O189" s="66"/>
      <c r="P189" s="66"/>
      <c r="Q189" s="66"/>
      <c r="R189" s="66"/>
      <c r="S189" s="66"/>
      <c r="T189" s="66"/>
      <c r="U189" s="66"/>
      <c r="V189" s="66"/>
      <c r="W189" s="66"/>
    </row>
    <row r="190" spans="1:23">
      <c r="A190" s="66"/>
      <c r="B190" s="66"/>
      <c r="C190" s="66"/>
      <c r="D190" s="66"/>
      <c r="E190" s="66"/>
      <c r="F190" s="66"/>
      <c r="G190" s="66"/>
      <c r="H190" s="66"/>
      <c r="I190" s="66"/>
      <c r="J190" s="66"/>
      <c r="K190" s="66"/>
      <c r="L190" s="66"/>
      <c r="M190" s="66"/>
      <c r="N190" s="66"/>
      <c r="O190" s="66"/>
      <c r="P190" s="66"/>
      <c r="Q190" s="66"/>
      <c r="R190" s="66"/>
      <c r="S190" s="66"/>
      <c r="T190" s="66"/>
      <c r="U190" s="66"/>
      <c r="V190" s="66"/>
      <c r="W190" s="66"/>
    </row>
    <row r="191" spans="1:23">
      <c r="A191" s="66"/>
      <c r="B191" s="66"/>
      <c r="C191" s="66"/>
      <c r="D191" s="66"/>
      <c r="E191" s="66"/>
      <c r="F191" s="66"/>
      <c r="G191" s="66"/>
      <c r="H191" s="66"/>
      <c r="I191" s="66"/>
      <c r="J191" s="66"/>
      <c r="K191" s="66"/>
      <c r="L191" s="66"/>
      <c r="M191" s="66"/>
      <c r="N191" s="66"/>
      <c r="O191" s="66"/>
      <c r="P191" s="66"/>
      <c r="Q191" s="66"/>
      <c r="R191" s="66"/>
      <c r="S191" s="66"/>
      <c r="T191" s="66"/>
      <c r="U191" s="66"/>
      <c r="V191" s="66"/>
      <c r="W191" s="66"/>
    </row>
    <row r="192" spans="1:23">
      <c r="A192" s="66"/>
      <c r="B192" s="66"/>
      <c r="C192" s="66"/>
      <c r="D192" s="66"/>
      <c r="E192" s="66"/>
      <c r="F192" s="66"/>
      <c r="G192" s="66"/>
      <c r="H192" s="66"/>
      <c r="I192" s="66"/>
      <c r="J192" s="66"/>
      <c r="K192" s="66"/>
      <c r="L192" s="66"/>
      <c r="M192" s="66"/>
      <c r="N192" s="66"/>
      <c r="O192" s="66"/>
      <c r="P192" s="66"/>
      <c r="Q192" s="66"/>
      <c r="R192" s="66"/>
      <c r="S192" s="66"/>
      <c r="T192" s="66"/>
      <c r="U192" s="66"/>
      <c r="V192" s="66"/>
      <c r="W192" s="66"/>
    </row>
    <row r="193" spans="1:23">
      <c r="A193" s="66"/>
      <c r="B193" s="66"/>
      <c r="C193" s="66"/>
      <c r="D193" s="66"/>
      <c r="E193" s="66"/>
      <c r="F193" s="66"/>
      <c r="G193" s="66"/>
      <c r="H193" s="66"/>
      <c r="I193" s="66"/>
      <c r="J193" s="66"/>
      <c r="K193" s="66"/>
      <c r="L193" s="66"/>
      <c r="M193" s="66"/>
      <c r="N193" s="66"/>
      <c r="O193" s="66"/>
      <c r="P193" s="66"/>
      <c r="Q193" s="66"/>
      <c r="R193" s="66"/>
      <c r="S193" s="66"/>
      <c r="T193" s="66"/>
      <c r="U193" s="66"/>
      <c r="V193" s="66"/>
      <c r="W193" s="66"/>
    </row>
    <row r="194" spans="1:23">
      <c r="A194" s="66"/>
      <c r="B194" s="66"/>
      <c r="C194" s="66"/>
      <c r="D194" s="66"/>
      <c r="E194" s="66"/>
      <c r="F194" s="66"/>
      <c r="G194" s="66"/>
      <c r="H194" s="66"/>
      <c r="I194" s="66"/>
      <c r="J194" s="66"/>
      <c r="K194" s="66"/>
      <c r="L194" s="66"/>
      <c r="M194" s="66"/>
      <c r="N194" s="66"/>
      <c r="O194" s="66"/>
      <c r="P194" s="66"/>
      <c r="Q194" s="66"/>
      <c r="R194" s="66"/>
      <c r="S194" s="66"/>
      <c r="T194" s="66"/>
      <c r="U194" s="66"/>
      <c r="V194" s="66"/>
      <c r="W194" s="66"/>
    </row>
    <row r="195" spans="1:23">
      <c r="A195" s="66"/>
      <c r="B195" s="66"/>
      <c r="C195" s="66"/>
      <c r="D195" s="66"/>
      <c r="E195" s="66"/>
      <c r="F195" s="66"/>
      <c r="G195" s="66"/>
      <c r="H195" s="66"/>
      <c r="I195" s="66"/>
      <c r="J195" s="66"/>
      <c r="K195" s="66"/>
      <c r="L195" s="66"/>
      <c r="M195" s="66"/>
      <c r="N195" s="66"/>
      <c r="O195" s="66"/>
      <c r="P195" s="66"/>
      <c r="Q195" s="66"/>
      <c r="R195" s="66"/>
      <c r="S195" s="66"/>
      <c r="T195" s="66"/>
      <c r="U195" s="66"/>
      <c r="V195" s="66"/>
      <c r="W195" s="66"/>
    </row>
    <row r="196" spans="1:23">
      <c r="A196" s="66"/>
      <c r="B196" s="66"/>
      <c r="C196" s="66"/>
      <c r="D196" s="66"/>
      <c r="E196" s="66"/>
      <c r="F196" s="66"/>
      <c r="G196" s="66"/>
      <c r="H196" s="66"/>
      <c r="I196" s="66"/>
      <c r="J196" s="66"/>
      <c r="K196" s="66"/>
      <c r="L196" s="66"/>
      <c r="M196" s="66"/>
      <c r="N196" s="66"/>
      <c r="O196" s="66"/>
      <c r="P196" s="66"/>
      <c r="Q196" s="66"/>
      <c r="R196" s="66"/>
      <c r="S196" s="66"/>
      <c r="T196" s="66"/>
      <c r="U196" s="66"/>
      <c r="V196" s="66"/>
      <c r="W196" s="66"/>
    </row>
    <row r="197" spans="1:23">
      <c r="A197" s="66"/>
      <c r="B197" s="66"/>
      <c r="C197" s="66"/>
      <c r="D197" s="66"/>
      <c r="E197" s="66"/>
      <c r="F197" s="66"/>
      <c r="G197" s="66"/>
      <c r="H197" s="66"/>
      <c r="I197" s="66"/>
      <c r="J197" s="66"/>
      <c r="K197" s="66"/>
      <c r="L197" s="66"/>
      <c r="M197" s="66"/>
      <c r="N197" s="66"/>
      <c r="O197" s="66"/>
      <c r="P197" s="66"/>
      <c r="Q197" s="66"/>
      <c r="R197" s="66"/>
      <c r="S197" s="66"/>
      <c r="T197" s="66"/>
      <c r="U197" s="66"/>
      <c r="V197" s="66"/>
      <c r="W197" s="66"/>
    </row>
    <row r="198" spans="1:23">
      <c r="A198" s="66"/>
      <c r="B198" s="66"/>
      <c r="C198" s="66"/>
      <c r="D198" s="66"/>
      <c r="E198" s="66"/>
      <c r="F198" s="66"/>
      <c r="G198" s="66"/>
      <c r="H198" s="66"/>
      <c r="I198" s="66"/>
      <c r="J198" s="66"/>
      <c r="K198" s="66"/>
      <c r="L198" s="66"/>
      <c r="M198" s="66"/>
      <c r="N198" s="66"/>
      <c r="O198" s="66"/>
      <c r="P198" s="66"/>
      <c r="Q198" s="66"/>
      <c r="R198" s="66"/>
      <c r="S198" s="66"/>
      <c r="T198" s="66"/>
      <c r="U198" s="66"/>
      <c r="V198" s="66"/>
      <c r="W198" s="66"/>
    </row>
    <row r="199" spans="1:23">
      <c r="A199" s="66"/>
      <c r="B199" s="66"/>
      <c r="C199" s="66"/>
      <c r="D199" s="66"/>
      <c r="E199" s="66"/>
      <c r="F199" s="66"/>
      <c r="G199" s="66"/>
      <c r="H199" s="66"/>
      <c r="I199" s="66"/>
      <c r="J199" s="66"/>
      <c r="K199" s="66"/>
      <c r="L199" s="66"/>
      <c r="M199" s="66"/>
      <c r="N199" s="66"/>
      <c r="O199" s="66"/>
      <c r="P199" s="66"/>
      <c r="Q199" s="66"/>
      <c r="R199" s="66"/>
      <c r="S199" s="66"/>
      <c r="T199" s="66"/>
      <c r="U199" s="66"/>
      <c r="V199" s="66"/>
      <c r="W199" s="66"/>
    </row>
    <row r="200" spans="1:23">
      <c r="A200" s="66"/>
      <c r="B200" s="66"/>
      <c r="C200" s="66"/>
      <c r="D200" s="66"/>
      <c r="E200" s="66"/>
      <c r="F200" s="66"/>
      <c r="G200" s="66"/>
      <c r="H200" s="66"/>
      <c r="I200" s="66"/>
      <c r="J200" s="66"/>
      <c r="K200" s="66"/>
      <c r="L200" s="66"/>
      <c r="M200" s="66"/>
      <c r="N200" s="66"/>
      <c r="O200" s="66"/>
      <c r="P200" s="66"/>
      <c r="Q200" s="66"/>
      <c r="R200" s="66"/>
      <c r="S200" s="66"/>
      <c r="T200" s="66"/>
      <c r="U200" s="66"/>
      <c r="V200" s="66"/>
      <c r="W200" s="66"/>
    </row>
    <row r="201" spans="1:23">
      <c r="A201" s="66"/>
      <c r="B201" s="66"/>
      <c r="C201" s="66"/>
      <c r="D201" s="66"/>
      <c r="E201" s="66"/>
      <c r="F201" s="66"/>
      <c r="G201" s="66"/>
      <c r="H201" s="66"/>
      <c r="I201" s="66"/>
      <c r="J201" s="66"/>
      <c r="K201" s="66"/>
      <c r="L201" s="66"/>
      <c r="M201" s="66"/>
      <c r="N201" s="66"/>
      <c r="O201" s="66"/>
      <c r="P201" s="66"/>
      <c r="Q201" s="66"/>
      <c r="R201" s="66"/>
      <c r="S201" s="66"/>
      <c r="T201" s="66"/>
      <c r="U201" s="66"/>
      <c r="V201" s="66"/>
      <c r="W201" s="66"/>
    </row>
    <row r="202" spans="1:23">
      <c r="A202" s="66"/>
      <c r="B202" s="66"/>
      <c r="C202" s="66"/>
      <c r="D202" s="66"/>
      <c r="E202" s="66"/>
      <c r="F202" s="66"/>
      <c r="G202" s="66"/>
      <c r="H202" s="66"/>
      <c r="I202" s="66"/>
      <c r="J202" s="66"/>
      <c r="K202" s="66"/>
      <c r="L202" s="66"/>
      <c r="M202" s="66"/>
      <c r="N202" s="66"/>
      <c r="O202" s="66"/>
      <c r="P202" s="66"/>
      <c r="Q202" s="66"/>
      <c r="R202" s="66"/>
      <c r="S202" s="66"/>
      <c r="T202" s="66"/>
      <c r="U202" s="66"/>
      <c r="V202" s="66"/>
      <c r="W202" s="66"/>
    </row>
    <row r="203" spans="1:23">
      <c r="A203" s="66"/>
      <c r="B203" s="66"/>
      <c r="C203" s="66"/>
      <c r="D203" s="66"/>
      <c r="E203" s="66"/>
      <c r="F203" s="66"/>
      <c r="G203" s="66"/>
      <c r="H203" s="66"/>
      <c r="I203" s="66"/>
      <c r="J203" s="66"/>
      <c r="K203" s="66"/>
      <c r="L203" s="66"/>
      <c r="M203" s="66"/>
      <c r="N203" s="66"/>
      <c r="O203" s="66"/>
      <c r="P203" s="66"/>
      <c r="Q203" s="66"/>
      <c r="R203" s="66"/>
      <c r="S203" s="66"/>
      <c r="T203" s="66"/>
      <c r="U203" s="66"/>
      <c r="V203" s="66"/>
      <c r="W203" s="66"/>
    </row>
    <row r="204" spans="1:23">
      <c r="A204" s="66"/>
      <c r="B204" s="66"/>
      <c r="C204" s="66"/>
      <c r="D204" s="66"/>
      <c r="E204" s="66"/>
      <c r="F204" s="66"/>
      <c r="G204" s="66"/>
      <c r="H204" s="66"/>
      <c r="I204" s="66"/>
      <c r="J204" s="66"/>
      <c r="K204" s="66"/>
      <c r="L204" s="66"/>
      <c r="M204" s="66"/>
      <c r="N204" s="66"/>
      <c r="O204" s="66"/>
      <c r="P204" s="66"/>
      <c r="Q204" s="66"/>
      <c r="R204" s="66"/>
      <c r="S204" s="66"/>
      <c r="T204" s="66"/>
      <c r="U204" s="66"/>
      <c r="V204" s="66"/>
      <c r="W204" s="66"/>
    </row>
    <row r="205" spans="1:23">
      <c r="A205" s="66"/>
      <c r="B205" s="66"/>
      <c r="C205" s="66"/>
      <c r="D205" s="66"/>
      <c r="E205" s="66"/>
      <c r="F205" s="66"/>
      <c r="G205" s="66"/>
      <c r="H205" s="66"/>
      <c r="I205" s="66"/>
      <c r="J205" s="66"/>
      <c r="K205" s="66"/>
      <c r="L205" s="66"/>
      <c r="M205" s="66"/>
      <c r="N205" s="66"/>
      <c r="O205" s="66"/>
      <c r="P205" s="66"/>
      <c r="Q205" s="66"/>
      <c r="R205" s="66"/>
      <c r="S205" s="66"/>
      <c r="T205" s="66"/>
      <c r="U205" s="66"/>
      <c r="V205" s="66"/>
      <c r="W205" s="66"/>
    </row>
    <row r="206" spans="1:23">
      <c r="A206" s="66"/>
      <c r="B206" s="66"/>
      <c r="C206" s="66"/>
      <c r="D206" s="66"/>
      <c r="E206" s="66"/>
      <c r="F206" s="66"/>
      <c r="G206" s="66"/>
      <c r="H206" s="66"/>
      <c r="I206" s="66"/>
      <c r="J206" s="66"/>
      <c r="K206" s="66"/>
      <c r="L206" s="66"/>
      <c r="M206" s="66"/>
      <c r="N206" s="66"/>
      <c r="O206" s="66"/>
      <c r="P206" s="66"/>
      <c r="Q206" s="66"/>
      <c r="R206" s="66"/>
      <c r="S206" s="66"/>
      <c r="T206" s="66"/>
      <c r="U206" s="66"/>
      <c r="V206" s="66"/>
      <c r="W206" s="66"/>
    </row>
    <row r="207" spans="1:23">
      <c r="A207" s="66"/>
      <c r="B207" s="66"/>
      <c r="C207" s="66"/>
      <c r="D207" s="66"/>
      <c r="E207" s="66"/>
      <c r="F207" s="66"/>
      <c r="G207" s="66"/>
      <c r="H207" s="66"/>
      <c r="I207" s="66"/>
      <c r="J207" s="66"/>
      <c r="K207" s="66"/>
      <c r="L207" s="66"/>
      <c r="M207" s="66"/>
      <c r="N207" s="66"/>
      <c r="O207" s="66"/>
      <c r="P207" s="66"/>
      <c r="Q207" s="66"/>
      <c r="R207" s="66"/>
      <c r="S207" s="66"/>
      <c r="T207" s="66"/>
      <c r="U207" s="66"/>
      <c r="V207" s="66"/>
      <c r="W207" s="66"/>
    </row>
    <row r="208" spans="1:23">
      <c r="A208" s="66"/>
      <c r="B208" s="66"/>
      <c r="C208" s="66"/>
      <c r="D208" s="66"/>
      <c r="E208" s="66"/>
      <c r="F208" s="66"/>
      <c r="G208" s="66"/>
      <c r="H208" s="66"/>
      <c r="I208" s="66"/>
      <c r="J208" s="66"/>
      <c r="K208" s="66"/>
      <c r="L208" s="66"/>
      <c r="M208" s="66"/>
      <c r="N208" s="66"/>
      <c r="O208" s="66"/>
      <c r="P208" s="66"/>
      <c r="Q208" s="66"/>
      <c r="R208" s="66"/>
      <c r="S208" s="66"/>
      <c r="T208" s="66"/>
      <c r="U208" s="66"/>
      <c r="V208" s="66"/>
      <c r="W208" s="66"/>
    </row>
    <row r="209" spans="1:23">
      <c r="A209" s="66"/>
      <c r="B209" s="66"/>
      <c r="C209" s="66"/>
      <c r="D209" s="66"/>
      <c r="E209" s="66"/>
      <c r="F209" s="66"/>
      <c r="G209" s="66"/>
      <c r="H209" s="66"/>
      <c r="I209" s="66"/>
      <c r="J209" s="66"/>
      <c r="K209" s="66"/>
      <c r="L209" s="66"/>
      <c r="M209" s="66"/>
      <c r="N209" s="66"/>
      <c r="O209" s="66"/>
      <c r="P209" s="66"/>
      <c r="Q209" s="66"/>
      <c r="R209" s="66"/>
      <c r="S209" s="66"/>
      <c r="T209" s="66"/>
      <c r="U209" s="66"/>
      <c r="V209" s="66"/>
      <c r="W209" s="66"/>
    </row>
    <row r="210" spans="1:23">
      <c r="A210" s="66"/>
      <c r="B210" s="66"/>
      <c r="C210" s="66"/>
      <c r="D210" s="66"/>
      <c r="E210" s="66"/>
      <c r="F210" s="66"/>
      <c r="G210" s="66"/>
      <c r="H210" s="66"/>
      <c r="I210" s="66"/>
      <c r="J210" s="66"/>
      <c r="K210" s="66"/>
      <c r="L210" s="66"/>
      <c r="M210" s="66"/>
      <c r="N210" s="66"/>
      <c r="O210" s="66"/>
      <c r="P210" s="66"/>
      <c r="Q210" s="66"/>
      <c r="R210" s="66"/>
      <c r="S210" s="66"/>
      <c r="T210" s="66"/>
      <c r="U210" s="66"/>
      <c r="V210" s="66"/>
      <c r="W210" s="66"/>
    </row>
    <row r="211" spans="1:23">
      <c r="A211" s="66"/>
      <c r="B211" s="66"/>
      <c r="C211" s="66"/>
      <c r="D211" s="66"/>
      <c r="E211" s="66"/>
      <c r="F211" s="66"/>
      <c r="G211" s="66"/>
      <c r="H211" s="66"/>
      <c r="I211" s="66"/>
      <c r="J211" s="66"/>
      <c r="K211" s="66"/>
      <c r="L211" s="66"/>
      <c r="M211" s="66"/>
      <c r="N211" s="66"/>
      <c r="O211" s="66"/>
      <c r="P211" s="66"/>
      <c r="Q211" s="66"/>
      <c r="R211" s="66"/>
      <c r="S211" s="66"/>
      <c r="T211" s="66"/>
      <c r="U211" s="66"/>
      <c r="V211" s="66"/>
      <c r="W211" s="66"/>
    </row>
    <row r="212" spans="1:23">
      <c r="A212" s="66"/>
      <c r="B212" s="66"/>
      <c r="C212" s="66"/>
      <c r="D212" s="66"/>
      <c r="E212" s="66"/>
      <c r="F212" s="66"/>
      <c r="G212" s="66"/>
      <c r="H212" s="66"/>
      <c r="I212" s="66"/>
      <c r="J212" s="66"/>
      <c r="K212" s="66"/>
      <c r="L212" s="66"/>
      <c r="M212" s="66"/>
      <c r="N212" s="66"/>
      <c r="O212" s="66"/>
      <c r="P212" s="66"/>
      <c r="Q212" s="66"/>
      <c r="R212" s="66"/>
      <c r="S212" s="66"/>
      <c r="T212" s="66"/>
      <c r="U212" s="66"/>
      <c r="V212" s="66"/>
      <c r="W212" s="66"/>
    </row>
    <row r="213" spans="1:23">
      <c r="A213" s="66"/>
      <c r="B213" s="66"/>
      <c r="C213" s="66"/>
      <c r="D213" s="66"/>
      <c r="E213" s="66"/>
      <c r="F213" s="66"/>
      <c r="G213" s="66"/>
      <c r="H213" s="66"/>
      <c r="I213" s="66"/>
      <c r="J213" s="66"/>
      <c r="K213" s="66"/>
      <c r="L213" s="66"/>
      <c r="M213" s="66"/>
      <c r="N213" s="66"/>
      <c r="O213" s="66"/>
      <c r="P213" s="66"/>
      <c r="Q213" s="66"/>
      <c r="R213" s="66"/>
      <c r="S213" s="66"/>
      <c r="T213" s="66"/>
      <c r="U213" s="66"/>
      <c r="V213" s="66"/>
      <c r="W213" s="66"/>
    </row>
    <row r="214" spans="1:23">
      <c r="A214" s="66"/>
      <c r="B214" s="66"/>
      <c r="C214" s="66"/>
      <c r="D214" s="66"/>
      <c r="E214" s="66"/>
      <c r="F214" s="66"/>
      <c r="G214" s="66"/>
      <c r="H214" s="66"/>
      <c r="I214" s="66"/>
      <c r="J214" s="66"/>
      <c r="K214" s="66"/>
      <c r="L214" s="66"/>
      <c r="M214" s="66"/>
      <c r="N214" s="66"/>
      <c r="O214" s="66"/>
      <c r="P214" s="66"/>
      <c r="Q214" s="66"/>
      <c r="R214" s="66"/>
      <c r="S214" s="66"/>
      <c r="T214" s="66"/>
      <c r="U214" s="66"/>
      <c r="V214" s="66"/>
      <c r="W214" s="66"/>
    </row>
    <row r="215" spans="1:23">
      <c r="A215" s="66"/>
      <c r="B215" s="66"/>
      <c r="C215" s="66"/>
      <c r="D215" s="66"/>
      <c r="E215" s="66"/>
      <c r="F215" s="66"/>
      <c r="G215" s="66"/>
      <c r="H215" s="66"/>
      <c r="I215" s="66"/>
      <c r="J215" s="66"/>
      <c r="K215" s="66"/>
      <c r="L215" s="66"/>
      <c r="M215" s="66"/>
      <c r="N215" s="66"/>
      <c r="O215" s="66"/>
      <c r="P215" s="66"/>
      <c r="Q215" s="66"/>
      <c r="R215" s="66"/>
      <c r="S215" s="66"/>
      <c r="T215" s="66"/>
      <c r="U215" s="66"/>
      <c r="V215" s="66"/>
      <c r="W215" s="66"/>
    </row>
    <row r="216" spans="1:23">
      <c r="A216" s="66"/>
      <c r="B216" s="66"/>
      <c r="C216" s="66"/>
      <c r="D216" s="66"/>
      <c r="E216" s="66"/>
      <c r="F216" s="66"/>
      <c r="G216" s="66"/>
      <c r="H216" s="66"/>
      <c r="I216" s="66"/>
      <c r="J216" s="66"/>
      <c r="K216" s="66"/>
      <c r="L216" s="66"/>
      <c r="M216" s="66"/>
      <c r="N216" s="66"/>
      <c r="O216" s="66"/>
      <c r="P216" s="66"/>
      <c r="Q216" s="66"/>
      <c r="R216" s="66"/>
      <c r="S216" s="66"/>
      <c r="T216" s="66"/>
      <c r="U216" s="66"/>
      <c r="V216" s="66"/>
      <c r="W216" s="66"/>
    </row>
    <row r="217" spans="1:23">
      <c r="A217" s="66"/>
      <c r="B217" s="66"/>
      <c r="C217" s="66"/>
      <c r="D217" s="66"/>
      <c r="E217" s="66"/>
      <c r="F217" s="66"/>
      <c r="G217" s="66"/>
      <c r="H217" s="66"/>
      <c r="I217" s="66"/>
      <c r="J217" s="66"/>
      <c r="K217" s="66"/>
      <c r="L217" s="66"/>
      <c r="M217" s="66"/>
      <c r="N217" s="66"/>
      <c r="O217" s="66"/>
      <c r="P217" s="66"/>
      <c r="Q217" s="66"/>
      <c r="R217" s="66"/>
      <c r="S217" s="66"/>
      <c r="T217" s="66"/>
      <c r="U217" s="66"/>
      <c r="V217" s="66"/>
      <c r="W217" s="66"/>
    </row>
    <row r="218" spans="1:23">
      <c r="A218" s="66"/>
      <c r="B218" s="66"/>
      <c r="C218" s="66"/>
      <c r="D218" s="66"/>
      <c r="E218" s="66"/>
      <c r="F218" s="66"/>
      <c r="G218" s="66"/>
      <c r="H218" s="66"/>
      <c r="I218" s="66"/>
      <c r="J218" s="66"/>
      <c r="K218" s="66"/>
      <c r="L218" s="66"/>
      <c r="M218" s="66"/>
      <c r="N218" s="66"/>
      <c r="O218" s="66"/>
      <c r="P218" s="66"/>
      <c r="Q218" s="66"/>
      <c r="R218" s="66"/>
      <c r="S218" s="66"/>
      <c r="T218" s="66"/>
      <c r="U218" s="66"/>
      <c r="V218" s="66"/>
      <c r="W218" s="66"/>
    </row>
    <row r="219" spans="1:23">
      <c r="A219" s="66"/>
      <c r="B219" s="66"/>
      <c r="C219" s="66"/>
      <c r="D219" s="66"/>
      <c r="E219" s="66"/>
      <c r="F219" s="66"/>
      <c r="G219" s="66"/>
      <c r="H219" s="66"/>
      <c r="I219" s="66"/>
      <c r="J219" s="66"/>
      <c r="K219" s="66"/>
      <c r="L219" s="66"/>
      <c r="M219" s="66"/>
      <c r="N219" s="66"/>
      <c r="O219" s="66"/>
      <c r="P219" s="66"/>
      <c r="Q219" s="66"/>
      <c r="R219" s="66"/>
      <c r="S219" s="66"/>
      <c r="T219" s="66"/>
      <c r="U219" s="66"/>
      <c r="V219" s="66"/>
      <c r="W219" s="66"/>
    </row>
    <row r="220" spans="1:23">
      <c r="A220" s="66"/>
      <c r="B220" s="66"/>
      <c r="C220" s="66"/>
      <c r="D220" s="66"/>
      <c r="E220" s="66"/>
      <c r="F220" s="66"/>
      <c r="G220" s="66"/>
      <c r="H220" s="66"/>
      <c r="I220" s="66"/>
      <c r="J220" s="66"/>
      <c r="K220" s="66"/>
      <c r="L220" s="66"/>
      <c r="M220" s="66"/>
      <c r="N220" s="66"/>
      <c r="O220" s="66"/>
      <c r="P220" s="66"/>
      <c r="Q220" s="66"/>
      <c r="R220" s="66"/>
      <c r="S220" s="66"/>
      <c r="T220" s="66"/>
      <c r="U220" s="66"/>
      <c r="V220" s="66"/>
      <c r="W220" s="66"/>
    </row>
    <row r="221" spans="1:23">
      <c r="A221" s="66"/>
      <c r="B221" s="66"/>
      <c r="C221" s="66"/>
      <c r="D221" s="66"/>
      <c r="E221" s="66"/>
      <c r="F221" s="66"/>
      <c r="G221" s="66"/>
      <c r="H221" s="66"/>
      <c r="I221" s="66"/>
      <c r="J221" s="66"/>
      <c r="K221" s="66"/>
      <c r="L221" s="66"/>
      <c r="M221" s="66"/>
      <c r="N221" s="66"/>
      <c r="O221" s="66"/>
      <c r="P221" s="66"/>
      <c r="Q221" s="66"/>
      <c r="R221" s="66"/>
      <c r="S221" s="66"/>
      <c r="T221" s="66"/>
      <c r="U221" s="66"/>
      <c r="V221" s="66"/>
      <c r="W221" s="66"/>
    </row>
    <row r="222" spans="1:23">
      <c r="A222" s="66"/>
      <c r="B222" s="66"/>
      <c r="C222" s="66"/>
      <c r="D222" s="66"/>
      <c r="E222" s="66"/>
      <c r="F222" s="66"/>
      <c r="G222" s="66"/>
      <c r="H222" s="66"/>
      <c r="I222" s="66"/>
      <c r="J222" s="66"/>
      <c r="K222" s="66"/>
      <c r="L222" s="66"/>
      <c r="M222" s="66"/>
      <c r="N222" s="66"/>
      <c r="O222" s="66"/>
      <c r="P222" s="66"/>
      <c r="Q222" s="66"/>
      <c r="R222" s="66"/>
      <c r="S222" s="66"/>
      <c r="T222" s="66"/>
      <c r="U222" s="66"/>
      <c r="V222" s="66"/>
      <c r="W222" s="66"/>
    </row>
    <row r="223" spans="1:23">
      <c r="A223" s="66"/>
      <c r="B223" s="66"/>
      <c r="C223" s="66"/>
      <c r="D223" s="66"/>
      <c r="E223" s="66"/>
      <c r="F223" s="66"/>
      <c r="G223" s="66"/>
      <c r="H223" s="66"/>
      <c r="I223" s="66"/>
      <c r="J223" s="66"/>
      <c r="K223" s="66"/>
      <c r="L223" s="66"/>
      <c r="M223" s="66"/>
      <c r="N223" s="66"/>
      <c r="O223" s="66"/>
      <c r="P223" s="66"/>
      <c r="Q223" s="66"/>
      <c r="R223" s="66"/>
      <c r="S223" s="66"/>
      <c r="T223" s="66"/>
      <c r="U223" s="66"/>
      <c r="V223" s="66"/>
      <c r="W223" s="66"/>
    </row>
    <row r="224" spans="1:23">
      <c r="A224" s="66"/>
      <c r="B224" s="66"/>
      <c r="C224" s="66"/>
      <c r="D224" s="66"/>
      <c r="E224" s="66"/>
      <c r="F224" s="66"/>
      <c r="G224" s="66"/>
      <c r="H224" s="66"/>
      <c r="I224" s="66"/>
      <c r="J224" s="66"/>
      <c r="K224" s="66"/>
      <c r="L224" s="66"/>
      <c r="M224" s="66"/>
      <c r="N224" s="66"/>
      <c r="O224" s="66"/>
      <c r="P224" s="66"/>
      <c r="Q224" s="66"/>
      <c r="R224" s="66"/>
      <c r="S224" s="66"/>
      <c r="T224" s="66"/>
      <c r="U224" s="66"/>
      <c r="V224" s="66"/>
      <c r="W224" s="66"/>
    </row>
    <row r="225" spans="1:23">
      <c r="A225" s="66"/>
      <c r="B225" s="66"/>
      <c r="C225" s="66"/>
      <c r="D225" s="66"/>
      <c r="E225" s="66"/>
      <c r="F225" s="66"/>
      <c r="G225" s="66"/>
      <c r="H225" s="66"/>
      <c r="I225" s="66"/>
      <c r="J225" s="66"/>
      <c r="K225" s="66"/>
      <c r="L225" s="66"/>
      <c r="M225" s="66"/>
      <c r="N225" s="66"/>
      <c r="O225" s="66"/>
      <c r="P225" s="66"/>
      <c r="Q225" s="66"/>
      <c r="R225" s="66"/>
      <c r="S225" s="66"/>
      <c r="T225" s="66"/>
      <c r="U225" s="66"/>
      <c r="V225" s="66"/>
      <c r="W225" s="66"/>
    </row>
    <row r="226" spans="1:23">
      <c r="A226" s="66"/>
      <c r="B226" s="66"/>
      <c r="C226" s="66"/>
      <c r="D226" s="66"/>
      <c r="E226" s="66"/>
      <c r="F226" s="66"/>
      <c r="G226" s="66"/>
      <c r="H226" s="66"/>
      <c r="I226" s="66"/>
      <c r="J226" s="66"/>
      <c r="K226" s="66"/>
      <c r="L226" s="66"/>
      <c r="M226" s="66"/>
      <c r="N226" s="66"/>
      <c r="O226" s="66"/>
      <c r="P226" s="66"/>
      <c r="Q226" s="66"/>
      <c r="R226" s="66"/>
      <c r="S226" s="66"/>
      <c r="T226" s="66"/>
      <c r="U226" s="66"/>
      <c r="V226" s="66"/>
      <c r="W226" s="66"/>
    </row>
    <row r="227" spans="1:23">
      <c r="A227" s="66"/>
      <c r="B227" s="66"/>
      <c r="C227" s="66"/>
      <c r="D227" s="66"/>
      <c r="E227" s="66"/>
      <c r="F227" s="66"/>
      <c r="G227" s="66"/>
      <c r="H227" s="66"/>
      <c r="I227" s="66"/>
      <c r="J227" s="66"/>
      <c r="K227" s="66"/>
      <c r="L227" s="66"/>
      <c r="M227" s="66"/>
      <c r="N227" s="66"/>
      <c r="O227" s="66"/>
      <c r="P227" s="66"/>
      <c r="Q227" s="66"/>
      <c r="R227" s="66"/>
      <c r="S227" s="66"/>
      <c r="T227" s="66"/>
      <c r="U227" s="66"/>
      <c r="V227" s="66"/>
      <c r="W227" s="66"/>
    </row>
    <row r="228" spans="1:23">
      <c r="A228" s="66"/>
      <c r="B228" s="66"/>
      <c r="C228" s="66"/>
      <c r="D228" s="66"/>
      <c r="E228" s="66"/>
      <c r="F228" s="66"/>
      <c r="G228" s="66"/>
      <c r="H228" s="66"/>
      <c r="I228" s="66"/>
      <c r="J228" s="66"/>
      <c r="K228" s="66"/>
      <c r="L228" s="66"/>
      <c r="M228" s="66"/>
      <c r="N228" s="66"/>
      <c r="O228" s="66"/>
      <c r="P228" s="66"/>
      <c r="Q228" s="66"/>
      <c r="R228" s="66"/>
      <c r="S228" s="66"/>
      <c r="T228" s="66"/>
      <c r="U228" s="66"/>
      <c r="V228" s="66"/>
      <c r="W228" s="66"/>
    </row>
    <row r="229" spans="1:23">
      <c r="A229" s="66"/>
      <c r="B229" s="66"/>
      <c r="C229" s="66"/>
      <c r="D229" s="66"/>
      <c r="E229" s="66"/>
      <c r="F229" s="66"/>
      <c r="G229" s="66"/>
      <c r="H229" s="66"/>
      <c r="I229" s="66"/>
      <c r="J229" s="66"/>
      <c r="K229" s="66"/>
      <c r="L229" s="66"/>
      <c r="M229" s="66"/>
      <c r="N229" s="66"/>
      <c r="O229" s="66"/>
      <c r="P229" s="66"/>
      <c r="Q229" s="66"/>
      <c r="R229" s="66"/>
      <c r="S229" s="66"/>
      <c r="T229" s="66"/>
      <c r="U229" s="66"/>
      <c r="V229" s="66"/>
      <c r="W229" s="66"/>
    </row>
    <row r="230" spans="1:23">
      <c r="A230" s="66"/>
      <c r="B230" s="66"/>
      <c r="C230" s="66"/>
      <c r="D230" s="66"/>
      <c r="E230" s="66"/>
      <c r="F230" s="66"/>
      <c r="G230" s="66"/>
      <c r="H230" s="66"/>
      <c r="I230" s="66"/>
      <c r="J230" s="66"/>
      <c r="K230" s="66"/>
      <c r="L230" s="66"/>
      <c r="M230" s="66"/>
      <c r="N230" s="66"/>
      <c r="O230" s="66"/>
      <c r="P230" s="66"/>
      <c r="Q230" s="66"/>
      <c r="R230" s="66"/>
      <c r="S230" s="66"/>
      <c r="T230" s="66"/>
      <c r="U230" s="66"/>
      <c r="V230" s="66"/>
      <c r="W230" s="66"/>
    </row>
    <row r="231" spans="1:23">
      <c r="A231" s="66"/>
      <c r="B231" s="66"/>
      <c r="C231" s="66"/>
      <c r="D231" s="66"/>
      <c r="E231" s="66"/>
      <c r="F231" s="66"/>
      <c r="G231" s="66"/>
      <c r="H231" s="66"/>
      <c r="I231" s="66"/>
      <c r="J231" s="66"/>
      <c r="K231" s="66"/>
      <c r="L231" s="66"/>
      <c r="M231" s="66"/>
      <c r="N231" s="66"/>
      <c r="O231" s="66"/>
      <c r="P231" s="66"/>
      <c r="Q231" s="66"/>
      <c r="R231" s="66"/>
      <c r="S231" s="66"/>
      <c r="T231" s="66"/>
      <c r="U231" s="66"/>
      <c r="V231" s="66"/>
      <c r="W231" s="66"/>
    </row>
    <row r="232" spans="1:23">
      <c r="A232" s="66"/>
      <c r="B232" s="66"/>
      <c r="C232" s="66"/>
      <c r="D232" s="66"/>
      <c r="E232" s="66"/>
      <c r="F232" s="66"/>
      <c r="G232" s="66"/>
      <c r="H232" s="66"/>
      <c r="I232" s="66"/>
      <c r="J232" s="66"/>
      <c r="K232" s="66"/>
      <c r="L232" s="66"/>
      <c r="M232" s="66"/>
      <c r="N232" s="66"/>
      <c r="O232" s="66"/>
      <c r="P232" s="66"/>
      <c r="Q232" s="66"/>
      <c r="R232" s="66"/>
      <c r="S232" s="66"/>
      <c r="T232" s="66"/>
      <c r="U232" s="66"/>
      <c r="V232" s="66"/>
      <c r="W232" s="66"/>
    </row>
    <row r="233" spans="1:23">
      <c r="A233" s="66"/>
      <c r="B233" s="66"/>
      <c r="C233" s="66"/>
      <c r="D233" s="66"/>
      <c r="E233" s="66"/>
      <c r="F233" s="66"/>
      <c r="G233" s="66"/>
      <c r="H233" s="66"/>
      <c r="I233" s="66"/>
      <c r="J233" s="66"/>
      <c r="K233" s="66"/>
      <c r="L233" s="66"/>
      <c r="M233" s="66"/>
      <c r="N233" s="66"/>
      <c r="O233" s="66"/>
      <c r="P233" s="66"/>
      <c r="Q233" s="66"/>
      <c r="R233" s="66"/>
      <c r="S233" s="66"/>
      <c r="T233" s="66"/>
      <c r="U233" s="66"/>
      <c r="V233" s="66"/>
      <c r="W233" s="66"/>
    </row>
    <row r="234" spans="1:23">
      <c r="A234" s="66"/>
      <c r="B234" s="66"/>
      <c r="C234" s="66"/>
      <c r="D234" s="66"/>
      <c r="E234" s="66"/>
      <c r="F234" s="66"/>
      <c r="G234" s="66"/>
      <c r="H234" s="66"/>
      <c r="I234" s="66"/>
      <c r="J234" s="66"/>
      <c r="K234" s="66"/>
      <c r="L234" s="66"/>
      <c r="M234" s="66"/>
      <c r="N234" s="66"/>
      <c r="O234" s="66"/>
      <c r="P234" s="66"/>
      <c r="Q234" s="66"/>
      <c r="R234" s="66"/>
      <c r="S234" s="66"/>
      <c r="T234" s="66"/>
      <c r="U234" s="66"/>
      <c r="V234" s="66"/>
      <c r="W234" s="66"/>
    </row>
    <row r="235" spans="1:23">
      <c r="A235" s="66"/>
      <c r="B235" s="66"/>
      <c r="C235" s="66"/>
      <c r="D235" s="66"/>
      <c r="E235" s="66"/>
      <c r="F235" s="66"/>
      <c r="G235" s="66"/>
      <c r="H235" s="66"/>
      <c r="I235" s="66"/>
      <c r="J235" s="66"/>
      <c r="K235" s="66"/>
      <c r="L235" s="66"/>
      <c r="M235" s="66"/>
      <c r="N235" s="66"/>
      <c r="O235" s="66"/>
      <c r="P235" s="66"/>
      <c r="Q235" s="66"/>
      <c r="R235" s="66"/>
      <c r="S235" s="66"/>
      <c r="T235" s="66"/>
      <c r="U235" s="66"/>
      <c r="V235" s="66"/>
      <c r="W235" s="66"/>
    </row>
    <row r="236" spans="1:23">
      <c r="A236" s="66"/>
      <c r="B236" s="66"/>
      <c r="C236" s="66"/>
      <c r="D236" s="66"/>
      <c r="E236" s="66"/>
      <c r="F236" s="66"/>
      <c r="G236" s="66"/>
      <c r="H236" s="66"/>
      <c r="I236" s="66"/>
      <c r="J236" s="66"/>
      <c r="K236" s="66"/>
      <c r="L236" s="66"/>
      <c r="M236" s="66"/>
      <c r="N236" s="66"/>
      <c r="O236" s="66"/>
      <c r="P236" s="66"/>
      <c r="Q236" s="66"/>
      <c r="R236" s="66"/>
      <c r="S236" s="66"/>
      <c r="T236" s="66"/>
      <c r="U236" s="66"/>
      <c r="V236" s="66"/>
      <c r="W236" s="66"/>
    </row>
    <row r="237" spans="1:23">
      <c r="A237" s="66"/>
      <c r="B237" s="66"/>
      <c r="C237" s="66"/>
      <c r="D237" s="66"/>
      <c r="E237" s="66"/>
      <c r="F237" s="66"/>
      <c r="G237" s="66"/>
      <c r="H237" s="66"/>
      <c r="I237" s="66"/>
      <c r="J237" s="66"/>
      <c r="K237" s="66"/>
      <c r="L237" s="66"/>
      <c r="M237" s="66"/>
      <c r="N237" s="66"/>
      <c r="O237" s="66"/>
      <c r="P237" s="66"/>
      <c r="Q237" s="66"/>
      <c r="R237" s="66"/>
      <c r="S237" s="66"/>
      <c r="T237" s="66"/>
      <c r="U237" s="66"/>
      <c r="V237" s="66"/>
      <c r="W237" s="66"/>
    </row>
    <row r="238" spans="1:23">
      <c r="A238" s="66"/>
      <c r="B238" s="66"/>
      <c r="C238" s="66"/>
      <c r="D238" s="66"/>
      <c r="E238" s="66"/>
      <c r="F238" s="66"/>
      <c r="G238" s="66"/>
      <c r="H238" s="66"/>
      <c r="I238" s="66"/>
      <c r="J238" s="66"/>
      <c r="K238" s="66"/>
      <c r="L238" s="66"/>
      <c r="M238" s="66"/>
      <c r="N238" s="66"/>
      <c r="O238" s="66"/>
      <c r="P238" s="66"/>
      <c r="Q238" s="66"/>
      <c r="R238" s="66"/>
      <c r="S238" s="66"/>
      <c r="T238" s="66"/>
      <c r="U238" s="66"/>
      <c r="V238" s="66"/>
      <c r="W238" s="66"/>
    </row>
    <row r="239" spans="1:23">
      <c r="A239" s="66"/>
      <c r="B239" s="66"/>
      <c r="C239" s="66"/>
      <c r="D239" s="66"/>
      <c r="E239" s="66"/>
      <c r="F239" s="66"/>
      <c r="G239" s="66"/>
      <c r="H239" s="66"/>
      <c r="I239" s="66"/>
      <c r="J239" s="66"/>
      <c r="K239" s="66"/>
      <c r="L239" s="66"/>
      <c r="M239" s="66"/>
      <c r="N239" s="66"/>
      <c r="O239" s="66"/>
      <c r="P239" s="66"/>
      <c r="Q239" s="66"/>
      <c r="R239" s="66"/>
      <c r="S239" s="66"/>
      <c r="T239" s="66"/>
      <c r="U239" s="66"/>
      <c r="V239" s="66"/>
      <c r="W239" s="66"/>
    </row>
    <row r="240" spans="1:23">
      <c r="A240" s="66"/>
      <c r="B240" s="66"/>
      <c r="C240" s="66"/>
      <c r="D240" s="66"/>
      <c r="E240" s="66"/>
      <c r="F240" s="66"/>
      <c r="G240" s="66"/>
      <c r="H240" s="66"/>
      <c r="I240" s="66"/>
      <c r="J240" s="66"/>
      <c r="K240" s="66"/>
      <c r="L240" s="66"/>
      <c r="M240" s="66"/>
      <c r="N240" s="66"/>
      <c r="O240" s="66"/>
      <c r="P240" s="66"/>
      <c r="Q240" s="66"/>
      <c r="R240" s="66"/>
      <c r="S240" s="66"/>
      <c r="T240" s="66"/>
      <c r="U240" s="66"/>
      <c r="V240" s="66"/>
      <c r="W240" s="66"/>
    </row>
    <row r="241" spans="1:23">
      <c r="A241" s="66"/>
      <c r="B241" s="66"/>
      <c r="C241" s="66"/>
      <c r="D241" s="66"/>
      <c r="E241" s="66"/>
      <c r="F241" s="66"/>
      <c r="G241" s="66"/>
      <c r="H241" s="66"/>
      <c r="I241" s="66"/>
      <c r="J241" s="66"/>
      <c r="K241" s="66"/>
      <c r="L241" s="66"/>
      <c r="M241" s="66"/>
      <c r="N241" s="66"/>
      <c r="O241" s="66"/>
      <c r="P241" s="66"/>
      <c r="Q241" s="66"/>
      <c r="R241" s="66"/>
      <c r="S241" s="66"/>
      <c r="T241" s="66"/>
      <c r="U241" s="66"/>
      <c r="V241" s="66"/>
      <c r="W241" s="66"/>
    </row>
    <row r="242" spans="1:23">
      <c r="A242" s="66"/>
      <c r="B242" s="66"/>
      <c r="C242" s="66"/>
      <c r="D242" s="66"/>
      <c r="E242" s="66"/>
      <c r="F242" s="66"/>
      <c r="G242" s="66"/>
      <c r="H242" s="66"/>
      <c r="I242" s="66"/>
      <c r="J242" s="66"/>
      <c r="K242" s="66"/>
      <c r="L242" s="66"/>
      <c r="M242" s="66"/>
      <c r="N242" s="66"/>
      <c r="O242" s="66"/>
      <c r="P242" s="66"/>
      <c r="Q242" s="66"/>
      <c r="R242" s="66"/>
      <c r="S242" s="66"/>
      <c r="T242" s="66"/>
      <c r="U242" s="66"/>
      <c r="V242" s="66"/>
      <c r="W242" s="66"/>
    </row>
    <row r="243" spans="1:23">
      <c r="A243" s="66"/>
      <c r="B243" s="66"/>
      <c r="C243" s="66"/>
      <c r="D243" s="66"/>
      <c r="E243" s="66"/>
      <c r="F243" s="66"/>
      <c r="G243" s="66"/>
      <c r="H243" s="66"/>
      <c r="I243" s="66"/>
      <c r="J243" s="66"/>
      <c r="K243" s="66"/>
      <c r="L243" s="66"/>
      <c r="M243" s="66"/>
      <c r="N243" s="66"/>
      <c r="O243" s="66"/>
      <c r="P243" s="66"/>
      <c r="Q243" s="66"/>
      <c r="R243" s="66"/>
      <c r="S243" s="66"/>
      <c r="T243" s="66"/>
      <c r="U243" s="66"/>
      <c r="V243" s="66"/>
      <c r="W243" s="66"/>
    </row>
    <row r="244" spans="1:23">
      <c r="A244" s="66"/>
      <c r="B244" s="66"/>
      <c r="C244" s="66"/>
      <c r="D244" s="66"/>
      <c r="E244" s="66"/>
      <c r="F244" s="66"/>
      <c r="G244" s="66"/>
      <c r="H244" s="66"/>
      <c r="I244" s="66"/>
      <c r="J244" s="66"/>
      <c r="K244" s="66"/>
      <c r="L244" s="66"/>
      <c r="M244" s="66"/>
      <c r="N244" s="66"/>
      <c r="O244" s="66"/>
      <c r="P244" s="66"/>
      <c r="Q244" s="66"/>
      <c r="R244" s="66"/>
      <c r="S244" s="66"/>
      <c r="T244" s="66"/>
      <c r="U244" s="66"/>
      <c r="V244" s="66"/>
      <c r="W244" s="66"/>
    </row>
    <row r="245" spans="1:23">
      <c r="A245" s="66"/>
      <c r="B245" s="66"/>
      <c r="C245" s="66"/>
      <c r="D245" s="66"/>
      <c r="E245" s="66"/>
      <c r="F245" s="66"/>
      <c r="G245" s="66"/>
      <c r="H245" s="66"/>
      <c r="I245" s="66"/>
      <c r="J245" s="66"/>
      <c r="K245" s="66"/>
      <c r="L245" s="66"/>
      <c r="M245" s="66"/>
      <c r="N245" s="66"/>
      <c r="O245" s="66"/>
      <c r="P245" s="66"/>
      <c r="Q245" s="66"/>
      <c r="R245" s="66"/>
      <c r="S245" s="66"/>
      <c r="T245" s="66"/>
      <c r="U245" s="66"/>
      <c r="V245" s="66"/>
      <c r="W245" s="66"/>
    </row>
    <row r="246" spans="1:23">
      <c r="A246" s="66"/>
      <c r="B246" s="66"/>
      <c r="C246" s="66"/>
      <c r="D246" s="66"/>
      <c r="E246" s="66"/>
      <c r="F246" s="66"/>
      <c r="G246" s="66"/>
      <c r="H246" s="66"/>
      <c r="I246" s="66"/>
      <c r="J246" s="66"/>
      <c r="K246" s="66"/>
      <c r="L246" s="66"/>
      <c r="M246" s="66"/>
      <c r="N246" s="66"/>
      <c r="O246" s="66"/>
      <c r="P246" s="66"/>
      <c r="Q246" s="66"/>
      <c r="R246" s="66"/>
      <c r="S246" s="66"/>
      <c r="T246" s="66"/>
      <c r="U246" s="66"/>
      <c r="V246" s="66"/>
      <c r="W246" s="66"/>
    </row>
    <row r="247" spans="1:23">
      <c r="A247" s="66"/>
      <c r="B247" s="66"/>
      <c r="C247" s="66"/>
      <c r="D247" s="66"/>
      <c r="E247" s="66"/>
      <c r="F247" s="66"/>
      <c r="G247" s="66"/>
      <c r="H247" s="66"/>
      <c r="I247" s="66"/>
      <c r="J247" s="66"/>
      <c r="K247" s="66"/>
      <c r="L247" s="66"/>
      <c r="M247" s="66"/>
      <c r="N247" s="66"/>
      <c r="O247" s="66"/>
      <c r="P247" s="66"/>
      <c r="Q247" s="66"/>
      <c r="R247" s="66"/>
      <c r="S247" s="66"/>
      <c r="T247" s="66"/>
      <c r="U247" s="66"/>
      <c r="V247" s="66"/>
      <c r="W247" s="66"/>
    </row>
    <row r="248" spans="1:23">
      <c r="A248" s="66"/>
      <c r="B248" s="66"/>
      <c r="C248" s="66"/>
      <c r="D248" s="66"/>
      <c r="E248" s="66"/>
      <c r="F248" s="66"/>
      <c r="G248" s="66"/>
      <c r="H248" s="66"/>
      <c r="I248" s="66"/>
      <c r="J248" s="66"/>
      <c r="K248" s="66"/>
      <c r="L248" s="66"/>
      <c r="M248" s="66"/>
      <c r="N248" s="66"/>
      <c r="O248" s="66"/>
      <c r="P248" s="66"/>
      <c r="Q248" s="66"/>
      <c r="R248" s="66"/>
      <c r="S248" s="66"/>
      <c r="T248" s="66"/>
      <c r="U248" s="66"/>
      <c r="V248" s="66"/>
      <c r="W248" s="66"/>
    </row>
    <row r="249" spans="1:23">
      <c r="A249" s="66"/>
      <c r="B249" s="66"/>
      <c r="C249" s="66"/>
      <c r="D249" s="66"/>
      <c r="E249" s="66"/>
      <c r="F249" s="66"/>
      <c r="G249" s="66"/>
      <c r="H249" s="66"/>
      <c r="I249" s="66"/>
      <c r="J249" s="66"/>
      <c r="K249" s="66"/>
      <c r="L249" s="66"/>
      <c r="M249" s="66"/>
      <c r="N249" s="66"/>
      <c r="O249" s="66"/>
      <c r="P249" s="66"/>
      <c r="Q249" s="66"/>
      <c r="R249" s="66"/>
      <c r="S249" s="66"/>
      <c r="T249" s="66"/>
      <c r="U249" s="66"/>
      <c r="V249" s="66"/>
      <c r="W249" s="66"/>
    </row>
    <row r="250" spans="1:23">
      <c r="A250" s="66"/>
      <c r="B250" s="66"/>
      <c r="C250" s="66"/>
      <c r="D250" s="66"/>
      <c r="E250" s="66"/>
      <c r="F250" s="66"/>
      <c r="G250" s="66"/>
      <c r="H250" s="66"/>
      <c r="I250" s="66"/>
      <c r="J250" s="66"/>
      <c r="K250" s="66"/>
      <c r="L250" s="66"/>
      <c r="M250" s="66"/>
      <c r="N250" s="66"/>
      <c r="O250" s="66"/>
      <c r="P250" s="66"/>
      <c r="Q250" s="66"/>
      <c r="R250" s="66"/>
      <c r="S250" s="66"/>
      <c r="T250" s="66"/>
      <c r="U250" s="66"/>
      <c r="V250" s="66"/>
      <c r="W250" s="66"/>
    </row>
    <row r="251" spans="1:23">
      <c r="A251" s="66"/>
      <c r="B251" s="66"/>
      <c r="C251" s="66"/>
      <c r="D251" s="66"/>
      <c r="E251" s="66"/>
      <c r="F251" s="66"/>
      <c r="G251" s="66"/>
      <c r="H251" s="66"/>
      <c r="I251" s="66"/>
      <c r="J251" s="66"/>
      <c r="K251" s="66"/>
      <c r="L251" s="66"/>
      <c r="M251" s="66"/>
      <c r="N251" s="66"/>
      <c r="O251" s="66"/>
      <c r="P251" s="66"/>
      <c r="Q251" s="66"/>
      <c r="R251" s="66"/>
      <c r="S251" s="66"/>
      <c r="T251" s="66"/>
      <c r="U251" s="66"/>
      <c r="V251" s="66"/>
      <c r="W251" s="66"/>
    </row>
    <row r="252" spans="1:23">
      <c r="A252" s="66"/>
      <c r="B252" s="66"/>
      <c r="C252" s="66"/>
      <c r="D252" s="66"/>
      <c r="E252" s="66"/>
      <c r="F252" s="66"/>
      <c r="G252" s="66"/>
      <c r="H252" s="66"/>
      <c r="I252" s="66"/>
      <c r="J252" s="66"/>
      <c r="K252" s="66"/>
      <c r="L252" s="66"/>
      <c r="M252" s="66"/>
      <c r="N252" s="66"/>
      <c r="O252" s="66"/>
      <c r="P252" s="66"/>
      <c r="Q252" s="66"/>
      <c r="R252" s="66"/>
      <c r="S252" s="66"/>
      <c r="T252" s="66"/>
      <c r="U252" s="66"/>
      <c r="V252" s="66"/>
      <c r="W252" s="66"/>
    </row>
    <row r="253" spans="1:23">
      <c r="A253" s="66"/>
      <c r="B253" s="66"/>
      <c r="C253" s="66"/>
      <c r="D253" s="66"/>
      <c r="E253" s="66"/>
      <c r="F253" s="66"/>
      <c r="G253" s="66"/>
      <c r="H253" s="66"/>
      <c r="I253" s="66"/>
      <c r="J253" s="66"/>
      <c r="K253" s="66"/>
      <c r="L253" s="66"/>
      <c r="M253" s="66"/>
      <c r="N253" s="66"/>
      <c r="O253" s="66"/>
      <c r="P253" s="66"/>
      <c r="Q253" s="66"/>
      <c r="R253" s="66"/>
      <c r="S253" s="66"/>
      <c r="T253" s="66"/>
      <c r="U253" s="66"/>
      <c r="V253" s="66"/>
      <c r="W253" s="66"/>
    </row>
    <row r="254" spans="1:23">
      <c r="A254" s="66"/>
      <c r="B254" s="66"/>
      <c r="C254" s="66"/>
      <c r="D254" s="66"/>
      <c r="E254" s="66"/>
      <c r="F254" s="66"/>
      <c r="G254" s="66"/>
      <c r="H254" s="66"/>
      <c r="I254" s="66"/>
      <c r="J254" s="66"/>
      <c r="K254" s="66"/>
      <c r="L254" s="66"/>
      <c r="M254" s="66"/>
      <c r="N254" s="66"/>
      <c r="O254" s="66"/>
      <c r="P254" s="66"/>
      <c r="Q254" s="66"/>
      <c r="R254" s="66"/>
      <c r="S254" s="66"/>
      <c r="T254" s="66"/>
      <c r="U254" s="66"/>
      <c r="V254" s="66"/>
      <c r="W254" s="66"/>
    </row>
    <row r="255" spans="1:23">
      <c r="A255" s="66"/>
      <c r="B255" s="66"/>
      <c r="C255" s="66"/>
      <c r="D255" s="66"/>
      <c r="E255" s="66"/>
      <c r="F255" s="66"/>
      <c r="G255" s="66"/>
      <c r="H255" s="66"/>
      <c r="I255" s="66"/>
      <c r="J255" s="66"/>
      <c r="K255" s="66"/>
      <c r="L255" s="66"/>
      <c r="M255" s="66"/>
      <c r="N255" s="66"/>
      <c r="O255" s="66"/>
      <c r="P255" s="66"/>
      <c r="Q255" s="66"/>
      <c r="R255" s="66"/>
      <c r="S255" s="66"/>
      <c r="T255" s="66"/>
      <c r="U255" s="66"/>
      <c r="V255" s="66"/>
      <c r="W255" s="66"/>
    </row>
    <row r="256" spans="1:23">
      <c r="A256" s="66"/>
      <c r="B256" s="66"/>
      <c r="C256" s="66"/>
      <c r="D256" s="66"/>
      <c r="E256" s="66"/>
      <c r="F256" s="66"/>
      <c r="G256" s="66"/>
      <c r="H256" s="66"/>
      <c r="I256" s="66"/>
      <c r="J256" s="66"/>
      <c r="K256" s="66"/>
      <c r="L256" s="66"/>
      <c r="M256" s="66"/>
      <c r="N256" s="66"/>
      <c r="O256" s="66"/>
      <c r="P256" s="66"/>
      <c r="Q256" s="66"/>
      <c r="R256" s="66"/>
      <c r="S256" s="66"/>
      <c r="T256" s="66"/>
      <c r="U256" s="66"/>
      <c r="V256" s="66"/>
      <c r="W256" s="66"/>
    </row>
    <row r="257" spans="1:23">
      <c r="A257" s="66"/>
      <c r="B257" s="66"/>
      <c r="C257" s="66"/>
      <c r="D257" s="66"/>
      <c r="E257" s="66"/>
      <c r="F257" s="66"/>
      <c r="G257" s="66"/>
      <c r="H257" s="66"/>
      <c r="I257" s="66"/>
      <c r="J257" s="66"/>
      <c r="K257" s="66"/>
      <c r="L257" s="66"/>
      <c r="M257" s="66"/>
      <c r="N257" s="66"/>
      <c r="O257" s="66"/>
      <c r="P257" s="66"/>
      <c r="Q257" s="66"/>
      <c r="R257" s="66"/>
      <c r="S257" s="66"/>
      <c r="T257" s="66"/>
      <c r="U257" s="66"/>
      <c r="V257" s="66"/>
      <c r="W257" s="66"/>
    </row>
    <row r="258" spans="1:23">
      <c r="A258" s="66"/>
      <c r="B258" s="66"/>
      <c r="C258" s="66"/>
      <c r="D258" s="66"/>
      <c r="E258" s="66"/>
      <c r="F258" s="66"/>
      <c r="G258" s="66"/>
      <c r="H258" s="66"/>
      <c r="I258" s="66"/>
      <c r="J258" s="66"/>
      <c r="K258" s="66"/>
      <c r="L258" s="66"/>
      <c r="M258" s="66"/>
      <c r="N258" s="66"/>
      <c r="O258" s="66"/>
      <c r="P258" s="66"/>
      <c r="Q258" s="66"/>
      <c r="R258" s="66"/>
      <c r="S258" s="66"/>
      <c r="T258" s="66"/>
      <c r="U258" s="66"/>
      <c r="V258" s="66"/>
      <c r="W258" s="66"/>
    </row>
    <row r="259" spans="1:23">
      <c r="A259" s="66"/>
      <c r="B259" s="66"/>
      <c r="C259" s="66"/>
      <c r="D259" s="66"/>
      <c r="E259" s="66"/>
      <c r="F259" s="66"/>
      <c r="G259" s="66"/>
      <c r="H259" s="66"/>
      <c r="I259" s="66"/>
      <c r="J259" s="66"/>
      <c r="K259" s="66"/>
      <c r="L259" s="66"/>
      <c r="M259" s="66"/>
      <c r="N259" s="66"/>
      <c r="O259" s="66"/>
      <c r="P259" s="66"/>
      <c r="Q259" s="66"/>
      <c r="R259" s="66"/>
      <c r="S259" s="66"/>
      <c r="T259" s="66"/>
      <c r="U259" s="66"/>
      <c r="V259" s="66"/>
      <c r="W259" s="66"/>
    </row>
    <row r="260" spans="1:23">
      <c r="A260" s="66"/>
      <c r="B260" s="66"/>
      <c r="C260" s="66"/>
      <c r="D260" s="66"/>
      <c r="E260" s="66"/>
      <c r="F260" s="66"/>
      <c r="G260" s="66"/>
      <c r="H260" s="66"/>
      <c r="I260" s="66"/>
      <c r="J260" s="66"/>
      <c r="K260" s="66"/>
      <c r="L260" s="66"/>
      <c r="M260" s="66"/>
      <c r="N260" s="66"/>
      <c r="O260" s="66"/>
      <c r="P260" s="66"/>
      <c r="Q260" s="66"/>
      <c r="R260" s="66"/>
      <c r="S260" s="66"/>
      <c r="T260" s="66"/>
      <c r="U260" s="66"/>
      <c r="V260" s="66"/>
      <c r="W260" s="66"/>
    </row>
    <row r="261" spans="1:23">
      <c r="A261" s="66"/>
      <c r="B261" s="66"/>
      <c r="C261" s="66"/>
      <c r="D261" s="66"/>
      <c r="E261" s="66"/>
      <c r="F261" s="66"/>
      <c r="G261" s="66"/>
      <c r="H261" s="66"/>
      <c r="I261" s="66"/>
      <c r="J261" s="66"/>
      <c r="K261" s="66"/>
      <c r="L261" s="66"/>
      <c r="M261" s="66"/>
      <c r="N261" s="66"/>
      <c r="O261" s="66"/>
      <c r="P261" s="66"/>
      <c r="Q261" s="66"/>
      <c r="R261" s="66"/>
      <c r="S261" s="66"/>
      <c r="T261" s="66"/>
      <c r="U261" s="66"/>
      <c r="V261" s="66"/>
      <c r="W261" s="66"/>
    </row>
    <row r="262" spans="1:23">
      <c r="A262" s="66"/>
      <c r="B262" s="66"/>
      <c r="C262" s="66"/>
      <c r="D262" s="66"/>
      <c r="E262" s="66"/>
      <c r="F262" s="66"/>
      <c r="G262" s="66"/>
      <c r="H262" s="66"/>
      <c r="I262" s="66"/>
      <c r="J262" s="66"/>
      <c r="K262" s="66"/>
      <c r="L262" s="66"/>
      <c r="M262" s="66"/>
      <c r="N262" s="66"/>
      <c r="O262" s="66"/>
      <c r="P262" s="66"/>
      <c r="Q262" s="66"/>
      <c r="R262" s="66"/>
      <c r="S262" s="66"/>
      <c r="T262" s="66"/>
      <c r="U262" s="66"/>
      <c r="V262" s="66"/>
      <c r="W262" s="66"/>
    </row>
    <row r="263" spans="1:23">
      <c r="A263" s="66"/>
      <c r="B263" s="66"/>
      <c r="C263" s="66"/>
      <c r="D263" s="66"/>
      <c r="E263" s="66"/>
      <c r="F263" s="66"/>
      <c r="G263" s="66"/>
      <c r="H263" s="66"/>
      <c r="I263" s="66"/>
      <c r="J263" s="66"/>
      <c r="K263" s="66"/>
      <c r="L263" s="66"/>
      <c r="M263" s="66"/>
      <c r="N263" s="66"/>
      <c r="O263" s="66"/>
      <c r="P263" s="66"/>
      <c r="Q263" s="66"/>
      <c r="R263" s="66"/>
      <c r="S263" s="66"/>
      <c r="T263" s="66"/>
      <c r="U263" s="66"/>
      <c r="V263" s="66"/>
      <c r="W263" s="66"/>
    </row>
    <row r="264" spans="1:23">
      <c r="A264" s="66"/>
      <c r="B264" s="66"/>
      <c r="C264" s="66"/>
      <c r="D264" s="66"/>
      <c r="E264" s="66"/>
      <c r="F264" s="66"/>
      <c r="G264" s="66"/>
      <c r="H264" s="66"/>
      <c r="I264" s="66"/>
      <c r="J264" s="66"/>
      <c r="K264" s="66"/>
      <c r="L264" s="66"/>
      <c r="M264" s="66"/>
      <c r="N264" s="66"/>
      <c r="O264" s="66"/>
      <c r="P264" s="66"/>
      <c r="Q264" s="66"/>
      <c r="R264" s="66"/>
      <c r="S264" s="66"/>
      <c r="T264" s="66"/>
      <c r="U264" s="66"/>
      <c r="V264" s="66"/>
      <c r="W264" s="66"/>
    </row>
    <row r="265" spans="1:23">
      <c r="A265" s="66"/>
      <c r="B265" s="66"/>
      <c r="C265" s="66"/>
      <c r="D265" s="66"/>
      <c r="E265" s="66"/>
      <c r="F265" s="66"/>
      <c r="G265" s="66"/>
      <c r="H265" s="66"/>
      <c r="I265" s="66"/>
      <c r="J265" s="66"/>
      <c r="K265" s="66"/>
      <c r="L265" s="66"/>
      <c r="M265" s="66"/>
      <c r="N265" s="66"/>
      <c r="O265" s="66"/>
      <c r="P265" s="66"/>
      <c r="Q265" s="66"/>
      <c r="R265" s="66"/>
      <c r="S265" s="66"/>
      <c r="T265" s="66"/>
      <c r="U265" s="66"/>
      <c r="V265" s="66"/>
      <c r="W265" s="66"/>
    </row>
    <row r="266" spans="1:23">
      <c r="A266" s="66"/>
      <c r="B266" s="66"/>
      <c r="C266" s="66"/>
      <c r="D266" s="66"/>
      <c r="E266" s="66"/>
      <c r="F266" s="66"/>
      <c r="G266" s="66"/>
      <c r="H266" s="66"/>
      <c r="I266" s="66"/>
      <c r="J266" s="66"/>
      <c r="K266" s="66"/>
      <c r="L266" s="66"/>
      <c r="M266" s="66"/>
      <c r="N266" s="66"/>
      <c r="O266" s="66"/>
      <c r="P266" s="66"/>
      <c r="Q266" s="66"/>
      <c r="R266" s="66"/>
      <c r="S266" s="66"/>
      <c r="T266" s="66"/>
      <c r="U266" s="66"/>
      <c r="V266" s="66"/>
      <c r="W266" s="66"/>
    </row>
    <row r="267" spans="1:23">
      <c r="A267" s="66"/>
      <c r="B267" s="66"/>
      <c r="C267" s="66"/>
      <c r="D267" s="66"/>
      <c r="E267" s="66"/>
      <c r="F267" s="66"/>
      <c r="G267" s="66"/>
      <c r="H267" s="66"/>
      <c r="I267" s="66"/>
      <c r="J267" s="66"/>
      <c r="K267" s="66"/>
      <c r="L267" s="66"/>
      <c r="M267" s="66"/>
      <c r="N267" s="66"/>
      <c r="O267" s="66"/>
      <c r="P267" s="66"/>
      <c r="Q267" s="66"/>
      <c r="R267" s="66"/>
      <c r="S267" s="66"/>
      <c r="T267" s="66"/>
      <c r="U267" s="66"/>
      <c r="V267" s="66"/>
      <c r="W267" s="66"/>
    </row>
    <row r="268" spans="1:23">
      <c r="A268" s="66"/>
      <c r="B268" s="66"/>
      <c r="C268" s="66"/>
      <c r="D268" s="66"/>
      <c r="E268" s="66"/>
      <c r="F268" s="66"/>
      <c r="G268" s="66"/>
      <c r="H268" s="66"/>
      <c r="I268" s="66"/>
      <c r="J268" s="66"/>
      <c r="K268" s="66"/>
      <c r="L268" s="66"/>
      <c r="M268" s="66"/>
      <c r="N268" s="66"/>
      <c r="O268" s="66"/>
      <c r="P268" s="66"/>
      <c r="Q268" s="66"/>
      <c r="R268" s="66"/>
      <c r="S268" s="66"/>
      <c r="T268" s="66"/>
      <c r="U268" s="66"/>
      <c r="V268" s="66"/>
      <c r="W268" s="66"/>
    </row>
    <row r="269" spans="1:23">
      <c r="A269" s="66"/>
      <c r="B269" s="66"/>
      <c r="C269" s="66"/>
      <c r="D269" s="66"/>
      <c r="E269" s="66"/>
      <c r="F269" s="66"/>
      <c r="G269" s="66"/>
      <c r="H269" s="66"/>
      <c r="I269" s="66"/>
      <c r="J269" s="66"/>
      <c r="K269" s="66"/>
      <c r="L269" s="66"/>
      <c r="M269" s="66"/>
      <c r="N269" s="66"/>
      <c r="O269" s="66"/>
      <c r="P269" s="66"/>
      <c r="Q269" s="66"/>
      <c r="R269" s="66"/>
      <c r="S269" s="66"/>
      <c r="T269" s="66"/>
      <c r="U269" s="66"/>
      <c r="V269" s="66"/>
      <c r="W269" s="66"/>
    </row>
    <row r="270" spans="1:23">
      <c r="A270" s="66"/>
      <c r="B270" s="66"/>
      <c r="C270" s="66"/>
      <c r="D270" s="66"/>
      <c r="E270" s="66"/>
      <c r="F270" s="66"/>
      <c r="G270" s="66"/>
      <c r="H270" s="66"/>
      <c r="I270" s="66"/>
      <c r="J270" s="66"/>
      <c r="K270" s="66"/>
      <c r="L270" s="66"/>
      <c r="M270" s="66"/>
      <c r="N270" s="66"/>
      <c r="O270" s="66"/>
      <c r="P270" s="66"/>
      <c r="Q270" s="66"/>
      <c r="R270" s="66"/>
      <c r="S270" s="66"/>
      <c r="T270" s="66"/>
      <c r="U270" s="66"/>
      <c r="V270" s="66"/>
      <c r="W270" s="66"/>
    </row>
    <row r="271" spans="1:23">
      <c r="A271" s="66"/>
      <c r="B271" s="66"/>
      <c r="C271" s="66"/>
      <c r="D271" s="66"/>
      <c r="E271" s="66"/>
      <c r="F271" s="66"/>
      <c r="G271" s="66"/>
      <c r="H271" s="66"/>
      <c r="I271" s="66"/>
      <c r="J271" s="66"/>
      <c r="K271" s="66"/>
      <c r="L271" s="66"/>
      <c r="M271" s="66"/>
      <c r="N271" s="66"/>
      <c r="O271" s="66"/>
      <c r="P271" s="66"/>
      <c r="Q271" s="66"/>
      <c r="R271" s="66"/>
      <c r="S271" s="66"/>
      <c r="T271" s="66"/>
      <c r="U271" s="66"/>
      <c r="V271" s="66"/>
      <c r="W271" s="66"/>
    </row>
    <row r="272" spans="1:23">
      <c r="A272" s="66"/>
      <c r="B272" s="66"/>
      <c r="C272" s="66"/>
      <c r="D272" s="66"/>
      <c r="E272" s="66"/>
      <c r="F272" s="66"/>
      <c r="G272" s="66"/>
      <c r="H272" s="66"/>
      <c r="I272" s="66"/>
      <c r="J272" s="66"/>
      <c r="K272" s="66"/>
      <c r="L272" s="66"/>
      <c r="M272" s="66"/>
      <c r="N272" s="66"/>
      <c r="O272" s="66"/>
      <c r="P272" s="66"/>
      <c r="Q272" s="66"/>
      <c r="R272" s="66"/>
      <c r="S272" s="66"/>
      <c r="T272" s="66"/>
      <c r="U272" s="66"/>
      <c r="V272" s="66"/>
      <c r="W272" s="66"/>
    </row>
    <row r="273" spans="1:23">
      <c r="A273" s="66"/>
      <c r="B273" s="66"/>
      <c r="C273" s="66"/>
      <c r="D273" s="66"/>
      <c r="E273" s="66"/>
      <c r="F273" s="66"/>
      <c r="G273" s="66"/>
      <c r="H273" s="66"/>
      <c r="I273" s="66"/>
      <c r="J273" s="66"/>
      <c r="K273" s="66"/>
      <c r="L273" s="66"/>
      <c r="M273" s="66"/>
      <c r="N273" s="66"/>
      <c r="O273" s="66"/>
      <c r="P273" s="66"/>
      <c r="Q273" s="66"/>
      <c r="R273" s="66"/>
      <c r="S273" s="66"/>
      <c r="T273" s="66"/>
      <c r="U273" s="66"/>
      <c r="V273" s="66"/>
      <c r="W273" s="66"/>
    </row>
    <row r="274" spans="1:23">
      <c r="A274" s="66"/>
      <c r="B274" s="66"/>
      <c r="C274" s="66"/>
      <c r="D274" s="66"/>
      <c r="E274" s="66"/>
      <c r="F274" s="66"/>
      <c r="G274" s="66"/>
      <c r="H274" s="66"/>
      <c r="I274" s="66"/>
      <c r="J274" s="66"/>
      <c r="K274" s="66"/>
      <c r="L274" s="66"/>
      <c r="M274" s="66"/>
      <c r="N274" s="66"/>
      <c r="O274" s="66"/>
      <c r="P274" s="66"/>
      <c r="Q274" s="66"/>
      <c r="R274" s="66"/>
      <c r="S274" s="66"/>
      <c r="T274" s="66"/>
      <c r="U274" s="66"/>
      <c r="V274" s="66"/>
      <c r="W274" s="66"/>
    </row>
    <row r="275" spans="1:23">
      <c r="A275" s="66"/>
      <c r="B275" s="66"/>
      <c r="C275" s="66"/>
      <c r="D275" s="66"/>
      <c r="E275" s="66"/>
      <c r="F275" s="66"/>
      <c r="G275" s="66"/>
      <c r="H275" s="66"/>
      <c r="I275" s="66"/>
      <c r="J275" s="66"/>
      <c r="K275" s="66"/>
      <c r="L275" s="66"/>
      <c r="M275" s="66"/>
      <c r="N275" s="66"/>
      <c r="O275" s="66"/>
      <c r="P275" s="66"/>
      <c r="Q275" s="66"/>
      <c r="R275" s="66"/>
      <c r="S275" s="66"/>
      <c r="T275" s="66"/>
      <c r="U275" s="66"/>
      <c r="V275" s="66"/>
      <c r="W275" s="66"/>
    </row>
    <row r="276" spans="1:23">
      <c r="A276" s="66"/>
      <c r="B276" s="66"/>
      <c r="C276" s="66"/>
      <c r="D276" s="66"/>
      <c r="E276" s="66"/>
      <c r="F276" s="66"/>
      <c r="G276" s="66"/>
      <c r="H276" s="66"/>
      <c r="I276" s="66"/>
      <c r="J276" s="66"/>
      <c r="K276" s="66"/>
      <c r="L276" s="66"/>
      <c r="M276" s="66"/>
      <c r="N276" s="66"/>
      <c r="O276" s="66"/>
      <c r="P276" s="66"/>
      <c r="Q276" s="66"/>
      <c r="R276" s="66"/>
      <c r="S276" s="66"/>
      <c r="T276" s="66"/>
      <c r="U276" s="66"/>
      <c r="V276" s="66"/>
      <c r="W276" s="66"/>
    </row>
    <row r="277" spans="1:23">
      <c r="A277" s="66"/>
      <c r="B277" s="66"/>
      <c r="C277" s="66"/>
      <c r="D277" s="66"/>
      <c r="E277" s="66"/>
      <c r="F277" s="66"/>
      <c r="G277" s="66"/>
      <c r="H277" s="66"/>
      <c r="I277" s="66"/>
      <c r="J277" s="66"/>
      <c r="K277" s="66"/>
      <c r="L277" s="66"/>
      <c r="M277" s="66"/>
      <c r="N277" s="66"/>
      <c r="O277" s="66"/>
      <c r="P277" s="66"/>
      <c r="Q277" s="66"/>
      <c r="R277" s="66"/>
      <c r="S277" s="66"/>
      <c r="T277" s="66"/>
      <c r="U277" s="66"/>
      <c r="V277" s="66"/>
      <c r="W277" s="66"/>
    </row>
    <row r="278" spans="1:23">
      <c r="A278" s="66"/>
      <c r="B278" s="66"/>
      <c r="C278" s="66"/>
      <c r="D278" s="66"/>
      <c r="E278" s="66"/>
      <c r="F278" s="66"/>
      <c r="G278" s="66"/>
      <c r="H278" s="66"/>
      <c r="I278" s="66"/>
      <c r="J278" s="66"/>
      <c r="K278" s="66"/>
      <c r="L278" s="66"/>
      <c r="M278" s="66"/>
      <c r="N278" s="66"/>
      <c r="O278" s="66"/>
      <c r="P278" s="66"/>
      <c r="Q278" s="66"/>
      <c r="R278" s="66"/>
      <c r="S278" s="66"/>
      <c r="T278" s="66"/>
      <c r="U278" s="66"/>
      <c r="V278" s="66"/>
      <c r="W278" s="66"/>
    </row>
    <row r="279" spans="1:23">
      <c r="A279" s="66"/>
      <c r="B279" s="66"/>
      <c r="C279" s="66"/>
      <c r="D279" s="66"/>
      <c r="E279" s="66"/>
      <c r="F279" s="66"/>
      <c r="G279" s="66"/>
      <c r="H279" s="66"/>
      <c r="I279" s="66"/>
      <c r="J279" s="66"/>
      <c r="K279" s="66"/>
      <c r="L279" s="66"/>
      <c r="M279" s="66"/>
      <c r="N279" s="66"/>
      <c r="O279" s="66"/>
      <c r="P279" s="66"/>
      <c r="Q279" s="66"/>
      <c r="R279" s="66"/>
      <c r="S279" s="66"/>
      <c r="T279" s="66"/>
      <c r="U279" s="66"/>
      <c r="V279" s="66"/>
      <c r="W279" s="66"/>
    </row>
    <row r="280" spans="1:23">
      <c r="A280" s="66"/>
      <c r="B280" s="66"/>
      <c r="C280" s="66"/>
      <c r="D280" s="66"/>
      <c r="E280" s="66"/>
      <c r="F280" s="66"/>
      <c r="G280" s="66"/>
      <c r="H280" s="66"/>
      <c r="I280" s="66"/>
      <c r="J280" s="66"/>
      <c r="K280" s="66"/>
      <c r="L280" s="66"/>
      <c r="M280" s="66"/>
      <c r="N280" s="66"/>
      <c r="O280" s="66"/>
      <c r="P280" s="66"/>
      <c r="Q280" s="66"/>
      <c r="R280" s="66"/>
      <c r="S280" s="66"/>
      <c r="T280" s="66"/>
      <c r="U280" s="66"/>
      <c r="V280" s="66"/>
      <c r="W280" s="66"/>
    </row>
    <row r="281" spans="1:23">
      <c r="A281" s="66"/>
      <c r="B281" s="66"/>
      <c r="C281" s="66"/>
      <c r="D281" s="66"/>
      <c r="E281" s="66"/>
      <c r="F281" s="66"/>
      <c r="G281" s="66"/>
      <c r="H281" s="66"/>
      <c r="I281" s="66"/>
      <c r="J281" s="66"/>
      <c r="K281" s="66"/>
      <c r="L281" s="66"/>
      <c r="M281" s="66"/>
      <c r="N281" s="66"/>
      <c r="O281" s="66"/>
      <c r="P281" s="66"/>
      <c r="Q281" s="66"/>
      <c r="R281" s="66"/>
      <c r="S281" s="66"/>
      <c r="T281" s="66"/>
      <c r="U281" s="66"/>
      <c r="V281" s="66"/>
      <c r="W281" s="66"/>
    </row>
    <row r="282" spans="1:23">
      <c r="A282" s="66"/>
      <c r="B282" s="66"/>
      <c r="C282" s="66"/>
      <c r="D282" s="66"/>
      <c r="E282" s="66"/>
      <c r="F282" s="66"/>
      <c r="G282" s="66"/>
      <c r="H282" s="66"/>
      <c r="I282" s="66"/>
      <c r="J282" s="66"/>
      <c r="K282" s="66"/>
      <c r="L282" s="66"/>
      <c r="M282" s="66"/>
      <c r="N282" s="66"/>
      <c r="O282" s="66"/>
      <c r="P282" s="66"/>
      <c r="Q282" s="66"/>
      <c r="R282" s="66"/>
      <c r="S282" s="66"/>
      <c r="T282" s="66"/>
      <c r="U282" s="66"/>
      <c r="V282" s="66"/>
      <c r="W282" s="66"/>
    </row>
    <row r="283" spans="1:23">
      <c r="A283" s="66"/>
      <c r="B283" s="66"/>
      <c r="C283" s="66"/>
      <c r="D283" s="66"/>
      <c r="E283" s="66"/>
      <c r="F283" s="66"/>
      <c r="G283" s="66"/>
      <c r="H283" s="66"/>
      <c r="I283" s="66"/>
      <c r="J283" s="66"/>
      <c r="K283" s="66"/>
      <c r="L283" s="66"/>
      <c r="M283" s="66"/>
      <c r="N283" s="66"/>
      <c r="O283" s="66"/>
      <c r="P283" s="66"/>
      <c r="Q283" s="66"/>
      <c r="R283" s="66"/>
      <c r="S283" s="66"/>
      <c r="T283" s="66"/>
      <c r="U283" s="66"/>
      <c r="V283" s="66"/>
      <c r="W283" s="66"/>
    </row>
    <row r="284" spans="1:23">
      <c r="A284" s="66"/>
      <c r="B284" s="66"/>
      <c r="C284" s="66"/>
      <c r="D284" s="66"/>
      <c r="E284" s="66"/>
      <c r="F284" s="66"/>
      <c r="G284" s="66"/>
      <c r="H284" s="66"/>
      <c r="I284" s="66"/>
      <c r="J284" s="66"/>
      <c r="K284" s="66"/>
      <c r="L284" s="66"/>
      <c r="M284" s="66"/>
      <c r="N284" s="66"/>
      <c r="O284" s="66"/>
      <c r="P284" s="66"/>
      <c r="Q284" s="66"/>
      <c r="R284" s="66"/>
      <c r="S284" s="66"/>
      <c r="T284" s="66"/>
      <c r="U284" s="66"/>
      <c r="V284" s="66"/>
      <c r="W284" s="66"/>
    </row>
    <row r="285" spans="1:23">
      <c r="A285" s="66"/>
      <c r="B285" s="66"/>
      <c r="C285" s="66"/>
      <c r="D285" s="66"/>
      <c r="E285" s="66"/>
      <c r="F285" s="66"/>
      <c r="G285" s="66"/>
      <c r="H285" s="66"/>
      <c r="I285" s="66"/>
      <c r="J285" s="66"/>
      <c r="K285" s="66"/>
      <c r="L285" s="66"/>
      <c r="M285" s="66"/>
      <c r="N285" s="66"/>
      <c r="O285" s="66"/>
      <c r="P285" s="66"/>
      <c r="Q285" s="66"/>
      <c r="R285" s="66"/>
      <c r="S285" s="66"/>
      <c r="T285" s="66"/>
      <c r="U285" s="66"/>
      <c r="V285" s="66"/>
      <c r="W285" s="66"/>
    </row>
    <row r="286" spans="1:23">
      <c r="A286" s="66"/>
      <c r="B286" s="66"/>
      <c r="C286" s="66"/>
      <c r="D286" s="66"/>
      <c r="E286" s="66"/>
      <c r="F286" s="66"/>
      <c r="G286" s="66"/>
      <c r="H286" s="66"/>
      <c r="I286" s="66"/>
      <c r="J286" s="66"/>
      <c r="K286" s="66"/>
      <c r="L286" s="66"/>
      <c r="M286" s="66"/>
      <c r="N286" s="66"/>
      <c r="O286" s="66"/>
      <c r="P286" s="66"/>
      <c r="Q286" s="66"/>
      <c r="R286" s="66"/>
      <c r="S286" s="66"/>
      <c r="T286" s="66"/>
      <c r="U286" s="66"/>
      <c r="V286" s="66"/>
      <c r="W286" s="66"/>
    </row>
    <row r="287" spans="1:23">
      <c r="A287" s="66"/>
      <c r="B287" s="66"/>
      <c r="C287" s="66"/>
      <c r="D287" s="66"/>
      <c r="E287" s="66"/>
      <c r="F287" s="66"/>
      <c r="G287" s="66"/>
      <c r="H287" s="66"/>
      <c r="I287" s="66"/>
      <c r="J287" s="66"/>
      <c r="K287" s="66"/>
      <c r="L287" s="66"/>
      <c r="M287" s="66"/>
      <c r="N287" s="66"/>
      <c r="O287" s="66"/>
      <c r="P287" s="66"/>
      <c r="Q287" s="66"/>
      <c r="R287" s="66"/>
      <c r="S287" s="66"/>
      <c r="T287" s="66"/>
      <c r="U287" s="66"/>
      <c r="V287" s="66"/>
      <c r="W287" s="66"/>
    </row>
    <row r="288" spans="1:23">
      <c r="A288" s="66"/>
      <c r="B288" s="66"/>
      <c r="C288" s="66"/>
      <c r="D288" s="66"/>
      <c r="E288" s="66"/>
      <c r="F288" s="66"/>
      <c r="G288" s="66"/>
      <c r="H288" s="66"/>
      <c r="I288" s="66"/>
      <c r="J288" s="66"/>
      <c r="K288" s="66"/>
      <c r="L288" s="66"/>
      <c r="M288" s="66"/>
      <c r="N288" s="66"/>
      <c r="O288" s="66"/>
      <c r="P288" s="66"/>
      <c r="Q288" s="66"/>
      <c r="R288" s="66"/>
      <c r="S288" s="66"/>
      <c r="T288" s="66"/>
      <c r="U288" s="66"/>
      <c r="V288" s="66"/>
      <c r="W288" s="66"/>
    </row>
    <row r="289" spans="1:23">
      <c r="A289" s="66"/>
      <c r="B289" s="66"/>
      <c r="C289" s="66"/>
      <c r="D289" s="66"/>
      <c r="E289" s="66"/>
      <c r="F289" s="66"/>
      <c r="G289" s="66"/>
      <c r="H289" s="66"/>
      <c r="I289" s="66"/>
      <c r="J289" s="66"/>
      <c r="K289" s="66"/>
      <c r="L289" s="66"/>
      <c r="M289" s="66"/>
      <c r="N289" s="66"/>
      <c r="O289" s="66"/>
      <c r="P289" s="66"/>
      <c r="Q289" s="66"/>
      <c r="R289" s="66"/>
      <c r="S289" s="66"/>
      <c r="T289" s="66"/>
      <c r="U289" s="66"/>
      <c r="V289" s="66"/>
      <c r="W289" s="66"/>
    </row>
    <row r="290" spans="1:23">
      <c r="A290" s="66"/>
      <c r="B290" s="66"/>
      <c r="C290" s="66"/>
      <c r="D290" s="66"/>
      <c r="E290" s="66"/>
      <c r="F290" s="66"/>
      <c r="G290" s="66"/>
      <c r="H290" s="66"/>
      <c r="I290" s="66"/>
      <c r="J290" s="66"/>
      <c r="K290" s="66"/>
      <c r="L290" s="66"/>
      <c r="M290" s="66"/>
      <c r="N290" s="66"/>
      <c r="O290" s="66"/>
      <c r="P290" s="66"/>
      <c r="Q290" s="66"/>
      <c r="R290" s="66"/>
      <c r="S290" s="66"/>
      <c r="T290" s="66"/>
      <c r="U290" s="66"/>
      <c r="V290" s="66"/>
      <c r="W290" s="66"/>
    </row>
    <row r="291" spans="1:23">
      <c r="A291" s="66"/>
      <c r="B291" s="66"/>
      <c r="C291" s="66"/>
      <c r="D291" s="66"/>
      <c r="E291" s="66"/>
      <c r="F291" s="66"/>
      <c r="G291" s="66"/>
      <c r="H291" s="66"/>
      <c r="I291" s="66"/>
      <c r="J291" s="66"/>
      <c r="K291" s="66"/>
      <c r="L291" s="66"/>
      <c r="M291" s="66"/>
      <c r="N291" s="66"/>
      <c r="O291" s="66"/>
      <c r="P291" s="66"/>
      <c r="Q291" s="66"/>
      <c r="R291" s="66"/>
      <c r="S291" s="66"/>
      <c r="T291" s="66"/>
      <c r="U291" s="66"/>
      <c r="V291" s="66"/>
      <c r="W291" s="66"/>
    </row>
    <row r="292" spans="1:23">
      <c r="A292" s="66"/>
      <c r="B292" s="66"/>
      <c r="C292" s="66"/>
      <c r="D292" s="66"/>
      <c r="E292" s="66"/>
      <c r="F292" s="66"/>
      <c r="G292" s="66"/>
      <c r="H292" s="66"/>
      <c r="I292" s="66"/>
      <c r="J292" s="66"/>
      <c r="K292" s="66"/>
      <c r="L292" s="66"/>
      <c r="M292" s="66"/>
      <c r="N292" s="66"/>
      <c r="O292" s="66"/>
      <c r="P292" s="66"/>
      <c r="Q292" s="66"/>
      <c r="R292" s="66"/>
      <c r="S292" s="66"/>
      <c r="T292" s="66"/>
      <c r="U292" s="66"/>
      <c r="V292" s="66"/>
      <c r="W292" s="66"/>
    </row>
    <row r="293" spans="1:23">
      <c r="A293" s="66"/>
      <c r="B293" s="66"/>
      <c r="C293" s="66"/>
      <c r="D293" s="66"/>
      <c r="E293" s="66"/>
      <c r="F293" s="66"/>
      <c r="G293" s="66"/>
      <c r="H293" s="66"/>
      <c r="I293" s="66"/>
      <c r="J293" s="66"/>
      <c r="K293" s="66"/>
      <c r="L293" s="66"/>
      <c r="M293" s="66"/>
      <c r="N293" s="66"/>
      <c r="O293" s="66"/>
      <c r="P293" s="66"/>
      <c r="Q293" s="66"/>
      <c r="R293" s="66"/>
      <c r="S293" s="66"/>
      <c r="T293" s="66"/>
      <c r="U293" s="66"/>
      <c r="V293" s="66"/>
      <c r="W293" s="66"/>
    </row>
    <row r="294" spans="1:23">
      <c r="A294" s="66"/>
      <c r="B294" s="66"/>
      <c r="C294" s="66"/>
      <c r="D294" s="66"/>
      <c r="E294" s="66"/>
      <c r="F294" s="66"/>
      <c r="G294" s="66"/>
      <c r="H294" s="66"/>
      <c r="I294" s="66"/>
      <c r="J294" s="66"/>
      <c r="K294" s="66"/>
      <c r="L294" s="66"/>
      <c r="M294" s="66"/>
      <c r="N294" s="66"/>
      <c r="O294" s="66"/>
      <c r="P294" s="66"/>
      <c r="Q294" s="66"/>
      <c r="R294" s="66"/>
      <c r="S294" s="66"/>
      <c r="T294" s="66"/>
      <c r="U294" s="66"/>
      <c r="V294" s="66"/>
      <c r="W294" s="66"/>
    </row>
    <row r="295" spans="1:23">
      <c r="A295" s="66"/>
      <c r="B295" s="66"/>
      <c r="C295" s="66"/>
      <c r="D295" s="66"/>
      <c r="E295" s="66"/>
      <c r="F295" s="66"/>
      <c r="G295" s="66"/>
      <c r="H295" s="66"/>
      <c r="I295" s="66"/>
      <c r="J295" s="66"/>
      <c r="K295" s="66"/>
      <c r="L295" s="66"/>
      <c r="M295" s="66"/>
      <c r="N295" s="66"/>
      <c r="O295" s="66"/>
      <c r="P295" s="66"/>
      <c r="Q295" s="66"/>
      <c r="R295" s="66"/>
      <c r="S295" s="66"/>
      <c r="T295" s="66"/>
      <c r="U295" s="66"/>
      <c r="V295" s="66"/>
      <c r="W295" s="66"/>
    </row>
    <row r="296" spans="1:23">
      <c r="A296" s="66"/>
      <c r="B296" s="66"/>
      <c r="C296" s="66"/>
      <c r="D296" s="66"/>
      <c r="E296" s="66"/>
      <c r="F296" s="66"/>
      <c r="G296" s="66"/>
      <c r="H296" s="66"/>
      <c r="I296" s="66"/>
      <c r="J296" s="66"/>
      <c r="K296" s="66"/>
      <c r="L296" s="66"/>
      <c r="M296" s="66"/>
      <c r="N296" s="66"/>
      <c r="O296" s="66"/>
      <c r="P296" s="66"/>
      <c r="Q296" s="66"/>
      <c r="R296" s="66"/>
      <c r="S296" s="66"/>
      <c r="T296" s="66"/>
      <c r="U296" s="66"/>
      <c r="V296" s="66"/>
      <c r="W296" s="66"/>
    </row>
    <row r="297" spans="1:23">
      <c r="A297" s="66"/>
      <c r="B297" s="66"/>
      <c r="C297" s="66"/>
      <c r="D297" s="66"/>
      <c r="E297" s="66"/>
      <c r="F297" s="66"/>
      <c r="G297" s="66"/>
      <c r="H297" s="66"/>
      <c r="I297" s="66"/>
      <c r="J297" s="66"/>
      <c r="K297" s="66"/>
      <c r="L297" s="66"/>
      <c r="M297" s="66"/>
      <c r="N297" s="66"/>
      <c r="O297" s="66"/>
      <c r="P297" s="66"/>
      <c r="Q297" s="66"/>
      <c r="R297" s="66"/>
      <c r="S297" s="66"/>
      <c r="T297" s="66"/>
      <c r="U297" s="66"/>
      <c r="V297" s="66"/>
      <c r="W297" s="66"/>
    </row>
    <row r="298" spans="1:23">
      <c r="A298" s="66"/>
      <c r="B298" s="66"/>
      <c r="C298" s="66"/>
      <c r="D298" s="66"/>
      <c r="E298" s="66"/>
      <c r="F298" s="66"/>
      <c r="G298" s="66"/>
      <c r="H298" s="66"/>
      <c r="I298" s="66"/>
      <c r="J298" s="66"/>
      <c r="K298" s="66"/>
      <c r="L298" s="66"/>
      <c r="M298" s="66"/>
      <c r="N298" s="66"/>
      <c r="O298" s="66"/>
      <c r="P298" s="66"/>
      <c r="Q298" s="66"/>
      <c r="R298" s="66"/>
      <c r="S298" s="66"/>
      <c r="T298" s="66"/>
      <c r="U298" s="66"/>
      <c r="V298" s="66"/>
      <c r="W298" s="66"/>
    </row>
    <row r="299" spans="1:23">
      <c r="A299" s="66"/>
      <c r="B299" s="66"/>
      <c r="C299" s="66"/>
      <c r="D299" s="66"/>
      <c r="E299" s="66"/>
      <c r="F299" s="66"/>
      <c r="G299" s="66"/>
      <c r="H299" s="66"/>
      <c r="I299" s="66"/>
      <c r="J299" s="66"/>
      <c r="K299" s="66"/>
      <c r="L299" s="66"/>
      <c r="M299" s="66"/>
      <c r="N299" s="66"/>
      <c r="O299" s="66"/>
      <c r="P299" s="66"/>
      <c r="Q299" s="66"/>
      <c r="R299" s="66"/>
      <c r="S299" s="66"/>
      <c r="T299" s="66"/>
      <c r="U299" s="66"/>
      <c r="V299" s="66"/>
      <c r="W299" s="66"/>
    </row>
    <row r="300" spans="1:23">
      <c r="A300" s="66"/>
      <c r="B300" s="66"/>
      <c r="C300" s="66"/>
      <c r="D300" s="66"/>
      <c r="E300" s="66"/>
      <c r="F300" s="66"/>
      <c r="G300" s="66"/>
      <c r="H300" s="66"/>
      <c r="I300" s="66"/>
      <c r="J300" s="66"/>
      <c r="K300" s="66"/>
      <c r="L300" s="66"/>
      <c r="M300" s="66"/>
      <c r="N300" s="66"/>
      <c r="O300" s="66"/>
      <c r="P300" s="66"/>
      <c r="Q300" s="66"/>
      <c r="R300" s="66"/>
      <c r="S300" s="66"/>
      <c r="T300" s="66"/>
      <c r="U300" s="66"/>
      <c r="V300" s="66"/>
      <c r="W300" s="66"/>
    </row>
    <row r="301" spans="1:23">
      <c r="A301" s="66"/>
      <c r="B301" s="66"/>
      <c r="C301" s="66"/>
      <c r="D301" s="66"/>
      <c r="E301" s="66"/>
      <c r="F301" s="66"/>
      <c r="G301" s="66"/>
      <c r="H301" s="66"/>
      <c r="I301" s="66"/>
      <c r="J301" s="66"/>
      <c r="K301" s="66"/>
      <c r="L301" s="66"/>
      <c r="M301" s="66"/>
      <c r="N301" s="66"/>
      <c r="O301" s="66"/>
      <c r="P301" s="66"/>
      <c r="Q301" s="66"/>
      <c r="R301" s="66"/>
      <c r="S301" s="66"/>
      <c r="T301" s="66"/>
      <c r="U301" s="66"/>
      <c r="V301" s="66"/>
      <c r="W301" s="66"/>
    </row>
    <row r="302" spans="1:23">
      <c r="A302" s="66"/>
      <c r="B302" s="66"/>
      <c r="C302" s="66"/>
      <c r="D302" s="66"/>
      <c r="E302" s="66"/>
      <c r="F302" s="66"/>
      <c r="G302" s="66"/>
      <c r="H302" s="66"/>
      <c r="I302" s="66"/>
      <c r="J302" s="66"/>
      <c r="K302" s="66"/>
      <c r="L302" s="66"/>
      <c r="M302" s="66"/>
      <c r="N302" s="66"/>
      <c r="O302" s="66"/>
      <c r="P302" s="66"/>
      <c r="Q302" s="66"/>
      <c r="R302" s="66"/>
      <c r="S302" s="66"/>
      <c r="T302" s="66"/>
      <c r="U302" s="66"/>
      <c r="V302" s="66"/>
      <c r="W302" s="66"/>
    </row>
    <row r="303" spans="1:23">
      <c r="A303" s="66"/>
      <c r="B303" s="66"/>
      <c r="C303" s="66"/>
      <c r="D303" s="66"/>
      <c r="E303" s="66"/>
      <c r="F303" s="66"/>
      <c r="G303" s="66"/>
      <c r="H303" s="66"/>
      <c r="I303" s="66"/>
      <c r="J303" s="66"/>
      <c r="K303" s="66"/>
      <c r="L303" s="66"/>
      <c r="M303" s="66"/>
      <c r="N303" s="66"/>
      <c r="O303" s="66"/>
      <c r="P303" s="66"/>
      <c r="Q303" s="66"/>
      <c r="R303" s="66"/>
      <c r="S303" s="66"/>
      <c r="T303" s="66"/>
      <c r="U303" s="66"/>
      <c r="V303" s="66"/>
      <c r="W303" s="66"/>
    </row>
    <row r="304" spans="1:23">
      <c r="A304" s="66"/>
      <c r="B304" s="66"/>
      <c r="C304" s="66"/>
      <c r="D304" s="66"/>
      <c r="E304" s="66"/>
      <c r="F304" s="66"/>
      <c r="G304" s="66"/>
      <c r="H304" s="66"/>
      <c r="I304" s="66"/>
      <c r="J304" s="66"/>
      <c r="K304" s="66"/>
      <c r="L304" s="66"/>
      <c r="M304" s="66"/>
      <c r="N304" s="66"/>
      <c r="O304" s="66"/>
      <c r="P304" s="66"/>
      <c r="Q304" s="66"/>
      <c r="R304" s="66"/>
      <c r="S304" s="66"/>
      <c r="T304" s="66"/>
      <c r="U304" s="66"/>
      <c r="V304" s="66"/>
      <c r="W304" s="66"/>
    </row>
    <row r="305" spans="1:23">
      <c r="A305" s="66"/>
      <c r="B305" s="66"/>
      <c r="C305" s="66"/>
      <c r="D305" s="66"/>
      <c r="E305" s="66"/>
      <c r="F305" s="66"/>
      <c r="G305" s="66"/>
      <c r="H305" s="66"/>
      <c r="I305" s="66"/>
      <c r="J305" s="66"/>
      <c r="K305" s="66"/>
      <c r="L305" s="66"/>
      <c r="M305" s="66"/>
      <c r="N305" s="66"/>
      <c r="O305" s="66"/>
      <c r="P305" s="66"/>
      <c r="Q305" s="66"/>
      <c r="R305" s="66"/>
      <c r="S305" s="66"/>
      <c r="T305" s="66"/>
      <c r="U305" s="66"/>
      <c r="V305" s="66"/>
      <c r="W305" s="66"/>
    </row>
    <row r="306" spans="1:23">
      <c r="A306" s="66"/>
      <c r="B306" s="66"/>
      <c r="C306" s="66"/>
      <c r="D306" s="66"/>
      <c r="E306" s="66"/>
      <c r="F306" s="66"/>
      <c r="G306" s="66"/>
      <c r="H306" s="66"/>
      <c r="I306" s="66"/>
      <c r="J306" s="66"/>
      <c r="K306" s="66"/>
      <c r="L306" s="66"/>
      <c r="M306" s="66"/>
      <c r="N306" s="66"/>
      <c r="O306" s="66"/>
      <c r="P306" s="66"/>
      <c r="Q306" s="66"/>
      <c r="R306" s="66"/>
      <c r="S306" s="66"/>
      <c r="T306" s="66"/>
      <c r="U306" s="66"/>
      <c r="V306" s="66"/>
      <c r="W306" s="66"/>
    </row>
    <row r="307" spans="1:23">
      <c r="A307" s="66"/>
      <c r="B307" s="66"/>
      <c r="C307" s="66"/>
      <c r="D307" s="66"/>
      <c r="E307" s="66"/>
      <c r="F307" s="66"/>
      <c r="G307" s="66"/>
      <c r="H307" s="66"/>
      <c r="I307" s="66"/>
      <c r="J307" s="66"/>
      <c r="K307" s="66"/>
      <c r="L307" s="66"/>
      <c r="M307" s="66"/>
      <c r="N307" s="66"/>
      <c r="O307" s="66"/>
      <c r="P307" s="66"/>
      <c r="Q307" s="66"/>
      <c r="R307" s="66"/>
      <c r="S307" s="66"/>
      <c r="T307" s="66"/>
      <c r="U307" s="66"/>
      <c r="V307" s="66"/>
      <c r="W307" s="66"/>
    </row>
    <row r="308" spans="1:23">
      <c r="A308" s="66"/>
      <c r="B308" s="66"/>
      <c r="C308" s="66"/>
      <c r="D308" s="66"/>
      <c r="E308" s="66"/>
      <c r="F308" s="66"/>
      <c r="G308" s="66"/>
      <c r="H308" s="66"/>
      <c r="I308" s="66"/>
      <c r="J308" s="66"/>
      <c r="K308" s="66"/>
      <c r="L308" s="66"/>
      <c r="M308" s="66"/>
      <c r="N308" s="66"/>
      <c r="O308" s="66"/>
      <c r="P308" s="66"/>
      <c r="Q308" s="66"/>
      <c r="R308" s="66"/>
      <c r="S308" s="66"/>
      <c r="T308" s="66"/>
      <c r="U308" s="66"/>
      <c r="V308" s="66"/>
      <c r="W308" s="66"/>
    </row>
    <row r="309" spans="1:23">
      <c r="A309" s="66"/>
      <c r="B309" s="66"/>
      <c r="C309" s="66"/>
      <c r="D309" s="66"/>
      <c r="E309" s="66"/>
      <c r="F309" s="66"/>
      <c r="G309" s="66"/>
      <c r="H309" s="66"/>
      <c r="I309" s="66"/>
      <c r="J309" s="66"/>
      <c r="K309" s="66"/>
      <c r="L309" s="66"/>
      <c r="M309" s="66"/>
      <c r="N309" s="66"/>
      <c r="O309" s="66"/>
      <c r="P309" s="66"/>
      <c r="Q309" s="66"/>
      <c r="R309" s="66"/>
      <c r="S309" s="66"/>
      <c r="T309" s="66"/>
      <c r="U309" s="66"/>
      <c r="V309" s="66"/>
      <c r="W309" s="66"/>
    </row>
    <row r="310" spans="1:23">
      <c r="A310" s="66"/>
      <c r="B310" s="66"/>
      <c r="C310" s="66"/>
      <c r="D310" s="66"/>
      <c r="E310" s="66"/>
      <c r="F310" s="66"/>
      <c r="G310" s="66"/>
      <c r="H310" s="66"/>
      <c r="I310" s="66"/>
      <c r="J310" s="66"/>
      <c r="K310" s="66"/>
      <c r="L310" s="66"/>
      <c r="M310" s="66"/>
      <c r="N310" s="66"/>
      <c r="O310" s="66"/>
      <c r="P310" s="66"/>
      <c r="Q310" s="66"/>
      <c r="R310" s="66"/>
      <c r="S310" s="66"/>
      <c r="T310" s="66"/>
      <c r="U310" s="66"/>
      <c r="V310" s="66"/>
      <c r="W310" s="66"/>
    </row>
    <row r="311" spans="1:23">
      <c r="A311" s="66"/>
      <c r="B311" s="66"/>
      <c r="C311" s="66"/>
      <c r="D311" s="66"/>
      <c r="E311" s="66"/>
      <c r="F311" s="66"/>
      <c r="G311" s="66"/>
      <c r="H311" s="66"/>
      <c r="I311" s="66"/>
      <c r="J311" s="66"/>
      <c r="K311" s="66"/>
      <c r="L311" s="66"/>
      <c r="M311" s="66"/>
      <c r="N311" s="66"/>
      <c r="O311" s="66"/>
      <c r="P311" s="66"/>
      <c r="Q311" s="66"/>
      <c r="R311" s="66"/>
      <c r="S311" s="66"/>
      <c r="T311" s="66"/>
      <c r="U311" s="66"/>
      <c r="V311" s="66"/>
      <c r="W311" s="66"/>
    </row>
    <row r="312" spans="1:23">
      <c r="A312" s="66"/>
      <c r="B312" s="66"/>
      <c r="C312" s="66"/>
      <c r="D312" s="66"/>
      <c r="E312" s="66"/>
      <c r="F312" s="66"/>
      <c r="G312" s="66"/>
      <c r="H312" s="66"/>
      <c r="I312" s="66"/>
      <c r="J312" s="66"/>
      <c r="K312" s="66"/>
      <c r="L312" s="66"/>
      <c r="M312" s="66"/>
      <c r="N312" s="66"/>
      <c r="O312" s="66"/>
      <c r="P312" s="66"/>
      <c r="Q312" s="66"/>
      <c r="R312" s="66"/>
      <c r="S312" s="66"/>
      <c r="T312" s="66"/>
      <c r="U312" s="66"/>
      <c r="V312" s="66"/>
      <c r="W312" s="66"/>
    </row>
    <row r="313" spans="1:23">
      <c r="A313" s="66"/>
      <c r="B313" s="66"/>
      <c r="C313" s="66"/>
      <c r="D313" s="66"/>
      <c r="E313" s="66"/>
      <c r="F313" s="66"/>
      <c r="G313" s="66"/>
      <c r="H313" s="66"/>
      <c r="I313" s="66"/>
      <c r="J313" s="66"/>
      <c r="K313" s="66"/>
      <c r="L313" s="66"/>
      <c r="M313" s="66"/>
      <c r="N313" s="66"/>
      <c r="O313" s="66"/>
      <c r="P313" s="66"/>
      <c r="Q313" s="66"/>
      <c r="R313" s="66"/>
      <c r="S313" s="66"/>
      <c r="T313" s="66"/>
      <c r="U313" s="66"/>
      <c r="V313" s="66"/>
      <c r="W313" s="66"/>
    </row>
    <row r="314" spans="1:23">
      <c r="A314" s="66"/>
      <c r="B314" s="66"/>
      <c r="C314" s="66"/>
      <c r="D314" s="66"/>
      <c r="E314" s="66"/>
      <c r="F314" s="66"/>
      <c r="G314" s="66"/>
      <c r="H314" s="66"/>
      <c r="I314" s="66"/>
      <c r="J314" s="66"/>
      <c r="K314" s="66"/>
      <c r="L314" s="66"/>
      <c r="M314" s="66"/>
      <c r="N314" s="66"/>
      <c r="O314" s="66"/>
      <c r="P314" s="66"/>
      <c r="Q314" s="66"/>
      <c r="R314" s="66"/>
      <c r="S314" s="66"/>
      <c r="T314" s="66"/>
      <c r="U314" s="66"/>
      <c r="V314" s="66"/>
      <c r="W314" s="66"/>
    </row>
    <row r="315" spans="1:23">
      <c r="A315" s="66"/>
      <c r="B315" s="66"/>
      <c r="C315" s="66"/>
      <c r="D315" s="66"/>
      <c r="E315" s="66"/>
      <c r="F315" s="66"/>
      <c r="G315" s="66"/>
      <c r="H315" s="66"/>
      <c r="I315" s="66"/>
      <c r="J315" s="66"/>
      <c r="K315" s="66"/>
      <c r="L315" s="66"/>
      <c r="M315" s="66"/>
      <c r="N315" s="66"/>
      <c r="O315" s="66"/>
      <c r="P315" s="66"/>
      <c r="Q315" s="66"/>
      <c r="R315" s="66"/>
      <c r="S315" s="66"/>
      <c r="T315" s="66"/>
      <c r="U315" s="66"/>
      <c r="V315" s="66"/>
      <c r="W315" s="66"/>
    </row>
    <row r="316" spans="1:23">
      <c r="A316" s="66"/>
      <c r="B316" s="66"/>
      <c r="C316" s="66"/>
      <c r="D316" s="66"/>
      <c r="E316" s="66"/>
      <c r="F316" s="66"/>
      <c r="G316" s="66"/>
      <c r="H316" s="66"/>
      <c r="I316" s="66"/>
      <c r="J316" s="66"/>
      <c r="K316" s="66"/>
      <c r="L316" s="66"/>
      <c r="M316" s="66"/>
      <c r="N316" s="66"/>
      <c r="O316" s="66"/>
      <c r="P316" s="66"/>
      <c r="Q316" s="66"/>
      <c r="R316" s="66"/>
      <c r="S316" s="66"/>
      <c r="T316" s="66"/>
      <c r="U316" s="66"/>
      <c r="V316" s="66"/>
      <c r="W316" s="66"/>
    </row>
    <row r="317" spans="1:23">
      <c r="A317" s="66"/>
      <c r="B317" s="66"/>
      <c r="C317" s="66"/>
      <c r="D317" s="66"/>
      <c r="E317" s="66"/>
      <c r="F317" s="66"/>
      <c r="G317" s="66"/>
      <c r="H317" s="66"/>
      <c r="I317" s="66"/>
      <c r="J317" s="66"/>
      <c r="K317" s="66"/>
      <c r="L317" s="66"/>
      <c r="M317" s="66"/>
      <c r="N317" s="66"/>
      <c r="O317" s="66"/>
      <c r="P317" s="66"/>
      <c r="Q317" s="66"/>
      <c r="R317" s="66"/>
      <c r="S317" s="66"/>
      <c r="T317" s="66"/>
      <c r="U317" s="66"/>
      <c r="V317" s="66"/>
      <c r="W317" s="66"/>
    </row>
    <row r="318" spans="1:23">
      <c r="A318" s="66"/>
      <c r="B318" s="66"/>
      <c r="C318" s="66"/>
      <c r="D318" s="66"/>
      <c r="E318" s="66"/>
      <c r="F318" s="66"/>
      <c r="G318" s="66"/>
      <c r="H318" s="66"/>
      <c r="I318" s="66"/>
      <c r="J318" s="66"/>
      <c r="K318" s="66"/>
      <c r="L318" s="66"/>
      <c r="M318" s="66"/>
      <c r="N318" s="66"/>
      <c r="O318" s="66"/>
      <c r="P318" s="66"/>
      <c r="Q318" s="66"/>
      <c r="R318" s="66"/>
      <c r="S318" s="66"/>
      <c r="T318" s="66"/>
      <c r="U318" s="66"/>
      <c r="V318" s="66"/>
      <c r="W318" s="66"/>
    </row>
    <row r="319" spans="1:23">
      <c r="A319" s="66"/>
      <c r="B319" s="66"/>
      <c r="C319" s="66"/>
      <c r="D319" s="66"/>
      <c r="E319" s="66"/>
      <c r="F319" s="66"/>
      <c r="G319" s="66"/>
      <c r="H319" s="66"/>
      <c r="I319" s="66"/>
      <c r="J319" s="66"/>
      <c r="K319" s="66"/>
      <c r="L319" s="66"/>
      <c r="M319" s="66"/>
      <c r="N319" s="66"/>
      <c r="O319" s="66"/>
      <c r="P319" s="66"/>
      <c r="Q319" s="66"/>
      <c r="R319" s="66"/>
      <c r="S319" s="66"/>
      <c r="T319" s="66"/>
      <c r="U319" s="66"/>
      <c r="V319" s="66"/>
      <c r="W319" s="66"/>
    </row>
    <row r="320" spans="1:23">
      <c r="A320" s="66"/>
      <c r="B320" s="66"/>
      <c r="C320" s="66"/>
      <c r="D320" s="66"/>
      <c r="E320" s="66"/>
      <c r="F320" s="66"/>
      <c r="G320" s="66"/>
      <c r="H320" s="66"/>
      <c r="I320" s="66"/>
      <c r="J320" s="66"/>
      <c r="K320" s="66"/>
      <c r="L320" s="66"/>
      <c r="M320" s="66"/>
      <c r="N320" s="66"/>
      <c r="O320" s="66"/>
      <c r="P320" s="66"/>
      <c r="Q320" s="66"/>
      <c r="R320" s="66"/>
      <c r="S320" s="66"/>
      <c r="T320" s="66"/>
      <c r="U320" s="66"/>
      <c r="V320" s="66"/>
      <c r="W320" s="66"/>
    </row>
    <row r="321" spans="1:23">
      <c r="A321" s="66"/>
      <c r="B321" s="66"/>
      <c r="C321" s="66"/>
      <c r="D321" s="66"/>
      <c r="E321" s="66"/>
      <c r="F321" s="66"/>
      <c r="G321" s="66"/>
      <c r="H321" s="66"/>
      <c r="I321" s="66"/>
      <c r="J321" s="66"/>
      <c r="K321" s="66"/>
      <c r="L321" s="66"/>
      <c r="M321" s="66"/>
      <c r="N321" s="66"/>
      <c r="O321" s="66"/>
      <c r="P321" s="66"/>
      <c r="Q321" s="66"/>
      <c r="R321" s="66"/>
      <c r="S321" s="66"/>
      <c r="T321" s="66"/>
      <c r="U321" s="66"/>
      <c r="V321" s="66"/>
      <c r="W321" s="66"/>
    </row>
    <row r="322" spans="1:23">
      <c r="A322" s="66"/>
      <c r="B322" s="66"/>
      <c r="C322" s="66"/>
      <c r="D322" s="66"/>
      <c r="E322" s="66"/>
      <c r="F322" s="66"/>
      <c r="G322" s="66"/>
      <c r="H322" s="66"/>
      <c r="I322" s="66"/>
      <c r="J322" s="66"/>
      <c r="K322" s="66"/>
      <c r="L322" s="66"/>
      <c r="M322" s="66"/>
      <c r="N322" s="66"/>
      <c r="O322" s="66"/>
      <c r="P322" s="66"/>
      <c r="Q322" s="66"/>
      <c r="R322" s="66"/>
      <c r="S322" s="66"/>
      <c r="T322" s="66"/>
      <c r="U322" s="66"/>
      <c r="V322" s="66"/>
      <c r="W322" s="66"/>
    </row>
    <row r="323" spans="1:23">
      <c r="A323" s="66"/>
      <c r="B323" s="66"/>
      <c r="C323" s="66"/>
      <c r="D323" s="66"/>
      <c r="E323" s="66"/>
      <c r="F323" s="66"/>
      <c r="G323" s="66"/>
      <c r="H323" s="66"/>
      <c r="I323" s="66"/>
      <c r="J323" s="66"/>
      <c r="K323" s="66"/>
      <c r="L323" s="66"/>
      <c r="M323" s="66"/>
      <c r="N323" s="66"/>
      <c r="O323" s="66"/>
      <c r="P323" s="66"/>
      <c r="Q323" s="66"/>
      <c r="R323" s="66"/>
      <c r="S323" s="66"/>
      <c r="T323" s="66"/>
      <c r="U323" s="66"/>
      <c r="V323" s="66"/>
      <c r="W323" s="66"/>
    </row>
    <row r="324" spans="1:23">
      <c r="A324" s="66"/>
      <c r="B324" s="66"/>
      <c r="C324" s="66"/>
      <c r="D324" s="66"/>
      <c r="E324" s="66"/>
      <c r="F324" s="66"/>
      <c r="G324" s="66"/>
      <c r="H324" s="66"/>
      <c r="I324" s="66"/>
      <c r="J324" s="66"/>
      <c r="K324" s="66"/>
      <c r="L324" s="66"/>
      <c r="M324" s="66"/>
      <c r="N324" s="66"/>
      <c r="O324" s="66"/>
      <c r="P324" s="66"/>
      <c r="Q324" s="66"/>
      <c r="R324" s="66"/>
      <c r="S324" s="66"/>
      <c r="T324" s="66"/>
      <c r="U324" s="66"/>
      <c r="V324" s="66"/>
      <c r="W324" s="66"/>
    </row>
    <row r="325" spans="1:23">
      <c r="A325" s="66"/>
      <c r="B325" s="66"/>
      <c r="C325" s="66"/>
      <c r="D325" s="66"/>
      <c r="E325" s="66"/>
      <c r="F325" s="66"/>
      <c r="G325" s="66"/>
      <c r="H325" s="66"/>
      <c r="I325" s="66"/>
      <c r="J325" s="66"/>
      <c r="K325" s="66"/>
      <c r="L325" s="66"/>
      <c r="M325" s="66"/>
      <c r="N325" s="66"/>
      <c r="O325" s="66"/>
      <c r="P325" s="66"/>
      <c r="Q325" s="66"/>
      <c r="R325" s="66"/>
      <c r="S325" s="66"/>
      <c r="T325" s="66"/>
      <c r="U325" s="66"/>
      <c r="V325" s="66"/>
      <c r="W325" s="66"/>
    </row>
    <row r="326" spans="1:23">
      <c r="A326" s="66"/>
      <c r="B326" s="66"/>
      <c r="C326" s="66"/>
      <c r="D326" s="66"/>
      <c r="E326" s="66"/>
      <c r="F326" s="66"/>
      <c r="G326" s="66"/>
      <c r="H326" s="66"/>
      <c r="I326" s="66"/>
      <c r="J326" s="66"/>
      <c r="K326" s="66"/>
      <c r="L326" s="66"/>
      <c r="M326" s="66"/>
      <c r="N326" s="66"/>
      <c r="O326" s="66"/>
      <c r="P326" s="66"/>
      <c r="Q326" s="66"/>
      <c r="R326" s="66"/>
      <c r="S326" s="66"/>
      <c r="T326" s="66"/>
      <c r="U326" s="66"/>
      <c r="V326" s="66"/>
      <c r="W326" s="66"/>
    </row>
    <row r="327" spans="1:23">
      <c r="A327" s="66"/>
      <c r="B327" s="66"/>
      <c r="C327" s="66"/>
      <c r="D327" s="66"/>
      <c r="E327" s="66"/>
      <c r="F327" s="66"/>
      <c r="G327" s="66"/>
      <c r="H327" s="66"/>
      <c r="I327" s="66"/>
      <c r="J327" s="66"/>
      <c r="K327" s="66"/>
      <c r="L327" s="66"/>
      <c r="M327" s="66"/>
      <c r="N327" s="66"/>
      <c r="O327" s="66"/>
      <c r="P327" s="66"/>
      <c r="Q327" s="66"/>
      <c r="R327" s="66"/>
      <c r="S327" s="66"/>
      <c r="T327" s="66"/>
      <c r="U327" s="66"/>
      <c r="V327" s="66"/>
      <c r="W327" s="66"/>
    </row>
    <row r="328" spans="1:23">
      <c r="A328" s="66"/>
      <c r="B328" s="66"/>
      <c r="C328" s="66"/>
      <c r="D328" s="66"/>
      <c r="E328" s="66"/>
      <c r="F328" s="66"/>
      <c r="G328" s="66"/>
      <c r="H328" s="66"/>
      <c r="I328" s="66"/>
      <c r="J328" s="66"/>
      <c r="K328" s="66"/>
      <c r="L328" s="66"/>
      <c r="M328" s="66"/>
      <c r="N328" s="66"/>
      <c r="O328" s="66"/>
      <c r="P328" s="66"/>
      <c r="Q328" s="66"/>
      <c r="R328" s="66"/>
      <c r="S328" s="66"/>
      <c r="T328" s="66"/>
      <c r="U328" s="66"/>
      <c r="V328" s="66"/>
      <c r="W328" s="66"/>
    </row>
    <row r="329" spans="1:23">
      <c r="A329" s="66"/>
      <c r="B329" s="66"/>
      <c r="C329" s="66"/>
      <c r="D329" s="66"/>
      <c r="E329" s="66"/>
      <c r="F329" s="66"/>
      <c r="G329" s="66"/>
      <c r="H329" s="66"/>
      <c r="I329" s="66"/>
      <c r="J329" s="66"/>
      <c r="K329" s="66"/>
      <c r="L329" s="66"/>
      <c r="M329" s="66"/>
      <c r="N329" s="66"/>
      <c r="O329" s="66"/>
      <c r="P329" s="66"/>
      <c r="Q329" s="66"/>
      <c r="R329" s="66"/>
      <c r="S329" s="66"/>
      <c r="T329" s="66"/>
      <c r="U329" s="66"/>
      <c r="V329" s="66"/>
      <c r="W329" s="66"/>
    </row>
    <row r="330" spans="1:23">
      <c r="A330" s="66"/>
      <c r="B330" s="66"/>
      <c r="C330" s="66"/>
      <c r="D330" s="66"/>
      <c r="E330" s="66"/>
      <c r="F330" s="66"/>
      <c r="G330" s="66"/>
      <c r="H330" s="66"/>
      <c r="I330" s="66"/>
      <c r="J330" s="66"/>
      <c r="K330" s="66"/>
      <c r="L330" s="66"/>
      <c r="M330" s="66"/>
      <c r="N330" s="66"/>
      <c r="O330" s="66"/>
      <c r="P330" s="66"/>
      <c r="Q330" s="66"/>
      <c r="R330" s="66"/>
      <c r="S330" s="66"/>
      <c r="T330" s="66"/>
      <c r="U330" s="66"/>
      <c r="V330" s="66"/>
      <c r="W330" s="66"/>
    </row>
    <row r="331" spans="1:23">
      <c r="A331" s="66"/>
      <c r="B331" s="66"/>
      <c r="C331" s="66"/>
      <c r="D331" s="66"/>
      <c r="E331" s="66"/>
      <c r="F331" s="66"/>
      <c r="G331" s="66"/>
      <c r="H331" s="66"/>
      <c r="I331" s="66"/>
      <c r="J331" s="66"/>
      <c r="K331" s="66"/>
      <c r="L331" s="66"/>
      <c r="M331" s="66"/>
      <c r="N331" s="66"/>
      <c r="O331" s="66"/>
      <c r="P331" s="66"/>
      <c r="Q331" s="66"/>
      <c r="R331" s="66"/>
      <c r="S331" s="66"/>
      <c r="T331" s="66"/>
      <c r="U331" s="66"/>
      <c r="V331" s="66"/>
      <c r="W331" s="66"/>
    </row>
    <row r="332" spans="1:23">
      <c r="A332" s="66"/>
      <c r="B332" s="66"/>
      <c r="C332" s="66"/>
      <c r="D332" s="66"/>
      <c r="E332" s="66"/>
      <c r="F332" s="66"/>
      <c r="G332" s="66"/>
      <c r="H332" s="66"/>
      <c r="I332" s="66"/>
      <c r="J332" s="66"/>
      <c r="K332" s="66"/>
      <c r="L332" s="66"/>
      <c r="M332" s="66"/>
      <c r="N332" s="66"/>
      <c r="O332" s="66"/>
      <c r="P332" s="66"/>
      <c r="Q332" s="66"/>
      <c r="R332" s="66"/>
      <c r="S332" s="66"/>
      <c r="T332" s="66"/>
      <c r="U332" s="66"/>
      <c r="V332" s="66"/>
      <c r="W332" s="66"/>
    </row>
    <row r="333" spans="1:23">
      <c r="A333" s="66"/>
      <c r="B333" s="66"/>
      <c r="C333" s="66"/>
      <c r="D333" s="66"/>
      <c r="E333" s="66"/>
      <c r="F333" s="66"/>
      <c r="G333" s="66"/>
      <c r="H333" s="66"/>
      <c r="I333" s="66"/>
      <c r="J333" s="66"/>
      <c r="K333" s="66"/>
      <c r="L333" s="66"/>
      <c r="M333" s="66"/>
      <c r="N333" s="66"/>
      <c r="O333" s="66"/>
      <c r="P333" s="66"/>
      <c r="Q333" s="66"/>
      <c r="R333" s="66"/>
      <c r="S333" s="66"/>
      <c r="T333" s="66"/>
      <c r="U333" s="66"/>
      <c r="V333" s="66"/>
      <c r="W333" s="66"/>
    </row>
    <row r="334" spans="1:23">
      <c r="A334" s="66"/>
      <c r="B334" s="66"/>
      <c r="C334" s="66"/>
      <c r="D334" s="66"/>
      <c r="E334" s="66"/>
      <c r="F334" s="66"/>
      <c r="G334" s="66"/>
      <c r="H334" s="66"/>
      <c r="I334" s="66"/>
      <c r="J334" s="66"/>
      <c r="K334" s="66"/>
      <c r="L334" s="66"/>
      <c r="M334" s="66"/>
      <c r="N334" s="66"/>
      <c r="O334" s="66"/>
      <c r="P334" s="66"/>
      <c r="Q334" s="66"/>
      <c r="R334" s="66"/>
      <c r="S334" s="66"/>
      <c r="T334" s="66"/>
      <c r="U334" s="66"/>
      <c r="V334" s="66"/>
      <c r="W334" s="66"/>
    </row>
    <row r="335" spans="1:23">
      <c r="A335" s="66"/>
      <c r="B335" s="66"/>
      <c r="C335" s="66"/>
      <c r="D335" s="66"/>
      <c r="E335" s="66"/>
      <c r="F335" s="66"/>
      <c r="G335" s="66"/>
      <c r="H335" s="66"/>
      <c r="I335" s="66"/>
      <c r="J335" s="66"/>
      <c r="K335" s="66"/>
      <c r="L335" s="66"/>
      <c r="M335" s="66"/>
      <c r="N335" s="66"/>
      <c r="O335" s="66"/>
      <c r="P335" s="66"/>
      <c r="Q335" s="66"/>
      <c r="R335" s="66"/>
      <c r="S335" s="66"/>
      <c r="T335" s="66"/>
      <c r="U335" s="66"/>
      <c r="V335" s="66"/>
      <c r="W335" s="66"/>
    </row>
    <row r="336" spans="1:23">
      <c r="A336" s="66"/>
      <c r="B336" s="66"/>
      <c r="C336" s="66"/>
      <c r="D336" s="66"/>
      <c r="E336" s="66"/>
      <c r="F336" s="66"/>
      <c r="G336" s="66"/>
      <c r="H336" s="66"/>
      <c r="I336" s="66"/>
      <c r="J336" s="66"/>
      <c r="K336" s="66"/>
      <c r="L336" s="66"/>
      <c r="M336" s="66"/>
      <c r="N336" s="66"/>
      <c r="O336" s="66"/>
      <c r="P336" s="66"/>
      <c r="Q336" s="66"/>
      <c r="R336" s="66"/>
      <c r="S336" s="66"/>
      <c r="T336" s="66"/>
      <c r="U336" s="66"/>
      <c r="V336" s="66"/>
      <c r="W336" s="66"/>
    </row>
    <row r="337" spans="1:23">
      <c r="A337" s="66"/>
      <c r="B337" s="66"/>
      <c r="C337" s="66"/>
      <c r="D337" s="66"/>
      <c r="E337" s="66"/>
      <c r="F337" s="66"/>
      <c r="G337" s="66"/>
      <c r="H337" s="66"/>
      <c r="I337" s="66"/>
      <c r="J337" s="66"/>
      <c r="K337" s="66"/>
      <c r="L337" s="66"/>
      <c r="M337" s="66"/>
      <c r="N337" s="66"/>
      <c r="O337" s="66"/>
      <c r="P337" s="66"/>
      <c r="Q337" s="66"/>
      <c r="R337" s="66"/>
      <c r="S337" s="66"/>
      <c r="T337" s="66"/>
      <c r="U337" s="66"/>
      <c r="V337" s="66"/>
      <c r="W337" s="66"/>
    </row>
    <row r="338" spans="1:23">
      <c r="A338" s="66"/>
      <c r="B338" s="66"/>
      <c r="C338" s="66"/>
      <c r="D338" s="66"/>
      <c r="E338" s="66"/>
      <c r="F338" s="66"/>
      <c r="G338" s="66"/>
      <c r="H338" s="66"/>
      <c r="I338" s="66"/>
      <c r="J338" s="66"/>
      <c r="K338" s="66"/>
      <c r="L338" s="66"/>
      <c r="M338" s="66"/>
      <c r="N338" s="66"/>
      <c r="O338" s="66"/>
      <c r="P338" s="66"/>
      <c r="Q338" s="66"/>
      <c r="R338" s="66"/>
      <c r="S338" s="66"/>
      <c r="T338" s="66"/>
      <c r="U338" s="66"/>
      <c r="V338" s="66"/>
      <c r="W338" s="66"/>
    </row>
    <row r="339" spans="1:23">
      <c r="A339" s="66"/>
      <c r="B339" s="66"/>
      <c r="C339" s="66"/>
      <c r="D339" s="66"/>
      <c r="E339" s="66"/>
      <c r="F339" s="66"/>
      <c r="G339" s="66"/>
      <c r="H339" s="66"/>
      <c r="I339" s="66"/>
      <c r="J339" s="66"/>
      <c r="K339" s="66"/>
      <c r="L339" s="66"/>
      <c r="M339" s="66"/>
      <c r="N339" s="66"/>
      <c r="O339" s="66"/>
      <c r="P339" s="66"/>
      <c r="Q339" s="66"/>
      <c r="R339" s="66"/>
      <c r="S339" s="66"/>
      <c r="T339" s="66"/>
      <c r="U339" s="66"/>
      <c r="V339" s="66"/>
      <c r="W339" s="66"/>
    </row>
    <row r="340" spans="1:23">
      <c r="A340" s="66"/>
      <c r="B340" s="66"/>
      <c r="C340" s="66"/>
      <c r="D340" s="66"/>
      <c r="E340" s="66"/>
      <c r="F340" s="66"/>
      <c r="G340" s="66"/>
      <c r="H340" s="66"/>
      <c r="I340" s="66"/>
      <c r="J340" s="66"/>
      <c r="K340" s="66"/>
      <c r="L340" s="66"/>
      <c r="M340" s="66"/>
      <c r="N340" s="66"/>
      <c r="O340" s="66"/>
      <c r="P340" s="66"/>
      <c r="Q340" s="66"/>
      <c r="R340" s="66"/>
      <c r="S340" s="66"/>
      <c r="T340" s="66"/>
      <c r="U340" s="66"/>
      <c r="V340" s="66"/>
      <c r="W340" s="66"/>
    </row>
    <row r="341" spans="1:23">
      <c r="A341" s="66"/>
      <c r="B341" s="66"/>
      <c r="C341" s="66"/>
      <c r="D341" s="66"/>
      <c r="E341" s="66"/>
      <c r="F341" s="66"/>
      <c r="G341" s="66"/>
      <c r="H341" s="66"/>
      <c r="I341" s="66"/>
      <c r="J341" s="66"/>
      <c r="K341" s="66"/>
      <c r="L341" s="66"/>
      <c r="M341" s="66"/>
      <c r="N341" s="66"/>
      <c r="O341" s="66"/>
      <c r="P341" s="66"/>
      <c r="Q341" s="66"/>
      <c r="R341" s="66"/>
      <c r="S341" s="66"/>
      <c r="T341" s="66"/>
      <c r="U341" s="66"/>
      <c r="V341" s="66"/>
      <c r="W341" s="66"/>
    </row>
    <row r="342" spans="1:23">
      <c r="A342" s="66"/>
      <c r="B342" s="66"/>
      <c r="C342" s="66"/>
      <c r="D342" s="66"/>
      <c r="E342" s="66"/>
      <c r="F342" s="66"/>
      <c r="G342" s="66"/>
      <c r="H342" s="66"/>
      <c r="I342" s="66"/>
      <c r="J342" s="66"/>
      <c r="K342" s="66"/>
      <c r="L342" s="66"/>
      <c r="M342" s="66"/>
      <c r="N342" s="66"/>
      <c r="O342" s="66"/>
      <c r="P342" s="66"/>
      <c r="Q342" s="66"/>
      <c r="R342" s="66"/>
      <c r="S342" s="66"/>
      <c r="T342" s="66"/>
      <c r="U342" s="66"/>
      <c r="V342" s="66"/>
      <c r="W342" s="66"/>
    </row>
    <row r="343" spans="1:23">
      <c r="A343" s="66"/>
      <c r="B343" s="66"/>
      <c r="C343" s="66"/>
      <c r="D343" s="66"/>
      <c r="E343" s="66"/>
      <c r="F343" s="66"/>
      <c r="G343" s="66"/>
      <c r="H343" s="66"/>
      <c r="I343" s="66"/>
      <c r="J343" s="66"/>
      <c r="K343" s="66"/>
      <c r="L343" s="66"/>
      <c r="M343" s="66"/>
      <c r="N343" s="66"/>
      <c r="O343" s="66"/>
      <c r="P343" s="66"/>
      <c r="Q343" s="66"/>
      <c r="R343" s="66"/>
      <c r="S343" s="66"/>
      <c r="T343" s="66"/>
      <c r="U343" s="66"/>
      <c r="V343" s="66"/>
      <c r="W343" s="66"/>
    </row>
    <row r="344" spans="1:23">
      <c r="A344" s="66"/>
      <c r="B344" s="66"/>
      <c r="C344" s="66"/>
      <c r="D344" s="66"/>
      <c r="E344" s="66"/>
      <c r="F344" s="66"/>
      <c r="G344" s="66"/>
      <c r="H344" s="66"/>
      <c r="I344" s="66"/>
      <c r="J344" s="66"/>
      <c r="K344" s="66"/>
      <c r="L344" s="66"/>
      <c r="M344" s="66"/>
      <c r="N344" s="66"/>
      <c r="O344" s="66"/>
      <c r="P344" s="66"/>
      <c r="Q344" s="66"/>
      <c r="R344" s="66"/>
      <c r="S344" s="66"/>
      <c r="T344" s="66"/>
      <c r="U344" s="66"/>
      <c r="V344" s="66"/>
      <c r="W344" s="66"/>
    </row>
    <row r="345" spans="1:23">
      <c r="A345" s="66"/>
      <c r="B345" s="66"/>
      <c r="C345" s="66"/>
      <c r="D345" s="66"/>
      <c r="E345" s="66"/>
      <c r="F345" s="66"/>
      <c r="G345" s="66"/>
      <c r="H345" s="66"/>
      <c r="I345" s="66"/>
      <c r="J345" s="66"/>
      <c r="K345" s="66"/>
      <c r="L345" s="66"/>
      <c r="M345" s="66"/>
      <c r="N345" s="66"/>
      <c r="O345" s="66"/>
      <c r="P345" s="66"/>
      <c r="Q345" s="66"/>
      <c r="R345" s="66"/>
      <c r="S345" s="66"/>
      <c r="T345" s="66"/>
      <c r="U345" s="66"/>
      <c r="V345" s="66"/>
      <c r="W345" s="66"/>
    </row>
    <row r="346" spans="1:23">
      <c r="A346" s="66"/>
      <c r="B346" s="66"/>
      <c r="C346" s="66"/>
      <c r="D346" s="66"/>
      <c r="E346" s="66"/>
      <c r="F346" s="66"/>
      <c r="G346" s="66"/>
      <c r="H346" s="66"/>
      <c r="I346" s="66"/>
      <c r="J346" s="66"/>
      <c r="K346" s="66"/>
      <c r="L346" s="66"/>
      <c r="M346" s="66"/>
      <c r="N346" s="66"/>
      <c r="O346" s="66"/>
      <c r="P346" s="66"/>
      <c r="Q346" s="66"/>
      <c r="R346" s="66"/>
      <c r="S346" s="66"/>
      <c r="T346" s="66"/>
      <c r="U346" s="66"/>
      <c r="V346" s="66"/>
      <c r="W346" s="66"/>
    </row>
    <row r="347" spans="1:23">
      <c r="A347" s="66"/>
      <c r="B347" s="66"/>
      <c r="C347" s="66"/>
      <c r="D347" s="66"/>
      <c r="E347" s="66"/>
      <c r="F347" s="66"/>
      <c r="G347" s="66"/>
      <c r="H347" s="66"/>
      <c r="I347" s="66"/>
      <c r="J347" s="66"/>
      <c r="K347" s="66"/>
      <c r="L347" s="66"/>
      <c r="M347" s="66"/>
      <c r="N347" s="66"/>
      <c r="O347" s="66"/>
      <c r="P347" s="66"/>
      <c r="Q347" s="66"/>
      <c r="R347" s="66"/>
      <c r="S347" s="66"/>
      <c r="T347" s="66"/>
      <c r="U347" s="66"/>
      <c r="V347" s="66"/>
      <c r="W347" s="66"/>
    </row>
    <row r="348" spans="1:23">
      <c r="A348" s="66"/>
      <c r="B348" s="66"/>
      <c r="C348" s="66"/>
      <c r="D348" s="66"/>
      <c r="E348" s="66"/>
      <c r="F348" s="66"/>
      <c r="G348" s="66"/>
      <c r="H348" s="66"/>
      <c r="I348" s="66"/>
      <c r="J348" s="66"/>
      <c r="K348" s="66"/>
      <c r="L348" s="66"/>
      <c r="M348" s="66"/>
      <c r="N348" s="66"/>
      <c r="O348" s="66"/>
      <c r="P348" s="66"/>
      <c r="Q348" s="66"/>
      <c r="R348" s="66"/>
      <c r="S348" s="66"/>
      <c r="T348" s="66"/>
      <c r="U348" s="66"/>
      <c r="V348" s="66"/>
      <c r="W348" s="66"/>
    </row>
    <row r="349" spans="1:23">
      <c r="A349" s="66"/>
      <c r="B349" s="66"/>
      <c r="C349" s="66"/>
      <c r="D349" s="66"/>
      <c r="E349" s="66"/>
      <c r="F349" s="66"/>
      <c r="G349" s="66"/>
      <c r="H349" s="66"/>
      <c r="I349" s="66"/>
      <c r="J349" s="66"/>
      <c r="K349" s="66"/>
      <c r="L349" s="66"/>
      <c r="M349" s="66"/>
      <c r="N349" s="66"/>
      <c r="O349" s="66"/>
      <c r="P349" s="66"/>
      <c r="Q349" s="66"/>
      <c r="R349" s="66"/>
      <c r="S349" s="66"/>
      <c r="T349" s="66"/>
      <c r="U349" s="66"/>
      <c r="V349" s="66"/>
      <c r="W349" s="66"/>
    </row>
    <row r="350" spans="1:23">
      <c r="A350" s="66"/>
      <c r="B350" s="66"/>
      <c r="C350" s="66"/>
      <c r="D350" s="66"/>
      <c r="E350" s="66"/>
      <c r="F350" s="66"/>
      <c r="G350" s="66"/>
      <c r="H350" s="66"/>
      <c r="I350" s="66"/>
      <c r="J350" s="66"/>
      <c r="K350" s="66"/>
      <c r="L350" s="66"/>
      <c r="M350" s="66"/>
      <c r="N350" s="66"/>
      <c r="O350" s="66"/>
      <c r="P350" s="66"/>
      <c r="Q350" s="66"/>
      <c r="R350" s="66"/>
      <c r="S350" s="66"/>
      <c r="T350" s="66"/>
      <c r="U350" s="66"/>
      <c r="V350" s="66"/>
      <c r="W350" s="66"/>
    </row>
    <row r="351" spans="1:23">
      <c r="A351" s="66"/>
      <c r="B351" s="66"/>
      <c r="C351" s="66"/>
      <c r="D351" s="66"/>
      <c r="E351" s="66"/>
      <c r="F351" s="66"/>
      <c r="G351" s="66"/>
      <c r="H351" s="66"/>
      <c r="I351" s="66"/>
      <c r="J351" s="66"/>
      <c r="K351" s="66"/>
      <c r="L351" s="66"/>
      <c r="M351" s="66"/>
      <c r="N351" s="66"/>
      <c r="O351" s="66"/>
      <c r="P351" s="66"/>
      <c r="Q351" s="66"/>
      <c r="R351" s="66"/>
      <c r="S351" s="66"/>
      <c r="T351" s="66"/>
      <c r="U351" s="66"/>
      <c r="V351" s="66"/>
      <c r="W351" s="66"/>
    </row>
    <row r="352" spans="1:23">
      <c r="A352" s="66"/>
      <c r="B352" s="66"/>
      <c r="C352" s="66"/>
      <c r="D352" s="66"/>
      <c r="E352" s="66"/>
      <c r="F352" s="66"/>
      <c r="G352" s="66"/>
      <c r="H352" s="66"/>
      <c r="I352" s="66"/>
      <c r="J352" s="66"/>
      <c r="K352" s="66"/>
      <c r="L352" s="66"/>
      <c r="M352" s="66"/>
      <c r="N352" s="66"/>
      <c r="O352" s="66"/>
      <c r="P352" s="66"/>
      <c r="Q352" s="66"/>
      <c r="R352" s="66"/>
      <c r="S352" s="66"/>
      <c r="T352" s="66"/>
      <c r="U352" s="66"/>
      <c r="V352" s="66"/>
      <c r="W352" s="66"/>
    </row>
    <row r="353" spans="1:23">
      <c r="A353" s="66"/>
      <c r="B353" s="66"/>
      <c r="C353" s="66"/>
      <c r="D353" s="66"/>
      <c r="E353" s="66"/>
      <c r="F353" s="66"/>
      <c r="G353" s="66"/>
      <c r="H353" s="66"/>
      <c r="I353" s="66"/>
      <c r="J353" s="66"/>
      <c r="K353" s="66"/>
      <c r="L353" s="66"/>
      <c r="M353" s="66"/>
      <c r="N353" s="66"/>
      <c r="O353" s="66"/>
      <c r="P353" s="66"/>
      <c r="Q353" s="66"/>
      <c r="R353" s="66"/>
      <c r="S353" s="66"/>
      <c r="T353" s="66"/>
      <c r="U353" s="66"/>
      <c r="V353" s="66"/>
      <c r="W353" s="66"/>
    </row>
    <row r="354" spans="1:23">
      <c r="A354" s="66"/>
      <c r="B354" s="66"/>
      <c r="C354" s="66"/>
      <c r="D354" s="66"/>
      <c r="E354" s="66"/>
      <c r="F354" s="66"/>
      <c r="G354" s="66"/>
      <c r="H354" s="66"/>
      <c r="I354" s="66"/>
      <c r="J354" s="66"/>
      <c r="K354" s="66"/>
      <c r="L354" s="66"/>
      <c r="M354" s="66"/>
      <c r="N354" s="66"/>
      <c r="O354" s="66"/>
      <c r="P354" s="66"/>
      <c r="Q354" s="66"/>
      <c r="R354" s="66"/>
      <c r="S354" s="66"/>
      <c r="T354" s="66"/>
      <c r="U354" s="66"/>
      <c r="V354" s="66"/>
      <c r="W354" s="66"/>
    </row>
    <row r="355" spans="1:23">
      <c r="A355" s="66"/>
      <c r="B355" s="66"/>
      <c r="C355" s="66"/>
      <c r="D355" s="66"/>
      <c r="E355" s="66"/>
      <c r="F355" s="66"/>
      <c r="G355" s="66"/>
      <c r="H355" s="66"/>
      <c r="I355" s="66"/>
      <c r="J355" s="66"/>
      <c r="K355" s="66"/>
      <c r="L355" s="66"/>
      <c r="M355" s="66"/>
      <c r="N355" s="66"/>
      <c r="O355" s="66"/>
      <c r="P355" s="66"/>
      <c r="Q355" s="66"/>
      <c r="R355" s="66"/>
      <c r="S355" s="66"/>
      <c r="T355" s="66"/>
      <c r="U355" s="66"/>
      <c r="V355" s="66"/>
      <c r="W355" s="66"/>
    </row>
    <row r="356" spans="1:23">
      <c r="A356" s="66"/>
      <c r="B356" s="66"/>
      <c r="C356" s="66"/>
      <c r="D356" s="66"/>
      <c r="E356" s="66"/>
      <c r="F356" s="66"/>
      <c r="G356" s="66"/>
      <c r="H356" s="66"/>
      <c r="I356" s="66"/>
      <c r="J356" s="66"/>
      <c r="K356" s="66"/>
      <c r="L356" s="66"/>
      <c r="M356" s="66"/>
      <c r="N356" s="66"/>
      <c r="O356" s="66"/>
      <c r="P356" s="66"/>
      <c r="Q356" s="66"/>
      <c r="R356" s="66"/>
      <c r="S356" s="66"/>
      <c r="T356" s="66"/>
      <c r="U356" s="66"/>
      <c r="V356" s="66"/>
      <c r="W356" s="66"/>
    </row>
    <row r="357" spans="1:23">
      <c r="A357" s="66"/>
      <c r="B357" s="66"/>
      <c r="C357" s="66"/>
      <c r="D357" s="66"/>
      <c r="E357" s="66"/>
      <c r="F357" s="66"/>
      <c r="G357" s="66"/>
      <c r="H357" s="66"/>
      <c r="I357" s="66"/>
      <c r="J357" s="66"/>
      <c r="K357" s="66"/>
      <c r="L357" s="66"/>
      <c r="M357" s="66"/>
      <c r="N357" s="66"/>
      <c r="O357" s="66"/>
      <c r="P357" s="66"/>
      <c r="Q357" s="66"/>
      <c r="R357" s="66"/>
      <c r="S357" s="66"/>
      <c r="T357" s="66"/>
      <c r="U357" s="66"/>
      <c r="V357" s="66"/>
      <c r="W357" s="66"/>
    </row>
    <row r="358" spans="1:23">
      <c r="A358" s="66"/>
      <c r="B358" s="66"/>
      <c r="C358" s="66"/>
      <c r="D358" s="66"/>
      <c r="E358" s="66"/>
      <c r="F358" s="66"/>
      <c r="G358" s="66"/>
      <c r="H358" s="66"/>
      <c r="I358" s="66"/>
      <c r="J358" s="66"/>
      <c r="K358" s="66"/>
      <c r="L358" s="66"/>
      <c r="M358" s="66"/>
      <c r="N358" s="66"/>
      <c r="O358" s="66"/>
      <c r="P358" s="66"/>
      <c r="Q358" s="66"/>
      <c r="R358" s="66"/>
      <c r="S358" s="66"/>
      <c r="T358" s="66"/>
      <c r="U358" s="66"/>
      <c r="V358" s="66"/>
      <c r="W358" s="66"/>
    </row>
    <row r="359" spans="1:23">
      <c r="A359" s="66"/>
      <c r="B359" s="66"/>
      <c r="C359" s="66"/>
      <c r="D359" s="66"/>
      <c r="E359" s="66"/>
      <c r="F359" s="66"/>
      <c r="G359" s="66"/>
      <c r="H359" s="66"/>
      <c r="I359" s="66"/>
      <c r="J359" s="66"/>
      <c r="K359" s="66"/>
      <c r="L359" s="66"/>
      <c r="M359" s="66"/>
      <c r="N359" s="66"/>
      <c r="O359" s="66"/>
      <c r="P359" s="66"/>
      <c r="Q359" s="66"/>
      <c r="R359" s="66"/>
      <c r="S359" s="66"/>
      <c r="T359" s="66"/>
      <c r="U359" s="66"/>
      <c r="V359" s="66"/>
      <c r="W359" s="66"/>
    </row>
    <row r="360" spans="1:23">
      <c r="A360" s="66"/>
      <c r="B360" s="66"/>
      <c r="C360" s="66"/>
      <c r="D360" s="66"/>
      <c r="E360" s="66"/>
      <c r="F360" s="66"/>
      <c r="G360" s="66"/>
      <c r="H360" s="66"/>
      <c r="I360" s="66"/>
      <c r="J360" s="66"/>
      <c r="K360" s="66"/>
      <c r="L360" s="66"/>
      <c r="M360" s="66"/>
      <c r="N360" s="66"/>
      <c r="O360" s="66"/>
      <c r="P360" s="66"/>
      <c r="Q360" s="66"/>
      <c r="R360" s="66"/>
      <c r="S360" s="66"/>
      <c r="T360" s="66"/>
      <c r="U360" s="66"/>
      <c r="V360" s="66"/>
      <c r="W360" s="66"/>
    </row>
    <row r="361" spans="1:23">
      <c r="A361" s="66"/>
      <c r="B361" s="66"/>
      <c r="C361" s="66"/>
      <c r="D361" s="66"/>
      <c r="E361" s="66"/>
      <c r="F361" s="66"/>
      <c r="G361" s="66"/>
      <c r="H361" s="66"/>
      <c r="I361" s="66"/>
      <c r="J361" s="66"/>
      <c r="K361" s="66"/>
      <c r="L361" s="66"/>
      <c r="M361" s="66"/>
      <c r="N361" s="66"/>
      <c r="O361" s="66"/>
      <c r="P361" s="66"/>
      <c r="Q361" s="66"/>
      <c r="R361" s="66"/>
      <c r="S361" s="66"/>
      <c r="T361" s="66"/>
      <c r="U361" s="66"/>
      <c r="V361" s="66"/>
      <c r="W361" s="66"/>
    </row>
    <row r="362" spans="1:23">
      <c r="A362" s="66"/>
      <c r="B362" s="66"/>
      <c r="C362" s="66"/>
      <c r="D362" s="66"/>
      <c r="E362" s="66"/>
      <c r="F362" s="66"/>
      <c r="G362" s="66"/>
      <c r="H362" s="66"/>
      <c r="I362" s="66"/>
      <c r="J362" s="66"/>
      <c r="K362" s="66"/>
      <c r="L362" s="66"/>
      <c r="M362" s="66"/>
      <c r="N362" s="66"/>
      <c r="O362" s="66"/>
      <c r="P362" s="66"/>
      <c r="Q362" s="66"/>
      <c r="R362" s="66"/>
      <c r="S362" s="66"/>
      <c r="T362" s="66"/>
      <c r="U362" s="66"/>
      <c r="V362" s="66"/>
      <c r="W362" s="66"/>
    </row>
    <row r="363" spans="1:23">
      <c r="A363" s="66"/>
      <c r="B363" s="66"/>
      <c r="C363" s="66"/>
      <c r="D363" s="66"/>
      <c r="E363" s="66"/>
      <c r="F363" s="66"/>
      <c r="G363" s="66"/>
      <c r="H363" s="66"/>
      <c r="I363" s="66"/>
      <c r="J363" s="66"/>
      <c r="K363" s="66"/>
      <c r="L363" s="66"/>
      <c r="M363" s="66"/>
      <c r="N363" s="66"/>
      <c r="O363" s="66"/>
      <c r="P363" s="66"/>
      <c r="Q363" s="66"/>
      <c r="R363" s="66"/>
      <c r="S363" s="66"/>
      <c r="T363" s="66"/>
      <c r="U363" s="66"/>
      <c r="V363" s="66"/>
      <c r="W363" s="66"/>
    </row>
    <row r="364" spans="1:23">
      <c r="A364" s="66"/>
      <c r="B364" s="66"/>
      <c r="C364" s="66"/>
      <c r="D364" s="66"/>
      <c r="E364" s="66"/>
      <c r="F364" s="66"/>
      <c r="G364" s="66"/>
      <c r="H364" s="66"/>
      <c r="I364" s="66"/>
      <c r="J364" s="66"/>
      <c r="K364" s="66"/>
      <c r="L364" s="66"/>
      <c r="M364" s="66"/>
      <c r="N364" s="66"/>
      <c r="O364" s="66"/>
      <c r="P364" s="66"/>
      <c r="Q364" s="66"/>
      <c r="R364" s="66"/>
      <c r="S364" s="66"/>
      <c r="T364" s="66"/>
      <c r="U364" s="66"/>
      <c r="V364" s="66"/>
      <c r="W364" s="66"/>
    </row>
    <row r="365" spans="1:23">
      <c r="A365" s="66"/>
      <c r="B365" s="66"/>
      <c r="C365" s="66"/>
      <c r="D365" s="66"/>
      <c r="E365" s="66"/>
      <c r="F365" s="66"/>
      <c r="G365" s="66"/>
      <c r="H365" s="66"/>
      <c r="I365" s="66"/>
      <c r="J365" s="66"/>
      <c r="K365" s="66"/>
      <c r="L365" s="66"/>
      <c r="M365" s="66"/>
      <c r="N365" s="66"/>
      <c r="O365" s="66"/>
      <c r="P365" s="66"/>
      <c r="Q365" s="66"/>
      <c r="R365" s="66"/>
      <c r="S365" s="66"/>
      <c r="T365" s="66"/>
      <c r="U365" s="66"/>
      <c r="V365" s="66"/>
      <c r="W365" s="66"/>
    </row>
    <row r="366" spans="1:23">
      <c r="A366" s="66"/>
      <c r="B366" s="66"/>
      <c r="C366" s="66"/>
      <c r="D366" s="66"/>
      <c r="E366" s="66"/>
      <c r="F366" s="66"/>
      <c r="G366" s="66"/>
      <c r="H366" s="66"/>
      <c r="I366" s="66"/>
      <c r="J366" s="66"/>
      <c r="K366" s="66"/>
      <c r="L366" s="66"/>
      <c r="M366" s="66"/>
      <c r="N366" s="66"/>
      <c r="O366" s="66"/>
      <c r="P366" s="66"/>
      <c r="Q366" s="66"/>
      <c r="R366" s="66"/>
      <c r="S366" s="66"/>
      <c r="T366" s="66"/>
      <c r="U366" s="66"/>
      <c r="V366" s="66"/>
      <c r="W366" s="66"/>
    </row>
    <row r="367" spans="1:23">
      <c r="A367" s="66"/>
      <c r="B367" s="66"/>
      <c r="C367" s="66"/>
      <c r="D367" s="66"/>
      <c r="E367" s="66"/>
      <c r="F367" s="66"/>
      <c r="G367" s="66"/>
      <c r="H367" s="66"/>
      <c r="I367" s="66"/>
      <c r="J367" s="66"/>
      <c r="K367" s="66"/>
      <c r="L367" s="66"/>
      <c r="M367" s="66"/>
      <c r="N367" s="66"/>
      <c r="O367" s="66"/>
      <c r="P367" s="66"/>
      <c r="Q367" s="66"/>
      <c r="R367" s="66"/>
      <c r="S367" s="66"/>
      <c r="T367" s="66"/>
      <c r="U367" s="66"/>
      <c r="V367" s="66"/>
      <c r="W367" s="66"/>
    </row>
    <row r="368" spans="1:23">
      <c r="A368" s="66"/>
      <c r="B368" s="66"/>
      <c r="C368" s="66"/>
      <c r="D368" s="66"/>
      <c r="E368" s="66"/>
      <c r="F368" s="66"/>
      <c r="G368" s="66"/>
      <c r="H368" s="66"/>
      <c r="I368" s="66"/>
      <c r="J368" s="66"/>
      <c r="K368" s="66"/>
      <c r="L368" s="66"/>
      <c r="M368" s="66"/>
      <c r="N368" s="66"/>
      <c r="O368" s="66"/>
      <c r="P368" s="66"/>
      <c r="Q368" s="66"/>
      <c r="R368" s="66"/>
      <c r="S368" s="66"/>
      <c r="T368" s="66"/>
      <c r="U368" s="66"/>
      <c r="V368" s="66"/>
      <c r="W368" s="66"/>
    </row>
    <row r="369" spans="1:23">
      <c r="A369" s="66"/>
      <c r="B369" s="66"/>
      <c r="C369" s="66"/>
      <c r="D369" s="66"/>
      <c r="E369" s="66"/>
      <c r="F369" s="66"/>
      <c r="G369" s="66"/>
      <c r="H369" s="66"/>
      <c r="I369" s="66"/>
      <c r="J369" s="66"/>
      <c r="K369" s="66"/>
      <c r="L369" s="66"/>
      <c r="M369" s="66"/>
      <c r="N369" s="66"/>
      <c r="O369" s="66"/>
      <c r="P369" s="66"/>
      <c r="Q369" s="66"/>
      <c r="R369" s="66"/>
      <c r="S369" s="66"/>
      <c r="T369" s="66"/>
      <c r="U369" s="66"/>
      <c r="V369" s="66"/>
      <c r="W369" s="66"/>
    </row>
    <row r="370" spans="1:23">
      <c r="A370" s="66"/>
      <c r="B370" s="66"/>
      <c r="C370" s="66"/>
      <c r="D370" s="66"/>
      <c r="E370" s="66"/>
      <c r="F370" s="66"/>
      <c r="G370" s="66"/>
      <c r="H370" s="66"/>
      <c r="I370" s="66"/>
      <c r="J370" s="66"/>
      <c r="K370" s="66"/>
      <c r="L370" s="66"/>
      <c r="M370" s="66"/>
      <c r="N370" s="66"/>
      <c r="O370" s="66"/>
      <c r="P370" s="66"/>
      <c r="Q370" s="66"/>
      <c r="R370" s="66"/>
      <c r="S370" s="66"/>
      <c r="T370" s="66"/>
      <c r="U370" s="66"/>
      <c r="V370" s="66"/>
      <c r="W370" s="66"/>
    </row>
    <row r="371" spans="1:23">
      <c r="A371" s="66"/>
      <c r="B371" s="66"/>
      <c r="C371" s="66"/>
      <c r="D371" s="66"/>
      <c r="E371" s="66"/>
      <c r="F371" s="66"/>
      <c r="G371" s="66"/>
      <c r="H371" s="66"/>
      <c r="I371" s="66"/>
      <c r="J371" s="66"/>
      <c r="K371" s="66"/>
      <c r="L371" s="66"/>
      <c r="M371" s="66"/>
      <c r="N371" s="66"/>
      <c r="O371" s="66"/>
      <c r="P371" s="66"/>
      <c r="Q371" s="66"/>
      <c r="R371" s="66"/>
      <c r="S371" s="66"/>
      <c r="T371" s="66"/>
      <c r="U371" s="66"/>
      <c r="V371" s="66"/>
      <c r="W371" s="66"/>
    </row>
    <row r="372" spans="1:23">
      <c r="A372" s="66"/>
      <c r="B372" s="66"/>
      <c r="C372" s="66"/>
      <c r="D372" s="66"/>
      <c r="E372" s="66"/>
      <c r="F372" s="66"/>
      <c r="G372" s="66"/>
      <c r="H372" s="66"/>
      <c r="I372" s="66"/>
      <c r="J372" s="66"/>
      <c r="K372" s="66"/>
      <c r="L372" s="66"/>
      <c r="M372" s="66"/>
      <c r="N372" s="66"/>
      <c r="O372" s="66"/>
      <c r="P372" s="66"/>
      <c r="Q372" s="66"/>
      <c r="R372" s="66"/>
      <c r="S372" s="66"/>
      <c r="T372" s="66"/>
      <c r="U372" s="66"/>
      <c r="V372" s="66"/>
      <c r="W372" s="66"/>
    </row>
    <row r="373" spans="1:23">
      <c r="A373" s="66"/>
      <c r="B373" s="66"/>
      <c r="C373" s="66"/>
      <c r="D373" s="66"/>
      <c r="E373" s="66"/>
      <c r="F373" s="66"/>
      <c r="G373" s="66"/>
      <c r="H373" s="66"/>
      <c r="I373" s="66"/>
      <c r="J373" s="66"/>
      <c r="K373" s="66"/>
      <c r="L373" s="66"/>
      <c r="M373" s="66"/>
      <c r="N373" s="66"/>
      <c r="O373" s="66"/>
      <c r="P373" s="66"/>
      <c r="Q373" s="66"/>
      <c r="R373" s="66"/>
      <c r="S373" s="66"/>
      <c r="T373" s="66"/>
      <c r="U373" s="66"/>
      <c r="V373" s="66"/>
      <c r="W373" s="66"/>
    </row>
    <row r="374" spans="1:23">
      <c r="A374" s="66"/>
      <c r="B374" s="66"/>
      <c r="C374" s="66"/>
      <c r="D374" s="66"/>
      <c r="E374" s="66"/>
      <c r="F374" s="66"/>
      <c r="G374" s="66"/>
      <c r="H374" s="66"/>
      <c r="I374" s="66"/>
      <c r="J374" s="66"/>
      <c r="K374" s="66"/>
      <c r="L374" s="66"/>
      <c r="M374" s="66"/>
      <c r="N374" s="66"/>
      <c r="O374" s="66"/>
      <c r="P374" s="66"/>
      <c r="Q374" s="66"/>
      <c r="R374" s="66"/>
      <c r="S374" s="66"/>
      <c r="T374" s="66"/>
      <c r="U374" s="66"/>
      <c r="V374" s="66"/>
      <c r="W374" s="66"/>
    </row>
    <row r="375" spans="1:23">
      <c r="A375" s="66"/>
      <c r="B375" s="66"/>
      <c r="C375" s="66"/>
      <c r="D375" s="66"/>
      <c r="E375" s="66"/>
      <c r="F375" s="66"/>
      <c r="G375" s="66"/>
      <c r="H375" s="66"/>
      <c r="I375" s="66"/>
      <c r="J375" s="66"/>
      <c r="K375" s="66"/>
      <c r="L375" s="66"/>
      <c r="M375" s="66"/>
      <c r="N375" s="66"/>
      <c r="O375" s="66"/>
      <c r="P375" s="66"/>
      <c r="Q375" s="66"/>
      <c r="R375" s="66"/>
      <c r="S375" s="66"/>
      <c r="T375" s="66"/>
      <c r="U375" s="66"/>
      <c r="V375" s="66"/>
      <c r="W375" s="66"/>
    </row>
    <row r="376" spans="1:23">
      <c r="A376" s="66"/>
      <c r="B376" s="66"/>
      <c r="C376" s="66"/>
      <c r="D376" s="66"/>
      <c r="E376" s="66"/>
      <c r="F376" s="66"/>
      <c r="G376" s="66"/>
      <c r="H376" s="66"/>
      <c r="I376" s="66"/>
      <c r="J376" s="66"/>
      <c r="K376" s="66"/>
      <c r="L376" s="66"/>
      <c r="M376" s="66"/>
      <c r="N376" s="66"/>
      <c r="O376" s="66"/>
      <c r="P376" s="66"/>
      <c r="Q376" s="66"/>
      <c r="R376" s="66"/>
      <c r="S376" s="66"/>
      <c r="T376" s="66"/>
      <c r="U376" s="66"/>
      <c r="V376" s="66"/>
      <c r="W376" s="66"/>
    </row>
    <row r="377" spans="1:23">
      <c r="A377" s="66"/>
      <c r="B377" s="66"/>
      <c r="C377" s="66"/>
      <c r="D377" s="66"/>
      <c r="E377" s="66"/>
      <c r="F377" s="66"/>
      <c r="G377" s="66"/>
      <c r="H377" s="66"/>
      <c r="I377" s="66"/>
      <c r="J377" s="66"/>
      <c r="K377" s="66"/>
      <c r="L377" s="66"/>
      <c r="M377" s="66"/>
      <c r="N377" s="66"/>
      <c r="O377" s="66"/>
      <c r="P377" s="66"/>
      <c r="Q377" s="66"/>
      <c r="R377" s="66"/>
      <c r="S377" s="66"/>
      <c r="T377" s="66"/>
      <c r="U377" s="66"/>
      <c r="V377" s="66"/>
      <c r="W377" s="66"/>
    </row>
    <row r="378" spans="1:23">
      <c r="A378" s="66"/>
      <c r="B378" s="66"/>
      <c r="C378" s="66"/>
      <c r="D378" s="66"/>
      <c r="E378" s="66"/>
      <c r="F378" s="66"/>
      <c r="G378" s="66"/>
      <c r="H378" s="66"/>
      <c r="I378" s="66"/>
      <c r="J378" s="66"/>
      <c r="K378" s="66"/>
      <c r="L378" s="66"/>
      <c r="M378" s="66"/>
      <c r="N378" s="66"/>
      <c r="O378" s="66"/>
      <c r="P378" s="66"/>
      <c r="Q378" s="66"/>
      <c r="R378" s="66"/>
      <c r="S378" s="66"/>
      <c r="T378" s="66"/>
      <c r="U378" s="66"/>
      <c r="V378" s="66"/>
      <c r="W378" s="66"/>
    </row>
    <row r="379" spans="1:23">
      <c r="A379" s="66"/>
      <c r="B379" s="66"/>
      <c r="C379" s="66"/>
      <c r="D379" s="66"/>
      <c r="E379" s="66"/>
      <c r="F379" s="66"/>
      <c r="G379" s="66"/>
      <c r="H379" s="66"/>
      <c r="I379" s="66"/>
      <c r="J379" s="66"/>
      <c r="K379" s="66"/>
      <c r="L379" s="66"/>
      <c r="M379" s="66"/>
      <c r="N379" s="66"/>
      <c r="O379" s="66"/>
      <c r="P379" s="66"/>
      <c r="Q379" s="66"/>
      <c r="R379" s="66"/>
      <c r="S379" s="66"/>
      <c r="T379" s="66"/>
      <c r="U379" s="66"/>
      <c r="V379" s="66"/>
      <c r="W379" s="66"/>
    </row>
    <row r="380" spans="1:23">
      <c r="A380" s="66"/>
      <c r="B380" s="66"/>
      <c r="C380" s="66"/>
      <c r="D380" s="66"/>
      <c r="E380" s="66"/>
      <c r="F380" s="66"/>
      <c r="G380" s="66"/>
      <c r="H380" s="66"/>
      <c r="I380" s="66"/>
      <c r="J380" s="66"/>
      <c r="K380" s="66"/>
      <c r="L380" s="66"/>
      <c r="M380" s="66"/>
      <c r="N380" s="66"/>
      <c r="O380" s="66"/>
      <c r="P380" s="66"/>
      <c r="Q380" s="66"/>
      <c r="R380" s="66"/>
      <c r="S380" s="66"/>
      <c r="T380" s="66"/>
      <c r="U380" s="66"/>
      <c r="V380" s="66"/>
      <c r="W380" s="66"/>
    </row>
    <row r="381" spans="1:23">
      <c r="A381" s="66"/>
      <c r="B381" s="66"/>
      <c r="C381" s="66"/>
      <c r="D381" s="66"/>
      <c r="E381" s="66"/>
      <c r="F381" s="66"/>
      <c r="G381" s="66"/>
      <c r="H381" s="66"/>
      <c r="I381" s="66"/>
      <c r="J381" s="66"/>
      <c r="K381" s="66"/>
      <c r="L381" s="66"/>
      <c r="M381" s="66"/>
      <c r="N381" s="66"/>
      <c r="O381" s="66"/>
      <c r="P381" s="66"/>
      <c r="Q381" s="66"/>
      <c r="R381" s="66"/>
      <c r="S381" s="66"/>
      <c r="T381" s="66"/>
      <c r="U381" s="66"/>
      <c r="V381" s="66"/>
      <c r="W381" s="66"/>
    </row>
    <row r="382" spans="1:23">
      <c r="A382" s="66"/>
      <c r="B382" s="66"/>
      <c r="C382" s="66"/>
      <c r="D382" s="66"/>
      <c r="E382" s="66"/>
      <c r="F382" s="66"/>
      <c r="G382" s="66"/>
      <c r="H382" s="66"/>
      <c r="I382" s="66"/>
      <c r="J382" s="66"/>
      <c r="K382" s="66"/>
      <c r="L382" s="66"/>
      <c r="M382" s="66"/>
      <c r="N382" s="66"/>
      <c r="O382" s="66"/>
      <c r="P382" s="66"/>
      <c r="Q382" s="66"/>
      <c r="R382" s="66"/>
      <c r="S382" s="66"/>
      <c r="T382" s="66"/>
      <c r="U382" s="66"/>
      <c r="V382" s="66"/>
      <c r="W382" s="66"/>
    </row>
    <row r="383" spans="1:23">
      <c r="A383" s="66"/>
      <c r="B383" s="66"/>
      <c r="C383" s="66"/>
      <c r="D383" s="66"/>
      <c r="E383" s="66"/>
      <c r="F383" s="66"/>
      <c r="G383" s="66"/>
      <c r="H383" s="66"/>
      <c r="I383" s="66"/>
      <c r="J383" s="66"/>
      <c r="K383" s="66"/>
      <c r="L383" s="66"/>
      <c r="M383" s="66"/>
      <c r="N383" s="66"/>
      <c r="O383" s="66"/>
      <c r="P383" s="66"/>
      <c r="Q383" s="66"/>
      <c r="R383" s="66"/>
      <c r="S383" s="66"/>
      <c r="T383" s="66"/>
      <c r="U383" s="66"/>
      <c r="V383" s="66"/>
      <c r="W383" s="66"/>
    </row>
    <row r="384" spans="1:23">
      <c r="A384" s="66"/>
      <c r="B384" s="66"/>
      <c r="C384" s="66"/>
      <c r="D384" s="66"/>
      <c r="E384" s="66"/>
      <c r="F384" s="66"/>
      <c r="G384" s="66"/>
      <c r="H384" s="66"/>
      <c r="I384" s="66"/>
      <c r="J384" s="66"/>
      <c r="K384" s="66"/>
      <c r="L384" s="66"/>
      <c r="M384" s="66"/>
      <c r="N384" s="66"/>
      <c r="O384" s="66"/>
      <c r="P384" s="66"/>
      <c r="Q384" s="66"/>
      <c r="R384" s="66"/>
      <c r="S384" s="66"/>
      <c r="T384" s="66"/>
      <c r="U384" s="66"/>
      <c r="V384" s="66"/>
      <c r="W384" s="66"/>
    </row>
    <row r="385" spans="1:23">
      <c r="A385" s="66"/>
      <c r="B385" s="66"/>
      <c r="C385" s="66"/>
      <c r="D385" s="66"/>
      <c r="E385" s="66"/>
      <c r="F385" s="66"/>
      <c r="G385" s="66"/>
      <c r="H385" s="66"/>
      <c r="I385" s="66"/>
      <c r="J385" s="66"/>
      <c r="K385" s="66"/>
      <c r="L385" s="66"/>
      <c r="M385" s="66"/>
      <c r="N385" s="66"/>
      <c r="O385" s="66"/>
      <c r="P385" s="66"/>
      <c r="Q385" s="66"/>
      <c r="R385" s="66"/>
      <c r="S385" s="66"/>
      <c r="T385" s="66"/>
      <c r="U385" s="66"/>
      <c r="V385" s="66"/>
      <c r="W385" s="66"/>
    </row>
    <row r="386" spans="1:23">
      <c r="A386" s="66"/>
      <c r="B386" s="66"/>
      <c r="C386" s="66"/>
      <c r="D386" s="66"/>
      <c r="E386" s="66"/>
      <c r="F386" s="66"/>
      <c r="G386" s="66"/>
      <c r="H386" s="66"/>
      <c r="I386" s="66"/>
      <c r="J386" s="66"/>
      <c r="K386" s="66"/>
      <c r="L386" s="66"/>
      <c r="M386" s="66"/>
      <c r="N386" s="66"/>
      <c r="O386" s="66"/>
      <c r="P386" s="66"/>
      <c r="Q386" s="66"/>
      <c r="R386" s="66"/>
      <c r="S386" s="66"/>
      <c r="T386" s="66"/>
      <c r="U386" s="66"/>
      <c r="V386" s="66"/>
      <c r="W386" s="66"/>
    </row>
    <row r="387" spans="1:23">
      <c r="A387" s="66"/>
      <c r="B387" s="66"/>
      <c r="C387" s="66"/>
      <c r="D387" s="66"/>
      <c r="E387" s="66"/>
      <c r="F387" s="66"/>
      <c r="G387" s="66"/>
      <c r="H387" s="66"/>
      <c r="I387" s="66"/>
      <c r="J387" s="66"/>
      <c r="K387" s="66"/>
      <c r="L387" s="66"/>
      <c r="M387" s="66"/>
      <c r="N387" s="66"/>
      <c r="O387" s="66"/>
      <c r="P387" s="66"/>
      <c r="Q387" s="66"/>
      <c r="R387" s="66"/>
      <c r="S387" s="66"/>
      <c r="T387" s="66"/>
      <c r="U387" s="66"/>
      <c r="V387" s="66"/>
      <c r="W387" s="66"/>
    </row>
    <row r="388" spans="1:23">
      <c r="A388" s="66"/>
      <c r="B388" s="66"/>
      <c r="C388" s="66"/>
      <c r="D388" s="66"/>
      <c r="E388" s="66"/>
      <c r="F388" s="66"/>
      <c r="G388" s="66"/>
      <c r="H388" s="66"/>
      <c r="I388" s="66"/>
      <c r="J388" s="66"/>
      <c r="K388" s="66"/>
      <c r="L388" s="66"/>
      <c r="M388" s="66"/>
      <c r="N388" s="66"/>
      <c r="O388" s="66"/>
      <c r="P388" s="66"/>
      <c r="Q388" s="66"/>
      <c r="R388" s="66"/>
      <c r="S388" s="66"/>
      <c r="T388" s="66"/>
      <c r="U388" s="66"/>
      <c r="V388" s="66"/>
      <c r="W388" s="66"/>
    </row>
    <row r="389" spans="1:23">
      <c r="A389" s="66"/>
      <c r="B389" s="66"/>
      <c r="C389" s="66"/>
      <c r="D389" s="66"/>
      <c r="E389" s="66"/>
      <c r="F389" s="66"/>
      <c r="G389" s="66"/>
      <c r="H389" s="66"/>
      <c r="I389" s="66"/>
      <c r="J389" s="66"/>
      <c r="K389" s="66"/>
      <c r="L389" s="66"/>
      <c r="M389" s="66"/>
      <c r="N389" s="66"/>
      <c r="O389" s="66"/>
      <c r="P389" s="66"/>
      <c r="Q389" s="66"/>
      <c r="R389" s="66"/>
      <c r="S389" s="66"/>
      <c r="T389" s="66"/>
      <c r="U389" s="66"/>
      <c r="V389" s="66"/>
      <c r="W389" s="66"/>
    </row>
    <row r="390" spans="1:23">
      <c r="A390" s="66"/>
      <c r="B390" s="66"/>
      <c r="C390" s="66"/>
      <c r="D390" s="66"/>
      <c r="E390" s="66"/>
      <c r="F390" s="66"/>
      <c r="G390" s="66"/>
      <c r="H390" s="66"/>
      <c r="I390" s="66"/>
      <c r="J390" s="66"/>
      <c r="K390" s="66"/>
      <c r="L390" s="66"/>
      <c r="M390" s="66"/>
      <c r="N390" s="66"/>
      <c r="O390" s="66"/>
      <c r="P390" s="66"/>
      <c r="Q390" s="66"/>
      <c r="R390" s="66"/>
      <c r="S390" s="66"/>
      <c r="T390" s="66"/>
      <c r="U390" s="66"/>
      <c r="V390" s="66"/>
      <c r="W390" s="66"/>
    </row>
    <row r="391" spans="1:23">
      <c r="A391" s="66"/>
      <c r="B391" s="66"/>
      <c r="C391" s="66"/>
      <c r="D391" s="66"/>
      <c r="E391" s="66"/>
      <c r="F391" s="66"/>
      <c r="G391" s="66"/>
      <c r="H391" s="66"/>
      <c r="I391" s="66"/>
      <c r="J391" s="66"/>
      <c r="K391" s="66"/>
      <c r="L391" s="66"/>
      <c r="M391" s="66"/>
      <c r="N391" s="66"/>
      <c r="O391" s="66"/>
      <c r="P391" s="66"/>
      <c r="Q391" s="66"/>
      <c r="R391" s="66"/>
      <c r="S391" s="66"/>
      <c r="T391" s="66"/>
      <c r="U391" s="66"/>
      <c r="V391" s="66"/>
      <c r="W391" s="66"/>
    </row>
    <row r="392" spans="1:23">
      <c r="A392" s="66"/>
      <c r="B392" s="66"/>
      <c r="C392" s="66"/>
      <c r="D392" s="66"/>
      <c r="E392" s="66"/>
      <c r="F392" s="66"/>
      <c r="G392" s="66"/>
      <c r="H392" s="66"/>
      <c r="I392" s="66"/>
      <c r="J392" s="66"/>
      <c r="K392" s="66"/>
      <c r="L392" s="66"/>
      <c r="M392" s="66"/>
      <c r="N392" s="66"/>
      <c r="O392" s="66"/>
      <c r="P392" s="66"/>
      <c r="Q392" s="66"/>
      <c r="R392" s="66"/>
      <c r="S392" s="66"/>
      <c r="T392" s="66"/>
      <c r="U392" s="66"/>
      <c r="V392" s="66"/>
      <c r="W392" s="66"/>
    </row>
    <row r="393" spans="1:23">
      <c r="A393" s="66"/>
      <c r="B393" s="66"/>
      <c r="C393" s="66"/>
      <c r="D393" s="66"/>
      <c r="E393" s="66"/>
      <c r="F393" s="66"/>
      <c r="G393" s="66"/>
      <c r="H393" s="66"/>
      <c r="I393" s="66"/>
      <c r="J393" s="66"/>
      <c r="K393" s="66"/>
      <c r="L393" s="66"/>
      <c r="M393" s="66"/>
      <c r="N393" s="66"/>
      <c r="O393" s="66"/>
      <c r="P393" s="66"/>
      <c r="Q393" s="66"/>
      <c r="R393" s="66"/>
      <c r="S393" s="66"/>
      <c r="T393" s="66"/>
      <c r="U393" s="66"/>
      <c r="V393" s="66"/>
      <c r="W393" s="66"/>
    </row>
    <row r="394" spans="1:23">
      <c r="A394" s="66"/>
      <c r="B394" s="66"/>
      <c r="C394" s="66"/>
      <c r="D394" s="66"/>
      <c r="E394" s="66"/>
      <c r="F394" s="66"/>
      <c r="G394" s="66"/>
      <c r="H394" s="66"/>
      <c r="I394" s="66"/>
      <c r="J394" s="66"/>
      <c r="K394" s="66"/>
      <c r="L394" s="66"/>
      <c r="M394" s="66"/>
      <c r="N394" s="66"/>
      <c r="O394" s="66"/>
      <c r="P394" s="66"/>
      <c r="Q394" s="66"/>
      <c r="R394" s="66"/>
      <c r="S394" s="66"/>
      <c r="T394" s="66"/>
      <c r="U394" s="66"/>
      <c r="V394" s="66"/>
      <c r="W394" s="66"/>
    </row>
    <row r="395" spans="1:23">
      <c r="A395" s="66"/>
      <c r="B395" s="66"/>
      <c r="C395" s="66"/>
      <c r="D395" s="66"/>
      <c r="E395" s="66"/>
      <c r="F395" s="66"/>
      <c r="G395" s="66"/>
      <c r="H395" s="66"/>
      <c r="I395" s="66"/>
      <c r="J395" s="66"/>
      <c r="K395" s="66"/>
      <c r="L395" s="66"/>
      <c r="M395" s="66"/>
      <c r="N395" s="66"/>
      <c r="O395" s="66"/>
      <c r="P395" s="66"/>
      <c r="Q395" s="66"/>
      <c r="R395" s="66"/>
      <c r="S395" s="66"/>
      <c r="T395" s="66"/>
      <c r="U395" s="66"/>
      <c r="V395" s="66"/>
      <c r="W395" s="66"/>
    </row>
    <row r="396" spans="1:23">
      <c r="A396" s="66"/>
      <c r="B396" s="66"/>
      <c r="C396" s="66"/>
      <c r="D396" s="66"/>
      <c r="E396" s="66"/>
      <c r="F396" s="66"/>
      <c r="G396" s="66"/>
      <c r="H396" s="66"/>
      <c r="I396" s="66"/>
      <c r="J396" s="66"/>
      <c r="K396" s="66"/>
      <c r="L396" s="66"/>
      <c r="M396" s="66"/>
      <c r="N396" s="66"/>
      <c r="O396" s="66"/>
      <c r="P396" s="66"/>
      <c r="Q396" s="66"/>
      <c r="R396" s="66"/>
      <c r="S396" s="66"/>
      <c r="T396" s="66"/>
      <c r="U396" s="66"/>
      <c r="V396" s="66"/>
      <c r="W396" s="66"/>
    </row>
    <row r="397" spans="1:23">
      <c r="A397" s="66"/>
      <c r="B397" s="66"/>
      <c r="C397" s="66"/>
      <c r="D397" s="66"/>
      <c r="E397" s="66"/>
      <c r="F397" s="66"/>
      <c r="G397" s="66"/>
      <c r="H397" s="66"/>
      <c r="I397" s="66"/>
      <c r="J397" s="66"/>
      <c r="K397" s="66"/>
      <c r="L397" s="66"/>
      <c r="M397" s="66"/>
      <c r="N397" s="66"/>
      <c r="O397" s="66"/>
      <c r="P397" s="66"/>
      <c r="Q397" s="66"/>
      <c r="R397" s="66"/>
      <c r="S397" s="66"/>
      <c r="T397" s="66"/>
      <c r="U397" s="66"/>
      <c r="V397" s="66"/>
      <c r="W397" s="66"/>
    </row>
    <row r="398" spans="1:23">
      <c r="A398" s="66"/>
      <c r="B398" s="66"/>
      <c r="C398" s="66"/>
      <c r="D398" s="66"/>
      <c r="E398" s="66"/>
      <c r="F398" s="66"/>
      <c r="G398" s="66"/>
      <c r="H398" s="66"/>
      <c r="I398" s="66"/>
      <c r="J398" s="66"/>
      <c r="K398" s="66"/>
      <c r="L398" s="66"/>
      <c r="M398" s="66"/>
      <c r="N398" s="66"/>
      <c r="O398" s="66"/>
      <c r="P398" s="66"/>
      <c r="Q398" s="66"/>
      <c r="R398" s="66"/>
      <c r="S398" s="66"/>
      <c r="T398" s="66"/>
      <c r="U398" s="66"/>
      <c r="V398" s="66"/>
      <c r="W398" s="66"/>
    </row>
    <row r="399" spans="1:23">
      <c r="A399" s="66"/>
      <c r="B399" s="66"/>
      <c r="C399" s="66"/>
      <c r="D399" s="66"/>
      <c r="E399" s="66"/>
      <c r="F399" s="66"/>
      <c r="G399" s="66"/>
      <c r="H399" s="66"/>
      <c r="I399" s="66"/>
      <c r="J399" s="66"/>
      <c r="K399" s="66"/>
      <c r="L399" s="66"/>
      <c r="M399" s="66"/>
      <c r="N399" s="66"/>
      <c r="O399" s="66"/>
      <c r="P399" s="66"/>
      <c r="Q399" s="66"/>
      <c r="R399" s="66"/>
      <c r="S399" s="66"/>
      <c r="T399" s="66"/>
      <c r="U399" s="66"/>
      <c r="V399" s="66"/>
      <c r="W399" s="66"/>
    </row>
    <row r="400" spans="1:23">
      <c r="A400" s="66"/>
      <c r="B400" s="66"/>
      <c r="C400" s="66"/>
      <c r="D400" s="66"/>
      <c r="E400" s="66"/>
      <c r="F400" s="66"/>
      <c r="G400" s="66"/>
      <c r="H400" s="66"/>
      <c r="I400" s="66"/>
      <c r="J400" s="66"/>
      <c r="K400" s="66"/>
      <c r="L400" s="66"/>
      <c r="M400" s="66"/>
      <c r="N400" s="66"/>
      <c r="O400" s="66"/>
      <c r="P400" s="66"/>
      <c r="Q400" s="66"/>
      <c r="R400" s="66"/>
      <c r="S400" s="66"/>
      <c r="T400" s="66"/>
      <c r="U400" s="66"/>
      <c r="V400" s="66"/>
      <c r="W400" s="66"/>
    </row>
    <row r="401" spans="1:23">
      <c r="A401" s="66"/>
      <c r="B401" s="66"/>
      <c r="C401" s="66"/>
      <c r="D401" s="66"/>
      <c r="E401" s="66"/>
      <c r="F401" s="66"/>
      <c r="G401" s="66"/>
      <c r="H401" s="66"/>
      <c r="I401" s="66"/>
      <c r="J401" s="66"/>
      <c r="K401" s="66"/>
      <c r="L401" s="66"/>
      <c r="M401" s="66"/>
      <c r="N401" s="66"/>
      <c r="O401" s="66"/>
      <c r="P401" s="66"/>
      <c r="Q401" s="66"/>
      <c r="R401" s="66"/>
      <c r="S401" s="66"/>
      <c r="T401" s="66"/>
      <c r="U401" s="66"/>
      <c r="V401" s="66"/>
      <c r="W401" s="66"/>
    </row>
    <row r="402" spans="1:23">
      <c r="A402" s="66"/>
      <c r="B402" s="66"/>
      <c r="C402" s="66"/>
      <c r="D402" s="66"/>
      <c r="E402" s="66"/>
      <c r="F402" s="66"/>
      <c r="G402" s="66"/>
      <c r="H402" s="66"/>
      <c r="I402" s="66"/>
      <c r="J402" s="66"/>
      <c r="K402" s="66"/>
      <c r="L402" s="66"/>
      <c r="M402" s="66"/>
      <c r="N402" s="66"/>
      <c r="O402" s="66"/>
      <c r="P402" s="66"/>
      <c r="Q402" s="66"/>
      <c r="R402" s="66"/>
      <c r="S402" s="66"/>
      <c r="T402" s="66"/>
      <c r="U402" s="66"/>
      <c r="V402" s="66"/>
      <c r="W402" s="66"/>
    </row>
    <row r="403" spans="1:23">
      <c r="A403" s="66"/>
      <c r="B403" s="66"/>
      <c r="C403" s="66"/>
      <c r="D403" s="66"/>
      <c r="E403" s="66"/>
      <c r="F403" s="66"/>
      <c r="G403" s="66"/>
      <c r="H403" s="66"/>
      <c r="I403" s="66"/>
      <c r="J403" s="66"/>
      <c r="K403" s="66"/>
      <c r="L403" s="66"/>
      <c r="M403" s="66"/>
      <c r="N403" s="66"/>
      <c r="O403" s="66"/>
      <c r="P403" s="66"/>
      <c r="Q403" s="66"/>
      <c r="R403" s="66"/>
      <c r="S403" s="66"/>
      <c r="T403" s="66"/>
      <c r="U403" s="66"/>
      <c r="V403" s="66"/>
      <c r="W403" s="66"/>
    </row>
    <row r="404" spans="1:23">
      <c r="A404" s="66"/>
      <c r="B404" s="66"/>
      <c r="C404" s="66"/>
      <c r="D404" s="66"/>
      <c r="E404" s="66"/>
      <c r="F404" s="66"/>
      <c r="G404" s="66"/>
      <c r="H404" s="66"/>
      <c r="I404" s="66"/>
      <c r="J404" s="66"/>
      <c r="K404" s="66"/>
      <c r="L404" s="66"/>
      <c r="M404" s="66"/>
      <c r="N404" s="66"/>
      <c r="O404" s="66"/>
      <c r="P404" s="66"/>
      <c r="Q404" s="66"/>
      <c r="R404" s="66"/>
      <c r="S404" s="66"/>
      <c r="T404" s="66"/>
      <c r="U404" s="66"/>
      <c r="V404" s="66"/>
      <c r="W404" s="66"/>
    </row>
    <row r="405" spans="1:23">
      <c r="A405" s="66"/>
      <c r="B405" s="66"/>
      <c r="C405" s="66"/>
      <c r="D405" s="66"/>
      <c r="E405" s="66"/>
      <c r="F405" s="66"/>
      <c r="G405" s="66"/>
      <c r="H405" s="66"/>
      <c r="I405" s="66"/>
      <c r="J405" s="66"/>
      <c r="K405" s="66"/>
      <c r="L405" s="66"/>
      <c r="M405" s="66"/>
      <c r="N405" s="66"/>
      <c r="O405" s="66"/>
      <c r="P405" s="66"/>
      <c r="Q405" s="66"/>
      <c r="R405" s="66"/>
      <c r="S405" s="66"/>
      <c r="T405" s="66"/>
      <c r="U405" s="66"/>
      <c r="V405" s="66"/>
      <c r="W405" s="66"/>
    </row>
    <row r="406" spans="1:23">
      <c r="A406" s="66"/>
      <c r="B406" s="66"/>
      <c r="C406" s="66"/>
      <c r="D406" s="66"/>
      <c r="E406" s="66"/>
      <c r="F406" s="66"/>
      <c r="G406" s="66"/>
      <c r="H406" s="66"/>
      <c r="I406" s="66"/>
      <c r="J406" s="66"/>
      <c r="K406" s="66"/>
      <c r="L406" s="66"/>
      <c r="M406" s="66"/>
      <c r="N406" s="66"/>
      <c r="O406" s="66"/>
      <c r="P406" s="66"/>
      <c r="Q406" s="66"/>
      <c r="R406" s="66"/>
      <c r="S406" s="66"/>
      <c r="T406" s="66"/>
      <c r="U406" s="66"/>
      <c r="V406" s="66"/>
      <c r="W406" s="66"/>
    </row>
    <row r="407" spans="1:23">
      <c r="A407" s="66"/>
      <c r="B407" s="66"/>
      <c r="C407" s="66"/>
      <c r="D407" s="66"/>
      <c r="E407" s="66"/>
      <c r="F407" s="66"/>
      <c r="G407" s="66"/>
      <c r="H407" s="66"/>
      <c r="I407" s="66"/>
      <c r="J407" s="66"/>
      <c r="K407" s="66"/>
      <c r="L407" s="66"/>
      <c r="M407" s="66"/>
      <c r="N407" s="66"/>
      <c r="O407" s="66"/>
      <c r="P407" s="66"/>
      <c r="Q407" s="66"/>
      <c r="R407" s="66"/>
      <c r="S407" s="66"/>
      <c r="T407" s="66"/>
      <c r="U407" s="66"/>
      <c r="V407" s="66"/>
      <c r="W407" s="6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9101D-5AD7-4D8C-831E-807D36B17458}">
  <sheetPr codeName="Sheet46">
    <pageSetUpPr fitToPage="1"/>
  </sheetPr>
  <dimension ref="A1:AT113"/>
  <sheetViews>
    <sheetView showGridLines="0" showOutlineSymbols="0" zoomScale="120" zoomScaleNormal="120" workbookViewId="0">
      <selection activeCell="L7" sqref="L7"/>
    </sheetView>
  </sheetViews>
  <sheetFormatPr defaultColWidth="13" defaultRowHeight="15"/>
  <cols>
    <col min="1" max="1" width="3.77734375" style="67" customWidth="1"/>
    <col min="2" max="2" width="26.109375" style="681" bestFit="1" customWidth="1"/>
    <col min="3" max="3" width="16.5546875" style="681" customWidth="1"/>
    <col min="4" max="4" width="16.5546875" style="681" hidden="1" customWidth="1"/>
    <col min="5" max="5" width="5.6640625" style="681" customWidth="1"/>
    <col min="6" max="6" width="4.44140625" style="67" customWidth="1"/>
    <col min="7" max="7" width="6.6640625" style="67" customWidth="1"/>
    <col min="8" max="8" width="11.6640625" style="67" customWidth="1"/>
    <col min="9" max="9" width="13.77734375" style="67" customWidth="1"/>
    <col min="10" max="10" width="10.33203125" style="67" customWidth="1"/>
    <col min="11" max="11" width="11.77734375" style="67" bestFit="1" customWidth="1"/>
    <col min="12" max="13" width="14.33203125" style="67" customWidth="1"/>
    <col min="14" max="14" width="4.77734375" style="67" customWidth="1"/>
    <col min="15" max="15" width="4.88671875" style="681" customWidth="1"/>
    <col min="16" max="16" width="31.44140625" style="681" customWidth="1"/>
    <col min="17" max="17" width="13" style="563"/>
    <col min="18" max="18" width="10.77734375" style="570" customWidth="1"/>
    <col min="19" max="19" width="13" style="67"/>
    <col min="20" max="20" width="10.44140625" style="67" customWidth="1"/>
    <col min="21" max="21" width="12.21875" style="67" customWidth="1"/>
    <col min="22" max="22" width="13" style="67"/>
    <col min="23" max="24" width="13.77734375" style="67" customWidth="1"/>
    <col min="25" max="25" width="12.44140625" style="67" customWidth="1"/>
    <col min="26" max="26" width="13" style="67"/>
    <col min="27" max="27" width="12.33203125" style="67" customWidth="1"/>
    <col min="28" max="29" width="13" style="67"/>
    <col min="30" max="30" width="12.77734375" style="67" customWidth="1"/>
    <col min="31" max="31" width="13.44140625" style="67" customWidth="1"/>
    <col min="32" max="32" width="16.109375" style="67" customWidth="1"/>
    <col min="33" max="33" width="14.109375" style="67" customWidth="1"/>
    <col min="34" max="34" width="12.77734375" style="67" customWidth="1"/>
    <col min="35" max="35" width="13" style="67"/>
    <col min="36" max="36" width="10.77734375" style="67" customWidth="1"/>
    <col min="37" max="37" width="12.77734375" style="67" customWidth="1"/>
    <col min="38" max="49" width="11.77734375" style="67" customWidth="1"/>
    <col min="50" max="16384" width="13" style="67"/>
  </cols>
  <sheetData>
    <row r="1" spans="1:35" s="562" customFormat="1" ht="15.75" thickBot="1">
      <c r="A1" s="557"/>
      <c r="B1" s="558"/>
      <c r="C1" s="558"/>
      <c r="D1" s="558"/>
      <c r="E1" s="558"/>
      <c r="F1" s="558"/>
      <c r="G1" s="558"/>
      <c r="H1" s="558"/>
      <c r="I1" s="559"/>
      <c r="J1" s="559"/>
      <c r="K1" s="559"/>
      <c r="L1" s="559"/>
      <c r="M1" s="559"/>
      <c r="N1" s="559"/>
      <c r="O1" s="558"/>
      <c r="P1" s="558"/>
      <c r="Q1" s="560"/>
      <c r="R1" s="561"/>
    </row>
    <row r="2" spans="1:35" ht="19.5" thickBot="1">
      <c r="A2" s="557"/>
      <c r="B2" s="829" t="s">
        <v>106</v>
      </c>
      <c r="C2" s="829"/>
      <c r="D2" s="557"/>
      <c r="E2" s="557"/>
      <c r="F2" s="58" t="s">
        <v>112</v>
      </c>
      <c r="G2" s="28"/>
      <c r="H2" s="28"/>
      <c r="I2" s="29" t="s">
        <v>123</v>
      </c>
      <c r="J2" s="28"/>
      <c r="K2" s="28"/>
      <c r="L2" s="28"/>
      <c r="M2" s="58" t="s">
        <v>112</v>
      </c>
      <c r="O2" s="557"/>
      <c r="P2" s="557"/>
      <c r="R2" s="755" t="s">
        <v>1</v>
      </c>
      <c r="S2" s="756"/>
      <c r="T2" s="757"/>
      <c r="AF2" s="830" t="s">
        <v>92</v>
      </c>
      <c r="AG2" s="831"/>
      <c r="AH2" s="831"/>
      <c r="AI2" s="832"/>
    </row>
    <row r="3" spans="1:35" ht="15.75">
      <c r="A3" s="557"/>
      <c r="B3" s="557"/>
      <c r="C3" s="557"/>
      <c r="D3" s="557"/>
      <c r="E3" s="557"/>
      <c r="F3" s="567"/>
      <c r="G3" s="568"/>
      <c r="K3" s="569" t="s">
        <v>121</v>
      </c>
      <c r="M3" s="569" t="s">
        <v>120</v>
      </c>
      <c r="O3" s="557"/>
      <c r="P3" s="557"/>
      <c r="R3" s="67"/>
      <c r="T3" s="67" t="s">
        <v>8</v>
      </c>
      <c r="V3" s="570" t="s">
        <v>8</v>
      </c>
      <c r="W3" s="570" t="s">
        <v>8</v>
      </c>
      <c r="X3" s="570" t="s">
        <v>8</v>
      </c>
      <c r="Y3" s="570" t="s">
        <v>9</v>
      </c>
      <c r="Z3" s="570" t="s">
        <v>9</v>
      </c>
      <c r="AA3" s="570" t="s">
        <v>9</v>
      </c>
      <c r="AB3" s="570" t="s">
        <v>9</v>
      </c>
      <c r="AC3" s="570" t="s">
        <v>9</v>
      </c>
      <c r="AD3" s="570" t="s">
        <v>9</v>
      </c>
      <c r="AE3" s="570" t="s">
        <v>86</v>
      </c>
      <c r="AF3" s="570" t="s">
        <v>12</v>
      </c>
      <c r="AG3" s="570" t="s">
        <v>89</v>
      </c>
      <c r="AH3" s="570"/>
    </row>
    <row r="4" spans="1:35" ht="19.5" thickBot="1">
      <c r="A4" s="557"/>
      <c r="B4" s="48" t="s">
        <v>115</v>
      </c>
      <c r="C4" s="758"/>
      <c r="D4" s="571"/>
      <c r="E4" s="557"/>
      <c r="F4" s="572"/>
      <c r="G4" s="568"/>
      <c r="H4" s="573" t="s">
        <v>2</v>
      </c>
      <c r="I4" s="573" t="s">
        <v>3</v>
      </c>
      <c r="J4" s="573" t="s">
        <v>4</v>
      </c>
      <c r="K4" s="573" t="s">
        <v>5</v>
      </c>
      <c r="L4" s="573" t="s">
        <v>6</v>
      </c>
      <c r="M4" s="573" t="s">
        <v>7</v>
      </c>
      <c r="O4" s="574"/>
      <c r="P4" s="557"/>
      <c r="R4" s="67"/>
      <c r="T4" s="570" t="s">
        <v>14</v>
      </c>
      <c r="V4" s="570" t="s">
        <v>15</v>
      </c>
      <c r="W4" s="570" t="s">
        <v>16</v>
      </c>
      <c r="X4" s="570" t="s">
        <v>17</v>
      </c>
      <c r="Y4" s="570" t="s">
        <v>18</v>
      </c>
      <c r="Z4" s="570" t="s">
        <v>18</v>
      </c>
      <c r="AA4" s="570" t="s">
        <v>18</v>
      </c>
      <c r="AB4" s="570" t="s">
        <v>16</v>
      </c>
      <c r="AC4" s="570" t="s">
        <v>14</v>
      </c>
      <c r="AD4" s="570" t="s">
        <v>14</v>
      </c>
      <c r="AE4" s="570" t="s">
        <v>93</v>
      </c>
      <c r="AF4" s="570" t="s">
        <v>88</v>
      </c>
      <c r="AG4" s="570" t="s">
        <v>90</v>
      </c>
      <c r="AH4" s="570" t="s">
        <v>91</v>
      </c>
      <c r="AI4" s="570" t="s">
        <v>87</v>
      </c>
    </row>
    <row r="5" spans="1:35" ht="15.75">
      <c r="A5" s="557"/>
      <c r="B5" s="575" t="s">
        <v>32</v>
      </c>
      <c r="C5" s="44">
        <f>+Allocations!E21</f>
        <v>1474851.4651472569</v>
      </c>
      <c r="D5" s="571"/>
      <c r="E5" s="557"/>
      <c r="F5" s="576" t="s">
        <v>10</v>
      </c>
      <c r="G5" s="577"/>
      <c r="H5" s="577"/>
      <c r="I5" s="573" t="s">
        <v>11</v>
      </c>
      <c r="J5" s="573" t="s">
        <v>12</v>
      </c>
      <c r="K5" s="578" t="s">
        <v>13</v>
      </c>
      <c r="L5" s="578" t="s">
        <v>118</v>
      </c>
      <c r="M5" s="578" t="s">
        <v>12</v>
      </c>
      <c r="O5" s="12"/>
      <c r="P5" s="557"/>
      <c r="R5" s="579"/>
      <c r="T5" s="570" t="s">
        <v>22</v>
      </c>
      <c r="U5" s="570" t="s">
        <v>23</v>
      </c>
      <c r="V5" s="570" t="s">
        <v>24</v>
      </c>
      <c r="W5" s="570" t="s">
        <v>25</v>
      </c>
      <c r="X5" s="570" t="s">
        <v>26</v>
      </c>
      <c r="Y5" s="570" t="s">
        <v>27</v>
      </c>
      <c r="Z5" s="570" t="s">
        <v>28</v>
      </c>
      <c r="AA5" s="570" t="s">
        <v>29</v>
      </c>
      <c r="AB5" s="570" t="s">
        <v>30</v>
      </c>
      <c r="AC5" s="570" t="s">
        <v>22</v>
      </c>
      <c r="AD5" s="570" t="s">
        <v>31</v>
      </c>
      <c r="AE5" s="570" t="s">
        <v>20</v>
      </c>
      <c r="AF5" s="570" t="s">
        <v>85</v>
      </c>
      <c r="AG5" s="570" t="s">
        <v>85</v>
      </c>
      <c r="AH5" s="570" t="s">
        <v>20</v>
      </c>
      <c r="AI5" s="570" t="s">
        <v>86</v>
      </c>
    </row>
    <row r="6" spans="1:35" ht="15.75">
      <c r="A6" s="557"/>
      <c r="B6" s="575" t="s">
        <v>33</v>
      </c>
      <c r="C6" s="759">
        <f>+Allocations!E71</f>
        <v>794640.84492520278</v>
      </c>
      <c r="D6" s="571"/>
      <c r="E6" s="557"/>
      <c r="F6" s="580" t="s">
        <v>19</v>
      </c>
      <c r="G6" s="577"/>
      <c r="H6" s="577"/>
      <c r="I6" s="581"/>
      <c r="J6" s="582" t="s">
        <v>117</v>
      </c>
      <c r="K6" s="583"/>
      <c r="L6" s="582" t="s">
        <v>119</v>
      </c>
      <c r="M6" s="582" t="s">
        <v>21</v>
      </c>
      <c r="O6" s="12"/>
      <c r="P6" s="557"/>
      <c r="R6" s="731">
        <v>1</v>
      </c>
      <c r="S6" s="732">
        <f>Revenue/Investment*100</f>
        <v>18709.944464439654</v>
      </c>
      <c r="T6" s="733">
        <f>EXP(y_inter1-(slope*LN(+S6)))</f>
        <v>0.36694907489526202</v>
      </c>
      <c r="U6" s="734">
        <f>(+S6*T6/100)/100</f>
        <v>0.68655968125678601</v>
      </c>
      <c r="V6" s="734">
        <f>regDebt_weighted</f>
        <v>3.5860000000000003E-2</v>
      </c>
      <c r="W6" s="734">
        <f>+U6-V6</f>
        <v>0.65069968125678601</v>
      </c>
      <c r="X6" s="734">
        <f>+((W6*(1-0.34))-Pfd_weighted)/Equity_percent</f>
        <v>1.2304412489229035</v>
      </c>
      <c r="Y6" s="734">
        <f>X6*equityP</f>
        <v>0.73826474935374209</v>
      </c>
      <c r="Z6" s="734">
        <f>+Y6/(1-taxrate)</f>
        <v>0.93451234095410385</v>
      </c>
      <c r="AA6" s="734">
        <f>debtP*Debt_Rate</f>
        <v>1.5959999999999998E-2</v>
      </c>
      <c r="AB6" s="734">
        <f>AA6+Z6</f>
        <v>0.95047234095410382</v>
      </c>
      <c r="AC6" s="734">
        <f>AB6/(S6/100)</f>
        <v>5.0800382799670151E-3</v>
      </c>
      <c r="AD6" s="734">
        <f>1-AC6</f>
        <v>0.99491996172003294</v>
      </c>
      <c r="AE6" s="735">
        <f>expenses/(AD6)</f>
        <v>798698.26267372852</v>
      </c>
      <c r="AF6" s="736">
        <f>+AE6-Revenue</f>
        <v>-676153.20247352833</v>
      </c>
      <c r="AG6" s="737">
        <f ca="1">+AF6/$J$49</f>
        <v>-697230.28858277539</v>
      </c>
      <c r="AH6" s="737">
        <f ca="1">+AG6*$J$47</f>
        <v>-15757.404521970726</v>
      </c>
      <c r="AI6" s="735">
        <f ca="1">ROUND(+AH6+AE6,5)</f>
        <v>782940.85814999999</v>
      </c>
    </row>
    <row r="7" spans="1:35" ht="15.75">
      <c r="A7" s="557"/>
      <c r="B7" s="575" t="s">
        <v>104</v>
      </c>
      <c r="C7" s="759">
        <f>+'Regulatory Depreciation'!K219</f>
        <v>7882.7142857124854</v>
      </c>
      <c r="D7" s="571"/>
      <c r="E7" s="557"/>
      <c r="F7" s="760">
        <v>1</v>
      </c>
      <c r="G7" s="577"/>
      <c r="H7" s="586" t="s">
        <v>32</v>
      </c>
      <c r="I7" s="20">
        <f>IF(A65=TRUE,C5,0)</f>
        <v>1474851.4651472569</v>
      </c>
      <c r="J7" s="20">
        <f ca="1">(+$I8/($R51))-I7</f>
        <v>-674221.91115821607</v>
      </c>
      <c r="K7" s="20">
        <f ca="1">+I7+J7</f>
        <v>800629.55398904078</v>
      </c>
      <c r="L7" s="20">
        <f ca="1">((+J7/J49*K35)-J7)</f>
        <v>-15712.396765749436</v>
      </c>
      <c r="M7" s="20">
        <f ca="1">IFERROR(+K7+L7,0.00001)</f>
        <v>784917.15722329135</v>
      </c>
      <c r="O7" s="12"/>
      <c r="P7" s="557"/>
      <c r="R7" s="587">
        <v>2</v>
      </c>
      <c r="S7" s="40">
        <f>Revenue/Investment*100</f>
        <v>18709.944464439654</v>
      </c>
      <c r="T7" s="3">
        <f>EXP(y_inter1-(slope*LN(+S7)))</f>
        <v>0.36694907489526202</v>
      </c>
      <c r="U7" s="588">
        <f t="shared" ref="U7:U9" si="0">(+S7*T7/100)/100</f>
        <v>0.68655968125678601</v>
      </c>
      <c r="V7" s="588">
        <f>regDebt_weighted</f>
        <v>3.5860000000000003E-2</v>
      </c>
      <c r="W7" s="588">
        <f t="shared" ref="W7:W9" si="1">+U7-V7</f>
        <v>0.65069968125678601</v>
      </c>
      <c r="X7" s="588">
        <f>+((W7*(1-0.34))-Pfd_weighted)/Equity_percent</f>
        <v>1.2304412489229035</v>
      </c>
      <c r="Y7" s="588">
        <f>X7*equityP</f>
        <v>0.73826474935374209</v>
      </c>
      <c r="Z7" s="588">
        <f>+Y7/(1-taxrate)</f>
        <v>0.93451234095410385</v>
      </c>
      <c r="AA7" s="588">
        <f>debtP*Debt_Rate</f>
        <v>1.5959999999999998E-2</v>
      </c>
      <c r="AB7" s="588">
        <f t="shared" ref="AB7:AB9" si="2">AA7+Z7</f>
        <v>0.95047234095410382</v>
      </c>
      <c r="AC7" s="588">
        <f t="shared" ref="AC7:AC9" si="3">AB7/(S7/100)</f>
        <v>5.0800382799670151E-3</v>
      </c>
      <c r="AD7" s="588">
        <f t="shared" ref="AD7:AD9" si="4">1-AC7</f>
        <v>0.99491996172003294</v>
      </c>
      <c r="AE7" s="41">
        <f>expenses/(AD7)</f>
        <v>798698.26267372852</v>
      </c>
      <c r="AF7" s="42">
        <f>+AE7-Revenue</f>
        <v>-676153.20247352833</v>
      </c>
      <c r="AG7" s="4">
        <f ca="1">+AF7/$J$49</f>
        <v>-697230.28858277539</v>
      </c>
      <c r="AH7" s="4">
        <f ca="1">+AG7*$J$47</f>
        <v>-15757.404521970726</v>
      </c>
      <c r="AI7" s="41">
        <f t="shared" ref="AI7:AI9" ca="1" si="5">ROUND(+AH7+AE7,5)</f>
        <v>782940.85814999999</v>
      </c>
    </row>
    <row r="8" spans="1:35" ht="15.75">
      <c r="A8" s="557"/>
      <c r="B8" s="575" t="s">
        <v>114</v>
      </c>
      <c r="C8" s="761">
        <v>0.4</v>
      </c>
      <c r="D8" s="571"/>
      <c r="E8" s="557"/>
      <c r="F8" s="589">
        <f>+F7+1</f>
        <v>2</v>
      </c>
      <c r="G8" s="577"/>
      <c r="H8" s="586" t="s">
        <v>33</v>
      </c>
      <c r="I8" s="20">
        <f>IF(A65=TRUE,C6,0)</f>
        <v>794640.84492520278</v>
      </c>
      <c r="J8" s="568"/>
      <c r="K8" s="20">
        <f>+I8</f>
        <v>794640.84492520278</v>
      </c>
      <c r="L8" s="20">
        <f ca="1">+L7</f>
        <v>-15712.396765749436</v>
      </c>
      <c r="M8" s="20">
        <f ca="1">IFERROR(+K8+L8,0.00001)</f>
        <v>778928.44815945334</v>
      </c>
      <c r="O8" s="12"/>
      <c r="P8" s="557"/>
      <c r="R8" s="590">
        <v>3</v>
      </c>
      <c r="S8" s="40">
        <f>Revenue/Investment*100</f>
        <v>18709.944464439654</v>
      </c>
      <c r="T8" s="3">
        <f>EXP(y_inter1-(slope*LN(+S8)))</f>
        <v>0.36694907489526202</v>
      </c>
      <c r="U8" s="588">
        <f t="shared" si="0"/>
        <v>0.68655968125678601</v>
      </c>
      <c r="V8" s="588">
        <f>regDebt_weighted</f>
        <v>3.5860000000000003E-2</v>
      </c>
      <c r="W8" s="588">
        <f t="shared" si="1"/>
        <v>0.65069968125678601</v>
      </c>
      <c r="X8" s="588">
        <f>+((W8*(1-0.34))-Pfd_weighted)/Equity_percent</f>
        <v>1.2304412489229035</v>
      </c>
      <c r="Y8" s="588">
        <f>X8*equityP</f>
        <v>0.73826474935374209</v>
      </c>
      <c r="Z8" s="588">
        <f>+Y8/(1-taxrate)</f>
        <v>0.93451234095410385</v>
      </c>
      <c r="AA8" s="588">
        <f>debtP*Debt_Rate</f>
        <v>1.5959999999999998E-2</v>
      </c>
      <c r="AB8" s="588">
        <f t="shared" si="2"/>
        <v>0.95047234095410382</v>
      </c>
      <c r="AC8" s="588">
        <f t="shared" si="3"/>
        <v>5.0800382799670151E-3</v>
      </c>
      <c r="AD8" s="588">
        <f t="shared" si="4"/>
        <v>0.99491996172003294</v>
      </c>
      <c r="AE8" s="41">
        <f>expenses/(AD8)</f>
        <v>798698.26267372852</v>
      </c>
      <c r="AF8" s="42">
        <f>+AE8-Revenue</f>
        <v>-676153.20247352833</v>
      </c>
      <c r="AG8" s="4">
        <f ca="1">+AF8/$J$49</f>
        <v>-697230.28858277539</v>
      </c>
      <c r="AH8" s="4">
        <f ca="1">+AG8*$J$47</f>
        <v>-15757.404521970726</v>
      </c>
      <c r="AI8" s="41">
        <f t="shared" ca="1" si="5"/>
        <v>782940.85814999999</v>
      </c>
    </row>
    <row r="9" spans="1:35" ht="15.75">
      <c r="A9" s="557"/>
      <c r="B9" s="575" t="s">
        <v>113</v>
      </c>
      <c r="C9" s="761">
        <v>3.9899999999999998E-2</v>
      </c>
      <c r="D9" s="571"/>
      <c r="E9" s="557"/>
      <c r="F9" s="589">
        <f t="shared" ref="F9:F49" si="6">+F8+1</f>
        <v>3</v>
      </c>
      <c r="G9" s="577"/>
      <c r="H9" s="586" t="s">
        <v>34</v>
      </c>
      <c r="I9" s="762">
        <f>+I7-I8</f>
        <v>680210.62022205407</v>
      </c>
      <c r="J9" s="568"/>
      <c r="K9" s="762">
        <f ca="1">+K7-K8</f>
        <v>5988.7090638380032</v>
      </c>
      <c r="L9" s="577"/>
      <c r="M9" s="763">
        <f ca="1">+M7-M8</f>
        <v>5988.7090638380032</v>
      </c>
      <c r="O9" s="12"/>
      <c r="P9" s="557"/>
      <c r="R9" s="593">
        <v>4</v>
      </c>
      <c r="S9" s="40">
        <f>Revenue/Investment*100</f>
        <v>18709.944464439654</v>
      </c>
      <c r="T9" s="3">
        <f>EXP(y_inter1-(slope*LN(+S9)))</f>
        <v>0.36694907489526202</v>
      </c>
      <c r="U9" s="588">
        <f t="shared" si="0"/>
        <v>0.68655968125678601</v>
      </c>
      <c r="V9" s="588">
        <f>regDebt_weighted</f>
        <v>3.5860000000000003E-2</v>
      </c>
      <c r="W9" s="588">
        <f t="shared" si="1"/>
        <v>0.65069968125678601</v>
      </c>
      <c r="X9" s="588">
        <f>+((W9*(1-0.34))-Pfd_weighted)/Equity_percent</f>
        <v>1.2304412489229035</v>
      </c>
      <c r="Y9" s="588">
        <f>X9*equityP</f>
        <v>0.73826474935374209</v>
      </c>
      <c r="Z9" s="588">
        <f>+Y9/(1-taxrate)</f>
        <v>0.93451234095410385</v>
      </c>
      <c r="AA9" s="588">
        <f>debtP*Debt_Rate</f>
        <v>1.5959999999999998E-2</v>
      </c>
      <c r="AB9" s="588">
        <f t="shared" si="2"/>
        <v>0.95047234095410382</v>
      </c>
      <c r="AC9" s="588">
        <f t="shared" si="3"/>
        <v>5.0800382799670151E-3</v>
      </c>
      <c r="AD9" s="588">
        <f t="shared" si="4"/>
        <v>0.99491996172003294</v>
      </c>
      <c r="AE9" s="41">
        <f>expenses/(AD9)</f>
        <v>798698.26267372852</v>
      </c>
      <c r="AF9" s="42">
        <f>+AE9-Revenue</f>
        <v>-676153.20247352833</v>
      </c>
      <c r="AG9" s="4">
        <f ca="1">+AF9/$J$49</f>
        <v>-697230.28858277539</v>
      </c>
      <c r="AH9" s="4">
        <f ca="1">+AG9*$J$47</f>
        <v>-15757.404521970726</v>
      </c>
      <c r="AI9" s="41">
        <f t="shared" ca="1" si="5"/>
        <v>782940.85814999999</v>
      </c>
    </row>
    <row r="10" spans="1:35" ht="15.75">
      <c r="A10" s="557"/>
      <c r="B10" s="594" t="s">
        <v>98</v>
      </c>
      <c r="C10" s="761">
        <v>0.21</v>
      </c>
      <c r="D10" s="571"/>
      <c r="E10" s="557"/>
      <c r="F10" s="589">
        <f t="shared" si="6"/>
        <v>4</v>
      </c>
      <c r="G10" s="577"/>
      <c r="H10" s="577"/>
      <c r="I10" s="568"/>
      <c r="J10" s="568"/>
      <c r="K10" s="20"/>
      <c r="L10" s="577"/>
      <c r="M10" s="577"/>
      <c r="N10" s="577"/>
      <c r="O10" s="12"/>
      <c r="P10" s="557"/>
      <c r="R10" s="570" t="s">
        <v>36</v>
      </c>
    </row>
    <row r="11" spans="1:35" ht="15.75">
      <c r="A11" s="557"/>
      <c r="B11" s="575" t="s">
        <v>97</v>
      </c>
      <c r="C11" s="764">
        <v>1.7500000000000002E-2</v>
      </c>
      <c r="D11" s="571"/>
      <c r="E11" s="557"/>
      <c r="F11" s="589">
        <f t="shared" si="6"/>
        <v>5</v>
      </c>
      <c r="G11" s="577"/>
      <c r="H11" s="586" t="s">
        <v>35</v>
      </c>
      <c r="I11" s="20">
        <f>+K11</f>
        <v>125.80811999997128</v>
      </c>
      <c r="J11" s="568"/>
      <c r="K11" s="20">
        <f>+M27</f>
        <v>125.80811999997128</v>
      </c>
      <c r="L11" s="577"/>
      <c r="M11" s="20">
        <f>+K11</f>
        <v>125.80811999997128</v>
      </c>
      <c r="O11" s="12"/>
      <c r="P11" s="557"/>
      <c r="R11" s="731">
        <v>1</v>
      </c>
      <c r="S11" s="732">
        <f ca="1">IF((AI6/Investment*100)&gt;0,(AI6/Investment*100),0)</f>
        <v>9932.3764603404397</v>
      </c>
      <c r="T11" s="733">
        <f ca="1">EXP(y_inter1-(slope*LN(S11)))</f>
        <v>0.56575481661645632</v>
      </c>
      <c r="U11" s="734">
        <f ca="1">(+S11*T11/100)/100</f>
        <v>0.56192898228855126</v>
      </c>
      <c r="V11" s="734">
        <f>regDebt_weighted</f>
        <v>3.5860000000000003E-2</v>
      </c>
      <c r="W11" s="734">
        <f ca="1">+U11-V11</f>
        <v>0.52606898228855126</v>
      </c>
      <c r="X11" s="734">
        <f ca="1">+((W11*(1-0.34))-Pfd_weighted)/Equity_percent</f>
        <v>0.99132421020477857</v>
      </c>
      <c r="Y11" s="734">
        <f ca="1">+X11*equityP</f>
        <v>0.5947945261228671</v>
      </c>
      <c r="Z11" s="734">
        <f ca="1">+Y11/(1-taxrate)</f>
        <v>0.75290446344666717</v>
      </c>
      <c r="AA11" s="734">
        <f>debtP*Debt_Rate</f>
        <v>1.5959999999999998E-2</v>
      </c>
      <c r="AB11" s="734">
        <f ca="1">+AA11+Z11</f>
        <v>0.76886446344666715</v>
      </c>
      <c r="AC11" s="734">
        <f ca="1">+AB11/(S11/100)</f>
        <v>7.7409919621624339E-3</v>
      </c>
      <c r="AD11" s="734">
        <f ca="1">1-AC11</f>
        <v>0.99225900803783762</v>
      </c>
      <c r="AE11" s="735">
        <f ca="1">expenses/(AD11)</f>
        <v>800840.14202761557</v>
      </c>
      <c r="AF11" s="736">
        <f ca="1">+AE11-Revenue</f>
        <v>-674011.32311964128</v>
      </c>
      <c r="AG11" s="737">
        <f ca="1">+AF11/$J$49</f>
        <v>-695021.64244376868</v>
      </c>
      <c r="AH11" s="737">
        <f ca="1">+AG11*$J$47</f>
        <v>-15707.489119229174</v>
      </c>
      <c r="AI11" s="735">
        <f ca="1">ROUND(+AH11+AE11,5)</f>
        <v>785132.65290999995</v>
      </c>
    </row>
    <row r="12" spans="1:35" ht="15.75">
      <c r="A12" s="557"/>
      <c r="B12" s="575" t="s">
        <v>99</v>
      </c>
      <c r="C12" s="764">
        <v>5.1000000000000004E-3</v>
      </c>
      <c r="D12" s="571"/>
      <c r="E12" s="557"/>
      <c r="F12" s="589">
        <f t="shared" si="6"/>
        <v>6</v>
      </c>
      <c r="G12" s="577"/>
      <c r="H12" s="586" t="s">
        <v>37</v>
      </c>
      <c r="I12" s="20">
        <f>+taxrate*I9</f>
        <v>142844.23024663134</v>
      </c>
      <c r="J12" s="20">
        <f ca="1">+K12-I12</f>
        <v>-141613.02104842535</v>
      </c>
      <c r="K12" s="20">
        <f ca="1">+(K9-K11)*taxrate</f>
        <v>1231.2091982059867</v>
      </c>
      <c r="L12" s="577"/>
      <c r="M12" s="20">
        <f ca="1">+K12</f>
        <v>1231.2091982059867</v>
      </c>
      <c r="O12" s="12"/>
      <c r="P12" s="557"/>
      <c r="R12" s="587">
        <v>2</v>
      </c>
      <c r="S12" s="40">
        <f ca="1">IF((AI7/Investment*100)&gt;0,(AI7/Investment*100),0)</f>
        <v>9932.3764603404397</v>
      </c>
      <c r="T12" s="595">
        <f ca="1">EXP(y_inter2-(slope*LN(+S12)))</f>
        <v>0.55770536218045608</v>
      </c>
      <c r="U12" s="588">
        <f ca="1">(+S12*T12/100)/100</f>
        <v>0.55393396111268012</v>
      </c>
      <c r="V12" s="588">
        <f>regDebt_weighted</f>
        <v>3.5860000000000003E-2</v>
      </c>
      <c r="W12" s="588">
        <f ca="1">+U12-V12</f>
        <v>0.51807396111268011</v>
      </c>
      <c r="X12" s="588">
        <f ca="1">+((W12*(1-0.34))-Pfd_weighted)/Equity_percent</f>
        <v>0.97598492539060722</v>
      </c>
      <c r="Y12" s="588">
        <f ca="1">+X12*equityP</f>
        <v>0.58559095523436433</v>
      </c>
      <c r="Z12" s="588">
        <f ca="1">+Y12/(1-taxrate)</f>
        <v>0.74125437371438518</v>
      </c>
      <c r="AA12" s="588">
        <f>debtP*Debt_Rate</f>
        <v>1.5959999999999998E-2</v>
      </c>
      <c r="AB12" s="588">
        <f ca="1">+AA12+Z12</f>
        <v>0.75721437371438516</v>
      </c>
      <c r="AC12" s="588">
        <f ca="1">+AB12/(S12/100)</f>
        <v>7.6236978807429443E-3</v>
      </c>
      <c r="AD12" s="588">
        <f ca="1">1-AC12</f>
        <v>0.99237630211925709</v>
      </c>
      <c r="AE12" s="41">
        <f ca="1">expenses/(AD12)</f>
        <v>800745.48659436672</v>
      </c>
      <c r="AF12" s="42">
        <f ca="1">+AE12-Revenue</f>
        <v>-674105.97855289013</v>
      </c>
      <c r="AG12" s="4">
        <f ca="1">+AF12/$J$49</f>
        <v>-695119.24848156981</v>
      </c>
      <c r="AH12" s="4">
        <f ca="1">+AG12*$J$47</f>
        <v>-15709.695015683479</v>
      </c>
      <c r="AI12" s="41">
        <f t="shared" ref="AI12:AI14" ca="1" si="7">ROUND(+AH12+AE12,5)</f>
        <v>785035.79157999996</v>
      </c>
    </row>
    <row r="13" spans="1:35" ht="15.75">
      <c r="A13" s="557"/>
      <c r="B13" s="575" t="s">
        <v>100</v>
      </c>
      <c r="C13" s="764">
        <v>0</v>
      </c>
      <c r="D13" s="571"/>
      <c r="E13" s="557"/>
      <c r="F13" s="589">
        <f t="shared" si="6"/>
        <v>7</v>
      </c>
      <c r="G13" s="577"/>
      <c r="H13" s="577"/>
      <c r="I13" s="568"/>
      <c r="J13" s="568"/>
      <c r="K13" s="20"/>
      <c r="L13" s="577"/>
      <c r="M13" s="577"/>
      <c r="O13" s="12"/>
      <c r="P13" s="557"/>
      <c r="R13" s="590">
        <v>3</v>
      </c>
      <c r="S13" s="40">
        <f ca="1">IF((AI8/Investment*100)&gt;0,(AI8/Investment*100),0)</f>
        <v>9932.3764603404397</v>
      </c>
      <c r="T13" s="3">
        <f ca="1">EXP(y_inter3-(slope*LN(S13)))</f>
        <v>0.55228311161668375</v>
      </c>
      <c r="U13" s="588">
        <f ca="1">(+S13*T13/100)/100</f>
        <v>0.5485483777265121</v>
      </c>
      <c r="V13" s="588">
        <f>regDebt_weighted</f>
        <v>3.5860000000000003E-2</v>
      </c>
      <c r="W13" s="588">
        <f ca="1">+U13-V13</f>
        <v>0.5126883777265121</v>
      </c>
      <c r="X13" s="588">
        <f ca="1">+((W13*(1-0.34))-Pfd_weighted)/Equity_percent</f>
        <v>0.96565212005668022</v>
      </c>
      <c r="Y13" s="588">
        <f ca="1">+X13*equityP</f>
        <v>0.57939127203400809</v>
      </c>
      <c r="Z13" s="588">
        <f ca="1">+Y13/(1-taxrate)</f>
        <v>0.73340667346076971</v>
      </c>
      <c r="AA13" s="588">
        <f>debtP*Debt_Rate</f>
        <v>1.5959999999999998E-2</v>
      </c>
      <c r="AB13" s="588">
        <f ca="1">+AA13+Z13</f>
        <v>0.74936667346076968</v>
      </c>
      <c r="AC13" s="588">
        <f ca="1">+AB13/(S13/100)</f>
        <v>7.5446865757954219E-3</v>
      </c>
      <c r="AD13" s="588">
        <f ca="1">1-AC13</f>
        <v>0.99245531342420457</v>
      </c>
      <c r="AE13" s="41">
        <f ca="1">expenses/(AD13)</f>
        <v>800681.73768298409</v>
      </c>
      <c r="AF13" s="42">
        <f ca="1">+AE13-Revenue</f>
        <v>-674169.72746427276</v>
      </c>
      <c r="AG13" s="4">
        <f ca="1">+AF13/$J$49</f>
        <v>-695184.98457764625</v>
      </c>
      <c r="AH13" s="4">
        <f ca="1">+AG13*$J$47</f>
        <v>-15711.180651454806</v>
      </c>
      <c r="AI13" s="41">
        <f t="shared" ca="1" si="7"/>
        <v>784970.55703000003</v>
      </c>
    </row>
    <row r="14" spans="1:35" ht="16.5" thickBot="1">
      <c r="A14" s="557"/>
      <c r="B14" s="596" t="s">
        <v>101</v>
      </c>
      <c r="C14" s="764">
        <v>0</v>
      </c>
      <c r="D14" s="571"/>
      <c r="E14" s="557"/>
      <c r="F14" s="589">
        <f t="shared" si="6"/>
        <v>8</v>
      </c>
      <c r="G14" s="577"/>
      <c r="H14" s="577" t="s">
        <v>38</v>
      </c>
      <c r="I14" s="765">
        <f>+I9-SUM(I11:I13)</f>
        <v>537240.58185542282</v>
      </c>
      <c r="J14" s="568"/>
      <c r="K14" s="765">
        <f ca="1">+K9-SUM(K11:K13)</f>
        <v>4631.6917456320452</v>
      </c>
      <c r="L14" s="577"/>
      <c r="M14" s="765">
        <f ca="1">+M9-SUM(M11:M13)</f>
        <v>4631.6917456320452</v>
      </c>
      <c r="O14" s="12"/>
      <c r="P14" s="557"/>
      <c r="R14" s="593">
        <v>4</v>
      </c>
      <c r="S14" s="40">
        <f ca="1">IF((AI9/Investment*100)&gt;0,(AI9/Investment*100),0)</f>
        <v>9932.3764603404397</v>
      </c>
      <c r="T14" s="1">
        <f ca="1">EXP(y_inter4-(slope*LN(S14)))</f>
        <v>0.54881466509193066</v>
      </c>
      <c r="U14" s="588">
        <f ca="1">(+S14*T14/100)/100</f>
        <v>0.54510338606487141</v>
      </c>
      <c r="V14" s="588">
        <f>regDebt_weighted</f>
        <v>3.5860000000000003E-2</v>
      </c>
      <c r="W14" s="588">
        <f ca="1">+U14-V14</f>
        <v>0.50924338606487141</v>
      </c>
      <c r="X14" s="588">
        <f ca="1">+((W14*(1-0.34))-Pfd_weighted)/Equity_percent</f>
        <v>0.95904254303143943</v>
      </c>
      <c r="Y14" s="588">
        <f ca="1">+X14*equityP</f>
        <v>0.57542552581886364</v>
      </c>
      <c r="Z14" s="588">
        <f ca="1">+Y14/(1-taxrate)</f>
        <v>0.72838674154286531</v>
      </c>
      <c r="AA14" s="588">
        <f>debtP*Debt_Rate</f>
        <v>1.5959999999999998E-2</v>
      </c>
      <c r="AB14" s="588">
        <f ca="1">+AA14+Z14</f>
        <v>0.74434674154286529</v>
      </c>
      <c r="AC14" s="588">
        <f ca="1">+AB14/(S14/100)</f>
        <v>7.494145479835671E-3</v>
      </c>
      <c r="AD14" s="588">
        <f ca="1">1-AC14</f>
        <v>0.99250585452016438</v>
      </c>
      <c r="AE14" s="41">
        <f ca="1">expenses/(AD14)</f>
        <v>800640.96479247347</v>
      </c>
      <c r="AF14" s="42">
        <f ca="1">+AE14-Revenue</f>
        <v>-674210.50035478338</v>
      </c>
      <c r="AG14" s="4">
        <f ca="1">+AF14/$J$49</f>
        <v>-695227.0284430203</v>
      </c>
      <c r="AH14" s="4">
        <f ca="1">+AG14*$J$47</f>
        <v>-15712.130842812261</v>
      </c>
      <c r="AI14" s="41">
        <f t="shared" ca="1" si="7"/>
        <v>784928.83395</v>
      </c>
    </row>
    <row r="15" spans="1:35" ht="16.5" thickTop="1">
      <c r="A15" s="557"/>
      <c r="B15" s="833"/>
      <c r="C15" s="833"/>
      <c r="D15" s="557"/>
      <c r="E15" s="557"/>
      <c r="F15" s="589">
        <f t="shared" si="6"/>
        <v>9</v>
      </c>
      <c r="G15" s="568"/>
      <c r="H15" s="568"/>
      <c r="I15" s="568"/>
      <c r="J15" s="568"/>
      <c r="K15" s="19"/>
      <c r="L15" s="568"/>
      <c r="M15" s="568"/>
      <c r="O15" s="12"/>
      <c r="P15" s="557"/>
      <c r="R15" s="570" t="s">
        <v>40</v>
      </c>
    </row>
    <row r="16" spans="1:35" ht="15.75">
      <c r="A16" s="557"/>
      <c r="B16" s="766" t="s">
        <v>124</v>
      </c>
      <c r="C16" s="833"/>
      <c r="D16" s="833"/>
      <c r="E16" s="557"/>
      <c r="F16" s="589">
        <f t="shared" si="6"/>
        <v>10</v>
      </c>
      <c r="G16" s="568"/>
      <c r="H16" s="598" t="s">
        <v>39</v>
      </c>
      <c r="I16" s="60">
        <f>+I8/I7</f>
        <v>0.53879381327790976</v>
      </c>
      <c r="J16" s="61"/>
      <c r="K16" s="60">
        <f ca="1">+K8/K7</f>
        <v>0.99252000000000007</v>
      </c>
      <c r="L16" s="599"/>
      <c r="M16" s="60">
        <f ca="1">+M8/M7</f>
        <v>0.99237026607365353</v>
      </c>
      <c r="O16" s="12"/>
      <c r="P16" s="557"/>
      <c r="R16" s="767">
        <v>1</v>
      </c>
      <c r="S16" s="768">
        <f ca="1">AI11/Investment*100</f>
        <v>9960.1815371269058</v>
      </c>
      <c r="T16" s="769">
        <f ca="1">EXP(y_inter1-(slope*LN(+S16)))</f>
        <v>0.56467456835049568</v>
      </c>
      <c r="U16" s="770">
        <f ca="1">(+S16*T16/100)/100</f>
        <v>0.5624261210169712</v>
      </c>
      <c r="V16" s="770">
        <f>regDebt_weighted</f>
        <v>3.5860000000000003E-2</v>
      </c>
      <c r="W16" s="770">
        <f ca="1">+U16-V16</f>
        <v>0.5265661210169712</v>
      </c>
      <c r="X16" s="770">
        <f ca="1">+((W16*(1-0.34))-Pfd_weighted)/Equity_percent</f>
        <v>0.99227802288139821</v>
      </c>
      <c r="Y16" s="770">
        <f ca="1">+X16*equityP</f>
        <v>0.59536681372883893</v>
      </c>
      <c r="Z16" s="770">
        <f ca="1">+Y16/(1-taxrate)</f>
        <v>0.7536288781377708</v>
      </c>
      <c r="AA16" s="770">
        <f>debtP*Debt_Rate</f>
        <v>1.5959999999999998E-2</v>
      </c>
      <c r="AB16" s="770">
        <f ca="1">+AA16+Z16</f>
        <v>0.76958887813777077</v>
      </c>
      <c r="AC16" s="770">
        <f ca="1">+AB16/(S16/100)</f>
        <v>7.7266551344380907E-3</v>
      </c>
      <c r="AD16" s="770">
        <f ca="1">1-AC16</f>
        <v>0.99227334486556196</v>
      </c>
      <c r="AE16" s="771">
        <f ca="1">expenses/(AD16)</f>
        <v>800828.57111602102</v>
      </c>
      <c r="AF16" s="772">
        <f ca="1">+AE16-Revenue</f>
        <v>-674022.89403123583</v>
      </c>
      <c r="AG16" s="773">
        <f ca="1">+AF16/$J$49</f>
        <v>-695033.57404447801</v>
      </c>
      <c r="AH16" s="773">
        <f ca="1">+AG16*$J$47</f>
        <v>-15707.758773405205</v>
      </c>
      <c r="AI16" s="771">
        <f ca="1">ROUND(+AH16+AE16,5)</f>
        <v>785120.81233999995</v>
      </c>
    </row>
    <row r="17" spans="1:35" ht="15.75">
      <c r="A17" s="557"/>
      <c r="B17" s="840"/>
      <c r="C17" s="833"/>
      <c r="D17" s="557" t="s">
        <v>102</v>
      </c>
      <c r="E17" s="557"/>
      <c r="F17" s="589">
        <f t="shared" si="6"/>
        <v>11</v>
      </c>
      <c r="G17" s="568"/>
      <c r="H17" s="607"/>
      <c r="I17" s="607"/>
      <c r="J17" s="608"/>
      <c r="K17" s="607"/>
      <c r="L17" s="598"/>
      <c r="M17" s="598"/>
      <c r="N17" s="21"/>
      <c r="O17" s="557"/>
      <c r="P17" s="557"/>
      <c r="R17" s="587">
        <v>2</v>
      </c>
      <c r="S17" s="40">
        <f ca="1">AI12/Investment*100</f>
        <v>9958.9527556883149</v>
      </c>
      <c r="T17" s="595">
        <f ca="1">EXP(y_inter2-(slope*LN(+S17)))</f>
        <v>0.55668743761714345</v>
      </c>
      <c r="U17" s="588">
        <f ca="1">(+S17*T17/100)/100</f>
        <v>0.5544023890914318</v>
      </c>
      <c r="V17" s="588">
        <f>regDebt_weighted</f>
        <v>3.5860000000000003E-2</v>
      </c>
      <c r="W17" s="588">
        <f ca="1">+U17-V17</f>
        <v>0.5185423890914318</v>
      </c>
      <c r="X17" s="588">
        <f ca="1">+((W17*(1-0.34))-Pfd_weighted)/Equity_percent</f>
        <v>0.976883653489375</v>
      </c>
      <c r="Y17" s="588">
        <f ca="1">+X17*equityP</f>
        <v>0.58613019209362494</v>
      </c>
      <c r="Z17" s="588">
        <f ca="1">+Y17/(1-taxrate)</f>
        <v>0.74193695201724674</v>
      </c>
      <c r="AA17" s="588">
        <f>debtP*Debt_Rate</f>
        <v>1.5959999999999998E-2</v>
      </c>
      <c r="AB17" s="588">
        <f ca="1">+AA17+Z17</f>
        <v>0.75789695201724672</v>
      </c>
      <c r="AC17" s="588">
        <f ca="1">+AB17/(S17/100)</f>
        <v>7.6102073241019657E-3</v>
      </c>
      <c r="AD17" s="588">
        <f ca="1">1-AC17</f>
        <v>0.992389792675898</v>
      </c>
      <c r="AE17" s="41">
        <f ca="1">expenses/(AD17)</f>
        <v>800734.6012523151</v>
      </c>
      <c r="AF17" s="42">
        <f ca="1">+AE17-Revenue</f>
        <v>-674116.86389494175</v>
      </c>
      <c r="AG17" s="4">
        <f ca="1">+AF17/$J$49</f>
        <v>-695130.47314212343</v>
      </c>
      <c r="AH17" s="4">
        <f ca="1">+AG17*$J$47</f>
        <v>-15709.948693011991</v>
      </c>
      <c r="AI17" s="41">
        <f t="shared" ref="AI17:AI19" ca="1" si="8">ROUND(+AH17+AE17,5)</f>
        <v>785024.65255999996</v>
      </c>
    </row>
    <row r="18" spans="1:35" ht="15.75">
      <c r="A18" s="557"/>
      <c r="B18" s="839" t="s">
        <v>125</v>
      </c>
      <c r="C18" s="839"/>
      <c r="D18" s="557"/>
      <c r="E18" s="557"/>
      <c r="F18" s="589">
        <f t="shared" si="6"/>
        <v>12</v>
      </c>
      <c r="G18" s="568"/>
      <c r="H18" s="774" t="s">
        <v>83</v>
      </c>
      <c r="I18" s="775"/>
      <c r="J18" s="775"/>
      <c r="K18" s="775"/>
      <c r="L18" s="775"/>
      <c r="M18" s="776"/>
      <c r="N18" s="608"/>
      <c r="O18" s="557"/>
      <c r="P18" s="557"/>
      <c r="R18" s="590">
        <v>3</v>
      </c>
      <c r="S18" s="40">
        <f ca="1">AI13/Investment*100</f>
        <v>9958.1251911257095</v>
      </c>
      <c r="T18" s="3">
        <f ca="1">EXP(y_inter3-(slope*LN(S18)))</f>
        <v>0.55130640459811997</v>
      </c>
      <c r="U18" s="588">
        <f ca="1">(+S18*T18/100)/100</f>
        <v>0.54899781956574811</v>
      </c>
      <c r="V18" s="588">
        <f>regDebt_weighted</f>
        <v>3.5860000000000003E-2</v>
      </c>
      <c r="W18" s="588">
        <f ca="1">+U18-V18</f>
        <v>0.51313781956574811</v>
      </c>
      <c r="X18" s="588">
        <f ca="1">+((W18*(1-0.34))-Pfd_weighted)/Equity_percent</f>
        <v>0.96651442125986564</v>
      </c>
      <c r="Y18" s="588">
        <f ca="1">+X18*equityP</f>
        <v>0.57990865275591941</v>
      </c>
      <c r="Z18" s="588">
        <f ca="1">+Y18/(1-taxrate)</f>
        <v>0.73406158576698655</v>
      </c>
      <c r="AA18" s="588">
        <f>debtP*Debt_Rate</f>
        <v>1.5959999999999998E-2</v>
      </c>
      <c r="AB18" s="588">
        <f ca="1">+AA18+Z18</f>
        <v>0.75002158576698652</v>
      </c>
      <c r="AC18" s="588">
        <f ca="1">+AB18/(S18/100)</f>
        <v>7.5317549375195272E-3</v>
      </c>
      <c r="AD18" s="588">
        <f ca="1">1-AC18</f>
        <v>0.99246824506248044</v>
      </c>
      <c r="AE18" s="41">
        <f ca="1">expenses/(AD18)</f>
        <v>800671.30497981468</v>
      </c>
      <c r="AF18" s="42">
        <f ca="1">+AE18-Revenue</f>
        <v>-674180.16016744217</v>
      </c>
      <c r="AG18" s="4">
        <f ca="1">+AF18/$J$49</f>
        <v>-695195.74248963257</v>
      </c>
      <c r="AH18" s="4">
        <f ca="1">+AG18*$J$47</f>
        <v>-15711.423780265697</v>
      </c>
      <c r="AI18" s="41">
        <f t="shared" ca="1" si="8"/>
        <v>784959.88119999995</v>
      </c>
    </row>
    <row r="19" spans="1:35" ht="15.75">
      <c r="A19" s="557"/>
      <c r="B19" s="557"/>
      <c r="C19" s="557"/>
      <c r="D19" s="557"/>
      <c r="E19" s="557"/>
      <c r="F19" s="589">
        <f t="shared" si="6"/>
        <v>13</v>
      </c>
      <c r="G19" s="568"/>
      <c r="H19" s="612"/>
      <c r="I19" s="598" t="s">
        <v>122</v>
      </c>
      <c r="J19" s="613">
        <f>+Revenue</f>
        <v>1474851.4651472569</v>
      </c>
      <c r="K19" s="614"/>
      <c r="L19" s="598" t="s">
        <v>126</v>
      </c>
      <c r="M19" s="62">
        <f ca="1">+J7</f>
        <v>-674221.91115821607</v>
      </c>
      <c r="O19" s="557"/>
      <c r="P19" s="557"/>
      <c r="R19" s="593">
        <v>4</v>
      </c>
      <c r="S19" s="40">
        <f ca="1">AI14/Investment*100</f>
        <v>9957.5958927332031</v>
      </c>
      <c r="T19" s="1">
        <f ca="1">EXP(y_inter4-(slope*LN(S19)))</f>
        <v>0.54786400082436115</v>
      </c>
      <c r="U19" s="588">
        <f ca="1">(+S19*T19/100)/100</f>
        <v>0.54554083243850393</v>
      </c>
      <c r="V19" s="588">
        <f>regDebt_weighted</f>
        <v>3.5860000000000003E-2</v>
      </c>
      <c r="W19" s="588">
        <f ca="1">+U19-V19</f>
        <v>0.50968083243850393</v>
      </c>
      <c r="X19" s="588">
        <f ca="1">+((W19*(1-0.34))-Pfd_weighted)/Equity_percent</f>
        <v>0.95988182967852509</v>
      </c>
      <c r="Y19" s="588">
        <f ca="1">+X19*equityP</f>
        <v>0.57592909780711499</v>
      </c>
      <c r="Z19" s="588">
        <f ca="1">+Y19/(1-taxrate)</f>
        <v>0.72902417443938605</v>
      </c>
      <c r="AA19" s="588">
        <f>debtP*Debt_Rate</f>
        <v>1.5959999999999998E-2</v>
      </c>
      <c r="AB19" s="588">
        <f ca="1">+AA19+Z19</f>
        <v>0.74498417443938603</v>
      </c>
      <c r="AC19" s="588">
        <f ca="1">+AB19/(S19/100)</f>
        <v>7.4815666599109161E-3</v>
      </c>
      <c r="AD19" s="588">
        <f ca="1">1-AC19</f>
        <v>0.99251843334008905</v>
      </c>
      <c r="AE19" s="41">
        <f ca="1">expenses/(AD19)</f>
        <v>800630.81775824004</v>
      </c>
      <c r="AF19" s="42">
        <f ca="1">+AE19-Revenue</f>
        <v>-674220.64738901681</v>
      </c>
      <c r="AG19" s="4">
        <f ca="1">+AF19/$J$49</f>
        <v>-695237.49178118247</v>
      </c>
      <c r="AH19" s="4">
        <f ca="1">+AG19*$J$47</f>
        <v>-15712.367314254725</v>
      </c>
      <c r="AI19" s="41">
        <f t="shared" ca="1" si="8"/>
        <v>784918.45044000004</v>
      </c>
    </row>
    <row r="20" spans="1:35" ht="15.75">
      <c r="A20" s="557"/>
      <c r="B20" s="615"/>
      <c r="C20" s="557"/>
      <c r="D20" s="557"/>
      <c r="E20" s="557"/>
      <c r="F20" s="589">
        <f t="shared" si="6"/>
        <v>14</v>
      </c>
      <c r="G20" s="568"/>
      <c r="H20" s="612"/>
      <c r="I20" s="598" t="s">
        <v>42</v>
      </c>
      <c r="J20" s="613">
        <f ca="1">+J21-J19</f>
        <v>-689934.30792396551</v>
      </c>
      <c r="K20" s="614"/>
      <c r="L20" s="598" t="s">
        <v>41</v>
      </c>
      <c r="M20" s="62">
        <f ca="1">+L8</f>
        <v>-15712.396765749436</v>
      </c>
      <c r="O20" s="557"/>
      <c r="P20" s="557"/>
      <c r="R20" s="570" t="s">
        <v>43</v>
      </c>
    </row>
    <row r="21" spans="1:35" ht="16.5" thickBot="1">
      <c r="A21" s="557"/>
      <c r="B21" s="615" t="s">
        <v>0</v>
      </c>
      <c r="C21" s="557"/>
      <c r="D21" s="557"/>
      <c r="E21" s="557"/>
      <c r="F21" s="589">
        <f t="shared" si="6"/>
        <v>15</v>
      </c>
      <c r="G21" s="568"/>
      <c r="H21" s="612"/>
      <c r="I21" s="616" t="s">
        <v>83</v>
      </c>
      <c r="J21" s="63">
        <f ca="1">+M7</f>
        <v>784917.15722329135</v>
      </c>
      <c r="K21" s="608"/>
      <c r="L21" s="616" t="s">
        <v>42</v>
      </c>
      <c r="M21" s="64">
        <f ca="1">+M19+M20</f>
        <v>-689934.30792396551</v>
      </c>
      <c r="O21" s="557"/>
      <c r="P21" s="557"/>
      <c r="R21" s="767">
        <v>1</v>
      </c>
      <c r="S21" s="768">
        <f ca="1">AI16/Investment*100</f>
        <v>9960.0313278262638</v>
      </c>
      <c r="T21" s="769">
        <f ca="1">EXP(y_inter1-(slope*LN(+S21)))</f>
        <v>0.56468039045283902</v>
      </c>
      <c r="U21" s="770">
        <f ca="1">(+S21*T21/100)/100</f>
        <v>0.56242343791194438</v>
      </c>
      <c r="V21" s="770">
        <f>regDebt_weighted</f>
        <v>3.5860000000000003E-2</v>
      </c>
      <c r="W21" s="770">
        <f ca="1">+U21-V21</f>
        <v>0.52656343791194438</v>
      </c>
      <c r="X21" s="770">
        <f ca="1">+((W21*(1-0.34))-Pfd_weighted)/Equity_percent</f>
        <v>0.99227287506361428</v>
      </c>
      <c r="Y21" s="770">
        <f ca="1">+X21*equityP</f>
        <v>0.59536372503816859</v>
      </c>
      <c r="Z21" s="770">
        <f ca="1">+Y21/(1-taxrate)</f>
        <v>0.75362496840274507</v>
      </c>
      <c r="AA21" s="770">
        <f>debtP*Debt_Rate</f>
        <v>1.5959999999999998E-2</v>
      </c>
      <c r="AB21" s="770">
        <f ca="1">+AA21+Z21</f>
        <v>0.76958496840274504</v>
      </c>
      <c r="AC21" s="770">
        <f ca="1">+AB21/(S21/100)</f>
        <v>7.7267324074843432E-3</v>
      </c>
      <c r="AD21" s="770">
        <f ca="1">1-AC21</f>
        <v>0.99227326759251566</v>
      </c>
      <c r="AE21" s="771">
        <f ca="1">expenses/(AD21)</f>
        <v>800828.63348035689</v>
      </c>
      <c r="AF21" s="772">
        <f ca="1">+AE21-Revenue</f>
        <v>-674022.83166689996</v>
      </c>
      <c r="AG21" s="773">
        <f ca="1">+AF21/$J$49</f>
        <v>-695033.50973611756</v>
      </c>
      <c r="AH21" s="773">
        <f ca="1">+AG21*$J$47</f>
        <v>-15707.757320036259</v>
      </c>
      <c r="AI21" s="771">
        <f ca="1">ROUND(+AH21+AE21,5)</f>
        <v>785120.87615999999</v>
      </c>
    </row>
    <row r="22" spans="1:35" ht="16.5" thickTop="1">
      <c r="A22" s="557"/>
      <c r="B22" s="557" t="s">
        <v>109</v>
      </c>
      <c r="C22" s="557"/>
      <c r="D22" s="557"/>
      <c r="E22" s="557"/>
      <c r="F22" s="589">
        <f t="shared" si="6"/>
        <v>16</v>
      </c>
      <c r="G22" s="568"/>
      <c r="H22" s="617"/>
      <c r="I22" s="618"/>
      <c r="J22" s="619" t="s">
        <v>127</v>
      </c>
      <c r="K22" s="65">
        <f ca="1">+(J21/J19)-1</f>
        <v>-0.46779918129252351</v>
      </c>
      <c r="L22" s="618"/>
      <c r="M22" s="620"/>
      <c r="O22" s="557"/>
      <c r="P22" s="557"/>
      <c r="R22" s="587">
        <v>2</v>
      </c>
      <c r="S22" s="40">
        <f ca="1">AI17/Investment*100</f>
        <v>9958.8114462408794</v>
      </c>
      <c r="T22" s="595">
        <f ca="1">EXP(y_inter2-(slope*LN(+S22)))</f>
        <v>0.55669283795160274</v>
      </c>
      <c r="U22" s="588">
        <f ca="1">(+S22*T22/100)/100</f>
        <v>0.55439990066327394</v>
      </c>
      <c r="V22" s="588">
        <f>regDebt_weighted</f>
        <v>3.5860000000000003E-2</v>
      </c>
      <c r="W22" s="588">
        <f ca="1">+U22-V22</f>
        <v>0.51853990066327393</v>
      </c>
      <c r="X22" s="588">
        <f ca="1">+((W22*(1-0.34))-Pfd_weighted)/Equity_percent</f>
        <v>0.9768788791795372</v>
      </c>
      <c r="Y22" s="588">
        <f ca="1">+X22*equityP</f>
        <v>0.58612732750772234</v>
      </c>
      <c r="Z22" s="588">
        <f ca="1">+Y22/(1-taxrate)</f>
        <v>0.74193332595914219</v>
      </c>
      <c r="AA22" s="588">
        <f>debtP*Debt_Rate</f>
        <v>1.5959999999999998E-2</v>
      </c>
      <c r="AB22" s="588">
        <f ca="1">+AA22+Z22</f>
        <v>0.75789332595914216</v>
      </c>
      <c r="AC22" s="588">
        <f ca="1">+AB22/(S22/100)</f>
        <v>7.6102788977415745E-3</v>
      </c>
      <c r="AD22" s="588">
        <f ca="1">1-AC22</f>
        <v>0.99238972110225843</v>
      </c>
      <c r="AE22" s="41">
        <f ca="1">expenses/(AD22)</f>
        <v>800734.65900330595</v>
      </c>
      <c r="AF22" s="42">
        <f ca="1">+AE22-Revenue</f>
        <v>-674116.8061439509</v>
      </c>
      <c r="AG22" s="4">
        <f ca="1">+AF22/$J$49</f>
        <v>-695130.41359091538</v>
      </c>
      <c r="AH22" s="4">
        <f ca="1">+AG22*$J$47</f>
        <v>-15709.94734715469</v>
      </c>
      <c r="AI22" s="41">
        <f t="shared" ref="AI22:AI24" ca="1" si="9">ROUND(+AH22+AE22,5)</f>
        <v>785024.71166000003</v>
      </c>
    </row>
    <row r="23" spans="1:35" ht="15.75">
      <c r="A23" s="557"/>
      <c r="B23" s="557" t="s">
        <v>108</v>
      </c>
      <c r="C23" s="557"/>
      <c r="D23" s="557"/>
      <c r="E23" s="557"/>
      <c r="F23" s="589">
        <f t="shared" si="6"/>
        <v>17</v>
      </c>
      <c r="H23" s="568"/>
      <c r="I23" s="568"/>
      <c r="J23" s="568"/>
      <c r="K23" s="568"/>
      <c r="L23" s="568"/>
      <c r="M23" s="568"/>
      <c r="N23" s="568"/>
      <c r="O23" s="557"/>
      <c r="P23" s="557"/>
      <c r="R23" s="590">
        <v>3</v>
      </c>
      <c r="S23" s="40">
        <f ca="1">AI18/Investment*100</f>
        <v>9957.9897576999483</v>
      </c>
      <c r="T23" s="3">
        <f ca="1">EXP(y_inter3-(slope*LN(S23)))</f>
        <v>0.55131153076588668</v>
      </c>
      <c r="U23" s="588">
        <f ca="1">(+S23*T23/100)/100</f>
        <v>0.54899545766685798</v>
      </c>
      <c r="V23" s="588">
        <f>regDebt_weighted</f>
        <v>3.5860000000000003E-2</v>
      </c>
      <c r="W23" s="588">
        <f ca="1">+U23-V23</f>
        <v>0.51313545766685797</v>
      </c>
      <c r="X23" s="588">
        <f ca="1">+((W23*(1-0.34))-Pfd_weighted)/Equity_percent</f>
        <v>0.96650988970966945</v>
      </c>
      <c r="Y23" s="588">
        <f ca="1">+X23*equityP</f>
        <v>0.57990593382580169</v>
      </c>
      <c r="Z23" s="588">
        <f ca="1">+Y23/(1-taxrate)</f>
        <v>0.73405814408329328</v>
      </c>
      <c r="AA23" s="588">
        <f>debtP*Debt_Rate</f>
        <v>1.5959999999999998E-2</v>
      </c>
      <c r="AB23" s="588">
        <f ca="1">+AA23+Z23</f>
        <v>0.75001814408329326</v>
      </c>
      <c r="AC23" s="588">
        <f ca="1">+AB23/(S23/100)</f>
        <v>7.5318228109578717E-3</v>
      </c>
      <c r="AD23" s="588">
        <f ca="1">1-AC23</f>
        <v>0.99246817718904212</v>
      </c>
      <c r="AE23" s="41">
        <f ca="1">expenses/(AD23)</f>
        <v>800671.35973654722</v>
      </c>
      <c r="AF23" s="42">
        <f ca="1">+AE23-Revenue</f>
        <v>-674180.10541070963</v>
      </c>
      <c r="AG23" s="4">
        <f ca="1">+AF23/$J$49</f>
        <v>-695195.68602602009</v>
      </c>
      <c r="AH23" s="4">
        <f ca="1">+AG23*$J$47</f>
        <v>-15711.422504188056</v>
      </c>
      <c r="AI23" s="41">
        <f t="shared" ca="1" si="9"/>
        <v>784959.93723000004</v>
      </c>
    </row>
    <row r="24" spans="1:35" ht="15.75">
      <c r="A24" s="557"/>
      <c r="B24" s="557" t="s">
        <v>110</v>
      </c>
      <c r="C24" s="557"/>
      <c r="D24" s="557"/>
      <c r="E24" s="557"/>
      <c r="F24" s="589">
        <f t="shared" si="6"/>
        <v>18</v>
      </c>
      <c r="H24" s="568"/>
      <c r="J24" s="621" t="s">
        <v>105</v>
      </c>
      <c r="K24" s="622" t="s">
        <v>44</v>
      </c>
      <c r="L24" s="622"/>
      <c r="M24" s="622"/>
      <c r="N24" s="622"/>
      <c r="O24" s="557"/>
      <c r="P24" s="557"/>
      <c r="R24" s="593">
        <v>4</v>
      </c>
      <c r="S24" s="40">
        <f ca="1">AI19/Investment*100</f>
        <v>9957.4641676747597</v>
      </c>
      <c r="T24" s="1">
        <f ca="1">EXP(y_inter4-(slope*LN(S24)))</f>
        <v>0.54786895576010397</v>
      </c>
      <c r="U24" s="588">
        <f ca="1">(+S24*T24/100)/100</f>
        <v>0.54553854955626224</v>
      </c>
      <c r="V24" s="588">
        <f>regDebt_weighted</f>
        <v>3.5860000000000003E-2</v>
      </c>
      <c r="W24" s="588">
        <f ca="1">+U24-V24</f>
        <v>0.50967854955626224</v>
      </c>
      <c r="X24" s="588">
        <f ca="1">+((W24*(1-0.34))-Pfd_weighted)/Equity_percent</f>
        <v>0.95987744973003797</v>
      </c>
      <c r="Y24" s="588">
        <f ca="1">+X24*equityP</f>
        <v>0.57592646983802276</v>
      </c>
      <c r="Z24" s="588">
        <f ca="1">+Y24/(1-taxrate)</f>
        <v>0.72902084789623134</v>
      </c>
      <c r="AA24" s="588">
        <f>debtP*Debt_Rate</f>
        <v>1.5959999999999998E-2</v>
      </c>
      <c r="AB24" s="588">
        <f ca="1">+AA24+Z24</f>
        <v>0.74498084789623131</v>
      </c>
      <c r="AC24" s="588">
        <f ca="1">+AB24/(S24/100)</f>
        <v>7.4816322243436923E-3</v>
      </c>
      <c r="AD24" s="588">
        <f ca="1">1-AC24</f>
        <v>0.99251836777565627</v>
      </c>
      <c r="AE24" s="41">
        <f ca="1">expenses/(AD24)</f>
        <v>800630.87064683856</v>
      </c>
      <c r="AF24" s="42">
        <f ca="1">+AE24-Revenue</f>
        <v>-674220.59450041829</v>
      </c>
      <c r="AG24" s="4">
        <f ca="1">+AF24/$J$49</f>
        <v>-695237.43724393751</v>
      </c>
      <c r="AH24" s="4">
        <f ca="1">+AG24*$J$47</f>
        <v>-15712.366081712989</v>
      </c>
      <c r="AI24" s="41">
        <f t="shared" ca="1" si="9"/>
        <v>784918.50456999999</v>
      </c>
    </row>
    <row r="25" spans="1:35" ht="15.75">
      <c r="A25" s="557"/>
      <c r="B25" s="557" t="s">
        <v>111</v>
      </c>
      <c r="C25" s="557"/>
      <c r="D25" s="557"/>
      <c r="E25" s="557"/>
      <c r="F25" s="589">
        <f t="shared" si="6"/>
        <v>19</v>
      </c>
      <c r="H25" s="623" t="s">
        <v>45</v>
      </c>
      <c r="I25" s="22" t="s">
        <v>46</v>
      </c>
      <c r="J25" s="624" t="s">
        <v>47</v>
      </c>
      <c r="K25" s="623" t="s">
        <v>116</v>
      </c>
      <c r="L25" s="624" t="s">
        <v>49</v>
      </c>
      <c r="M25" s="624" t="s">
        <v>47</v>
      </c>
      <c r="O25" s="557"/>
      <c r="P25" s="557"/>
      <c r="R25" s="570" t="s">
        <v>50</v>
      </c>
      <c r="W25" s="2"/>
      <c r="X25" s="6"/>
      <c r="Y25" s="3"/>
      <c r="Z25" s="3"/>
      <c r="AA25" s="6"/>
      <c r="AC25" s="6"/>
      <c r="AD25" s="6"/>
      <c r="AE25" s="3"/>
      <c r="AF25" s="2"/>
    </row>
    <row r="26" spans="1:35" ht="15.75">
      <c r="A26" s="557"/>
      <c r="B26" s="557"/>
      <c r="C26" s="557"/>
      <c r="D26" s="557"/>
      <c r="E26" s="557"/>
      <c r="F26" s="589">
        <f t="shared" si="6"/>
        <v>20</v>
      </c>
      <c r="H26" s="586" t="s">
        <v>27</v>
      </c>
      <c r="I26" s="23">
        <f>1-I27</f>
        <v>0.6</v>
      </c>
      <c r="J26" s="625">
        <f>+I26*J28</f>
        <v>4729.6285714274909</v>
      </c>
      <c r="K26" s="21">
        <f ca="1">+K34</f>
        <v>0.97929291395373008</v>
      </c>
      <c r="L26" s="23">
        <f ca="1">+K26*I26</f>
        <v>0.58757574837223803</v>
      </c>
      <c r="M26" s="20">
        <f ca="1">+J26*K26</f>
        <v>4631.6917456320452</v>
      </c>
      <c r="O26" s="557"/>
      <c r="P26" s="557"/>
      <c r="R26" s="767">
        <v>1</v>
      </c>
      <c r="S26" s="768">
        <f ca="1">AI21/Investment*100</f>
        <v>9960.0321374458672</v>
      </c>
      <c r="T26" s="769">
        <f ca="1">EXP(y_inter1-(slope*LN(+S26)))</f>
        <v>0.56468035907164216</v>
      </c>
      <c r="U26" s="770">
        <f ca="1">(+S26*T26/100)/100</f>
        <v>0.56242345237380276</v>
      </c>
      <c r="V26" s="770">
        <f>regDebt_weighted</f>
        <v>3.5860000000000003E-2</v>
      </c>
      <c r="W26" s="770">
        <f ca="1">+U26-V26</f>
        <v>0.52656345237380275</v>
      </c>
      <c r="X26" s="770">
        <f ca="1">+((W26*(1-0.34))-Pfd_weighted)/Equity_percent</f>
        <v>0.99227290281020297</v>
      </c>
      <c r="Y26" s="770">
        <f ca="1">+X26*equityP</f>
        <v>0.59536374168612172</v>
      </c>
      <c r="Z26" s="770">
        <f ca="1">+Y26/(1-taxrate)</f>
        <v>0.75362498947610346</v>
      </c>
      <c r="AA26" s="770">
        <f>debtP*Debt_Rate</f>
        <v>1.5959999999999998E-2</v>
      </c>
      <c r="AB26" s="770">
        <f ca="1">+AA26+Z26</f>
        <v>0.76958498947610343</v>
      </c>
      <c r="AC26" s="770">
        <f ca="1">+AB26/(S26/100)</f>
        <v>7.7267319909818527E-3</v>
      </c>
      <c r="AD26" s="770">
        <f ca="1">1-AC26</f>
        <v>0.99227326800901816</v>
      </c>
      <c r="AE26" s="771">
        <f ca="1">expenses/(AD26)</f>
        <v>800828.63314421242</v>
      </c>
      <c r="AF26" s="772">
        <f ca="1">+AE26-Revenue</f>
        <v>-674022.83200304443</v>
      </c>
      <c r="AG26" s="773">
        <f ca="1">+AF26/$J$49</f>
        <v>-695033.51008274034</v>
      </c>
      <c r="AH26" s="773">
        <f ca="1">+AG26*$J$47</f>
        <v>-15707.757327869933</v>
      </c>
      <c r="AI26" s="771">
        <f ca="1">ROUND(+AH26+AE26,5)</f>
        <v>785120.87581999996</v>
      </c>
    </row>
    <row r="27" spans="1:35" ht="15.75">
      <c r="A27" s="557"/>
      <c r="B27" s="557"/>
      <c r="C27" s="557"/>
      <c r="D27" s="557"/>
      <c r="E27" s="557"/>
      <c r="F27" s="589">
        <f t="shared" si="6"/>
        <v>21</v>
      </c>
      <c r="H27" s="586" t="s">
        <v>29</v>
      </c>
      <c r="I27" s="23">
        <f>IF(A65=TRUE,C8,0)</f>
        <v>0.4</v>
      </c>
      <c r="J27" s="25">
        <f>+I27*J28</f>
        <v>3153.0857142849945</v>
      </c>
      <c r="K27" s="21">
        <f>IF(A65=TRUE,C9,0)</f>
        <v>3.9899999999999998E-2</v>
      </c>
      <c r="L27" s="23">
        <f>+K27*I27</f>
        <v>1.5959999999999998E-2</v>
      </c>
      <c r="M27" s="20">
        <f>+K27*J27</f>
        <v>125.80811999997128</v>
      </c>
      <c r="O27" s="557"/>
      <c r="P27" s="557"/>
      <c r="R27" s="587">
        <v>2</v>
      </c>
      <c r="S27" s="40">
        <f ca="1">AI22/Investment*100</f>
        <v>9958.8121959826294</v>
      </c>
      <c r="T27" s="595">
        <f ca="1">EXP(y_inter2-(slope*LN(+S27)))</f>
        <v>0.55669280929885168</v>
      </c>
      <c r="U27" s="588">
        <f ca="1">(+S27*T27/100)/100</f>
        <v>0.55439991386612364</v>
      </c>
      <c r="V27" s="588">
        <f>regDebt_weighted</f>
        <v>3.5860000000000003E-2</v>
      </c>
      <c r="W27" s="588">
        <f ca="1">+U27-V27</f>
        <v>0.51853991386612364</v>
      </c>
      <c r="X27" s="588">
        <f ca="1">+((W27*(1-0.34))-Pfd_weighted)/Equity_percent</f>
        <v>0.97687890451058601</v>
      </c>
      <c r="Y27" s="588">
        <f ca="1">+X27*equityP</f>
        <v>0.58612734270635158</v>
      </c>
      <c r="Z27" s="588">
        <f ca="1">+Y27/(1-taxrate)</f>
        <v>0.74193334519791332</v>
      </c>
      <c r="AA27" s="588">
        <f>debtP*Debt_Rate</f>
        <v>1.5959999999999998E-2</v>
      </c>
      <c r="AB27" s="588">
        <f ca="1">+AA27+Z27</f>
        <v>0.75789334519791329</v>
      </c>
      <c r="AC27" s="588">
        <f ca="1">+AB27/(S27/100)</f>
        <v>7.6102785179907942E-3</v>
      </c>
      <c r="AD27" s="588">
        <f ca="1">1-AC27</f>
        <v>0.99238972148200921</v>
      </c>
      <c r="AE27" s="41">
        <f ca="1">expenses/(AD27)</f>
        <v>800734.65869689442</v>
      </c>
      <c r="AF27" s="42">
        <f ca="1">+AE27-Revenue</f>
        <v>-674116.80645036243</v>
      </c>
      <c r="AG27" s="4">
        <f ca="1">+AF27/$J$49</f>
        <v>-695130.41390687844</v>
      </c>
      <c r="AH27" s="4">
        <f ca="1">+AG27*$J$47</f>
        <v>-15709.947354295455</v>
      </c>
      <c r="AI27" s="41">
        <f t="shared" ref="AI27:AI29" ca="1" si="10">ROUND(+AH27+AE27,5)</f>
        <v>785024.71134000004</v>
      </c>
    </row>
    <row r="28" spans="1:35" ht="16.5" thickBot="1">
      <c r="A28" s="557"/>
      <c r="B28" s="557"/>
      <c r="C28" s="557"/>
      <c r="D28" s="557"/>
      <c r="E28" s="557"/>
      <c r="F28" s="589">
        <f t="shared" si="6"/>
        <v>22</v>
      </c>
      <c r="H28" s="586" t="s">
        <v>103</v>
      </c>
      <c r="I28" s="26">
        <f>SUM(I26:I27)</f>
        <v>1</v>
      </c>
      <c r="J28" s="49">
        <f>IF(A65=TRUE,C7,0)</f>
        <v>7882.7142857124854</v>
      </c>
      <c r="K28" s="626"/>
      <c r="L28" s="51">
        <f ca="1">SUM(L26:L27)</f>
        <v>0.603535748372238</v>
      </c>
      <c r="M28" s="49">
        <f ca="1">SUM(M26:M27)</f>
        <v>4757.4998656320167</v>
      </c>
      <c r="O28" s="557"/>
      <c r="P28" s="557"/>
      <c r="R28" s="590">
        <v>3</v>
      </c>
      <c r="S28" s="40">
        <f ca="1">AI23/Investment*100</f>
        <v>9957.9904684957219</v>
      </c>
      <c r="T28" s="3">
        <f ca="1">EXP(y_inter3-(slope*LN(S28)))</f>
        <v>0.55131150386189365</v>
      </c>
      <c r="U28" s="588">
        <f ca="1">(+S28*T28/100)/100</f>
        <v>0.54899547006287797</v>
      </c>
      <c r="V28" s="588">
        <f>regDebt_weighted</f>
        <v>3.5860000000000003E-2</v>
      </c>
      <c r="W28" s="588">
        <f ca="1">+U28-V28</f>
        <v>0.51313547006287796</v>
      </c>
      <c r="X28" s="588">
        <f ca="1">+((W28*(1-0.34))-Pfd_weighted)/Equity_percent</f>
        <v>0.96650991349273108</v>
      </c>
      <c r="Y28" s="588">
        <f ca="1">+X28*equityP</f>
        <v>0.57990594809563867</v>
      </c>
      <c r="Z28" s="588">
        <f ca="1">+Y28/(1-taxrate)</f>
        <v>0.73405816214637798</v>
      </c>
      <c r="AA28" s="588">
        <f>debtP*Debt_Rate</f>
        <v>1.5959999999999998E-2</v>
      </c>
      <c r="AB28" s="588">
        <f ca="1">+AA28+Z28</f>
        <v>0.75001816214637795</v>
      </c>
      <c r="AC28" s="588">
        <f ca="1">+AB28/(S28/100)</f>
        <v>7.5318224547334554E-3</v>
      </c>
      <c r="AD28" s="588">
        <f ca="1">1-AC28</f>
        <v>0.99246817754526651</v>
      </c>
      <c r="AE28" s="41">
        <f ca="1">expenses/(AD28)</f>
        <v>800671.35944916401</v>
      </c>
      <c r="AF28" s="42">
        <f ca="1">+AE28-Revenue</f>
        <v>-674180.10569809284</v>
      </c>
      <c r="AG28" s="4">
        <f ca="1">+AF28/$J$49</f>
        <v>-695195.68632236158</v>
      </c>
      <c r="AH28" s="4">
        <f ca="1">+AG28*$J$47</f>
        <v>-15711.422510885373</v>
      </c>
      <c r="AI28" s="41">
        <f t="shared" ca="1" si="10"/>
        <v>784959.93694000004</v>
      </c>
    </row>
    <row r="29" spans="1:35" ht="16.5" thickTop="1">
      <c r="A29" s="557"/>
      <c r="B29" s="557"/>
      <c r="C29" s="557"/>
      <c r="D29" s="557"/>
      <c r="E29" s="557"/>
      <c r="F29" s="589">
        <f t="shared" si="6"/>
        <v>23</v>
      </c>
      <c r="G29" s="568"/>
      <c r="H29" s="568"/>
      <c r="I29" s="568"/>
      <c r="J29" s="568"/>
      <c r="K29" s="568"/>
      <c r="L29" s="568"/>
      <c r="M29" s="568"/>
      <c r="N29" s="568"/>
      <c r="O29" s="557"/>
      <c r="P29" s="557"/>
      <c r="R29" s="593">
        <v>4</v>
      </c>
      <c r="S29" s="40">
        <f ca="1">AI24/Investment*100</f>
        <v>9957.4648543671592</v>
      </c>
      <c r="T29" s="1">
        <f ca="1">EXP(y_inter4-(slope*LN(S29)))</f>
        <v>0.54786892992937408</v>
      </c>
      <c r="U29" s="588">
        <f ca="1">(+S29*T29/100)/100</f>
        <v>0.54553856145714863</v>
      </c>
      <c r="V29" s="588">
        <f>regDebt_weighted</f>
        <v>3.5860000000000003E-2</v>
      </c>
      <c r="W29" s="588">
        <f ca="1">+U29-V29</f>
        <v>0.50967856145714863</v>
      </c>
      <c r="X29" s="588">
        <f ca="1">+((W29*(1-0.34))-Pfd_weighted)/Equity_percent</f>
        <v>0.95987747256313405</v>
      </c>
      <c r="Y29" s="588">
        <f ca="1">+X29*equityP</f>
        <v>0.57592648353788045</v>
      </c>
      <c r="Z29" s="588">
        <f ca="1">+Y29/(1-taxrate)</f>
        <v>0.72902086523782328</v>
      </c>
      <c r="AA29" s="588">
        <f>debtP*Debt_Rate</f>
        <v>1.5959999999999998E-2</v>
      </c>
      <c r="AB29" s="588">
        <f ca="1">+AA29+Z29</f>
        <v>0.74498086523782325</v>
      </c>
      <c r="AC29" s="588">
        <f ca="1">+AB29/(S29/100)</f>
        <v>7.4816318825477804E-3</v>
      </c>
      <c r="AD29" s="588">
        <f ca="1">1-AC29</f>
        <v>0.9925183681174522</v>
      </c>
      <c r="AE29" s="41">
        <f ca="1">expenses/(AD29)</f>
        <v>800630.87037112343</v>
      </c>
      <c r="AF29" s="42">
        <f ca="1">+AE29-Revenue</f>
        <v>-674220.59477613342</v>
      </c>
      <c r="AG29" s="4">
        <f ca="1">+AF29/$J$49</f>
        <v>-695237.43752824725</v>
      </c>
      <c r="AH29" s="4">
        <f ca="1">+AG29*$J$47</f>
        <v>-15712.366088138389</v>
      </c>
      <c r="AI29" s="41">
        <f t="shared" ca="1" si="10"/>
        <v>784918.50427999999</v>
      </c>
    </row>
    <row r="30" spans="1:35" ht="15.75">
      <c r="A30" s="557"/>
      <c r="B30" s="557"/>
      <c r="C30" s="557"/>
      <c r="D30" s="557"/>
      <c r="E30" s="557"/>
      <c r="F30" s="589">
        <f t="shared" si="6"/>
        <v>24</v>
      </c>
      <c r="G30" s="568"/>
      <c r="H30" s="568"/>
      <c r="I30" s="568"/>
      <c r="J30" s="627" t="s">
        <v>94</v>
      </c>
      <c r="K30" s="627" t="s">
        <v>96</v>
      </c>
      <c r="L30" s="568"/>
      <c r="M30" s="568"/>
      <c r="N30" s="568"/>
      <c r="O30" s="557"/>
      <c r="P30" s="557"/>
      <c r="R30" s="570" t="s">
        <v>53</v>
      </c>
      <c r="W30" s="2"/>
      <c r="X30" s="6"/>
      <c r="Y30" s="3"/>
      <c r="Z30" s="3"/>
      <c r="AA30" s="6"/>
      <c r="AC30" s="6"/>
      <c r="AD30" s="6"/>
      <c r="AE30" s="3"/>
      <c r="AF30" s="2"/>
      <c r="AH30" s="3"/>
    </row>
    <row r="31" spans="1:35" ht="15.75">
      <c r="A31" s="557"/>
      <c r="B31" s="557"/>
      <c r="C31" s="557"/>
      <c r="D31" s="557"/>
      <c r="E31" s="557"/>
      <c r="F31" s="589">
        <f t="shared" si="6"/>
        <v>25</v>
      </c>
      <c r="G31" s="568"/>
      <c r="H31" s="628" t="s">
        <v>51</v>
      </c>
      <c r="I31" s="629"/>
      <c r="J31" s="630" t="s">
        <v>95</v>
      </c>
      <c r="K31" s="630" t="s">
        <v>95</v>
      </c>
      <c r="L31" s="568"/>
      <c r="M31" s="568"/>
      <c r="N31" s="568"/>
      <c r="O31" s="557"/>
      <c r="P31" s="557"/>
      <c r="R31" s="767">
        <v>1</v>
      </c>
      <c r="S31" s="768">
        <f ca="1">AI26/Investment*100</f>
        <v>9960.0321331326304</v>
      </c>
      <c r="T31" s="769">
        <f ca="1">EXP(y_inter1-(slope*LN(+S31)))</f>
        <v>0.56468035923882498</v>
      </c>
      <c r="U31" s="770">
        <f ca="1">(+S31*T31/100)/100</f>
        <v>0.56242345229675739</v>
      </c>
      <c r="V31" s="770">
        <f>regDebt_weighted</f>
        <v>3.5860000000000003E-2</v>
      </c>
      <c r="W31" s="770">
        <f ca="1">+U31-V31</f>
        <v>0.52656345229675738</v>
      </c>
      <c r="X31" s="770">
        <f ca="1">+((W31*(1-0.34))-Pfd_weighted)/Equity_percent</f>
        <v>0.99227290266238333</v>
      </c>
      <c r="Y31" s="770">
        <f ca="1">+X31*equityP</f>
        <v>0.59536374159743</v>
      </c>
      <c r="Z31" s="770">
        <f ca="1">+Y31/(1-taxrate)</f>
        <v>0.75362498936383537</v>
      </c>
      <c r="AA31" s="770">
        <f>debtP*Debt_Rate</f>
        <v>1.5959999999999998E-2</v>
      </c>
      <c r="AB31" s="770">
        <f ca="1">+AA31+Z31</f>
        <v>0.76958498936383535</v>
      </c>
      <c r="AC31" s="770">
        <f ca="1">+AB31/(S31/100)</f>
        <v>7.7267319932007635E-3</v>
      </c>
      <c r="AD31" s="770">
        <f ca="1">1-AC31</f>
        <v>0.99227326800679927</v>
      </c>
      <c r="AE31" s="771">
        <f ca="1">expenses/(AD31)</f>
        <v>800828.63314600324</v>
      </c>
      <c r="AF31" s="772">
        <f ca="1">+AE31-Revenue</f>
        <v>-674022.83200125361</v>
      </c>
      <c r="AG31" s="773">
        <f ca="1">+AF31/$J$49</f>
        <v>-695033.51008089364</v>
      </c>
      <c r="AH31" s="773">
        <f ca="1">+AG31*$J$47</f>
        <v>-15707.757327828198</v>
      </c>
      <c r="AI31" s="771">
        <f ca="1">ROUND(+AH31+AE31,5)</f>
        <v>785120.87581999996</v>
      </c>
    </row>
    <row r="32" spans="1:35" ht="15.75">
      <c r="A32" s="557"/>
      <c r="B32" s="557"/>
      <c r="C32" s="557"/>
      <c r="D32" s="557"/>
      <c r="E32" s="557"/>
      <c r="F32" s="589">
        <f t="shared" si="6"/>
        <v>26</v>
      </c>
      <c r="G32" s="568"/>
      <c r="H32" s="577"/>
      <c r="I32" s="577"/>
      <c r="J32" s="577"/>
      <c r="K32" s="577"/>
      <c r="L32" s="568"/>
      <c r="M32" s="568"/>
      <c r="N32" s="568"/>
      <c r="O32" s="557"/>
      <c r="P32" s="557"/>
      <c r="R32" s="587">
        <v>2</v>
      </c>
      <c r="S32" s="40">
        <f ca="1">AI27/Investment*100</f>
        <v>9958.8121919231144</v>
      </c>
      <c r="T32" s="595">
        <f ca="1">EXP(y_inter2-(slope*LN(+S32)))</f>
        <v>0.55669280945399391</v>
      </c>
      <c r="U32" s="588">
        <f ca="1">(+S32*T32/100)/100</f>
        <v>0.5543999137946366</v>
      </c>
      <c r="V32" s="588">
        <f>regDebt_weighted</f>
        <v>3.5860000000000003E-2</v>
      </c>
      <c r="W32" s="588">
        <f ca="1">+U32-V32</f>
        <v>0.5185399137946366</v>
      </c>
      <c r="X32" s="588">
        <f ca="1">+((W32*(1-0.34))-Pfd_weighted)/Equity_percent</f>
        <v>0.97687890437343072</v>
      </c>
      <c r="Y32" s="588">
        <f ca="1">+X32*equityP</f>
        <v>0.58612734262405841</v>
      </c>
      <c r="Z32" s="588">
        <f ca="1">+Y32/(1-taxrate)</f>
        <v>0.74193334509374476</v>
      </c>
      <c r="AA32" s="588">
        <f>debtP*Debt_Rate</f>
        <v>1.5959999999999998E-2</v>
      </c>
      <c r="AB32" s="588">
        <f ca="1">+AA32+Z32</f>
        <v>0.75789334509374473</v>
      </c>
      <c r="AC32" s="588">
        <f ca="1">+AB32/(S32/100)</f>
        <v>7.6102785200469819E-3</v>
      </c>
      <c r="AD32" s="588">
        <f ca="1">1-AC32</f>
        <v>0.99238972147995297</v>
      </c>
      <c r="AE32" s="41">
        <f ca="1">expenses/(AD32)</f>
        <v>800734.65869855357</v>
      </c>
      <c r="AF32" s="42">
        <f ca="1">+AE32-Revenue</f>
        <v>-674116.80644870328</v>
      </c>
      <c r="AG32" s="4">
        <f ca="1">+AF32/$J$49</f>
        <v>-695130.4139051676</v>
      </c>
      <c r="AH32" s="4">
        <f ca="1">+AG32*$J$47</f>
        <v>-15709.947354256788</v>
      </c>
      <c r="AI32" s="41">
        <f t="shared" ref="AI32:AI34" ca="1" si="11">ROUND(+AH32+AE32,5)</f>
        <v>785024.71134000004</v>
      </c>
    </row>
    <row r="33" spans="1:46" ht="15.75">
      <c r="A33" s="557"/>
      <c r="B33" s="557"/>
      <c r="C33" s="557"/>
      <c r="D33" s="557"/>
      <c r="E33" s="557"/>
      <c r="F33" s="589">
        <f t="shared" si="6"/>
        <v>27</v>
      </c>
      <c r="G33" s="568"/>
      <c r="H33" s="577" t="s">
        <v>54</v>
      </c>
      <c r="I33" s="577"/>
      <c r="J33" s="24">
        <f ca="1">+K9/J28</f>
        <v>0.75972677009144052</v>
      </c>
      <c r="K33" s="24">
        <f ca="1">+(M14+M11)/J28</f>
        <v>0.603535748372238</v>
      </c>
      <c r="L33" s="568"/>
      <c r="M33" s="568"/>
      <c r="N33" s="568"/>
      <c r="O33" s="557"/>
      <c r="P33" s="557"/>
      <c r="R33" s="590">
        <v>3</v>
      </c>
      <c r="S33" s="40">
        <f ca="1">AI28/Investment*100</f>
        <v>9957.9904648167867</v>
      </c>
      <c r="T33" s="3">
        <f ca="1">EXP(y_inter3-(slope*LN(S33)))</f>
        <v>0.55131150400114359</v>
      </c>
      <c r="U33" s="588">
        <f ca="1">(+S33*T33/100)/100</f>
        <v>0.54899546999871907</v>
      </c>
      <c r="V33" s="588">
        <f>regDebt_weighted</f>
        <v>3.5860000000000003E-2</v>
      </c>
      <c r="W33" s="588">
        <f ca="1">+U33-V33</f>
        <v>0.51313546999871906</v>
      </c>
      <c r="X33" s="588">
        <f ca="1">+((W33*(1-0.34))-Pfd_weighted)/Equity_percent</f>
        <v>0.96650991336963543</v>
      </c>
      <c r="Y33" s="588">
        <f ca="1">+X33*equityP</f>
        <v>0.57990594802178119</v>
      </c>
      <c r="Z33" s="588">
        <f ca="1">+Y33/(1-taxrate)</f>
        <v>0.73405816205288754</v>
      </c>
      <c r="AA33" s="588">
        <f>debtP*Debt_Rate</f>
        <v>1.5959999999999998E-2</v>
      </c>
      <c r="AB33" s="588">
        <f ca="1">+AA33+Z33</f>
        <v>0.75001816205288752</v>
      </c>
      <c r="AC33" s="588">
        <f ca="1">+AB33/(S33/100)</f>
        <v>7.5318224565772045E-3</v>
      </c>
      <c r="AD33" s="588">
        <f ca="1">1-AC33</f>
        <v>0.99246817754342276</v>
      </c>
      <c r="AE33" s="41">
        <f ca="1">expenses/(AD33)</f>
        <v>800671.35945065145</v>
      </c>
      <c r="AF33" s="42">
        <f ca="1">+AE33-Revenue</f>
        <v>-674180.1056966054</v>
      </c>
      <c r="AG33" s="4">
        <f ca="1">+AF33/$J$49</f>
        <v>-695195.68632082781</v>
      </c>
      <c r="AH33" s="4">
        <f ca="1">+AG33*$J$47</f>
        <v>-15711.422510850711</v>
      </c>
      <c r="AI33" s="41">
        <f t="shared" ca="1" si="11"/>
        <v>784959.93694000004</v>
      </c>
    </row>
    <row r="34" spans="1:46" ht="15.75">
      <c r="A34" s="557"/>
      <c r="B34" s="557"/>
      <c r="C34" s="557"/>
      <c r="D34" s="557"/>
      <c r="E34" s="557"/>
      <c r="F34" s="589">
        <f t="shared" si="6"/>
        <v>28</v>
      </c>
      <c r="G34" s="568"/>
      <c r="H34" s="577" t="s">
        <v>55</v>
      </c>
      <c r="I34" s="577"/>
      <c r="J34" s="24">
        <f ca="1">+(M9-M11)/J26</f>
        <v>1.2396112834857342</v>
      </c>
      <c r="K34" s="24">
        <f ca="1">+M14/J26</f>
        <v>0.97929291395373008</v>
      </c>
      <c r="L34" s="568"/>
      <c r="M34" s="568"/>
      <c r="N34" s="568"/>
      <c r="O34" s="10"/>
      <c r="P34" s="557"/>
      <c r="R34" s="593">
        <v>4</v>
      </c>
      <c r="S34" s="40">
        <f ca="1">AI29/Investment*100</f>
        <v>9957.464850688224</v>
      </c>
      <c r="T34" s="1">
        <f ca="1">EXP(y_inter4-(slope*LN(S34)))</f>
        <v>0.54786893006776116</v>
      </c>
      <c r="U34" s="588">
        <f ca="1">(+S34*T34/100)/100</f>
        <v>0.54553856139338963</v>
      </c>
      <c r="V34" s="588">
        <f>regDebt_weighted</f>
        <v>3.5860000000000003E-2</v>
      </c>
      <c r="W34" s="588">
        <f ca="1">+U34-V34</f>
        <v>0.50967856139338963</v>
      </c>
      <c r="X34" s="588">
        <f ca="1">+((W34*(1-0.34))-Pfd_weighted)/Equity_percent</f>
        <v>0.95987747244080568</v>
      </c>
      <c r="Y34" s="588">
        <f ca="1">+X34*equityP</f>
        <v>0.57592648346448339</v>
      </c>
      <c r="Z34" s="588">
        <f ca="1">+Y34/(1-taxrate)</f>
        <v>0.7290208651449156</v>
      </c>
      <c r="AA34" s="588">
        <f>debtP*Debt_Rate</f>
        <v>1.5959999999999998E-2</v>
      </c>
      <c r="AB34" s="588">
        <f ca="1">+AA34+Z34</f>
        <v>0.74498086514491557</v>
      </c>
      <c r="AC34" s="588">
        <f ca="1">+AB34/(S34/100)</f>
        <v>7.4816318843789363E-3</v>
      </c>
      <c r="AD34" s="588">
        <f ca="1">1-AC34</f>
        <v>0.99251836811562111</v>
      </c>
      <c r="AE34" s="41">
        <f ca="1">expenses/(AD34)</f>
        <v>800630.8703726005</v>
      </c>
      <c r="AF34" s="42">
        <f ca="1">+AE34-Revenue</f>
        <v>-674220.59477465635</v>
      </c>
      <c r="AG34" s="4">
        <f ca="1">+AF34/$J$49</f>
        <v>-695237.43752672407</v>
      </c>
      <c r="AH34" s="4">
        <f ca="1">+AG34*$J$47</f>
        <v>-15712.366088103965</v>
      </c>
      <c r="AI34" s="41">
        <f t="shared" ca="1" si="11"/>
        <v>784918.50427999999</v>
      </c>
    </row>
    <row r="35" spans="1:46" ht="15.75">
      <c r="A35" s="557"/>
      <c r="B35" s="557"/>
      <c r="C35" s="557"/>
      <c r="D35" s="557"/>
      <c r="E35" s="557"/>
      <c r="F35" s="589">
        <f t="shared" si="6"/>
        <v>29</v>
      </c>
      <c r="G35" s="568"/>
      <c r="H35" s="631" t="s">
        <v>31</v>
      </c>
      <c r="I35" s="577"/>
      <c r="J35" s="24">
        <f ca="1">+K8/K7</f>
        <v>0.99252000000000007</v>
      </c>
      <c r="K35" s="24">
        <f ca="1">+M8/M7</f>
        <v>0.99237026607365353</v>
      </c>
      <c r="L35" s="568"/>
      <c r="M35" s="568"/>
      <c r="N35" s="568"/>
      <c r="O35" s="557"/>
      <c r="P35" s="557"/>
      <c r="R35" s="570" t="s">
        <v>84</v>
      </c>
      <c r="X35" s="6"/>
      <c r="Y35" s="7"/>
      <c r="Z35" s="3"/>
      <c r="AA35" s="6"/>
      <c r="AC35" s="6"/>
      <c r="AD35" s="6"/>
      <c r="AE35" s="3"/>
      <c r="AF35" s="2"/>
      <c r="AH35" s="3"/>
    </row>
    <row r="36" spans="1:46" ht="15.75">
      <c r="A36" s="557"/>
      <c r="B36" s="557"/>
      <c r="C36" s="557"/>
      <c r="D36" s="557"/>
      <c r="E36" s="557"/>
      <c r="F36" s="589">
        <f t="shared" si="6"/>
        <v>30</v>
      </c>
      <c r="G36" s="568"/>
      <c r="H36" s="577" t="s">
        <v>56</v>
      </c>
      <c r="I36" s="577"/>
      <c r="J36" s="24">
        <f ca="1">+K9/K7</f>
        <v>7.4799999999999728E-3</v>
      </c>
      <c r="K36" s="24">
        <f ca="1">+J36</f>
        <v>7.4799999999999728E-3</v>
      </c>
      <c r="L36" s="568"/>
      <c r="M36" s="568"/>
      <c r="N36" s="568"/>
      <c r="O36" s="557"/>
      <c r="P36" s="557"/>
      <c r="R36" s="767">
        <v>1</v>
      </c>
      <c r="S36" s="768">
        <f ca="1">AI31/Investment*100</f>
        <v>9960.0321331326304</v>
      </c>
      <c r="T36" s="769">
        <f ca="1">EXP(y_inter1-(slope*LN(+S36)))</f>
        <v>0.56468035923882498</v>
      </c>
      <c r="U36" s="770">
        <f ca="1">(+S36*T36/100)/100</f>
        <v>0.56242345229675739</v>
      </c>
      <c r="V36" s="770">
        <f>regDebt_weighted</f>
        <v>3.5860000000000003E-2</v>
      </c>
      <c r="W36" s="770">
        <f ca="1">+U36-V36</f>
        <v>0.52656345229675738</v>
      </c>
      <c r="X36" s="770">
        <f ca="1">+((W36*(1-0.34))-Pfd_weighted)/Equity_percent</f>
        <v>0.99227290266238333</v>
      </c>
      <c r="Y36" s="770">
        <f ca="1">+X36*equityP</f>
        <v>0.59536374159743</v>
      </c>
      <c r="Z36" s="770">
        <f ca="1">+Y36/(1-taxrate)</f>
        <v>0.75362498936383537</v>
      </c>
      <c r="AA36" s="770">
        <f>debtP*Debt_Rate</f>
        <v>1.5959999999999998E-2</v>
      </c>
      <c r="AB36" s="770">
        <f ca="1">+AA36+Z36</f>
        <v>0.76958498936383535</v>
      </c>
      <c r="AC36" s="770">
        <f ca="1">+AB36/(S36/100)</f>
        <v>7.7267319932007635E-3</v>
      </c>
      <c r="AD36" s="770">
        <f ca="1">1-AC36</f>
        <v>0.99227326800679927</v>
      </c>
      <c r="AE36" s="771">
        <f ca="1">expenses/(AD36)</f>
        <v>800828.63314600324</v>
      </c>
      <c r="AF36" s="772">
        <f ca="1">+AE36-Revenue</f>
        <v>-674022.83200125361</v>
      </c>
      <c r="AG36" s="773">
        <f ca="1">+AF36/$J$49</f>
        <v>-695033.51008089364</v>
      </c>
      <c r="AH36" s="773">
        <f ca="1">+AG36*$J$47</f>
        <v>-15707.757327828198</v>
      </c>
      <c r="AI36" s="771">
        <f ca="1">ROUND(+AH36+AE36,5)</f>
        <v>785120.87581999996</v>
      </c>
    </row>
    <row r="37" spans="1:46" ht="15.75">
      <c r="A37" s="557"/>
      <c r="B37" s="557"/>
      <c r="C37" s="557"/>
      <c r="D37" s="557"/>
      <c r="E37" s="557"/>
      <c r="F37" s="589">
        <f t="shared" si="6"/>
        <v>31</v>
      </c>
      <c r="G37" s="568"/>
      <c r="H37" s="577" t="s">
        <v>57</v>
      </c>
      <c r="I37" s="632"/>
      <c r="J37" s="27">
        <f ca="1">+S39/100</f>
        <v>99.574648506882241</v>
      </c>
      <c r="K37" s="27">
        <f ca="1">+J37</f>
        <v>99.574648506882241</v>
      </c>
      <c r="L37" s="568"/>
      <c r="M37" s="568"/>
      <c r="N37" s="568"/>
      <c r="O37" s="557"/>
      <c r="P37" s="557"/>
      <c r="R37" s="587">
        <v>2</v>
      </c>
      <c r="S37" s="40">
        <f ca="1">AI32/Investment*100</f>
        <v>9958.8121919231144</v>
      </c>
      <c r="T37" s="595">
        <f ca="1">EXP(y_inter2-(slope*LN(+S37)))</f>
        <v>0.55669280945399391</v>
      </c>
      <c r="U37" s="588">
        <f ca="1">(+S37*T37/100)/100</f>
        <v>0.5543999137946366</v>
      </c>
      <c r="V37" s="588">
        <f>regDebt_weighted</f>
        <v>3.5860000000000003E-2</v>
      </c>
      <c r="W37" s="588">
        <f ca="1">+U37-V37</f>
        <v>0.5185399137946366</v>
      </c>
      <c r="X37" s="588">
        <f ca="1">+((W37*(1-0.34))-Pfd_weighted)/Equity_percent</f>
        <v>0.97687890437343072</v>
      </c>
      <c r="Y37" s="588">
        <f ca="1">+X37*equityP</f>
        <v>0.58612734262405841</v>
      </c>
      <c r="Z37" s="588">
        <f ca="1">+Y37/(1-taxrate)</f>
        <v>0.74193334509374476</v>
      </c>
      <c r="AA37" s="588">
        <f>debtP*Debt_Rate</f>
        <v>1.5959999999999998E-2</v>
      </c>
      <c r="AB37" s="588">
        <f ca="1">+AA37+Z37</f>
        <v>0.75789334509374473</v>
      </c>
      <c r="AC37" s="588">
        <f ca="1">+AB37/(S37/100)</f>
        <v>7.6102785200469819E-3</v>
      </c>
      <c r="AD37" s="588">
        <f ca="1">1-AC37</f>
        <v>0.99238972147995297</v>
      </c>
      <c r="AE37" s="41">
        <f ca="1">expenses/(AD37)</f>
        <v>800734.65869855357</v>
      </c>
      <c r="AF37" s="42">
        <f ca="1">+AE37-Revenue</f>
        <v>-674116.80644870328</v>
      </c>
      <c r="AG37" s="4">
        <f ca="1">+AF37/$J$49</f>
        <v>-695130.4139051676</v>
      </c>
      <c r="AH37" s="4">
        <f ca="1">+AG37*$J$47</f>
        <v>-15709.947354256788</v>
      </c>
      <c r="AI37" s="41">
        <f t="shared" ref="AI37:AI39" ca="1" si="12">ROUND(+AH37+AE37,5)</f>
        <v>785024.71134000004</v>
      </c>
    </row>
    <row r="38" spans="1:46" ht="15.75">
      <c r="A38" s="557"/>
      <c r="B38" s="557"/>
      <c r="C38" s="557"/>
      <c r="D38" s="557"/>
      <c r="E38" s="557"/>
      <c r="F38" s="589">
        <f t="shared" si="6"/>
        <v>32</v>
      </c>
      <c r="G38" s="568"/>
      <c r="H38" s="577" t="s">
        <v>58</v>
      </c>
      <c r="I38" s="568"/>
      <c r="J38" s="24">
        <f>+C10</f>
        <v>0.21</v>
      </c>
      <c r="K38" s="24">
        <f>+J38</f>
        <v>0.21</v>
      </c>
      <c r="L38" s="568"/>
      <c r="M38" s="568"/>
      <c r="N38" s="568"/>
      <c r="O38" s="557"/>
      <c r="P38" s="557"/>
      <c r="Q38" s="633"/>
      <c r="R38" s="590">
        <v>3</v>
      </c>
      <c r="S38" s="40">
        <f ca="1">AI33/Investment*100</f>
        <v>9957.9904648167867</v>
      </c>
      <c r="T38" s="3">
        <f ca="1">EXP(y_inter3-(slope*LN(S38)))</f>
        <v>0.55131150400114359</v>
      </c>
      <c r="U38" s="588">
        <f ca="1">(+S38*T38/100)/100</f>
        <v>0.54899546999871907</v>
      </c>
      <c r="V38" s="588">
        <f>regDebt_weighted</f>
        <v>3.5860000000000003E-2</v>
      </c>
      <c r="W38" s="588">
        <f ca="1">+U38-V38</f>
        <v>0.51313546999871906</v>
      </c>
      <c r="X38" s="588">
        <f ca="1">+((W38*(1-0.34))-Pfd_weighted)/Equity_percent</f>
        <v>0.96650991336963543</v>
      </c>
      <c r="Y38" s="588">
        <f ca="1">+X38*equityP</f>
        <v>0.57990594802178119</v>
      </c>
      <c r="Z38" s="588">
        <f ca="1">+Y38/(1-taxrate)</f>
        <v>0.73405816205288754</v>
      </c>
      <c r="AA38" s="588">
        <f>debtP*Debt_Rate</f>
        <v>1.5959999999999998E-2</v>
      </c>
      <c r="AB38" s="588">
        <f ca="1">+AA38+Z38</f>
        <v>0.75001816205288752</v>
      </c>
      <c r="AC38" s="588">
        <f ca="1">+AB38/(S38/100)</f>
        <v>7.5318224565772045E-3</v>
      </c>
      <c r="AD38" s="588">
        <f ca="1">1-AC38</f>
        <v>0.99246817754342276</v>
      </c>
      <c r="AE38" s="41">
        <f ca="1">expenses/(AD38)</f>
        <v>800671.35945065145</v>
      </c>
      <c r="AF38" s="42">
        <f ca="1">+AE38-Revenue</f>
        <v>-674180.1056966054</v>
      </c>
      <c r="AG38" s="4">
        <f ca="1">+AF38/$J$49</f>
        <v>-695195.68632082781</v>
      </c>
      <c r="AH38" s="4">
        <f ca="1">+AG38*$J$47</f>
        <v>-15711.422510850711</v>
      </c>
      <c r="AI38" s="41">
        <f t="shared" ca="1" si="12"/>
        <v>784959.93694000004</v>
      </c>
    </row>
    <row r="39" spans="1:46" ht="15.75">
      <c r="A39" s="557"/>
      <c r="B39" s="557"/>
      <c r="C39" s="557"/>
      <c r="D39" s="557"/>
      <c r="E39" s="557"/>
      <c r="F39" s="589">
        <f t="shared" si="6"/>
        <v>33</v>
      </c>
      <c r="G39" s="568"/>
      <c r="H39" s="568"/>
      <c r="I39" s="568"/>
      <c r="J39" s="568"/>
      <c r="K39" s="568"/>
      <c r="L39" s="568"/>
      <c r="M39" s="568"/>
      <c r="N39" s="568"/>
      <c r="O39" s="557"/>
      <c r="P39" s="557"/>
      <c r="R39" s="593">
        <v>4</v>
      </c>
      <c r="S39" s="40">
        <f ca="1">AI34/Investment*100</f>
        <v>9957.464850688224</v>
      </c>
      <c r="T39" s="1">
        <f ca="1">EXP(y_inter4-(slope*LN(S39)))</f>
        <v>0.54786893006776116</v>
      </c>
      <c r="U39" s="588">
        <f ca="1">(+S39*T39/100)/100</f>
        <v>0.54553856139338963</v>
      </c>
      <c r="V39" s="588">
        <f>regDebt_weighted</f>
        <v>3.5860000000000003E-2</v>
      </c>
      <c r="W39" s="588">
        <f ca="1">+U39-V39</f>
        <v>0.50967856139338963</v>
      </c>
      <c r="X39" s="588">
        <f ca="1">+((W39*(1-0.34))-Pfd_weighted)/Equity_percent</f>
        <v>0.95987747244080568</v>
      </c>
      <c r="Y39" s="588">
        <f ca="1">+X39*equityP</f>
        <v>0.57592648346448339</v>
      </c>
      <c r="Z39" s="588">
        <f ca="1">+Y39/(1-taxrate)</f>
        <v>0.7290208651449156</v>
      </c>
      <c r="AA39" s="588">
        <f>debtP*Debt_Rate</f>
        <v>1.5959999999999998E-2</v>
      </c>
      <c r="AB39" s="588">
        <f ca="1">+AA39+Z39</f>
        <v>0.74498086514491557</v>
      </c>
      <c r="AC39" s="588">
        <f ca="1">+AB39/(S39/100)</f>
        <v>7.4816318843789363E-3</v>
      </c>
      <c r="AD39" s="588">
        <f ca="1">1-AC39</f>
        <v>0.99251836811562111</v>
      </c>
      <c r="AE39" s="41">
        <f ca="1">expenses/(AD39)</f>
        <v>800630.8703726005</v>
      </c>
      <c r="AF39" s="42">
        <f ca="1">+AE39-Revenue</f>
        <v>-674220.59477465635</v>
      </c>
      <c r="AG39" s="4">
        <f ca="1">+AF39/$J$49</f>
        <v>-695237.43752672407</v>
      </c>
      <c r="AH39" s="4">
        <f ca="1">+AG39*$J$47</f>
        <v>-15712.366088103965</v>
      </c>
      <c r="AI39" s="41">
        <f t="shared" ca="1" si="12"/>
        <v>784918.50427999999</v>
      </c>
    </row>
    <row r="40" spans="1:46" ht="15.75">
      <c r="A40" s="557"/>
      <c r="B40" s="557"/>
      <c r="C40" s="557"/>
      <c r="D40" s="557"/>
      <c r="E40" s="557"/>
      <c r="F40" s="589">
        <f t="shared" si="6"/>
        <v>34</v>
      </c>
      <c r="G40" s="632"/>
      <c r="H40" s="568"/>
      <c r="I40" s="568"/>
      <c r="J40" s="568"/>
      <c r="K40" s="568"/>
      <c r="L40" s="568"/>
      <c r="M40" s="568"/>
      <c r="N40" s="568"/>
      <c r="O40" s="557"/>
      <c r="P40" s="557"/>
      <c r="X40" s="6"/>
      <c r="Y40" s="7"/>
      <c r="Z40" s="3"/>
      <c r="AA40" s="6"/>
      <c r="AC40" s="6"/>
      <c r="AD40" s="6"/>
      <c r="AE40" s="3"/>
      <c r="AF40" s="2"/>
      <c r="AH40" s="3"/>
    </row>
    <row r="41" spans="1:46" ht="15.75">
      <c r="A41" s="557"/>
      <c r="B41" s="557"/>
      <c r="C41" s="557"/>
      <c r="D41" s="557"/>
      <c r="E41" s="557"/>
      <c r="F41" s="589">
        <f t="shared" si="6"/>
        <v>35</v>
      </c>
      <c r="G41" s="568"/>
      <c r="H41" s="628" t="s">
        <v>61</v>
      </c>
      <c r="I41" s="634"/>
      <c r="J41" s="568"/>
      <c r="K41" s="568"/>
      <c r="L41" s="568"/>
      <c r="M41" s="568"/>
      <c r="N41" s="568"/>
      <c r="O41" s="557"/>
      <c r="P41" s="557"/>
      <c r="R41" s="777" t="s">
        <v>59</v>
      </c>
      <c r="S41" s="778"/>
      <c r="T41" s="779"/>
      <c r="U41" s="779"/>
      <c r="V41" s="780"/>
      <c r="X41" s="5"/>
      <c r="Y41" s="7"/>
      <c r="Z41" s="3"/>
      <c r="AA41" s="6"/>
      <c r="AC41" s="6"/>
      <c r="AD41" s="6"/>
      <c r="AE41" s="3"/>
      <c r="AF41" s="2"/>
      <c r="AH41" s="3"/>
    </row>
    <row r="42" spans="1:46" ht="15.75">
      <c r="A42" s="557"/>
      <c r="B42" s="557"/>
      <c r="C42" s="557"/>
      <c r="D42" s="557"/>
      <c r="E42" s="557"/>
      <c r="F42" s="589">
        <f t="shared" si="6"/>
        <v>36</v>
      </c>
      <c r="G42" s="568"/>
      <c r="H42" s="568"/>
      <c r="I42" s="568"/>
      <c r="J42" s="639" t="s">
        <v>48</v>
      </c>
      <c r="K42" s="640" t="s">
        <v>20</v>
      </c>
      <c r="L42" s="568"/>
      <c r="M42" s="568"/>
      <c r="N42" s="568"/>
      <c r="O42" s="557"/>
      <c r="P42" s="557"/>
      <c r="R42" s="641" t="s">
        <v>60</v>
      </c>
      <c r="S42" s="642"/>
      <c r="V42" s="643"/>
      <c r="X42" s="6"/>
      <c r="Y42" s="7"/>
      <c r="Z42" s="3"/>
      <c r="AA42" s="6"/>
      <c r="AC42" s="6"/>
      <c r="AD42" s="6"/>
      <c r="AE42" s="3"/>
      <c r="AH42" s="3"/>
    </row>
    <row r="43" spans="1:46" ht="15.75">
      <c r="A43" s="557"/>
      <c r="B43" s="557"/>
      <c r="C43" s="557"/>
      <c r="D43" s="557"/>
      <c r="E43" s="557"/>
      <c r="F43" s="589">
        <f t="shared" si="6"/>
        <v>37</v>
      </c>
      <c r="G43" s="568"/>
      <c r="H43" s="577" t="s">
        <v>62</v>
      </c>
      <c r="I43" s="644"/>
      <c r="J43" s="43">
        <f>IF($A$65=TRUE,C11,0)</f>
        <v>1.7500000000000002E-2</v>
      </c>
      <c r="K43" s="645">
        <f ca="1">+J43*($J$7/$J$49)</f>
        <v>-12166.678911531673</v>
      </c>
      <c r="L43" s="568"/>
      <c r="M43" s="568"/>
      <c r="N43" s="568"/>
      <c r="O43" s="557"/>
      <c r="P43" s="557"/>
      <c r="R43" s="590">
        <v>0</v>
      </c>
      <c r="S43" s="646">
        <v>1</v>
      </c>
      <c r="U43" s="647" t="s">
        <v>56</v>
      </c>
      <c r="V43" s="8">
        <f ca="1">VLOOKUP(R49,R36:AE39,12)</f>
        <v>7.4816318843789363E-3</v>
      </c>
      <c r="AA43" s="6"/>
      <c r="AC43" s="6"/>
      <c r="AH43" s="3"/>
      <c r="AL43" s="6"/>
      <c r="AM43" s="6"/>
      <c r="AN43" s="6"/>
      <c r="AO43" s="6"/>
      <c r="AP43" s="6"/>
      <c r="AQ43" s="6"/>
      <c r="AR43" s="6"/>
      <c r="AS43" s="6"/>
      <c r="AT43" s="6"/>
    </row>
    <row r="44" spans="1:46" ht="15.75">
      <c r="A44" s="557"/>
      <c r="B44" s="557"/>
      <c r="C44" s="557"/>
      <c r="D44" s="557"/>
      <c r="E44" s="557"/>
      <c r="F44" s="589">
        <f t="shared" si="6"/>
        <v>38</v>
      </c>
      <c r="G44" s="568"/>
      <c r="H44" s="577" t="s">
        <v>63</v>
      </c>
      <c r="I44" s="644"/>
      <c r="J44" s="43">
        <f t="shared" ref="J44:J46" si="13">IF($A$65=TRUE,C12,0)</f>
        <v>5.1000000000000004E-3</v>
      </c>
      <c r="K44" s="645">
        <f ca="1">+J44*($J$7/$J$49)</f>
        <v>-3545.7178542178021</v>
      </c>
      <c r="L44" s="568"/>
      <c r="M44" s="568"/>
      <c r="N44" s="568"/>
      <c r="O44" s="557"/>
      <c r="P44" s="557"/>
      <c r="R44" s="590">
        <v>50</v>
      </c>
      <c r="S44" s="646">
        <v>2</v>
      </c>
      <c r="U44" s="647" t="s">
        <v>31</v>
      </c>
      <c r="V44" s="8">
        <f ca="1">ROUND(1-V43,5)</f>
        <v>0.99251999999999996</v>
      </c>
      <c r="Y44" s="16"/>
      <c r="Z44" s="570"/>
      <c r="AA44" s="570"/>
      <c r="AC44" s="6"/>
      <c r="AF44" s="2"/>
      <c r="AH44" s="3"/>
      <c r="AL44" s="6"/>
      <c r="AM44" s="6"/>
      <c r="AN44" s="6"/>
      <c r="AO44" s="6"/>
      <c r="AP44" s="6"/>
      <c r="AQ44" s="6"/>
      <c r="AR44" s="6"/>
      <c r="AS44" s="6"/>
      <c r="AT44" s="6"/>
    </row>
    <row r="45" spans="1:46" ht="15.75">
      <c r="A45" s="557"/>
      <c r="B45" s="557"/>
      <c r="C45" s="557"/>
      <c r="D45" s="557"/>
      <c r="E45" s="557"/>
      <c r="F45" s="589">
        <f t="shared" si="6"/>
        <v>39</v>
      </c>
      <c r="G45" s="568"/>
      <c r="H45" s="577" t="s">
        <v>66</v>
      </c>
      <c r="I45" s="644"/>
      <c r="J45" s="43">
        <f t="shared" si="13"/>
        <v>0</v>
      </c>
      <c r="K45" s="645">
        <f ca="1">+J45*($J$7/$J$49)</f>
        <v>0</v>
      </c>
      <c r="L45" s="568"/>
      <c r="M45" s="568"/>
      <c r="N45" s="568"/>
      <c r="O45" s="557"/>
      <c r="P45" s="557"/>
      <c r="R45" s="590">
        <v>125</v>
      </c>
      <c r="S45" s="646">
        <v>3</v>
      </c>
      <c r="U45" s="67" t="s">
        <v>107</v>
      </c>
      <c r="V45" s="57">
        <f ca="1">+M7/Revenue-1</f>
        <v>-0.46779918129252351</v>
      </c>
      <c r="W45" s="4"/>
      <c r="X45" s="6"/>
      <c r="Y45" s="16"/>
      <c r="Z45" s="3"/>
      <c r="AA45" s="6"/>
      <c r="AC45" s="6"/>
      <c r="AD45" s="6"/>
      <c r="AE45" s="3"/>
      <c r="AF45" s="2"/>
      <c r="AH45" s="3"/>
      <c r="AL45" s="6"/>
      <c r="AM45" s="6"/>
      <c r="AN45" s="6"/>
      <c r="AO45" s="6"/>
      <c r="AP45" s="6"/>
      <c r="AQ45" s="6"/>
      <c r="AR45" s="6"/>
      <c r="AS45" s="6"/>
      <c r="AT45" s="6"/>
    </row>
    <row r="46" spans="1:46" ht="15.75">
      <c r="A46" s="557"/>
      <c r="B46" s="557"/>
      <c r="C46" s="557"/>
      <c r="D46" s="557"/>
      <c r="E46" s="557"/>
      <c r="F46" s="589">
        <f t="shared" si="6"/>
        <v>40</v>
      </c>
      <c r="G46" s="568"/>
      <c r="H46" s="577" t="s">
        <v>69</v>
      </c>
      <c r="I46" s="644"/>
      <c r="J46" s="43">
        <f t="shared" si="13"/>
        <v>0</v>
      </c>
      <c r="K46" s="645">
        <f ca="1">+J46*($J$7/$J$49)</f>
        <v>0</v>
      </c>
      <c r="L46" s="568"/>
      <c r="M46" s="568"/>
      <c r="N46" s="568"/>
      <c r="O46" s="557"/>
      <c r="P46" s="557"/>
      <c r="R46" s="593">
        <v>401</v>
      </c>
      <c r="S46" s="648">
        <v>4</v>
      </c>
      <c r="T46" s="649"/>
      <c r="U46" s="649"/>
      <c r="V46" s="650"/>
      <c r="X46" s="6"/>
      <c r="Y46" s="7"/>
      <c r="Z46" s="3"/>
      <c r="AA46" s="6"/>
      <c r="AC46" s="6"/>
      <c r="AD46" s="6"/>
      <c r="AE46" s="3"/>
      <c r="AF46" s="2"/>
      <c r="AH46" s="3"/>
      <c r="AL46" s="6"/>
      <c r="AM46" s="6"/>
      <c r="AN46" s="6"/>
      <c r="AO46" s="6"/>
      <c r="AP46" s="6"/>
      <c r="AQ46" s="6"/>
      <c r="AR46" s="6"/>
      <c r="AS46" s="6"/>
      <c r="AT46" s="6"/>
    </row>
    <row r="47" spans="1:46" ht="16.5" thickBot="1">
      <c r="A47" s="557"/>
      <c r="B47" s="557"/>
      <c r="C47" s="557"/>
      <c r="D47" s="557"/>
      <c r="E47" s="557"/>
      <c r="F47" s="589">
        <f t="shared" si="6"/>
        <v>41</v>
      </c>
      <c r="G47" s="568"/>
      <c r="H47" s="577" t="s">
        <v>71</v>
      </c>
      <c r="I47" s="632"/>
      <c r="J47" s="50">
        <f>SUM(J43:J46)</f>
        <v>2.2600000000000002E-2</v>
      </c>
      <c r="K47" s="49">
        <f ca="1">+K43+K44+K45+K46</f>
        <v>-15712.396765749476</v>
      </c>
      <c r="L47" s="568"/>
      <c r="M47" s="568"/>
      <c r="N47" s="568"/>
      <c r="O47" s="557"/>
      <c r="P47" s="557"/>
      <c r="R47" s="590"/>
      <c r="S47" s="570"/>
      <c r="X47" s="6"/>
      <c r="Y47" s="7"/>
      <c r="Z47" s="3"/>
      <c r="AA47" s="6"/>
      <c r="AC47" s="6"/>
      <c r="AD47" s="6"/>
      <c r="AE47" s="3"/>
      <c r="AF47" s="2"/>
      <c r="AH47" s="3"/>
      <c r="AL47" s="6"/>
      <c r="AM47" s="6"/>
      <c r="AN47" s="6"/>
      <c r="AO47" s="6"/>
      <c r="AP47" s="6"/>
      <c r="AQ47" s="6"/>
      <c r="AR47" s="6"/>
      <c r="AS47" s="6"/>
      <c r="AT47" s="6"/>
    </row>
    <row r="48" spans="1:46" ht="16.5" thickTop="1">
      <c r="A48" s="557"/>
      <c r="B48" s="557"/>
      <c r="C48" s="557"/>
      <c r="D48" s="557"/>
      <c r="E48" s="557"/>
      <c r="F48" s="589">
        <f t="shared" si="6"/>
        <v>42</v>
      </c>
      <c r="G48" s="568"/>
      <c r="H48" s="577"/>
      <c r="I48" s="632"/>
      <c r="J48" s="43"/>
      <c r="K48" s="20"/>
      <c r="L48" s="568"/>
      <c r="M48" s="568"/>
      <c r="N48" s="568"/>
      <c r="O48" s="557"/>
      <c r="P48" s="557"/>
      <c r="R48" s="781">
        <f ca="1">VLOOKUP(R49,R36:S39,2)</f>
        <v>9957.464850688224</v>
      </c>
      <c r="S48" s="782" t="s">
        <v>64</v>
      </c>
      <c r="T48" s="780"/>
      <c r="V48" s="779"/>
      <c r="X48" s="67" t="s">
        <v>65</v>
      </c>
      <c r="AC48" s="6"/>
      <c r="AF48" s="2"/>
      <c r="AH48" s="3"/>
    </row>
    <row r="49" spans="1:46" ht="15.75">
      <c r="A49" s="557"/>
      <c r="B49" s="557"/>
      <c r="C49" s="557"/>
      <c r="D49" s="557"/>
      <c r="E49" s="557"/>
      <c r="F49" s="589">
        <f t="shared" si="6"/>
        <v>43</v>
      </c>
      <c r="G49" s="572"/>
      <c r="H49" s="577" t="s">
        <v>73</v>
      </c>
      <c r="I49" s="568"/>
      <c r="J49" s="24">
        <f ca="1">((K35)-J47)</f>
        <v>0.96977026607365358</v>
      </c>
      <c r="K49" s="568"/>
      <c r="L49" s="568"/>
      <c r="M49" s="568"/>
      <c r="N49" s="568"/>
      <c r="O49" s="557"/>
      <c r="P49" s="557"/>
      <c r="R49" s="590">
        <f ca="1">VLOOKUP(S36,R43:S46,2)</f>
        <v>4</v>
      </c>
      <c r="S49" s="653" t="s">
        <v>67</v>
      </c>
      <c r="T49" s="643"/>
      <c r="X49" s="67" t="s">
        <v>68</v>
      </c>
      <c r="AA49" s="570"/>
      <c r="AC49" s="6"/>
      <c r="AH49" s="3"/>
    </row>
    <row r="50" spans="1:46">
      <c r="A50" s="557"/>
      <c r="B50" s="557"/>
      <c r="C50" s="557"/>
      <c r="D50" s="557"/>
      <c r="E50" s="557"/>
      <c r="F50" s="557"/>
      <c r="G50" s="557"/>
      <c r="H50" s="557"/>
      <c r="I50" s="557"/>
      <c r="J50" s="557"/>
      <c r="K50" s="654"/>
      <c r="L50" s="557"/>
      <c r="M50" s="557"/>
      <c r="N50" s="11"/>
      <c r="O50" s="557"/>
      <c r="P50" s="557"/>
      <c r="R50" s="590"/>
      <c r="T50" s="643"/>
      <c r="X50" s="67" t="s">
        <v>70</v>
      </c>
      <c r="AA50" s="6"/>
      <c r="AC50" s="6"/>
      <c r="AD50" s="6"/>
      <c r="AE50" s="3"/>
      <c r="AH50" s="3"/>
    </row>
    <row r="51" spans="1:46">
      <c r="A51" s="557"/>
      <c r="B51" s="557"/>
      <c r="C51" s="557"/>
      <c r="D51" s="557"/>
      <c r="E51" s="557"/>
      <c r="F51" s="557"/>
      <c r="G51" s="557"/>
      <c r="H51" s="557"/>
      <c r="I51" s="557"/>
      <c r="J51" s="557"/>
      <c r="K51" s="654"/>
      <c r="L51" s="557"/>
      <c r="M51" s="557"/>
      <c r="N51" s="11"/>
      <c r="O51" s="557"/>
      <c r="P51" s="557"/>
      <c r="R51" s="655">
        <f ca="1">+V44</f>
        <v>0.99251999999999996</v>
      </c>
      <c r="S51" s="649" t="s">
        <v>31</v>
      </c>
      <c r="T51" s="656"/>
      <c r="X51" s="67" t="s">
        <v>72</v>
      </c>
      <c r="AA51" s="6"/>
      <c r="AC51" s="6"/>
      <c r="AD51" s="6"/>
      <c r="AE51" s="3"/>
      <c r="AF51" s="6"/>
      <c r="AH51" s="3"/>
      <c r="AL51" s="6"/>
      <c r="AM51" s="6"/>
      <c r="AN51" s="6"/>
      <c r="AO51" s="6"/>
      <c r="AP51" s="6"/>
      <c r="AQ51" s="6"/>
      <c r="AR51" s="6"/>
      <c r="AS51" s="6"/>
      <c r="AT51" s="6"/>
    </row>
    <row r="52" spans="1:46">
      <c r="A52" s="557"/>
      <c r="B52" s="557"/>
      <c r="C52" s="557"/>
      <c r="D52" s="557"/>
      <c r="E52" s="557"/>
      <c r="F52" s="557"/>
      <c r="G52" s="557"/>
      <c r="H52" s="557"/>
      <c r="I52" s="557"/>
      <c r="J52" s="557"/>
      <c r="K52" s="557"/>
      <c r="L52" s="557"/>
      <c r="M52" s="557"/>
      <c r="N52" s="557"/>
      <c r="O52" s="557"/>
      <c r="P52" s="557"/>
      <c r="Z52" s="3"/>
      <c r="AA52" s="6"/>
      <c r="AC52" s="6"/>
      <c r="AD52" s="6"/>
      <c r="AE52" s="3"/>
      <c r="AF52" s="2"/>
      <c r="AH52" s="3"/>
      <c r="AL52" s="6"/>
      <c r="AM52" s="6"/>
      <c r="AN52" s="6"/>
      <c r="AO52" s="6"/>
      <c r="AP52" s="6"/>
      <c r="AQ52" s="6"/>
      <c r="AR52" s="6"/>
      <c r="AS52" s="6"/>
      <c r="AT52" s="6"/>
    </row>
    <row r="53" spans="1:46">
      <c r="A53" s="557"/>
      <c r="B53" s="557"/>
      <c r="C53" s="557"/>
      <c r="D53" s="557"/>
      <c r="E53" s="557"/>
      <c r="F53" s="557"/>
      <c r="G53" s="557"/>
      <c r="H53" s="557"/>
      <c r="I53" s="557"/>
      <c r="J53" s="657"/>
      <c r="K53" s="657"/>
      <c r="L53" s="657"/>
      <c r="M53" s="657"/>
      <c r="N53" s="557"/>
      <c r="O53" s="557"/>
      <c r="P53" s="557"/>
      <c r="R53" s="67"/>
      <c r="Z53" s="3"/>
      <c r="AA53" s="6"/>
      <c r="AC53" s="6"/>
      <c r="AD53" s="6"/>
      <c r="AE53" s="3"/>
      <c r="AF53" s="2"/>
      <c r="AH53" s="3"/>
      <c r="AL53" s="6"/>
      <c r="AM53" s="6"/>
      <c r="AN53" s="6"/>
      <c r="AO53" s="6"/>
      <c r="AP53" s="6"/>
      <c r="AQ53" s="6"/>
      <c r="AR53" s="6"/>
      <c r="AS53" s="6"/>
      <c r="AT53" s="6"/>
    </row>
    <row r="54" spans="1:46" ht="15.75">
      <c r="A54" s="557"/>
      <c r="B54" s="557"/>
      <c r="C54" s="557"/>
      <c r="D54" s="557"/>
      <c r="E54" s="557"/>
      <c r="F54" s="557"/>
      <c r="G54" s="557"/>
      <c r="H54" s="557"/>
      <c r="I54" s="557"/>
      <c r="J54" s="557"/>
      <c r="K54" s="657"/>
      <c r="L54" s="657"/>
      <c r="M54" s="657"/>
      <c r="N54" s="557"/>
      <c r="O54" s="557"/>
      <c r="P54" s="557"/>
      <c r="R54" s="67"/>
      <c r="S54" s="67" t="s">
        <v>74</v>
      </c>
      <c r="T54" s="6"/>
      <c r="U54" s="9"/>
      <c r="W54" s="658" t="s">
        <v>75</v>
      </c>
      <c r="X54" s="659"/>
      <c r="Y54" s="659"/>
      <c r="Z54" s="659"/>
      <c r="AC54" s="6"/>
      <c r="AF54" s="2"/>
      <c r="AH54" s="3"/>
      <c r="AL54" s="6"/>
      <c r="AM54" s="6"/>
      <c r="AN54" s="6"/>
      <c r="AO54" s="6"/>
      <c r="AP54" s="6"/>
      <c r="AQ54" s="6"/>
      <c r="AR54" s="6"/>
      <c r="AS54" s="6"/>
      <c r="AT54" s="6"/>
    </row>
    <row r="55" spans="1:46">
      <c r="A55" s="557"/>
      <c r="B55" s="557"/>
      <c r="C55" s="557"/>
      <c r="D55" s="557"/>
      <c r="E55" s="557"/>
      <c r="F55" s="557"/>
      <c r="G55" s="557"/>
      <c r="H55" s="557"/>
      <c r="I55" s="557"/>
      <c r="J55" s="557"/>
      <c r="K55" s="557"/>
      <c r="L55" s="660"/>
      <c r="M55" s="660"/>
      <c r="N55" s="557"/>
      <c r="O55" s="557"/>
      <c r="P55" s="557"/>
      <c r="R55" s="783"/>
      <c r="S55" s="784" t="s">
        <v>46</v>
      </c>
      <c r="T55" s="784" t="s">
        <v>76</v>
      </c>
      <c r="U55" s="785" t="s">
        <v>49</v>
      </c>
      <c r="W55" s="786" t="s">
        <v>77</v>
      </c>
      <c r="X55" s="787">
        <v>5.7225999999999999</v>
      </c>
      <c r="Y55" s="788" t="s">
        <v>78</v>
      </c>
      <c r="Z55" s="789">
        <v>5.6985000000000001</v>
      </c>
      <c r="AA55" s="570"/>
      <c r="AC55" s="6"/>
      <c r="AH55" s="3"/>
    </row>
    <row r="56" spans="1:46">
      <c r="A56" s="557"/>
      <c r="B56" s="557"/>
      <c r="C56" s="557"/>
      <c r="D56" s="557"/>
      <c r="E56" s="557"/>
      <c r="F56" s="557"/>
      <c r="G56" s="557"/>
      <c r="H56" s="557"/>
      <c r="I56" s="557"/>
      <c r="J56" s="660"/>
      <c r="K56" s="557"/>
      <c r="L56" s="660"/>
      <c r="M56" s="660"/>
      <c r="N56" s="557"/>
      <c r="O56" s="557"/>
      <c r="P56" s="557"/>
      <c r="R56" s="563" t="s">
        <v>29</v>
      </c>
      <c r="S56" s="668">
        <v>0.56200000000000006</v>
      </c>
      <c r="T56" s="668">
        <v>6.3799999999999996E-2</v>
      </c>
      <c r="U56" s="8">
        <f>ROUND(+S56*T56,5)</f>
        <v>3.5860000000000003E-2</v>
      </c>
      <c r="W56" s="669" t="s">
        <v>79</v>
      </c>
      <c r="X56" s="670">
        <v>5.7082699999999997</v>
      </c>
      <c r="Y56" s="671" t="s">
        <v>80</v>
      </c>
      <c r="Z56" s="17">
        <v>5.6921999999999997</v>
      </c>
      <c r="AA56" s="6"/>
      <c r="AC56" s="6"/>
      <c r="AD56" s="6"/>
      <c r="AE56" s="3"/>
      <c r="AH56" s="3"/>
    </row>
    <row r="57" spans="1:46">
      <c r="A57" s="557"/>
      <c r="B57" s="557"/>
      <c r="C57" s="557"/>
      <c r="D57" s="557"/>
      <c r="E57" s="657"/>
      <c r="F57" s="557"/>
      <c r="G57" s="557"/>
      <c r="H57" s="557"/>
      <c r="I57" s="557"/>
      <c r="J57" s="660"/>
      <c r="K57" s="557"/>
      <c r="L57" s="660"/>
      <c r="M57" s="660"/>
      <c r="N57" s="557"/>
      <c r="O57" s="557"/>
      <c r="P57" s="557"/>
      <c r="R57" s="563" t="s">
        <v>81</v>
      </c>
      <c r="S57" s="668">
        <v>9.4E-2</v>
      </c>
      <c r="T57" s="668">
        <v>6.59E-2</v>
      </c>
      <c r="U57" s="8">
        <f>ROUND(+S57*T57,5)</f>
        <v>6.1900000000000002E-3</v>
      </c>
      <c r="W57" s="563"/>
      <c r="Y57" s="672"/>
      <c r="Z57" s="14"/>
      <c r="AA57" s="6"/>
      <c r="AC57" s="6"/>
      <c r="AD57" s="6"/>
      <c r="AE57" s="3"/>
      <c r="AF57" s="2"/>
      <c r="AH57" s="3"/>
      <c r="AL57" s="6"/>
    </row>
    <row r="58" spans="1:46" ht="15.75">
      <c r="A58" s="557"/>
      <c r="B58" s="557"/>
      <c r="C58" s="557"/>
      <c r="D58" s="557"/>
      <c r="E58" s="657"/>
      <c r="F58" s="657"/>
      <c r="G58" s="657"/>
      <c r="H58" s="673"/>
      <c r="I58" s="657"/>
      <c r="J58" s="660"/>
      <c r="K58" s="557"/>
      <c r="L58" s="557"/>
      <c r="M58" s="557"/>
      <c r="N58" s="557"/>
      <c r="O58" s="557"/>
      <c r="P58" s="557"/>
      <c r="R58" s="563" t="s">
        <v>27</v>
      </c>
      <c r="S58" s="56">
        <v>0.34399999999999997</v>
      </c>
      <c r="T58" s="674"/>
      <c r="U58" s="31"/>
      <c r="W58" s="675"/>
      <c r="X58" s="676" t="s">
        <v>82</v>
      </c>
      <c r="Y58" s="18">
        <v>0.68367</v>
      </c>
      <c r="Z58" s="15"/>
      <c r="AA58" s="6"/>
      <c r="AC58" s="6"/>
      <c r="AD58" s="6"/>
      <c r="AE58" s="3"/>
      <c r="AF58" s="2"/>
      <c r="AH58" s="3"/>
    </row>
    <row r="59" spans="1:46" ht="15.75">
      <c r="A59" s="557"/>
      <c r="B59" s="557"/>
      <c r="C59" s="557"/>
      <c r="D59" s="557"/>
      <c r="E59" s="557"/>
      <c r="F59" s="557"/>
      <c r="G59" s="557"/>
      <c r="H59" s="557"/>
      <c r="I59" s="557"/>
      <c r="J59" s="557"/>
      <c r="K59" s="557"/>
      <c r="L59" s="557"/>
      <c r="M59" s="557"/>
      <c r="N59" s="557"/>
      <c r="O59" s="557"/>
      <c r="P59" s="557"/>
      <c r="R59" s="675"/>
      <c r="S59" s="56">
        <f>SUM(S56:S58)</f>
        <v>1</v>
      </c>
      <c r="T59" s="32"/>
      <c r="U59" s="33"/>
      <c r="X59" s="6"/>
      <c r="Y59" s="7"/>
      <c r="Z59" s="3"/>
      <c r="AA59" s="6"/>
      <c r="AC59" s="6"/>
      <c r="AD59" s="6"/>
      <c r="AE59" s="3"/>
      <c r="AF59" s="2"/>
      <c r="AH59" s="3"/>
    </row>
    <row r="60" spans="1:46">
      <c r="A60" s="557"/>
      <c r="B60" s="557"/>
      <c r="C60" s="557"/>
      <c r="D60" s="557"/>
      <c r="E60" s="557"/>
      <c r="F60" s="557"/>
      <c r="G60" s="557"/>
      <c r="H60" s="557"/>
      <c r="I60" s="557"/>
      <c r="J60" s="557"/>
      <c r="K60" s="557"/>
      <c r="L60" s="557"/>
      <c r="M60" s="557"/>
      <c r="N60" s="557"/>
      <c r="O60" s="557"/>
      <c r="P60" s="557"/>
      <c r="X60" s="13"/>
      <c r="AC60" s="6"/>
      <c r="AF60" s="2"/>
      <c r="AH60" s="3"/>
      <c r="AL60" s="2"/>
      <c r="AM60" s="2"/>
      <c r="AN60" s="2"/>
      <c r="AO60" s="2"/>
      <c r="AP60" s="2"/>
      <c r="AQ60" s="2"/>
      <c r="AR60" s="2"/>
      <c r="AS60" s="2"/>
      <c r="AT60" s="2"/>
    </row>
    <row r="61" spans="1:46">
      <c r="A61" s="557"/>
      <c r="B61" s="557"/>
      <c r="C61" s="557"/>
      <c r="D61" s="557"/>
      <c r="E61" s="657"/>
      <c r="F61" s="557"/>
      <c r="G61" s="557"/>
      <c r="H61" s="557"/>
      <c r="I61" s="557"/>
      <c r="J61" s="557"/>
      <c r="K61" s="557"/>
      <c r="L61" s="557"/>
      <c r="M61" s="557"/>
      <c r="N61" s="557"/>
      <c r="O61" s="557"/>
      <c r="P61" s="557"/>
      <c r="W61" s="783" t="s">
        <v>51</v>
      </c>
      <c r="X61" s="790"/>
      <c r="Y61" s="779" t="s">
        <v>52</v>
      </c>
      <c r="Z61" s="780" t="s">
        <v>17</v>
      </c>
      <c r="AC61" s="6"/>
      <c r="AH61" s="3"/>
      <c r="AL61" s="2"/>
      <c r="AM61" s="2"/>
      <c r="AN61" s="2"/>
      <c r="AO61" s="2"/>
      <c r="AP61" s="2"/>
      <c r="AQ61" s="2"/>
      <c r="AR61" s="2"/>
      <c r="AS61" s="2"/>
      <c r="AT61" s="2"/>
    </row>
    <row r="62" spans="1:46">
      <c r="A62" s="557"/>
      <c r="B62" s="557"/>
      <c r="C62" s="557"/>
      <c r="D62" s="557"/>
      <c r="E62" s="557"/>
      <c r="F62" s="657"/>
      <c r="G62" s="657"/>
      <c r="H62" s="657"/>
      <c r="I62" s="657"/>
      <c r="J62" s="657"/>
      <c r="K62" s="657"/>
      <c r="L62" s="657"/>
      <c r="M62" s="657"/>
      <c r="N62" s="657"/>
      <c r="O62" s="557"/>
      <c r="P62" s="557"/>
      <c r="W62" s="678"/>
      <c r="X62" s="679"/>
      <c r="Y62" s="679"/>
      <c r="Z62" s="680"/>
      <c r="AC62" s="6"/>
      <c r="AD62" s="6"/>
      <c r="AE62" s="3"/>
      <c r="AH62" s="3"/>
      <c r="AL62" s="2"/>
      <c r="AM62" s="2"/>
      <c r="AN62" s="2"/>
      <c r="AO62" s="2"/>
      <c r="AP62" s="2"/>
      <c r="AQ62" s="2"/>
      <c r="AR62" s="2"/>
      <c r="AS62" s="2"/>
      <c r="AT62" s="2"/>
    </row>
    <row r="63" spans="1:46">
      <c r="A63" s="557"/>
      <c r="B63" s="557"/>
      <c r="C63" s="557"/>
      <c r="D63" s="557"/>
      <c r="E63" s="557"/>
      <c r="F63" s="557"/>
      <c r="G63" s="557"/>
      <c r="H63" s="557"/>
      <c r="I63" s="557"/>
      <c r="J63" s="557"/>
      <c r="K63" s="557"/>
      <c r="L63" s="557"/>
      <c r="M63" s="557"/>
      <c r="N63" s="557"/>
      <c r="O63" s="557"/>
      <c r="P63" s="557"/>
      <c r="W63" s="563" t="s">
        <v>54</v>
      </c>
      <c r="X63" s="679"/>
      <c r="Y63" s="8">
        <f t="shared" ref="Y63:Z68" ca="1" si="14">+J33</f>
        <v>0.75972677009144052</v>
      </c>
      <c r="Z63" s="8">
        <f ca="1">+K33</f>
        <v>0.603535748372238</v>
      </c>
      <c r="AC63" s="6"/>
      <c r="AD63" s="6"/>
      <c r="AE63" s="3"/>
      <c r="AF63" s="2"/>
      <c r="AH63" s="3"/>
      <c r="AL63" s="2"/>
      <c r="AM63" s="2"/>
      <c r="AN63" s="2"/>
      <c r="AO63" s="2"/>
      <c r="AP63" s="2"/>
      <c r="AQ63" s="2"/>
      <c r="AR63" s="2"/>
      <c r="AS63" s="2"/>
      <c r="AT63" s="2"/>
    </row>
    <row r="64" spans="1:46">
      <c r="A64" s="557"/>
      <c r="B64" s="557"/>
      <c r="C64" s="557"/>
      <c r="D64" s="557"/>
      <c r="E64" s="557"/>
      <c r="F64" s="557"/>
      <c r="G64" s="557"/>
      <c r="H64" s="557"/>
      <c r="I64" s="557"/>
      <c r="J64" s="557"/>
      <c r="K64" s="557"/>
      <c r="L64" s="557"/>
      <c r="M64" s="557"/>
      <c r="N64" s="557"/>
      <c r="O64" s="557"/>
      <c r="P64" s="557"/>
      <c r="W64" s="563" t="s">
        <v>55</v>
      </c>
      <c r="X64" s="679"/>
      <c r="Y64" s="8">
        <f t="shared" ca="1" si="14"/>
        <v>1.2396112834857342</v>
      </c>
      <c r="Z64" s="8">
        <f t="shared" ca="1" si="14"/>
        <v>0.97929291395373008</v>
      </c>
      <c r="AC64" s="6"/>
      <c r="AD64" s="6"/>
      <c r="AE64" s="3"/>
      <c r="AF64" s="2"/>
      <c r="AH64" s="3"/>
    </row>
    <row r="65" spans="1:38">
      <c r="A65" s="67" t="b">
        <v>1</v>
      </c>
      <c r="F65" s="557"/>
      <c r="G65" s="557"/>
      <c r="H65" s="557"/>
      <c r="I65" s="557"/>
      <c r="J65" s="557"/>
      <c r="K65" s="557"/>
      <c r="L65" s="557"/>
      <c r="M65" s="557"/>
      <c r="N65" s="557"/>
      <c r="W65" s="563" t="s">
        <v>31</v>
      </c>
      <c r="X65" s="679"/>
      <c r="Y65" s="8">
        <f t="shared" ca="1" si="14"/>
        <v>0.99252000000000007</v>
      </c>
      <c r="Z65" s="8">
        <f t="shared" ca="1" si="14"/>
        <v>0.99237026607365353</v>
      </c>
      <c r="AC65" s="6"/>
      <c r="AD65" s="6"/>
      <c r="AE65" s="3"/>
      <c r="AF65" s="2"/>
      <c r="AH65" s="3"/>
    </row>
    <row r="66" spans="1:38">
      <c r="H66" s="2"/>
      <c r="I66" s="2"/>
      <c r="J66" s="2"/>
      <c r="K66" s="2"/>
      <c r="L66" s="2"/>
      <c r="M66" s="2"/>
      <c r="N66" s="2"/>
      <c r="O66" s="2"/>
      <c r="W66" s="563" t="s">
        <v>56</v>
      </c>
      <c r="X66" s="679"/>
      <c r="Y66" s="8">
        <f t="shared" ca="1" si="14"/>
        <v>7.4799999999999728E-3</v>
      </c>
      <c r="Z66" s="8">
        <f t="shared" ca="1" si="14"/>
        <v>7.4799999999999728E-3</v>
      </c>
      <c r="AC66" s="6"/>
      <c r="AF66" s="2"/>
      <c r="AH66" s="3"/>
      <c r="AL66" s="2"/>
    </row>
    <row r="67" spans="1:38">
      <c r="H67" s="2"/>
      <c r="I67" s="2"/>
      <c r="J67" s="2"/>
      <c r="K67" s="2"/>
      <c r="L67" s="2"/>
      <c r="M67" s="2"/>
      <c r="N67" s="2"/>
      <c r="O67" s="2"/>
      <c r="W67" s="563" t="s">
        <v>57</v>
      </c>
      <c r="X67" s="682"/>
      <c r="Y67" s="8">
        <f t="shared" ca="1" si="14"/>
        <v>99.574648506882241</v>
      </c>
      <c r="Z67" s="8">
        <f t="shared" ca="1" si="14"/>
        <v>99.574648506882241</v>
      </c>
      <c r="AC67" s="6"/>
      <c r="AH67" s="3"/>
    </row>
    <row r="68" spans="1:38">
      <c r="O68" s="2"/>
      <c r="W68" s="563" t="s">
        <v>58</v>
      </c>
      <c r="X68" s="579"/>
      <c r="Y68" s="8">
        <f t="shared" si="14"/>
        <v>0.21</v>
      </c>
      <c r="Z68" s="8">
        <f t="shared" si="14"/>
        <v>0.21</v>
      </c>
      <c r="AC68" s="6"/>
      <c r="AD68" s="6"/>
      <c r="AE68" s="3"/>
      <c r="AH68" s="3"/>
    </row>
    <row r="69" spans="1:38" ht="15.75">
      <c r="O69" s="2"/>
      <c r="W69" s="563"/>
      <c r="Y69" s="674"/>
      <c r="Z69" s="52"/>
      <c r="AC69" s="6"/>
      <c r="AD69" s="6"/>
      <c r="AE69" s="3"/>
      <c r="AF69" s="2"/>
      <c r="AH69" s="3"/>
    </row>
    <row r="70" spans="1:38">
      <c r="O70" s="2"/>
      <c r="W70" s="675"/>
      <c r="X70" s="53"/>
      <c r="Y70" s="54"/>
      <c r="Z70" s="55"/>
      <c r="AA70" s="6"/>
      <c r="AC70" s="6"/>
      <c r="AD70" s="6"/>
      <c r="AE70" s="3"/>
      <c r="AF70" s="2"/>
      <c r="AH70" s="3"/>
    </row>
    <row r="71" spans="1:38">
      <c r="X71" s="6"/>
      <c r="Y71" s="7"/>
      <c r="Z71" s="3"/>
      <c r="AA71" s="6"/>
      <c r="AC71" s="6"/>
      <c r="AD71" s="6"/>
      <c r="AE71" s="3"/>
      <c r="AF71" s="2"/>
      <c r="AH71" s="3"/>
    </row>
    <row r="72" spans="1:38">
      <c r="AC72" s="6"/>
      <c r="AF72" s="2"/>
      <c r="AH72" s="3"/>
    </row>
    <row r="73" spans="1:38">
      <c r="Y73" s="570"/>
      <c r="Z73" s="570"/>
      <c r="AA73" s="570"/>
      <c r="AC73" s="6"/>
      <c r="AH73" s="3"/>
    </row>
    <row r="74" spans="1:38">
      <c r="X74" s="6"/>
      <c r="Y74" s="7"/>
      <c r="Z74" s="3"/>
      <c r="AA74" s="6"/>
      <c r="AC74" s="6"/>
      <c r="AD74" s="6"/>
      <c r="AE74" s="3"/>
      <c r="AH74" s="3"/>
    </row>
    <row r="75" spans="1:38">
      <c r="X75" s="6"/>
      <c r="Y75" s="7"/>
      <c r="Z75" s="3"/>
      <c r="AA75" s="6"/>
      <c r="AC75" s="6"/>
      <c r="AD75" s="6"/>
      <c r="AE75" s="3"/>
      <c r="AF75" s="2"/>
      <c r="AH75" s="3"/>
    </row>
    <row r="76" spans="1:38">
      <c r="X76" s="6"/>
      <c r="Y76" s="7"/>
      <c r="Z76" s="3"/>
      <c r="AA76" s="6"/>
      <c r="AC76" s="6"/>
      <c r="AD76" s="6"/>
      <c r="AE76" s="3"/>
      <c r="AF76" s="2"/>
      <c r="AH76" s="3"/>
    </row>
    <row r="77" spans="1:38">
      <c r="X77" s="6"/>
      <c r="Y77" s="7"/>
      <c r="Z77" s="3"/>
      <c r="AA77" s="6"/>
      <c r="AC77" s="6"/>
      <c r="AD77" s="6"/>
      <c r="AE77" s="3"/>
      <c r="AF77" s="2"/>
      <c r="AH77" s="3"/>
    </row>
    <row r="78" spans="1:38">
      <c r="AC78" s="6"/>
      <c r="AF78" s="2"/>
      <c r="AH78" s="3"/>
    </row>
    <row r="80" spans="1:38">
      <c r="X80" s="6"/>
      <c r="Y80" s="7"/>
      <c r="Z80" s="3"/>
      <c r="AA80" s="6"/>
      <c r="AD80" s="6"/>
      <c r="AE80" s="3"/>
    </row>
    <row r="81" spans="24:32">
      <c r="X81" s="6"/>
      <c r="Y81" s="7"/>
      <c r="Z81" s="3"/>
      <c r="AA81" s="6"/>
      <c r="AD81" s="6"/>
      <c r="AE81" s="3"/>
      <c r="AF81" s="2"/>
    </row>
    <row r="82" spans="24:32">
      <c r="X82" s="6"/>
      <c r="Y82" s="7"/>
      <c r="Z82" s="3"/>
      <c r="AA82" s="6"/>
      <c r="AD82" s="6"/>
      <c r="AE82" s="3"/>
      <c r="AF82" s="2"/>
    </row>
    <row r="83" spans="24:32">
      <c r="X83" s="6"/>
      <c r="Y83" s="7"/>
      <c r="Z83" s="3"/>
      <c r="AA83" s="6"/>
      <c r="AD83" s="6"/>
      <c r="AE83" s="3"/>
      <c r="AF83" s="2"/>
    </row>
    <row r="84" spans="24:32">
      <c r="AF84" s="2"/>
    </row>
    <row r="86" spans="24:32">
      <c r="X86" s="6"/>
      <c r="Y86" s="7"/>
      <c r="Z86" s="3"/>
      <c r="AA86" s="6"/>
      <c r="AD86" s="6"/>
      <c r="AE86" s="3"/>
    </row>
    <row r="87" spans="24:32">
      <c r="X87" s="6"/>
      <c r="Y87" s="7"/>
      <c r="Z87" s="3"/>
      <c r="AA87" s="6"/>
      <c r="AD87" s="6"/>
      <c r="AE87" s="3"/>
      <c r="AF87" s="2"/>
    </row>
    <row r="88" spans="24:32">
      <c r="X88" s="6"/>
      <c r="Y88" s="7"/>
      <c r="Z88" s="3"/>
      <c r="AA88" s="6"/>
      <c r="AD88" s="6"/>
      <c r="AE88" s="3"/>
      <c r="AF88" s="2"/>
    </row>
    <row r="89" spans="24:32">
      <c r="X89" s="6"/>
      <c r="Y89" s="7"/>
      <c r="Z89" s="3"/>
      <c r="AA89" s="6"/>
      <c r="AD89" s="6"/>
      <c r="AE89" s="3"/>
      <c r="AF89" s="2"/>
    </row>
    <row r="90" spans="24:32">
      <c r="AF90" s="2"/>
    </row>
    <row r="92" spans="24:32">
      <c r="X92" s="6"/>
      <c r="Y92" s="7"/>
      <c r="Z92" s="3"/>
      <c r="AA92" s="6"/>
      <c r="AD92" s="6"/>
      <c r="AE92" s="3"/>
    </row>
    <row r="93" spans="24:32">
      <c r="X93" s="6"/>
      <c r="Y93" s="7"/>
      <c r="Z93" s="3"/>
      <c r="AA93" s="6"/>
      <c r="AD93" s="6"/>
      <c r="AE93" s="3"/>
      <c r="AF93" s="2"/>
    </row>
    <row r="94" spans="24:32">
      <c r="X94" s="6"/>
      <c r="Y94" s="7"/>
      <c r="Z94" s="3"/>
      <c r="AA94" s="6"/>
      <c r="AD94" s="6"/>
      <c r="AE94" s="3"/>
      <c r="AF94" s="2"/>
    </row>
    <row r="95" spans="24:32">
      <c r="X95" s="6"/>
      <c r="Y95" s="7"/>
      <c r="Z95" s="3"/>
      <c r="AA95" s="6"/>
      <c r="AD95" s="6"/>
      <c r="AE95" s="3"/>
      <c r="AF95" s="2"/>
    </row>
    <row r="96" spans="24:32">
      <c r="AF96" s="2"/>
    </row>
    <row r="98" spans="24:32">
      <c r="X98" s="6"/>
      <c r="Y98" s="7"/>
      <c r="Z98" s="3"/>
      <c r="AA98" s="6"/>
      <c r="AD98" s="6"/>
      <c r="AE98" s="3"/>
    </row>
    <row r="99" spans="24:32">
      <c r="X99" s="6"/>
      <c r="Y99" s="7"/>
      <c r="Z99" s="3"/>
      <c r="AA99" s="6"/>
      <c r="AD99" s="6"/>
      <c r="AE99" s="3"/>
      <c r="AF99" s="2"/>
    </row>
    <row r="100" spans="24:32">
      <c r="X100" s="6"/>
      <c r="Y100" s="7"/>
      <c r="Z100" s="3"/>
      <c r="AA100" s="6"/>
      <c r="AD100" s="6"/>
      <c r="AE100" s="3"/>
      <c r="AF100" s="2"/>
    </row>
    <row r="101" spans="24:32">
      <c r="X101" s="6"/>
      <c r="Y101" s="7"/>
      <c r="Z101" s="3"/>
      <c r="AA101" s="6"/>
      <c r="AD101" s="6"/>
      <c r="AE101" s="3"/>
      <c r="AF101" s="2"/>
    </row>
    <row r="102" spans="24:32">
      <c r="AF102" s="2"/>
    </row>
    <row r="104" spans="24:32">
      <c r="X104" s="6"/>
      <c r="Y104" s="7"/>
      <c r="Z104" s="3"/>
      <c r="AA104" s="6"/>
      <c r="AD104" s="6"/>
      <c r="AE104" s="3"/>
    </row>
    <row r="105" spans="24:32">
      <c r="X105" s="6"/>
      <c r="Y105" s="7"/>
      <c r="Z105" s="3"/>
      <c r="AA105" s="6"/>
      <c r="AD105" s="6"/>
      <c r="AE105" s="3"/>
      <c r="AF105" s="2"/>
    </row>
    <row r="106" spans="24:32">
      <c r="X106" s="6"/>
      <c r="Y106" s="7"/>
      <c r="Z106" s="3"/>
      <c r="AA106" s="6"/>
      <c r="AD106" s="6"/>
      <c r="AE106" s="3"/>
      <c r="AF106" s="2"/>
    </row>
    <row r="107" spans="24:32">
      <c r="X107" s="6"/>
      <c r="Y107" s="7"/>
      <c r="Z107" s="3"/>
      <c r="AA107" s="6"/>
      <c r="AD107" s="6"/>
      <c r="AE107" s="3"/>
      <c r="AF107" s="2"/>
    </row>
    <row r="108" spans="24:32">
      <c r="AF108" s="2"/>
    </row>
    <row r="110" spans="24:32">
      <c r="X110" s="6"/>
      <c r="Y110" s="7"/>
      <c r="Z110" s="3"/>
      <c r="AA110" s="6"/>
      <c r="AD110" s="6"/>
      <c r="AE110" s="3"/>
    </row>
    <row r="111" spans="24:32">
      <c r="X111" s="6"/>
      <c r="Y111" s="7"/>
      <c r="Z111" s="3"/>
      <c r="AA111" s="6"/>
      <c r="AD111" s="6"/>
      <c r="AE111" s="3"/>
    </row>
    <row r="112" spans="24:32">
      <c r="X112" s="6"/>
      <c r="Y112" s="7"/>
      <c r="Z112" s="3"/>
      <c r="AA112" s="6"/>
      <c r="AD112" s="6"/>
      <c r="AE112" s="3"/>
    </row>
    <row r="113" spans="24:31">
      <c r="X113" s="6"/>
      <c r="Y113" s="7"/>
      <c r="Z113" s="3"/>
      <c r="AA113" s="6"/>
      <c r="AD113" s="6"/>
      <c r="AE113" s="3"/>
    </row>
  </sheetData>
  <mergeCells count="6">
    <mergeCell ref="B18:C18"/>
    <mergeCell ref="B2:C2"/>
    <mergeCell ref="AF2:AI2"/>
    <mergeCell ref="B15:C15"/>
    <mergeCell ref="C16:D16"/>
    <mergeCell ref="B17:C17"/>
  </mergeCells>
  <pageMargins left="0.25" right="0.25" top="0.3" bottom="0.44" header="0.23" footer="0.21"/>
  <pageSetup scale="74" orientation="landscape" r:id="rId1"/>
  <headerFooter alignWithMargins="0">
    <oddFooter>&amp;L&amp;D  &amp;T&amp;R&amp;A</oddFooter>
  </headerFooter>
  <drawing r:id="rId2"/>
  <legacyDrawing r:id="rId3"/>
  <controls>
    <mc:AlternateContent xmlns:mc="http://schemas.openxmlformats.org/markup-compatibility/2006">
      <mc:Choice Requires="x14">
        <control shapeId="111617" r:id="rId4" name="CheckBox1">
          <controlPr defaultSize="0" autoFill="0" autoLine="0" linkedCell="A65" r:id="rId5">
            <anchor moveWithCells="1">
              <from>
                <xdr:col>2</xdr:col>
                <xdr:colOff>95250</xdr:colOff>
                <xdr:row>14</xdr:row>
                <xdr:rowOff>171450</xdr:rowOff>
              </from>
              <to>
                <xdr:col>2</xdr:col>
                <xdr:colOff>361950</xdr:colOff>
                <xdr:row>16</xdr:row>
                <xdr:rowOff>28575</xdr:rowOff>
              </to>
            </anchor>
          </controlPr>
        </control>
      </mc:Choice>
      <mc:Fallback>
        <control shapeId="111617" r:id="rId4" name="Check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2CBD6-0FAC-44DC-99F4-4599DF83B064}">
  <sheetPr codeName="Sheet1"/>
  <dimension ref="A1:K92"/>
  <sheetViews>
    <sheetView topLeftCell="A72" zoomScaleNormal="100" workbookViewId="0">
      <selection activeCell="K92" sqref="K92"/>
    </sheetView>
  </sheetViews>
  <sheetFormatPr defaultRowHeight="15" outlineLevelRow="5"/>
  <cols>
    <col min="1" max="5" width="2.33203125" style="801" customWidth="1"/>
    <col min="6" max="6" width="25.77734375" style="801" customWidth="1"/>
    <col min="7" max="7" width="10.33203125" style="796" bestFit="1" customWidth="1"/>
    <col min="8" max="8" width="12.21875" style="796" customWidth="1"/>
    <col min="9" max="9" width="10.33203125" style="796" customWidth="1"/>
    <col min="10" max="16384" width="8.88671875" style="796"/>
  </cols>
  <sheetData>
    <row r="1" spans="1:9" s="793" customFormat="1" ht="15.75" thickBot="1">
      <c r="A1" s="791"/>
      <c r="B1" s="791"/>
      <c r="C1" s="791"/>
      <c r="D1" s="791"/>
      <c r="E1" s="791"/>
      <c r="F1" s="791"/>
      <c r="G1" s="792" t="s">
        <v>1596</v>
      </c>
      <c r="H1" s="793" t="s">
        <v>1675</v>
      </c>
    </row>
    <row r="2" spans="1:9" ht="15.75" outlineLevel="1" thickTop="1">
      <c r="A2" s="794" t="s">
        <v>1597</v>
      </c>
      <c r="B2" s="794"/>
      <c r="C2" s="794"/>
      <c r="D2" s="794"/>
      <c r="E2" s="794"/>
      <c r="F2" s="794"/>
      <c r="G2" s="795"/>
    </row>
    <row r="3" spans="1:9" outlineLevel="2">
      <c r="A3" s="794"/>
      <c r="B3" s="794" t="s">
        <v>1598</v>
      </c>
      <c r="C3" s="794"/>
      <c r="D3" s="794"/>
      <c r="E3" s="794"/>
      <c r="F3" s="794"/>
      <c r="G3" s="795"/>
    </row>
    <row r="4" spans="1:9" outlineLevel="3">
      <c r="A4" s="794"/>
      <c r="B4" s="794"/>
      <c r="C4" s="794" t="s">
        <v>1599</v>
      </c>
      <c r="D4" s="794"/>
      <c r="E4" s="794"/>
      <c r="F4" s="794"/>
      <c r="G4" s="795"/>
    </row>
    <row r="5" spans="1:9" outlineLevel="4">
      <c r="A5" s="794"/>
      <c r="B5" s="794"/>
      <c r="C5" s="794"/>
      <c r="D5" s="794" t="s">
        <v>1600</v>
      </c>
      <c r="E5" s="794"/>
      <c r="F5" s="794"/>
      <c r="G5" s="795"/>
    </row>
    <row r="6" spans="1:9" outlineLevel="4">
      <c r="A6" s="794"/>
      <c r="B6" s="794"/>
      <c r="C6" s="794"/>
      <c r="D6" s="794"/>
      <c r="E6" s="794" t="s">
        <v>840</v>
      </c>
      <c r="F6" s="794"/>
      <c r="G6" s="795">
        <v>574936.25</v>
      </c>
      <c r="I6" s="808">
        <f t="shared" ref="I6:I57" si="0">+H6+G6</f>
        <v>574936.25</v>
      </c>
    </row>
    <row r="7" spans="1:9" outlineLevel="4">
      <c r="A7" s="794"/>
      <c r="B7" s="794"/>
      <c r="C7" s="794"/>
      <c r="D7" s="794"/>
      <c r="E7" s="794" t="s">
        <v>1601</v>
      </c>
      <c r="F7" s="794"/>
      <c r="G7" s="795">
        <v>-1439.5</v>
      </c>
      <c r="I7" s="808">
        <f t="shared" si="0"/>
        <v>-1439.5</v>
      </c>
    </row>
    <row r="8" spans="1:9" outlineLevel="4">
      <c r="A8" s="794"/>
      <c r="B8" s="794"/>
      <c r="C8" s="794"/>
      <c r="D8" s="794"/>
      <c r="E8" s="794" t="s">
        <v>1602</v>
      </c>
      <c r="F8" s="794"/>
      <c r="G8" s="795">
        <v>2000</v>
      </c>
      <c r="I8" s="808">
        <f t="shared" si="0"/>
        <v>2000</v>
      </c>
    </row>
    <row r="9" spans="1:9" outlineLevel="4">
      <c r="A9" s="794"/>
      <c r="B9" s="794"/>
      <c r="C9" s="794"/>
      <c r="D9" s="794"/>
      <c r="E9" s="794" t="s">
        <v>1434</v>
      </c>
      <c r="F9" s="794"/>
      <c r="G9" s="795">
        <v>2075.4499999999998</v>
      </c>
      <c r="I9" s="808">
        <f t="shared" si="0"/>
        <v>2075.4499999999998</v>
      </c>
    </row>
    <row r="10" spans="1:9" ht="15.75" outlineLevel="4" thickBot="1">
      <c r="A10" s="794"/>
      <c r="B10" s="794"/>
      <c r="C10" s="794"/>
      <c r="D10" s="794"/>
      <c r="E10" s="794" t="s">
        <v>1603</v>
      </c>
      <c r="F10" s="794"/>
      <c r="G10" s="795">
        <v>158408.97</v>
      </c>
      <c r="I10" s="809">
        <f t="shared" si="0"/>
        <v>158408.97</v>
      </c>
    </row>
    <row r="11" spans="1:9" ht="15.75" outlineLevel="3" thickBot="1">
      <c r="A11" s="794"/>
      <c r="B11" s="794"/>
      <c r="C11" s="794"/>
      <c r="D11" s="794" t="s">
        <v>1604</v>
      </c>
      <c r="E11" s="794"/>
      <c r="F11" s="794"/>
      <c r="G11" s="797">
        <f>ROUND(SUM(G5:G10),5)</f>
        <v>735981.17</v>
      </c>
      <c r="I11" s="810">
        <f t="shared" si="0"/>
        <v>735981.17</v>
      </c>
    </row>
    <row r="12" spans="1:9" outlineLevel="2">
      <c r="A12" s="794"/>
      <c r="B12" s="794"/>
      <c r="C12" s="794" t="s">
        <v>1605</v>
      </c>
      <c r="D12" s="794"/>
      <c r="E12" s="794"/>
      <c r="F12" s="794"/>
      <c r="G12" s="795">
        <f>ROUND(G4+G11,5)</f>
        <v>735981.17</v>
      </c>
      <c r="I12" s="808">
        <f t="shared" si="0"/>
        <v>735981.17</v>
      </c>
    </row>
    <row r="13" spans="1:9" outlineLevel="3">
      <c r="A13" s="794"/>
      <c r="B13" s="794"/>
      <c r="C13" s="794" t="s">
        <v>1606</v>
      </c>
      <c r="D13" s="794"/>
      <c r="E13" s="794"/>
      <c r="F13" s="794"/>
      <c r="G13" s="795"/>
      <c r="I13" s="808">
        <f t="shared" si="0"/>
        <v>0</v>
      </c>
    </row>
    <row r="14" spans="1:9" ht="15.75" outlineLevel="3" thickBot="1">
      <c r="A14" s="794"/>
      <c r="B14" s="794"/>
      <c r="C14" s="794"/>
      <c r="D14" s="794" t="s">
        <v>1607</v>
      </c>
      <c r="E14" s="794"/>
      <c r="F14" s="794"/>
      <c r="G14" s="798">
        <v>930164</v>
      </c>
      <c r="I14" s="809">
        <f t="shared" si="0"/>
        <v>930164</v>
      </c>
    </row>
    <row r="15" spans="1:9" outlineLevel="2">
      <c r="A15" s="794"/>
      <c r="B15" s="794"/>
      <c r="C15" s="794" t="s">
        <v>1608</v>
      </c>
      <c r="D15" s="794"/>
      <c r="E15" s="794"/>
      <c r="F15" s="794"/>
      <c r="G15" s="795">
        <f>ROUND(SUM(G13:G14),5)</f>
        <v>930164</v>
      </c>
      <c r="I15" s="808">
        <f t="shared" si="0"/>
        <v>930164</v>
      </c>
    </row>
    <row r="16" spans="1:9" outlineLevel="3">
      <c r="A16" s="794"/>
      <c r="B16" s="794"/>
      <c r="C16" s="794" t="s">
        <v>1609</v>
      </c>
      <c r="D16" s="794"/>
      <c r="E16" s="794"/>
      <c r="F16" s="794"/>
      <c r="G16" s="795"/>
      <c r="I16" s="808">
        <f t="shared" si="0"/>
        <v>0</v>
      </c>
    </row>
    <row r="17" spans="1:9" outlineLevel="3">
      <c r="A17" s="794"/>
      <c r="B17" s="794"/>
      <c r="C17" s="794"/>
      <c r="D17" s="794" t="s">
        <v>1610</v>
      </c>
      <c r="E17" s="794"/>
      <c r="F17" s="794"/>
      <c r="G17" s="795">
        <v>11326.3</v>
      </c>
      <c r="I17" s="808">
        <f t="shared" si="0"/>
        <v>11326.3</v>
      </c>
    </row>
    <row r="18" spans="1:9" outlineLevel="3">
      <c r="A18" s="794"/>
      <c r="B18" s="794"/>
      <c r="C18" s="794"/>
      <c r="D18" s="794" t="s">
        <v>1611</v>
      </c>
      <c r="E18" s="794"/>
      <c r="F18" s="794"/>
      <c r="G18" s="795">
        <v>93641.77</v>
      </c>
      <c r="I18" s="808">
        <f t="shared" si="0"/>
        <v>93641.77</v>
      </c>
    </row>
    <row r="19" spans="1:9" outlineLevel="3">
      <c r="A19" s="794"/>
      <c r="B19" s="794"/>
      <c r="C19" s="794"/>
      <c r="D19" s="794" t="s">
        <v>1612</v>
      </c>
      <c r="E19" s="794"/>
      <c r="F19" s="794"/>
      <c r="G19" s="795">
        <v>-4757</v>
      </c>
      <c r="I19" s="808">
        <f t="shared" si="0"/>
        <v>-4757</v>
      </c>
    </row>
    <row r="20" spans="1:9" outlineLevel="3">
      <c r="A20" s="794"/>
      <c r="B20" s="794"/>
      <c r="C20" s="794"/>
      <c r="D20" s="794" t="s">
        <v>1613</v>
      </c>
      <c r="E20" s="794"/>
      <c r="F20" s="794"/>
      <c r="G20" s="795">
        <v>48824.9</v>
      </c>
      <c r="I20" s="808">
        <f t="shared" si="0"/>
        <v>48824.9</v>
      </c>
    </row>
    <row r="21" spans="1:9" outlineLevel="3">
      <c r="A21" s="794"/>
      <c r="B21" s="794"/>
      <c r="C21" s="794"/>
      <c r="D21" s="794" t="s">
        <v>1614</v>
      </c>
      <c r="E21" s="794"/>
      <c r="F21" s="794"/>
      <c r="G21" s="795">
        <v>-14926.98</v>
      </c>
      <c r="I21" s="808">
        <f t="shared" si="0"/>
        <v>-14926.98</v>
      </c>
    </row>
    <row r="22" spans="1:9" outlineLevel="3">
      <c r="A22" s="794"/>
      <c r="B22" s="794"/>
      <c r="C22" s="794"/>
      <c r="D22" s="794" t="s">
        <v>1615</v>
      </c>
      <c r="E22" s="794"/>
      <c r="F22" s="794"/>
      <c r="G22" s="795">
        <v>-19535.96</v>
      </c>
      <c r="I22" s="808">
        <f t="shared" si="0"/>
        <v>-19535.96</v>
      </c>
    </row>
    <row r="23" spans="1:9" outlineLevel="3">
      <c r="A23" s="794"/>
      <c r="B23" s="794"/>
      <c r="C23" s="794"/>
      <c r="D23" s="794" t="s">
        <v>1616</v>
      </c>
      <c r="E23" s="794"/>
      <c r="F23" s="794"/>
      <c r="G23" s="795">
        <v>10097.48</v>
      </c>
      <c r="I23" s="808">
        <f t="shared" si="0"/>
        <v>10097.48</v>
      </c>
    </row>
    <row r="24" spans="1:9" outlineLevel="3">
      <c r="A24" s="794"/>
      <c r="B24" s="794"/>
      <c r="C24" s="794"/>
      <c r="D24" s="794" t="s">
        <v>1617</v>
      </c>
      <c r="E24" s="794"/>
      <c r="F24" s="794"/>
      <c r="G24" s="795">
        <v>700</v>
      </c>
      <c r="I24" s="808">
        <f t="shared" si="0"/>
        <v>700</v>
      </c>
    </row>
    <row r="25" spans="1:9" outlineLevel="4">
      <c r="A25" s="794"/>
      <c r="B25" s="794"/>
      <c r="C25" s="794"/>
      <c r="D25" s="794" t="s">
        <v>1618</v>
      </c>
      <c r="E25" s="794"/>
      <c r="F25" s="794"/>
      <c r="G25" s="795"/>
      <c r="I25" s="808">
        <f t="shared" si="0"/>
        <v>0</v>
      </c>
    </row>
    <row r="26" spans="1:9" outlineLevel="4">
      <c r="A26" s="794"/>
      <c r="B26" s="794"/>
      <c r="C26" s="794"/>
      <c r="D26" s="794"/>
      <c r="E26" s="794" t="s">
        <v>1619</v>
      </c>
      <c r="F26" s="794"/>
      <c r="G26" s="795">
        <v>64263.3</v>
      </c>
      <c r="I26" s="808">
        <f t="shared" si="0"/>
        <v>64263.3</v>
      </c>
    </row>
    <row r="27" spans="1:9" ht="15.75" outlineLevel="4" thickBot="1">
      <c r="A27" s="794"/>
      <c r="B27" s="794"/>
      <c r="C27" s="794"/>
      <c r="D27" s="794"/>
      <c r="E27" s="794" t="s">
        <v>1620</v>
      </c>
      <c r="F27" s="794"/>
      <c r="G27" s="795">
        <v>-3143.13</v>
      </c>
      <c r="I27" s="809">
        <f t="shared" si="0"/>
        <v>-3143.13</v>
      </c>
    </row>
    <row r="28" spans="1:9" ht="15.75" outlineLevel="3" thickBot="1">
      <c r="A28" s="794"/>
      <c r="B28" s="794"/>
      <c r="C28" s="794"/>
      <c r="D28" s="794" t="s">
        <v>1621</v>
      </c>
      <c r="E28" s="794"/>
      <c r="F28" s="794"/>
      <c r="G28" s="799">
        <f>ROUND(SUM(G25:G27),5)</f>
        <v>61120.17</v>
      </c>
      <c r="I28" s="810">
        <f t="shared" si="0"/>
        <v>61120.17</v>
      </c>
    </row>
    <row r="29" spans="1:9" ht="15.75" outlineLevel="2" thickBot="1">
      <c r="A29" s="794"/>
      <c r="B29" s="794"/>
      <c r="C29" s="794" t="s">
        <v>1622</v>
      </c>
      <c r="D29" s="794"/>
      <c r="E29" s="794"/>
      <c r="F29" s="794"/>
      <c r="G29" s="797">
        <f>ROUND(SUM(G16:G24)+G28,5)</f>
        <v>186490.68</v>
      </c>
      <c r="I29" s="810">
        <f t="shared" si="0"/>
        <v>186490.68</v>
      </c>
    </row>
    <row r="30" spans="1:9" outlineLevel="1">
      <c r="A30" s="794"/>
      <c r="B30" s="794" t="s">
        <v>1623</v>
      </c>
      <c r="C30" s="794"/>
      <c r="D30" s="794"/>
      <c r="E30" s="794"/>
      <c r="F30" s="794"/>
      <c r="G30" s="795">
        <f>ROUND(G3+G12+G15+G29,5)</f>
        <v>1852635.85</v>
      </c>
      <c r="I30" s="808">
        <f t="shared" si="0"/>
        <v>1852635.85</v>
      </c>
    </row>
    <row r="31" spans="1:9" outlineLevel="2">
      <c r="A31" s="794"/>
      <c r="B31" s="794" t="s">
        <v>1624</v>
      </c>
      <c r="C31" s="794"/>
      <c r="D31" s="794"/>
      <c r="E31" s="794"/>
      <c r="F31" s="794"/>
      <c r="G31" s="795"/>
      <c r="I31" s="808">
        <f t="shared" si="0"/>
        <v>0</v>
      </c>
    </row>
    <row r="32" spans="1:9" outlineLevel="3">
      <c r="A32" s="794"/>
      <c r="B32" s="794"/>
      <c r="C32" s="794" t="s">
        <v>1625</v>
      </c>
      <c r="D32" s="794"/>
      <c r="E32" s="794"/>
      <c r="F32" s="794"/>
      <c r="G32" s="795"/>
      <c r="I32" s="808">
        <f t="shared" si="0"/>
        <v>0</v>
      </c>
    </row>
    <row r="33" spans="1:9" outlineLevel="3">
      <c r="A33" s="794"/>
      <c r="B33" s="794"/>
      <c r="C33" s="794"/>
      <c r="D33" s="794" t="s">
        <v>1626</v>
      </c>
      <c r="E33" s="794"/>
      <c r="F33" s="794"/>
      <c r="G33" s="795">
        <v>6004896.4199999999</v>
      </c>
      <c r="I33" s="808">
        <f t="shared" si="0"/>
        <v>6004896.4199999999</v>
      </c>
    </row>
    <row r="34" spans="1:9" outlineLevel="3">
      <c r="A34" s="794"/>
      <c r="B34" s="794"/>
      <c r="C34" s="794"/>
      <c r="D34" s="794" t="s">
        <v>1627</v>
      </c>
      <c r="E34" s="794"/>
      <c r="F34" s="794"/>
      <c r="G34" s="795">
        <v>161579.68</v>
      </c>
      <c r="I34" s="808">
        <f t="shared" si="0"/>
        <v>161579.68</v>
      </c>
    </row>
    <row r="35" spans="1:9" outlineLevel="3">
      <c r="A35" s="794"/>
      <c r="B35" s="794"/>
      <c r="C35" s="794"/>
      <c r="D35" s="794" t="s">
        <v>1628</v>
      </c>
      <c r="E35" s="794"/>
      <c r="F35" s="794"/>
      <c r="G35" s="795">
        <v>59862.49</v>
      </c>
      <c r="I35" s="808">
        <f t="shared" si="0"/>
        <v>59862.49</v>
      </c>
    </row>
    <row r="36" spans="1:9" outlineLevel="3">
      <c r="A36" s="794"/>
      <c r="B36" s="794"/>
      <c r="C36" s="794"/>
      <c r="D36" s="794" t="s">
        <v>1629</v>
      </c>
      <c r="E36" s="794"/>
      <c r="F36" s="794"/>
      <c r="G36" s="795">
        <v>71354.880000000005</v>
      </c>
      <c r="I36" s="808">
        <f t="shared" si="0"/>
        <v>71354.880000000005</v>
      </c>
    </row>
    <row r="37" spans="1:9" outlineLevel="3">
      <c r="A37" s="794"/>
      <c r="B37" s="794"/>
      <c r="C37" s="794"/>
      <c r="D37" s="794" t="s">
        <v>1630</v>
      </c>
      <c r="E37" s="794"/>
      <c r="F37" s="794"/>
      <c r="G37" s="795">
        <v>3744.18</v>
      </c>
      <c r="I37" s="808">
        <f t="shared" si="0"/>
        <v>3744.18</v>
      </c>
    </row>
    <row r="38" spans="1:9" outlineLevel="3">
      <c r="A38" s="794"/>
      <c r="B38" s="794"/>
      <c r="C38" s="794"/>
      <c r="D38" s="794" t="s">
        <v>1631</v>
      </c>
      <c r="E38" s="794"/>
      <c r="F38" s="794"/>
      <c r="G38" s="795">
        <v>151871</v>
      </c>
      <c r="I38" s="808">
        <f t="shared" si="0"/>
        <v>151871</v>
      </c>
    </row>
    <row r="39" spans="1:9" ht="15.75" outlineLevel="3" thickBot="1">
      <c r="A39" s="794"/>
      <c r="B39" s="794"/>
      <c r="C39" s="794"/>
      <c r="D39" s="794" t="s">
        <v>1632</v>
      </c>
      <c r="E39" s="794"/>
      <c r="F39" s="794"/>
      <c r="G39" s="798">
        <v>3866166.75</v>
      </c>
      <c r="I39" s="809">
        <f t="shared" si="0"/>
        <v>3866166.75</v>
      </c>
    </row>
    <row r="40" spans="1:9" outlineLevel="2">
      <c r="A40" s="794"/>
      <c r="B40" s="794"/>
      <c r="C40" s="794" t="s">
        <v>1633</v>
      </c>
      <c r="D40" s="794"/>
      <c r="E40" s="794"/>
      <c r="F40" s="794"/>
      <c r="G40" s="795">
        <f>ROUND(SUM(G32:G39),5)</f>
        <v>10319475.4</v>
      </c>
      <c r="I40" s="808">
        <f t="shared" si="0"/>
        <v>10319475.4</v>
      </c>
    </row>
    <row r="41" spans="1:9" outlineLevel="3">
      <c r="A41" s="794"/>
      <c r="B41" s="794"/>
      <c r="C41" s="794" t="s">
        <v>1634</v>
      </c>
      <c r="D41" s="794"/>
      <c r="E41" s="794"/>
      <c r="F41" s="794"/>
      <c r="G41" s="795"/>
      <c r="I41" s="808">
        <f t="shared" si="0"/>
        <v>0</v>
      </c>
    </row>
    <row r="42" spans="1:9" outlineLevel="3">
      <c r="A42" s="794"/>
      <c r="B42" s="794"/>
      <c r="C42" s="794"/>
      <c r="D42" s="794" t="s">
        <v>1635</v>
      </c>
      <c r="E42" s="794"/>
      <c r="F42" s="794"/>
      <c r="G42" s="795">
        <v>-4993519.3600000003</v>
      </c>
      <c r="I42" s="808">
        <f t="shared" si="0"/>
        <v>-4993519.3600000003</v>
      </c>
    </row>
    <row r="43" spans="1:9" outlineLevel="3">
      <c r="A43" s="794"/>
      <c r="B43" s="794"/>
      <c r="C43" s="794"/>
      <c r="D43" s="794" t="s">
        <v>1636</v>
      </c>
      <c r="E43" s="794"/>
      <c r="F43" s="794"/>
      <c r="G43" s="795">
        <v>-161579.68</v>
      </c>
      <c r="I43" s="808">
        <f t="shared" si="0"/>
        <v>-161579.68</v>
      </c>
    </row>
    <row r="44" spans="1:9" outlineLevel="3">
      <c r="A44" s="794"/>
      <c r="B44" s="794"/>
      <c r="C44" s="794"/>
      <c r="D44" s="794" t="s">
        <v>1637</v>
      </c>
      <c r="E44" s="794"/>
      <c r="F44" s="794"/>
      <c r="G44" s="795">
        <v>-59862.55</v>
      </c>
      <c r="I44" s="808">
        <f t="shared" si="0"/>
        <v>-59862.55</v>
      </c>
    </row>
    <row r="45" spans="1:9" outlineLevel="3">
      <c r="A45" s="794"/>
      <c r="B45" s="794"/>
      <c r="C45" s="794"/>
      <c r="D45" s="794" t="s">
        <v>1638</v>
      </c>
      <c r="E45" s="794"/>
      <c r="F45" s="794"/>
      <c r="G45" s="795">
        <v>-56523.05</v>
      </c>
      <c r="I45" s="808">
        <f t="shared" si="0"/>
        <v>-56523.05</v>
      </c>
    </row>
    <row r="46" spans="1:9" outlineLevel="3">
      <c r="A46" s="794"/>
      <c r="B46" s="794"/>
      <c r="C46" s="794"/>
      <c r="D46" s="794" t="s">
        <v>1639</v>
      </c>
      <c r="E46" s="794"/>
      <c r="F46" s="794"/>
      <c r="G46" s="795">
        <v>-811.24</v>
      </c>
      <c r="I46" s="808">
        <f t="shared" si="0"/>
        <v>-811.24</v>
      </c>
    </row>
    <row r="47" spans="1:9" outlineLevel="3">
      <c r="A47" s="794"/>
      <c r="B47" s="794"/>
      <c r="C47" s="794"/>
      <c r="D47" s="794" t="s">
        <v>1676</v>
      </c>
      <c r="E47" s="794"/>
      <c r="F47" s="794"/>
      <c r="G47" s="795">
        <v>-148489.99</v>
      </c>
      <c r="I47" s="808">
        <f t="shared" si="0"/>
        <v>-148489.99</v>
      </c>
    </row>
    <row r="48" spans="1:9" ht="15.75" outlineLevel="3" thickBot="1">
      <c r="A48" s="794"/>
      <c r="B48" s="794"/>
      <c r="C48" s="794"/>
      <c r="D48" s="794" t="s">
        <v>1640</v>
      </c>
      <c r="E48" s="794"/>
      <c r="F48" s="794"/>
      <c r="G48" s="798">
        <v>-3462513.74</v>
      </c>
      <c r="I48" s="809">
        <f t="shared" si="0"/>
        <v>-3462513.74</v>
      </c>
    </row>
    <row r="49" spans="1:9" outlineLevel="2">
      <c r="A49" s="794"/>
      <c r="B49" s="794"/>
      <c r="C49" s="794" t="s">
        <v>1641</v>
      </c>
      <c r="D49" s="794"/>
      <c r="E49" s="794"/>
      <c r="F49" s="794"/>
      <c r="G49" s="795">
        <f>ROUND(SUM(G41:G48),5)</f>
        <v>-8883299.6099999994</v>
      </c>
      <c r="I49" s="808">
        <f t="shared" si="0"/>
        <v>-8883299.6099999994</v>
      </c>
    </row>
    <row r="50" spans="1:9" outlineLevel="2">
      <c r="A50" s="794"/>
      <c r="B50" s="794"/>
      <c r="C50" s="794" t="s">
        <v>1677</v>
      </c>
      <c r="D50" s="794"/>
      <c r="E50" s="794"/>
      <c r="F50" s="794"/>
      <c r="G50" s="795">
        <v>-10171.89</v>
      </c>
      <c r="I50" s="808">
        <f t="shared" si="0"/>
        <v>-10171.89</v>
      </c>
    </row>
    <row r="51" spans="1:9" ht="15.75" outlineLevel="2" thickBot="1">
      <c r="A51" s="794"/>
      <c r="B51" s="794"/>
      <c r="C51" s="794" t="s">
        <v>1678</v>
      </c>
      <c r="D51" s="794"/>
      <c r="E51" s="794"/>
      <c r="F51" s="794"/>
      <c r="G51" s="798">
        <v>10171.89</v>
      </c>
      <c r="I51" s="809">
        <f t="shared" si="0"/>
        <v>10171.89</v>
      </c>
    </row>
    <row r="52" spans="1:9" outlineLevel="1">
      <c r="A52" s="794"/>
      <c r="B52" s="794" t="s">
        <v>1642</v>
      </c>
      <c r="C52" s="794"/>
      <c r="D52" s="794"/>
      <c r="E52" s="794"/>
      <c r="F52" s="794"/>
      <c r="G52" s="795">
        <f>ROUND(G31+G40+SUM(G49:G51),5)</f>
        <v>1436175.79</v>
      </c>
      <c r="I52" s="808">
        <f t="shared" si="0"/>
        <v>1436175.79</v>
      </c>
    </row>
    <row r="53" spans="1:9" outlineLevel="2">
      <c r="A53" s="794"/>
      <c r="B53" s="794" t="s">
        <v>1643</v>
      </c>
      <c r="C53" s="794"/>
      <c r="D53" s="794"/>
      <c r="E53" s="794"/>
      <c r="F53" s="794"/>
      <c r="G53" s="795"/>
      <c r="I53" s="808"/>
    </row>
    <row r="54" spans="1:9" outlineLevel="2">
      <c r="A54" s="794"/>
      <c r="B54" s="794"/>
      <c r="C54" s="794" t="s">
        <v>1644</v>
      </c>
      <c r="D54" s="794"/>
      <c r="E54" s="794"/>
      <c r="F54" s="794"/>
      <c r="G54" s="795">
        <v>22000</v>
      </c>
      <c r="I54" s="808">
        <f t="shared" si="0"/>
        <v>22000</v>
      </c>
    </row>
    <row r="55" spans="1:9" ht="15.75" outlineLevel="2" thickBot="1">
      <c r="A55" s="794"/>
      <c r="B55" s="794"/>
      <c r="C55" s="794" t="s">
        <v>1679</v>
      </c>
      <c r="D55" s="794"/>
      <c r="E55" s="794"/>
      <c r="F55" s="794"/>
      <c r="G55" s="795">
        <v>46285.34</v>
      </c>
      <c r="I55" s="809">
        <f t="shared" si="0"/>
        <v>46285.34</v>
      </c>
    </row>
    <row r="56" spans="1:9" ht="15.75" outlineLevel="1" thickBot="1">
      <c r="A56" s="794"/>
      <c r="B56" s="794" t="s">
        <v>1645</v>
      </c>
      <c r="C56" s="794"/>
      <c r="D56" s="794"/>
      <c r="E56" s="794"/>
      <c r="F56" s="794"/>
      <c r="G56" s="799">
        <f>ROUND(SUM(G53:G55),5)</f>
        <v>68285.34</v>
      </c>
      <c r="I56" s="810">
        <f t="shared" si="0"/>
        <v>68285.34</v>
      </c>
    </row>
    <row r="57" spans="1:9" s="801" customFormat="1" ht="12" thickBot="1">
      <c r="A57" s="794" t="s">
        <v>1646</v>
      </c>
      <c r="B57" s="794"/>
      <c r="C57" s="794"/>
      <c r="D57" s="794"/>
      <c r="E57" s="794"/>
      <c r="F57" s="794"/>
      <c r="G57" s="800">
        <f>ROUND(G2+G30+G52+G56,5)</f>
        <v>3357096.98</v>
      </c>
      <c r="I57" s="811">
        <f t="shared" si="0"/>
        <v>3357096.98</v>
      </c>
    </row>
    <row r="58" spans="1:9" ht="15.75" outlineLevel="1" thickTop="1">
      <c r="A58" s="794" t="s">
        <v>1647</v>
      </c>
      <c r="B58" s="794"/>
      <c r="C58" s="794"/>
      <c r="D58" s="794"/>
      <c r="E58" s="794"/>
      <c r="F58" s="794"/>
      <c r="G58" s="795"/>
    </row>
    <row r="59" spans="1:9" outlineLevel="2">
      <c r="A59" s="794"/>
      <c r="B59" s="794" t="s">
        <v>1648</v>
      </c>
      <c r="C59" s="794"/>
      <c r="D59" s="794"/>
      <c r="E59" s="794"/>
      <c r="F59" s="794"/>
      <c r="G59" s="795"/>
    </row>
    <row r="60" spans="1:9" outlineLevel="3">
      <c r="A60" s="794"/>
      <c r="B60" s="794"/>
      <c r="C60" s="794" t="s">
        <v>1649</v>
      </c>
      <c r="D60" s="794"/>
      <c r="E60" s="794"/>
      <c r="F60" s="794"/>
      <c r="G60" s="795"/>
      <c r="H60" s="803"/>
      <c r="I60" s="803"/>
    </row>
    <row r="61" spans="1:9" outlineLevel="4">
      <c r="A61" s="794"/>
      <c r="B61" s="794"/>
      <c r="C61" s="794"/>
      <c r="D61" s="794" t="s">
        <v>1650</v>
      </c>
      <c r="E61" s="794"/>
      <c r="F61" s="794"/>
      <c r="G61" s="795"/>
      <c r="H61" s="803"/>
      <c r="I61" s="803"/>
    </row>
    <row r="62" spans="1:9" ht="15.75" outlineLevel="4" thickBot="1">
      <c r="A62" s="794"/>
      <c r="B62" s="794"/>
      <c r="C62" s="794"/>
      <c r="D62" s="794"/>
      <c r="E62" s="794" t="s">
        <v>775</v>
      </c>
      <c r="F62" s="794"/>
      <c r="G62" s="798">
        <v>1500418.76</v>
      </c>
      <c r="H62" s="803"/>
      <c r="I62" s="809">
        <f t="shared" ref="I62:I82" si="1">+H62+G62</f>
        <v>1500418.76</v>
      </c>
    </row>
    <row r="63" spans="1:9" outlineLevel="3">
      <c r="A63" s="794"/>
      <c r="B63" s="794"/>
      <c r="C63" s="794"/>
      <c r="D63" s="794" t="s">
        <v>1651</v>
      </c>
      <c r="E63" s="794"/>
      <c r="F63" s="794"/>
      <c r="G63" s="795">
        <f>ROUND(SUM(G61:G62),5)</f>
        <v>1500418.76</v>
      </c>
      <c r="H63" s="803"/>
      <c r="I63" s="805">
        <f t="shared" si="1"/>
        <v>1500418.76</v>
      </c>
    </row>
    <row r="64" spans="1:9" outlineLevel="4">
      <c r="A64" s="794"/>
      <c r="B64" s="794"/>
      <c r="C64" s="794"/>
      <c r="D64" s="794" t="s">
        <v>1652</v>
      </c>
      <c r="E64" s="794"/>
      <c r="F64" s="794"/>
      <c r="G64" s="795"/>
      <c r="H64" s="803"/>
      <c r="I64" s="805"/>
    </row>
    <row r="65" spans="1:9" outlineLevel="5">
      <c r="A65" s="794"/>
      <c r="B65" s="794"/>
      <c r="C65" s="794"/>
      <c r="D65" s="794"/>
      <c r="E65" s="794" t="s">
        <v>1653</v>
      </c>
      <c r="F65" s="794"/>
      <c r="G65" s="795"/>
      <c r="H65" s="803"/>
      <c r="I65" s="805"/>
    </row>
    <row r="66" spans="1:9" outlineLevel="5">
      <c r="A66" s="794"/>
      <c r="B66" s="794"/>
      <c r="C66" s="794"/>
      <c r="D66" s="794"/>
      <c r="E66" s="794"/>
      <c r="F66" s="794" t="s">
        <v>1654</v>
      </c>
      <c r="G66" s="795">
        <v>59.48</v>
      </c>
      <c r="H66" s="803"/>
      <c r="I66" s="805">
        <f t="shared" si="1"/>
        <v>59.48</v>
      </c>
    </row>
    <row r="67" spans="1:9" outlineLevel="5">
      <c r="A67" s="794"/>
      <c r="B67" s="794"/>
      <c r="C67" s="794"/>
      <c r="D67" s="794"/>
      <c r="E67" s="794"/>
      <c r="F67" s="794" t="s">
        <v>1655</v>
      </c>
      <c r="G67" s="795">
        <v>263.12</v>
      </c>
      <c r="H67" s="803"/>
      <c r="I67" s="805">
        <f t="shared" si="1"/>
        <v>263.12</v>
      </c>
    </row>
    <row r="68" spans="1:9" ht="15.75" outlineLevel="5" thickBot="1">
      <c r="A68" s="794"/>
      <c r="B68" s="794"/>
      <c r="C68" s="794"/>
      <c r="D68" s="794"/>
      <c r="E68" s="794"/>
      <c r="F68" s="794" t="s">
        <v>846</v>
      </c>
      <c r="G68" s="795">
        <v>284.58</v>
      </c>
      <c r="H68" s="803"/>
      <c r="I68" s="809">
        <f t="shared" si="1"/>
        <v>284.58</v>
      </c>
    </row>
    <row r="69" spans="1:9" ht="15.75" outlineLevel="4" thickBot="1">
      <c r="A69" s="794"/>
      <c r="B69" s="794"/>
      <c r="C69" s="794"/>
      <c r="D69" s="794"/>
      <c r="E69" s="794" t="s">
        <v>1656</v>
      </c>
      <c r="F69" s="794"/>
      <c r="G69" s="797">
        <f>ROUND(SUM(G65:G68),5)</f>
        <v>607.17999999999995</v>
      </c>
      <c r="H69" s="803"/>
      <c r="I69" s="810">
        <f t="shared" si="1"/>
        <v>607.17999999999995</v>
      </c>
    </row>
    <row r="70" spans="1:9" outlineLevel="3">
      <c r="A70" s="794"/>
      <c r="B70" s="794"/>
      <c r="C70" s="794"/>
      <c r="D70" s="794" t="s">
        <v>1657</v>
      </c>
      <c r="E70" s="794"/>
      <c r="F70" s="794"/>
      <c r="G70" s="795">
        <f>ROUND(G64+G69,5)</f>
        <v>607.17999999999995</v>
      </c>
      <c r="H70" s="803"/>
      <c r="I70" s="805">
        <f t="shared" si="1"/>
        <v>607.17999999999995</v>
      </c>
    </row>
    <row r="71" spans="1:9" outlineLevel="4">
      <c r="A71" s="794"/>
      <c r="B71" s="794"/>
      <c r="C71" s="794"/>
      <c r="D71" s="794" t="s">
        <v>1658</v>
      </c>
      <c r="E71" s="794"/>
      <c r="F71" s="794"/>
      <c r="G71" s="795"/>
      <c r="H71" s="803"/>
      <c r="I71" s="805"/>
    </row>
    <row r="72" spans="1:9" outlineLevel="5">
      <c r="A72" s="794"/>
      <c r="B72" s="794"/>
      <c r="C72" s="794"/>
      <c r="D72" s="794"/>
      <c r="E72" s="794" t="s">
        <v>1659</v>
      </c>
      <c r="F72" s="794"/>
      <c r="G72" s="795"/>
      <c r="H72" s="803"/>
      <c r="I72" s="805"/>
    </row>
    <row r="73" spans="1:9" ht="15.75" outlineLevel="5" thickBot="1">
      <c r="A73" s="794"/>
      <c r="B73" s="794"/>
      <c r="C73" s="794"/>
      <c r="D73" s="794"/>
      <c r="E73" s="794"/>
      <c r="F73" s="794" t="s">
        <v>1660</v>
      </c>
      <c r="G73" s="798">
        <v>23</v>
      </c>
      <c r="H73" s="803"/>
      <c r="I73" s="809">
        <f t="shared" si="1"/>
        <v>23</v>
      </c>
    </row>
    <row r="74" spans="1:9" outlineLevel="4">
      <c r="A74" s="794"/>
      <c r="B74" s="794"/>
      <c r="C74" s="794"/>
      <c r="D74" s="794"/>
      <c r="E74" s="794" t="s">
        <v>1661</v>
      </c>
      <c r="F74" s="794"/>
      <c r="G74" s="795">
        <f>ROUND(SUM(G72:G73),5)</f>
        <v>23</v>
      </c>
      <c r="H74" s="803"/>
      <c r="I74" s="805">
        <f t="shared" si="1"/>
        <v>23</v>
      </c>
    </row>
    <row r="75" spans="1:9" outlineLevel="4">
      <c r="A75" s="794"/>
      <c r="B75" s="794"/>
      <c r="C75" s="794"/>
      <c r="D75" s="794"/>
      <c r="E75" s="794" t="s">
        <v>1662</v>
      </c>
      <c r="F75" s="794"/>
      <c r="G75" s="795">
        <v>43797.32</v>
      </c>
      <c r="H75" s="803"/>
      <c r="I75" s="805">
        <f t="shared" si="1"/>
        <v>43797.32</v>
      </c>
    </row>
    <row r="76" spans="1:9" outlineLevel="4">
      <c r="A76" s="794"/>
      <c r="B76" s="794"/>
      <c r="C76" s="794"/>
      <c r="D76" s="794"/>
      <c r="E76" s="794" t="s">
        <v>898</v>
      </c>
      <c r="F76" s="794"/>
      <c r="G76" s="795">
        <v>127700.69</v>
      </c>
      <c r="H76" s="803"/>
      <c r="I76" s="805">
        <f t="shared" si="1"/>
        <v>127700.69</v>
      </c>
    </row>
    <row r="77" spans="1:9" outlineLevel="4">
      <c r="A77" s="794"/>
      <c r="B77" s="794"/>
      <c r="C77" s="794"/>
      <c r="D77" s="794"/>
      <c r="E77" s="794" t="s">
        <v>1663</v>
      </c>
      <c r="F77" s="794"/>
      <c r="G77" s="795">
        <v>17745.46</v>
      </c>
      <c r="H77" s="803"/>
      <c r="I77" s="805">
        <f t="shared" si="1"/>
        <v>17745.46</v>
      </c>
    </row>
    <row r="78" spans="1:9" outlineLevel="4">
      <c r="A78" s="794"/>
      <c r="B78" s="794"/>
      <c r="C78" s="794"/>
      <c r="D78" s="794"/>
      <c r="E78" s="794" t="s">
        <v>1664</v>
      </c>
      <c r="F78" s="794"/>
      <c r="G78" s="795">
        <v>921673.12</v>
      </c>
      <c r="H78" s="806">
        <f>-G78</f>
        <v>-921673.12</v>
      </c>
      <c r="I78" s="805">
        <f t="shared" si="1"/>
        <v>0</v>
      </c>
    </row>
    <row r="79" spans="1:9" ht="15.75" outlineLevel="4" thickBot="1">
      <c r="A79" s="794"/>
      <c r="B79" s="794"/>
      <c r="C79" s="794"/>
      <c r="D79" s="794"/>
      <c r="E79" s="794" t="s">
        <v>1665</v>
      </c>
      <c r="F79" s="794"/>
      <c r="G79" s="795">
        <v>90776.68</v>
      </c>
      <c r="H79" s="812"/>
      <c r="I79" s="809">
        <f t="shared" si="1"/>
        <v>90776.68</v>
      </c>
    </row>
    <row r="80" spans="1:9" ht="15.75" outlineLevel="3" thickBot="1">
      <c r="A80" s="794"/>
      <c r="B80" s="794"/>
      <c r="C80" s="794"/>
      <c r="D80" s="794" t="s">
        <v>1666</v>
      </c>
      <c r="E80" s="794"/>
      <c r="F80" s="794"/>
      <c r="G80" s="799">
        <f>ROUND(G71+SUM(G74:G79),5)</f>
        <v>1201716.27</v>
      </c>
      <c r="H80" s="813">
        <f>SUM(H78:H78)</f>
        <v>-921673.12</v>
      </c>
      <c r="I80" s="810">
        <f t="shared" si="1"/>
        <v>280043.15000000002</v>
      </c>
    </row>
    <row r="81" spans="1:11" ht="15.75" outlineLevel="2" thickBot="1">
      <c r="A81" s="794"/>
      <c r="B81" s="794"/>
      <c r="C81" s="794" t="s">
        <v>1667</v>
      </c>
      <c r="D81" s="794"/>
      <c r="E81" s="794"/>
      <c r="F81" s="794"/>
      <c r="G81" s="797">
        <f>ROUND(G60+G63+G70+G80,5)</f>
        <v>2702742.21</v>
      </c>
      <c r="H81" s="813">
        <f>+H80</f>
        <v>-921673.12</v>
      </c>
      <c r="I81" s="810">
        <f t="shared" si="1"/>
        <v>1781069.0899999999</v>
      </c>
    </row>
    <row r="82" spans="1:11" outlineLevel="1">
      <c r="A82" s="794"/>
      <c r="B82" s="794" t="s">
        <v>1668</v>
      </c>
      <c r="C82" s="794"/>
      <c r="D82" s="794"/>
      <c r="E82" s="794"/>
      <c r="F82" s="794"/>
      <c r="G82" s="795">
        <f>ROUND(G59+G81,5)</f>
        <v>2702742.21</v>
      </c>
      <c r="H82" s="806">
        <f>+H81</f>
        <v>-921673.12</v>
      </c>
      <c r="I82" s="805">
        <f t="shared" si="1"/>
        <v>1781069.0899999999</v>
      </c>
      <c r="K82" s="817"/>
    </row>
    <row r="83" spans="1:11" outlineLevel="2">
      <c r="A83" s="794"/>
      <c r="B83" s="794" t="s">
        <v>27</v>
      </c>
      <c r="C83" s="794"/>
      <c r="D83" s="794"/>
      <c r="E83" s="794"/>
      <c r="F83" s="794"/>
      <c r="G83" s="795"/>
      <c r="H83" s="803"/>
      <c r="I83" s="803"/>
    </row>
    <row r="84" spans="1:11" outlineLevel="2">
      <c r="A84" s="794"/>
      <c r="B84" s="794"/>
      <c r="C84" s="794" t="s">
        <v>1669</v>
      </c>
      <c r="D84" s="794"/>
      <c r="E84" s="794"/>
      <c r="F84" s="794"/>
      <c r="G84" s="795">
        <v>26000</v>
      </c>
      <c r="H84" s="803"/>
      <c r="I84" s="805">
        <f t="shared" ref="I84:I88" si="2">+H84+G84</f>
        <v>26000</v>
      </c>
    </row>
    <row r="85" spans="1:11" outlineLevel="2">
      <c r="A85" s="794"/>
      <c r="B85" s="794"/>
      <c r="C85" s="794" t="s">
        <v>1670</v>
      </c>
      <c r="D85" s="794"/>
      <c r="E85" s="794"/>
      <c r="F85" s="794"/>
      <c r="G85" s="795">
        <v>-2053668</v>
      </c>
      <c r="H85" s="803"/>
      <c r="I85" s="805">
        <f t="shared" si="2"/>
        <v>-2053668</v>
      </c>
    </row>
    <row r="86" spans="1:11" outlineLevel="2">
      <c r="A86" s="794"/>
      <c r="B86" s="794"/>
      <c r="C86" s="794" t="s">
        <v>1671</v>
      </c>
      <c r="D86" s="794"/>
      <c r="E86" s="794"/>
      <c r="F86" s="794"/>
      <c r="G86" s="795">
        <v>-192000</v>
      </c>
      <c r="H86" s="803"/>
      <c r="I86" s="805">
        <f t="shared" si="2"/>
        <v>-192000</v>
      </c>
    </row>
    <row r="87" spans="1:11" outlineLevel="2">
      <c r="A87" s="794"/>
      <c r="B87" s="794"/>
      <c r="C87" s="794" t="s">
        <v>1672</v>
      </c>
      <c r="D87" s="794"/>
      <c r="E87" s="794"/>
      <c r="F87" s="794"/>
      <c r="G87" s="795">
        <v>2653311.71</v>
      </c>
      <c r="H87" s="806">
        <f>-H82</f>
        <v>921673.12</v>
      </c>
      <c r="I87" s="805">
        <f t="shared" si="2"/>
        <v>3574984.83</v>
      </c>
    </row>
    <row r="88" spans="1:11" ht="15.75" outlineLevel="2" thickBot="1">
      <c r="A88" s="794"/>
      <c r="B88" s="794"/>
      <c r="C88" s="794" t="s">
        <v>38</v>
      </c>
      <c r="D88" s="794"/>
      <c r="E88" s="794"/>
      <c r="F88" s="794"/>
      <c r="G88" s="795">
        <v>220711.06</v>
      </c>
      <c r="H88" s="807"/>
      <c r="I88" s="804">
        <f t="shared" si="2"/>
        <v>220711.06</v>
      </c>
    </row>
    <row r="89" spans="1:11" ht="15.75" outlineLevel="1" thickBot="1">
      <c r="A89" s="794"/>
      <c r="B89" s="794" t="s">
        <v>1673</v>
      </c>
      <c r="C89" s="794"/>
      <c r="D89" s="794"/>
      <c r="E89" s="794"/>
      <c r="F89" s="794"/>
      <c r="G89" s="799">
        <f>ROUND(SUM(G83:G88),5)</f>
        <v>654354.77</v>
      </c>
      <c r="H89" s="815">
        <f>+H87</f>
        <v>921673.12</v>
      </c>
      <c r="I89" s="816">
        <f>+H89+G89</f>
        <v>1576027.8900000001</v>
      </c>
    </row>
    <row r="90" spans="1:11" s="801" customFormat="1" ht="12" thickBot="1">
      <c r="A90" s="794" t="s">
        <v>1674</v>
      </c>
      <c r="B90" s="794"/>
      <c r="C90" s="794"/>
      <c r="D90" s="794"/>
      <c r="E90" s="794"/>
      <c r="F90" s="794"/>
      <c r="G90" s="800">
        <f>ROUND(G58+G82+G89,5)</f>
        <v>3357096.98</v>
      </c>
      <c r="H90" s="814">
        <f>ROUND(H58+H82+H89,5)</f>
        <v>0</v>
      </c>
      <c r="I90" s="800">
        <f>ROUND(I58+I82+I89,5)</f>
        <v>3357096.98</v>
      </c>
      <c r="K90" s="817"/>
    </row>
    <row r="91" spans="1:11" ht="15.75" thickTop="1"/>
    <row r="92" spans="1:11">
      <c r="I92" s="802"/>
    </row>
  </sheetData>
  <autoFilter ref="G1:G90" xr:uid="{00000000-0009-0000-0000-000000000000}"/>
  <printOptions horizontalCentered="1"/>
  <pageMargins left="0.7" right="0.7" top="1" bottom="0.75" header="0.35" footer="0.3"/>
  <pageSetup scale="95" orientation="portrait" horizontalDpi="4294967293" r:id="rId1"/>
  <headerFooter>
    <oddHeader>&amp;L&amp;"Arial,Bold"&amp;8 9:05 AM
&amp;"Arial,Bold"&amp;8 07/22/21
&amp;"Arial,Bold"&amp;8 Accrual Basis&amp;C&amp;"Arial,Bold"&amp;12 Rubatino Refuse Removal Inc.
&amp;"Arial,Bold"&amp;14 Balance Sheet
&amp;"Arial,Bold"&amp;10 As of March 31, 2021</oddHeader>
    <oddFooter>&amp;R&amp;"Arial,Bold"&amp;8 Page &amp;P of &amp;N</oddFooter>
  </headerFooter>
  <drawing r:id="rId2"/>
  <legacyDrawing r:id="rId3"/>
  <controls>
    <mc:AlternateContent xmlns:mc="http://schemas.openxmlformats.org/markup-compatibility/2006">
      <mc:Choice Requires="x14">
        <control shapeId="112641" r:id="rId4" name="FILTER">
          <controlPr defaultSize="0" autoLine="0" autoPict="0" r:id="rId5">
            <anchor moveWithCells="1">
              <from>
                <xdr:col>0</xdr:col>
                <xdr:colOff>0</xdr:colOff>
                <xdr:row>0</xdr:row>
                <xdr:rowOff>0</xdr:rowOff>
              </from>
              <to>
                <xdr:col>4</xdr:col>
                <xdr:colOff>76200</xdr:colOff>
                <xdr:row>1</xdr:row>
                <xdr:rowOff>38100</xdr:rowOff>
              </to>
            </anchor>
          </controlPr>
        </control>
      </mc:Choice>
      <mc:Fallback>
        <control shapeId="112641" r:id="rId4" name="FILTER"/>
      </mc:Fallback>
    </mc:AlternateContent>
    <mc:AlternateContent xmlns:mc="http://schemas.openxmlformats.org/markup-compatibility/2006">
      <mc:Choice Requires="x14">
        <control shapeId="112642" r:id="rId6" name="HEADER">
          <controlPr defaultSize="0" autoLine="0" autoPict="0" r:id="rId7">
            <anchor moveWithCells="1">
              <from>
                <xdr:col>0</xdr:col>
                <xdr:colOff>0</xdr:colOff>
                <xdr:row>0</xdr:row>
                <xdr:rowOff>0</xdr:rowOff>
              </from>
              <to>
                <xdr:col>4</xdr:col>
                <xdr:colOff>76200</xdr:colOff>
                <xdr:row>1</xdr:row>
                <xdr:rowOff>38100</xdr:rowOff>
              </to>
            </anchor>
          </controlPr>
        </control>
      </mc:Choice>
      <mc:Fallback>
        <control shapeId="112642" r:id="rId6" name="HEADER"/>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E52A-DBDC-44B4-A7EF-768B1F6C951B}">
  <sheetPr codeName="Sheet6">
    <pageSetUpPr fitToPage="1"/>
  </sheetPr>
  <dimension ref="A1:X304"/>
  <sheetViews>
    <sheetView topLeftCell="A48" workbookViewId="0">
      <selection activeCell="Q50" sqref="Q50"/>
    </sheetView>
  </sheetViews>
  <sheetFormatPr defaultRowHeight="15"/>
  <cols>
    <col min="1" max="1" width="2.5546875" customWidth="1"/>
    <col min="2" max="2" width="30.44140625" bestFit="1" customWidth="1"/>
    <col min="3" max="3" width="2.5546875" customWidth="1"/>
    <col min="4" max="15" width="8.44140625" customWidth="1"/>
    <col min="16" max="16" width="9.109375" bestFit="1" customWidth="1"/>
    <col min="19" max="19" width="9.44140625" bestFit="1" customWidth="1"/>
  </cols>
  <sheetData>
    <row r="1" spans="1:24" ht="15.75" thickBot="1">
      <c r="A1" s="367"/>
      <c r="B1" s="367"/>
      <c r="C1" s="367"/>
      <c r="D1" s="368" t="s">
        <v>203</v>
      </c>
      <c r="E1" s="368" t="s">
        <v>204</v>
      </c>
      <c r="F1" s="368" t="s">
        <v>205</v>
      </c>
      <c r="G1" s="368" t="s">
        <v>206</v>
      </c>
      <c r="H1" s="368" t="s">
        <v>207</v>
      </c>
      <c r="I1" s="368" t="s">
        <v>208</v>
      </c>
      <c r="J1" s="368" t="s">
        <v>209</v>
      </c>
      <c r="K1" s="368" t="s">
        <v>210</v>
      </c>
      <c r="L1" s="368" t="s">
        <v>211</v>
      </c>
      <c r="M1" s="368" t="s">
        <v>212</v>
      </c>
      <c r="N1" s="368" t="s">
        <v>213</v>
      </c>
      <c r="O1" s="368" t="s">
        <v>214</v>
      </c>
      <c r="P1" s="368" t="s">
        <v>215</v>
      </c>
      <c r="Q1" s="369"/>
      <c r="R1" s="66"/>
      <c r="S1" s="66"/>
      <c r="T1" s="66"/>
      <c r="U1" s="66"/>
      <c r="V1" s="66"/>
      <c r="W1" s="66"/>
      <c r="X1" s="66"/>
    </row>
    <row r="2" spans="1:24" ht="15.75" thickTop="1">
      <c r="A2" s="71"/>
      <c r="B2" s="71" t="s">
        <v>216</v>
      </c>
      <c r="C2" s="71"/>
      <c r="D2" s="72"/>
      <c r="E2" s="72"/>
      <c r="F2" s="72"/>
      <c r="G2" s="72"/>
      <c r="H2" s="72"/>
      <c r="I2" s="72"/>
      <c r="J2" s="72"/>
      <c r="K2" s="72"/>
      <c r="L2" s="72"/>
      <c r="M2" s="72"/>
      <c r="N2" s="72"/>
      <c r="O2" s="72"/>
      <c r="P2" s="72"/>
      <c r="Q2" s="68"/>
      <c r="R2" s="66"/>
      <c r="S2" s="66"/>
      <c r="T2" s="66"/>
      <c r="U2" s="66"/>
      <c r="V2" s="66"/>
      <c r="W2" s="66"/>
      <c r="X2" s="66"/>
    </row>
    <row r="3" spans="1:24">
      <c r="A3" s="71"/>
      <c r="B3" s="71" t="s">
        <v>217</v>
      </c>
      <c r="C3" s="71"/>
      <c r="D3" s="72"/>
      <c r="E3" s="72"/>
      <c r="F3" s="72"/>
      <c r="G3" s="72"/>
      <c r="H3" s="72"/>
      <c r="I3" s="72"/>
      <c r="J3" s="72"/>
      <c r="K3" s="72"/>
      <c r="L3" s="72"/>
      <c r="M3" s="72"/>
      <c r="N3" s="72"/>
      <c r="O3" s="72"/>
      <c r="P3" s="72"/>
      <c r="Q3" s="68"/>
      <c r="R3" s="66"/>
      <c r="S3" s="66"/>
      <c r="T3" s="66"/>
      <c r="U3" s="66"/>
      <c r="V3" s="66"/>
      <c r="W3" s="66"/>
      <c r="X3" s="66"/>
    </row>
    <row r="4" spans="1:24">
      <c r="A4" s="71"/>
      <c r="B4" s="71" t="s">
        <v>218</v>
      </c>
      <c r="C4" s="71"/>
      <c r="D4" s="72"/>
      <c r="E4" s="72"/>
      <c r="F4" s="72"/>
      <c r="G4" s="72"/>
      <c r="H4" s="72"/>
      <c r="I4" s="72"/>
      <c r="J4" s="72"/>
      <c r="K4" s="72"/>
      <c r="L4" s="72"/>
      <c r="M4" s="72"/>
      <c r="N4" s="72"/>
      <c r="O4" s="72"/>
      <c r="P4" s="72"/>
      <c r="Q4" s="68"/>
      <c r="R4" s="66"/>
      <c r="S4" s="66"/>
      <c r="T4" s="66"/>
      <c r="U4" s="66"/>
      <c r="V4" s="66"/>
      <c r="W4" s="66"/>
      <c r="X4" s="66"/>
    </row>
    <row r="5" spans="1:24">
      <c r="A5" s="71"/>
      <c r="B5" s="71" t="s">
        <v>219</v>
      </c>
      <c r="C5" s="71"/>
      <c r="D5" s="72">
        <v>474606.95</v>
      </c>
      <c r="E5" s="72">
        <v>419376.31</v>
      </c>
      <c r="F5" s="72">
        <v>487419.91</v>
      </c>
      <c r="G5" s="72">
        <v>551147.36</v>
      </c>
      <c r="H5" s="72">
        <v>424947.21</v>
      </c>
      <c r="I5" s="72">
        <v>459048.55</v>
      </c>
      <c r="J5" s="72">
        <v>499477.05</v>
      </c>
      <c r="K5" s="72">
        <v>525927.87</v>
      </c>
      <c r="L5" s="72">
        <v>435219.37</v>
      </c>
      <c r="M5" s="72">
        <v>437361.2</v>
      </c>
      <c r="N5" s="72">
        <v>525866</v>
      </c>
      <c r="O5" s="72">
        <v>512689.62</v>
      </c>
      <c r="P5" s="72">
        <f t="shared" ref="P5:P14" si="0">ROUND(SUM(D5:O5),5)</f>
        <v>5753087.4000000004</v>
      </c>
      <c r="Q5" s="68"/>
      <c r="R5" s="66"/>
      <c r="S5" s="66"/>
      <c r="T5" s="66"/>
      <c r="U5" s="66"/>
      <c r="V5" s="66"/>
      <c r="W5" s="66"/>
      <c r="X5" s="66"/>
    </row>
    <row r="6" spans="1:24">
      <c r="A6" s="71"/>
      <c r="B6" s="71" t="s">
        <v>220</v>
      </c>
      <c r="C6" s="71"/>
      <c r="D6" s="72">
        <v>552769.15</v>
      </c>
      <c r="E6" s="72">
        <v>525705.68000000005</v>
      </c>
      <c r="F6" s="72">
        <v>600042.35</v>
      </c>
      <c r="G6" s="72">
        <v>571058.47</v>
      </c>
      <c r="H6" s="72">
        <v>593293.05000000005</v>
      </c>
      <c r="I6" s="72">
        <v>559641.69999999995</v>
      </c>
      <c r="J6" s="72">
        <v>543459.81999999995</v>
      </c>
      <c r="K6" s="72">
        <v>670937.18000000005</v>
      </c>
      <c r="L6" s="72">
        <v>531046.32999999996</v>
      </c>
      <c r="M6" s="72">
        <v>367459.1</v>
      </c>
      <c r="N6" s="72">
        <v>443555.7</v>
      </c>
      <c r="O6" s="72">
        <v>551157.43000000005</v>
      </c>
      <c r="P6" s="72">
        <f t="shared" si="0"/>
        <v>6510125.96</v>
      </c>
      <c r="Q6" s="68"/>
      <c r="R6" s="66"/>
      <c r="S6" s="66"/>
      <c r="T6" s="66"/>
      <c r="U6" s="66"/>
      <c r="V6" s="66"/>
      <c r="W6" s="66"/>
      <c r="X6" s="66"/>
    </row>
    <row r="7" spans="1:24">
      <c r="A7" s="71"/>
      <c r="B7" s="71" t="s">
        <v>221</v>
      </c>
      <c r="C7" s="71"/>
      <c r="D7" s="72">
        <v>372630.11</v>
      </c>
      <c r="E7" s="72">
        <v>402377.28</v>
      </c>
      <c r="F7" s="72">
        <v>347503.07</v>
      </c>
      <c r="G7" s="72">
        <v>482650.97</v>
      </c>
      <c r="H7" s="72">
        <v>470609.84</v>
      </c>
      <c r="I7" s="72">
        <v>403860.75</v>
      </c>
      <c r="J7" s="72">
        <v>545014.36</v>
      </c>
      <c r="K7" s="72">
        <v>414271.39</v>
      </c>
      <c r="L7" s="72">
        <v>543330.71</v>
      </c>
      <c r="M7" s="72">
        <v>375779.6</v>
      </c>
      <c r="N7" s="72">
        <v>475383.43</v>
      </c>
      <c r="O7" s="72">
        <v>498749.74</v>
      </c>
      <c r="P7" s="72">
        <f t="shared" si="0"/>
        <v>5332161.25</v>
      </c>
      <c r="Q7" s="68"/>
      <c r="R7" s="66"/>
      <c r="S7" s="66"/>
      <c r="T7" s="66"/>
      <c r="U7" s="66"/>
      <c r="V7" s="66"/>
      <c r="W7" s="66"/>
      <c r="X7" s="66"/>
    </row>
    <row r="8" spans="1:24">
      <c r="A8" s="71"/>
      <c r="B8" s="71" t="s">
        <v>222</v>
      </c>
      <c r="C8" s="71"/>
      <c r="D8" s="72">
        <v>34769.61</v>
      </c>
      <c r="E8" s="72">
        <v>14730.56</v>
      </c>
      <c r="F8" s="72">
        <v>39261.82</v>
      </c>
      <c r="G8" s="72">
        <v>74236.95</v>
      </c>
      <c r="H8" s="72">
        <v>20458.169999999998</v>
      </c>
      <c r="I8" s="72">
        <v>31046.07</v>
      </c>
      <c r="J8" s="72">
        <v>50266.58</v>
      </c>
      <c r="K8" s="72">
        <v>68035.62</v>
      </c>
      <c r="L8" s="72">
        <v>15552.95</v>
      </c>
      <c r="M8" s="72">
        <v>14480.74</v>
      </c>
      <c r="N8" s="72">
        <v>64847.6</v>
      </c>
      <c r="O8" s="72">
        <v>70977.429999999993</v>
      </c>
      <c r="P8" s="72">
        <f t="shared" si="0"/>
        <v>498664.1</v>
      </c>
      <c r="Q8" s="68"/>
      <c r="R8" s="66"/>
      <c r="S8" s="66"/>
      <c r="T8" s="66"/>
      <c r="U8" s="66"/>
      <c r="V8" s="66"/>
      <c r="W8" s="66"/>
      <c r="X8" s="66"/>
    </row>
    <row r="9" spans="1:24">
      <c r="A9" s="71"/>
      <c r="B9" s="71" t="s">
        <v>223</v>
      </c>
      <c r="C9" s="71"/>
      <c r="D9" s="72">
        <v>42469.19</v>
      </c>
      <c r="E9" s="72">
        <v>29378.92</v>
      </c>
      <c r="F9" s="72">
        <v>47936.45</v>
      </c>
      <c r="G9" s="72">
        <v>82258.850000000006</v>
      </c>
      <c r="H9" s="72">
        <v>36004.269999999997</v>
      </c>
      <c r="I9" s="72">
        <v>45806.5</v>
      </c>
      <c r="J9" s="72">
        <v>56842.23</v>
      </c>
      <c r="K9" s="72">
        <v>107172.34</v>
      </c>
      <c r="L9" s="72">
        <v>78383.520000000004</v>
      </c>
      <c r="M9" s="72">
        <v>204889.95</v>
      </c>
      <c r="N9" s="72">
        <v>211551.68</v>
      </c>
      <c r="O9" s="72">
        <v>249266.48</v>
      </c>
      <c r="P9" s="72">
        <f t="shared" si="0"/>
        <v>1191960.3799999999</v>
      </c>
      <c r="Q9" s="68"/>
      <c r="R9" s="66"/>
      <c r="S9" s="66"/>
      <c r="T9" s="66"/>
      <c r="U9" s="66"/>
      <c r="V9" s="66"/>
      <c r="W9" s="66"/>
      <c r="X9" s="66"/>
    </row>
    <row r="10" spans="1:24">
      <c r="A10" s="71"/>
      <c r="B10" s="71" t="s">
        <v>224</v>
      </c>
      <c r="C10" s="71"/>
      <c r="D10" s="72">
        <v>2919.61</v>
      </c>
      <c r="E10" s="72">
        <v>-3651.88</v>
      </c>
      <c r="F10" s="72">
        <v>4362.21</v>
      </c>
      <c r="G10" s="72">
        <v>17002.16</v>
      </c>
      <c r="H10" s="72">
        <v>-2031.15</v>
      </c>
      <c r="I10" s="72">
        <v>4362.1000000000004</v>
      </c>
      <c r="J10" s="72">
        <v>10743.32</v>
      </c>
      <c r="K10" s="72">
        <v>17825.919999999998</v>
      </c>
      <c r="L10" s="72">
        <v>-1227.72</v>
      </c>
      <c r="M10" s="72">
        <v>2239.98</v>
      </c>
      <c r="N10" s="72">
        <v>20569.5</v>
      </c>
      <c r="O10" s="72">
        <v>10313.540000000001</v>
      </c>
      <c r="P10" s="72">
        <f t="shared" si="0"/>
        <v>83427.59</v>
      </c>
      <c r="Q10" s="68"/>
      <c r="R10" s="66"/>
      <c r="S10" s="66"/>
      <c r="T10" s="66"/>
      <c r="U10" s="66"/>
      <c r="V10" s="66"/>
      <c r="W10" s="66"/>
      <c r="X10" s="66"/>
    </row>
    <row r="11" spans="1:24">
      <c r="A11" s="71"/>
      <c r="B11" s="71" t="s">
        <v>225</v>
      </c>
      <c r="C11" s="71"/>
      <c r="D11" s="72">
        <v>100872.09</v>
      </c>
      <c r="E11" s="72">
        <v>97795.42</v>
      </c>
      <c r="F11" s="72">
        <v>109804.95</v>
      </c>
      <c r="G11" s="72">
        <v>127161.26</v>
      </c>
      <c r="H11" s="72">
        <v>104374.66</v>
      </c>
      <c r="I11" s="72">
        <v>113044.46</v>
      </c>
      <c r="J11" s="72">
        <v>119933.4</v>
      </c>
      <c r="K11" s="72">
        <v>127310.44</v>
      </c>
      <c r="L11" s="72">
        <v>102295.33</v>
      </c>
      <c r="M11" s="72">
        <v>100755.87</v>
      </c>
      <c r="N11" s="72">
        <v>121787.52</v>
      </c>
      <c r="O11" s="72">
        <v>109681.17</v>
      </c>
      <c r="P11" s="72">
        <f t="shared" si="0"/>
        <v>1334816.57</v>
      </c>
      <c r="Q11" s="68"/>
      <c r="R11" s="66"/>
      <c r="S11" s="66"/>
      <c r="T11" s="66"/>
      <c r="U11" s="66"/>
      <c r="V11" s="66"/>
      <c r="W11" s="66"/>
      <c r="X11" s="66"/>
    </row>
    <row r="12" spans="1:24">
      <c r="A12" s="71"/>
      <c r="B12" s="71" t="s">
        <v>226</v>
      </c>
      <c r="C12" s="71"/>
      <c r="D12" s="72">
        <v>96738.03</v>
      </c>
      <c r="E12" s="72">
        <v>69685.710000000006</v>
      </c>
      <c r="F12" s="72">
        <v>62216.68</v>
      </c>
      <c r="G12" s="72">
        <v>80439.570000000007</v>
      </c>
      <c r="H12" s="72">
        <v>43847.65</v>
      </c>
      <c r="I12" s="72">
        <v>69284.62</v>
      </c>
      <c r="J12" s="72">
        <v>65854.679999999993</v>
      </c>
      <c r="K12" s="72">
        <v>91297.93</v>
      </c>
      <c r="L12" s="72">
        <v>92906.62</v>
      </c>
      <c r="M12" s="72">
        <v>44474.3</v>
      </c>
      <c r="N12" s="72">
        <v>95739.9</v>
      </c>
      <c r="O12" s="72">
        <v>83441.39</v>
      </c>
      <c r="P12" s="72">
        <f t="shared" si="0"/>
        <v>895927.08</v>
      </c>
      <c r="Q12" s="68"/>
      <c r="R12" s="66"/>
      <c r="S12" s="66"/>
      <c r="T12" s="66"/>
      <c r="U12" s="66"/>
      <c r="V12" s="66"/>
      <c r="W12" s="66"/>
      <c r="X12" s="66"/>
    </row>
    <row r="13" spans="1:24" ht="15.75" thickBot="1">
      <c r="A13" s="71"/>
      <c r="B13" s="71" t="s">
        <v>227</v>
      </c>
      <c r="C13" s="71"/>
      <c r="D13" s="73">
        <v>888.33</v>
      </c>
      <c r="E13" s="73">
        <v>1184.19</v>
      </c>
      <c r="F13" s="73">
        <v>1071.25</v>
      </c>
      <c r="G13" s="73">
        <v>600.05999999999995</v>
      </c>
      <c r="H13" s="73">
        <v>1469.54</v>
      </c>
      <c r="I13" s="73">
        <v>1569.58</v>
      </c>
      <c r="J13" s="73">
        <v>950.97</v>
      </c>
      <c r="K13" s="73">
        <v>725.81</v>
      </c>
      <c r="L13" s="73">
        <v>832.81</v>
      </c>
      <c r="M13" s="73">
        <v>674.86</v>
      </c>
      <c r="N13" s="73">
        <v>1076.46</v>
      </c>
      <c r="O13" s="73">
        <v>669.81</v>
      </c>
      <c r="P13" s="73">
        <f t="shared" si="0"/>
        <v>11713.67</v>
      </c>
      <c r="Q13" s="68"/>
      <c r="R13" s="66"/>
      <c r="S13" s="66"/>
      <c r="T13" s="66"/>
      <c r="U13" s="66"/>
      <c r="V13" s="66"/>
      <c r="W13" s="66"/>
      <c r="X13" s="66"/>
    </row>
    <row r="14" spans="1:24">
      <c r="A14" s="71"/>
      <c r="B14" s="71" t="s">
        <v>228</v>
      </c>
      <c r="C14" s="71"/>
      <c r="D14" s="72">
        <f t="shared" ref="D14:O14" si="1">ROUND(SUM(D4:D13),5)</f>
        <v>1678663.07</v>
      </c>
      <c r="E14" s="72">
        <f t="shared" si="1"/>
        <v>1556582.19</v>
      </c>
      <c r="F14" s="72">
        <f t="shared" si="1"/>
        <v>1699618.69</v>
      </c>
      <c r="G14" s="72">
        <f t="shared" si="1"/>
        <v>1986555.65</v>
      </c>
      <c r="H14" s="72">
        <f t="shared" si="1"/>
        <v>1692973.24</v>
      </c>
      <c r="I14" s="72">
        <f t="shared" si="1"/>
        <v>1687664.33</v>
      </c>
      <c r="J14" s="72">
        <f t="shared" si="1"/>
        <v>1892542.41</v>
      </c>
      <c r="K14" s="72">
        <f t="shared" si="1"/>
        <v>2023504.5</v>
      </c>
      <c r="L14" s="72">
        <f t="shared" si="1"/>
        <v>1798339.92</v>
      </c>
      <c r="M14" s="72">
        <f t="shared" si="1"/>
        <v>1548115.6</v>
      </c>
      <c r="N14" s="72">
        <f t="shared" si="1"/>
        <v>1960377.79</v>
      </c>
      <c r="O14" s="72">
        <f t="shared" si="1"/>
        <v>2086946.61</v>
      </c>
      <c r="P14" s="72">
        <f t="shared" si="0"/>
        <v>21611884</v>
      </c>
      <c r="Q14" s="68"/>
      <c r="R14" s="66"/>
      <c r="S14" s="66"/>
      <c r="T14" s="66"/>
      <c r="U14" s="66"/>
      <c r="V14" s="66"/>
      <c r="W14" s="66"/>
      <c r="X14" s="66"/>
    </row>
    <row r="15" spans="1:24">
      <c r="A15" s="71"/>
      <c r="B15" s="71" t="s">
        <v>229</v>
      </c>
      <c r="C15" s="71"/>
      <c r="D15" s="72"/>
      <c r="E15" s="72"/>
      <c r="F15" s="72"/>
      <c r="G15" s="72"/>
      <c r="H15" s="72"/>
      <c r="I15" s="72"/>
      <c r="J15" s="72"/>
      <c r="K15" s="72"/>
      <c r="L15" s="72"/>
      <c r="M15" s="72"/>
      <c r="N15" s="72"/>
      <c r="O15" s="72"/>
      <c r="P15" s="72"/>
      <c r="Q15" s="68"/>
      <c r="R15" s="66"/>
      <c r="S15" s="66"/>
      <c r="T15" s="66"/>
      <c r="U15" s="66"/>
      <c r="V15" s="66"/>
      <c r="W15" s="66"/>
      <c r="X15" s="66"/>
    </row>
    <row r="16" spans="1:24">
      <c r="A16" s="71"/>
      <c r="B16" s="71" t="s">
        <v>230</v>
      </c>
      <c r="C16" s="71"/>
      <c r="D16" s="72">
        <v>0</v>
      </c>
      <c r="E16" s="72">
        <v>0</v>
      </c>
      <c r="F16" s="72">
        <v>0</v>
      </c>
      <c r="G16" s="72">
        <v>0</v>
      </c>
      <c r="H16" s="72">
        <v>0</v>
      </c>
      <c r="I16" s="72">
        <v>0</v>
      </c>
      <c r="J16" s="72">
        <v>0</v>
      </c>
      <c r="K16" s="72">
        <v>0</v>
      </c>
      <c r="L16" s="72">
        <v>0</v>
      </c>
      <c r="M16" s="72">
        <v>0</v>
      </c>
      <c r="N16" s="72">
        <v>0</v>
      </c>
      <c r="O16" s="72">
        <v>33844.019999999997</v>
      </c>
      <c r="P16" s="72">
        <f t="shared" ref="P16:P21" si="2">ROUND(SUM(D16:O16),5)</f>
        <v>33844.019999999997</v>
      </c>
      <c r="Q16" s="68"/>
      <c r="R16" s="66"/>
      <c r="S16" s="66"/>
      <c r="T16" s="66"/>
      <c r="U16" s="66"/>
      <c r="V16" s="66"/>
      <c r="W16" s="66"/>
      <c r="X16" s="66"/>
    </row>
    <row r="17" spans="1:24">
      <c r="A17" s="71"/>
      <c r="B17" s="71" t="s">
        <v>231</v>
      </c>
      <c r="C17" s="71"/>
      <c r="D17" s="72">
        <v>0</v>
      </c>
      <c r="E17" s="72">
        <v>0</v>
      </c>
      <c r="F17" s="72">
        <v>0</v>
      </c>
      <c r="G17" s="72">
        <v>0</v>
      </c>
      <c r="H17" s="72">
        <v>0</v>
      </c>
      <c r="I17" s="72">
        <v>0</v>
      </c>
      <c r="J17" s="72">
        <v>0</v>
      </c>
      <c r="K17" s="72">
        <v>0</v>
      </c>
      <c r="L17" s="72">
        <v>0</v>
      </c>
      <c r="M17" s="72">
        <v>0</v>
      </c>
      <c r="N17" s="72">
        <v>0</v>
      </c>
      <c r="O17" s="72">
        <v>2286.7600000000002</v>
      </c>
      <c r="P17" s="72">
        <f t="shared" si="2"/>
        <v>2286.7600000000002</v>
      </c>
      <c r="Q17" s="68"/>
      <c r="R17" s="66"/>
      <c r="S17" s="66"/>
      <c r="T17" s="66"/>
      <c r="U17" s="66"/>
      <c r="V17" s="66"/>
      <c r="W17" s="66"/>
      <c r="X17" s="66"/>
    </row>
    <row r="18" spans="1:24" ht="15.75" thickBot="1">
      <c r="A18" s="71"/>
      <c r="B18" s="71" t="s">
        <v>232</v>
      </c>
      <c r="C18" s="71"/>
      <c r="D18" s="72">
        <v>0</v>
      </c>
      <c r="E18" s="72">
        <v>0</v>
      </c>
      <c r="F18" s="72">
        <v>0</v>
      </c>
      <c r="G18" s="72">
        <v>0</v>
      </c>
      <c r="H18" s="72">
        <v>0</v>
      </c>
      <c r="I18" s="72">
        <v>0</v>
      </c>
      <c r="J18" s="72">
        <v>0</v>
      </c>
      <c r="K18" s="72">
        <v>0</v>
      </c>
      <c r="L18" s="72">
        <v>0</v>
      </c>
      <c r="M18" s="72">
        <v>0</v>
      </c>
      <c r="N18" s="72">
        <v>0</v>
      </c>
      <c r="O18" s="72">
        <v>9604.3799999999992</v>
      </c>
      <c r="P18" s="72">
        <f t="shared" si="2"/>
        <v>9604.3799999999992</v>
      </c>
      <c r="Q18" s="68"/>
      <c r="R18" s="66"/>
      <c r="S18" s="66"/>
      <c r="T18" s="66"/>
      <c r="U18" s="66"/>
      <c r="V18" s="66"/>
      <c r="W18" s="66"/>
      <c r="X18" s="66"/>
    </row>
    <row r="19" spans="1:24" ht="15.75" thickBot="1">
      <c r="A19" s="71"/>
      <c r="B19" s="71" t="s">
        <v>233</v>
      </c>
      <c r="C19" s="71"/>
      <c r="D19" s="74">
        <f t="shared" ref="D19:O19" si="3">ROUND(SUM(D15:D18),5)</f>
        <v>0</v>
      </c>
      <c r="E19" s="74">
        <f t="shared" si="3"/>
        <v>0</v>
      </c>
      <c r="F19" s="74">
        <f t="shared" si="3"/>
        <v>0</v>
      </c>
      <c r="G19" s="74">
        <f t="shared" si="3"/>
        <v>0</v>
      </c>
      <c r="H19" s="74">
        <f t="shared" si="3"/>
        <v>0</v>
      </c>
      <c r="I19" s="74">
        <f t="shared" si="3"/>
        <v>0</v>
      </c>
      <c r="J19" s="74">
        <f t="shared" si="3"/>
        <v>0</v>
      </c>
      <c r="K19" s="74">
        <f t="shared" si="3"/>
        <v>0</v>
      </c>
      <c r="L19" s="74">
        <f t="shared" si="3"/>
        <v>0</v>
      </c>
      <c r="M19" s="74">
        <f t="shared" si="3"/>
        <v>0</v>
      </c>
      <c r="N19" s="74">
        <f t="shared" si="3"/>
        <v>0</v>
      </c>
      <c r="O19" s="74">
        <f t="shared" si="3"/>
        <v>45735.16</v>
      </c>
      <c r="P19" s="74">
        <f t="shared" si="2"/>
        <v>45735.16</v>
      </c>
      <c r="Q19" s="68"/>
      <c r="R19" s="66"/>
      <c r="S19" s="66"/>
      <c r="T19" s="66"/>
      <c r="U19" s="66"/>
      <c r="V19" s="66"/>
      <c r="W19" s="66"/>
      <c r="X19" s="66"/>
    </row>
    <row r="20" spans="1:24" ht="15.75" thickBot="1">
      <c r="A20" s="71"/>
      <c r="B20" s="71" t="s">
        <v>234</v>
      </c>
      <c r="C20" s="71"/>
      <c r="D20" s="75">
        <f t="shared" ref="D20:O20" si="4">ROUND(D3+D14+D19,5)</f>
        <v>1678663.07</v>
      </c>
      <c r="E20" s="75">
        <f t="shared" si="4"/>
        <v>1556582.19</v>
      </c>
      <c r="F20" s="75">
        <f t="shared" si="4"/>
        <v>1699618.69</v>
      </c>
      <c r="G20" s="75">
        <f t="shared" si="4"/>
        <v>1986555.65</v>
      </c>
      <c r="H20" s="75">
        <f t="shared" si="4"/>
        <v>1692973.24</v>
      </c>
      <c r="I20" s="75">
        <f t="shared" si="4"/>
        <v>1687664.33</v>
      </c>
      <c r="J20" s="75">
        <f t="shared" si="4"/>
        <v>1892542.41</v>
      </c>
      <c r="K20" s="75">
        <f t="shared" si="4"/>
        <v>2023504.5</v>
      </c>
      <c r="L20" s="75">
        <f t="shared" si="4"/>
        <v>1798339.92</v>
      </c>
      <c r="M20" s="75">
        <f t="shared" si="4"/>
        <v>1548115.6</v>
      </c>
      <c r="N20" s="75">
        <f t="shared" si="4"/>
        <v>1960377.79</v>
      </c>
      <c r="O20" s="75">
        <f t="shared" si="4"/>
        <v>2132681.77</v>
      </c>
      <c r="P20" s="75">
        <f t="shared" si="2"/>
        <v>21657619.16</v>
      </c>
      <c r="Q20" s="68"/>
      <c r="R20" s="66"/>
      <c r="S20" s="66"/>
      <c r="T20" s="66"/>
      <c r="U20" s="66"/>
      <c r="V20" s="66"/>
      <c r="W20" s="66"/>
      <c r="X20" s="66"/>
    </row>
    <row r="21" spans="1:24">
      <c r="A21" s="71"/>
      <c r="B21" s="71" t="s">
        <v>235</v>
      </c>
      <c r="C21" s="76"/>
      <c r="D21" s="72">
        <f t="shared" ref="D21:O21" si="5">D20</f>
        <v>1678663.07</v>
      </c>
      <c r="E21" s="72">
        <f t="shared" si="5"/>
        <v>1556582.19</v>
      </c>
      <c r="F21" s="72">
        <f t="shared" si="5"/>
        <v>1699618.69</v>
      </c>
      <c r="G21" s="72">
        <f t="shared" si="5"/>
        <v>1986555.65</v>
      </c>
      <c r="H21" s="72">
        <f t="shared" si="5"/>
        <v>1692973.24</v>
      </c>
      <c r="I21" s="72">
        <f t="shared" si="5"/>
        <v>1687664.33</v>
      </c>
      <c r="J21" s="72">
        <f t="shared" si="5"/>
        <v>1892542.41</v>
      </c>
      <c r="K21" s="72">
        <f t="shared" si="5"/>
        <v>2023504.5</v>
      </c>
      <c r="L21" s="72">
        <f t="shared" si="5"/>
        <v>1798339.92</v>
      </c>
      <c r="M21" s="72">
        <f t="shared" si="5"/>
        <v>1548115.6</v>
      </c>
      <c r="N21" s="72">
        <f t="shared" si="5"/>
        <v>1960377.79</v>
      </c>
      <c r="O21" s="72">
        <f t="shared" si="5"/>
        <v>2132681.77</v>
      </c>
      <c r="P21" s="72">
        <f t="shared" si="2"/>
        <v>21657619.16</v>
      </c>
      <c r="Q21" s="68"/>
      <c r="R21" s="66"/>
      <c r="S21" s="66"/>
      <c r="T21" s="66"/>
      <c r="U21" s="66"/>
      <c r="V21" s="66"/>
      <c r="W21" s="66"/>
      <c r="X21" s="66"/>
    </row>
    <row r="22" spans="1:24">
      <c r="A22" s="71"/>
      <c r="B22" s="71"/>
      <c r="C22" s="76"/>
      <c r="D22" s="72"/>
      <c r="E22" s="72"/>
      <c r="F22" s="72"/>
      <c r="G22" s="72"/>
      <c r="H22" s="72"/>
      <c r="I22" s="72"/>
      <c r="J22" s="72"/>
      <c r="K22" s="72"/>
      <c r="L22" s="72"/>
      <c r="M22" s="72"/>
      <c r="N22" s="72"/>
      <c r="O22" s="72"/>
      <c r="P22" s="72"/>
      <c r="Q22" s="68"/>
      <c r="R22" s="66"/>
      <c r="S22" s="66"/>
      <c r="T22" s="66"/>
      <c r="U22" s="66"/>
      <c r="V22" s="66"/>
      <c r="W22" s="66"/>
      <c r="X22" s="66"/>
    </row>
    <row r="23" spans="1:24">
      <c r="A23" s="71"/>
      <c r="B23" s="71" t="s">
        <v>236</v>
      </c>
      <c r="C23" s="71"/>
      <c r="D23" s="72"/>
      <c r="E23" s="72"/>
      <c r="F23" s="72"/>
      <c r="G23" s="72"/>
      <c r="H23" s="72"/>
      <c r="I23" s="72"/>
      <c r="J23" s="72"/>
      <c r="K23" s="72"/>
      <c r="L23" s="72"/>
      <c r="M23" s="72"/>
      <c r="N23" s="72"/>
      <c r="O23" s="72"/>
      <c r="P23" s="72"/>
      <c r="Q23" s="68"/>
      <c r="R23" s="66"/>
      <c r="S23" s="66"/>
      <c r="T23" s="66"/>
      <c r="U23" s="66"/>
      <c r="V23" s="66"/>
      <c r="W23" s="66"/>
      <c r="X23" s="66"/>
    </row>
    <row r="24" spans="1:24">
      <c r="A24" s="71"/>
      <c r="B24" s="71" t="s">
        <v>237</v>
      </c>
      <c r="C24" s="71"/>
      <c r="D24" s="72">
        <v>0</v>
      </c>
      <c r="E24" s="72">
        <v>0</v>
      </c>
      <c r="F24" s="72">
        <v>0</v>
      </c>
      <c r="G24" s="72">
        <v>102.76</v>
      </c>
      <c r="H24" s="72">
        <v>0</v>
      </c>
      <c r="I24" s="72">
        <v>10</v>
      </c>
      <c r="J24" s="72">
        <v>0</v>
      </c>
      <c r="K24" s="72">
        <v>0</v>
      </c>
      <c r="L24" s="72">
        <v>1335</v>
      </c>
      <c r="M24" s="72">
        <v>0</v>
      </c>
      <c r="N24" s="72">
        <v>0</v>
      </c>
      <c r="O24" s="72">
        <v>143.01</v>
      </c>
      <c r="P24" s="72">
        <f>ROUND(SUM(D24:O24),5)</f>
        <v>1590.77</v>
      </c>
      <c r="Q24" s="68"/>
      <c r="R24" s="66"/>
      <c r="S24" s="66"/>
      <c r="T24" s="66"/>
      <c r="U24" s="66"/>
      <c r="V24" s="66"/>
      <c r="W24" s="66"/>
      <c r="X24" s="66"/>
    </row>
    <row r="25" spans="1:24">
      <c r="A25" s="71"/>
      <c r="B25" s="71" t="s">
        <v>238</v>
      </c>
      <c r="C25" s="71"/>
      <c r="D25" s="72">
        <v>0</v>
      </c>
      <c r="E25" s="72">
        <v>0</v>
      </c>
      <c r="F25" s="72">
        <v>38</v>
      </c>
      <c r="G25" s="72">
        <v>0</v>
      </c>
      <c r="H25" s="72">
        <v>0</v>
      </c>
      <c r="I25" s="72">
        <v>0</v>
      </c>
      <c r="J25" s="72">
        <v>13622.76</v>
      </c>
      <c r="K25" s="72">
        <v>0</v>
      </c>
      <c r="L25" s="72">
        <v>420.56</v>
      </c>
      <c r="M25" s="72">
        <v>0</v>
      </c>
      <c r="N25" s="72">
        <v>0</v>
      </c>
      <c r="O25" s="72">
        <v>195.54</v>
      </c>
      <c r="P25" s="72">
        <f>ROUND(SUM(D25:O25),5)</f>
        <v>14276.86</v>
      </c>
      <c r="Q25" s="68"/>
      <c r="R25" s="66"/>
      <c r="S25" s="66"/>
      <c r="T25" s="66"/>
      <c r="U25" s="66"/>
      <c r="V25" s="66"/>
      <c r="W25" s="66"/>
      <c r="X25" s="66"/>
    </row>
    <row r="26" spans="1:24">
      <c r="A26" s="71"/>
      <c r="B26" s="71" t="s">
        <v>239</v>
      </c>
      <c r="C26" s="71"/>
      <c r="D26" s="72"/>
      <c r="E26" s="72"/>
      <c r="F26" s="72"/>
      <c r="G26" s="72"/>
      <c r="H26" s="72"/>
      <c r="I26" s="72"/>
      <c r="J26" s="72"/>
      <c r="K26" s="72"/>
      <c r="L26" s="72"/>
      <c r="M26" s="72"/>
      <c r="N26" s="72"/>
      <c r="O26" s="72"/>
      <c r="P26" s="72"/>
      <c r="Q26" s="68"/>
      <c r="R26" s="66"/>
      <c r="S26" s="66"/>
      <c r="T26" s="66"/>
      <c r="U26" s="66"/>
      <c r="V26" s="66"/>
      <c r="W26" s="66"/>
      <c r="X26" s="66"/>
    </row>
    <row r="27" spans="1:24">
      <c r="A27" s="71"/>
      <c r="B27" s="71" t="s">
        <v>240</v>
      </c>
      <c r="C27" s="71"/>
      <c r="D27" s="72">
        <v>44049.2</v>
      </c>
      <c r="E27" s="72">
        <v>59758.04</v>
      </c>
      <c r="F27" s="72">
        <v>63955.71</v>
      </c>
      <c r="G27" s="72">
        <v>59879.72</v>
      </c>
      <c r="H27" s="72">
        <v>60659.19</v>
      </c>
      <c r="I27" s="72">
        <v>46845.02</v>
      </c>
      <c r="J27" s="72">
        <v>39805.25</v>
      </c>
      <c r="K27" s="72">
        <v>71057.77</v>
      </c>
      <c r="L27" s="72">
        <v>61320.14</v>
      </c>
      <c r="M27" s="72">
        <v>79636.69</v>
      </c>
      <c r="N27" s="72">
        <v>68433.63</v>
      </c>
      <c r="O27" s="72">
        <v>58835.72</v>
      </c>
      <c r="P27" s="72">
        <f t="shared" ref="P27:P35" si="6">ROUND(SUM(D27:O27),5)</f>
        <v>714236.08</v>
      </c>
      <c r="Q27" s="68"/>
      <c r="R27" s="66"/>
      <c r="S27" s="66"/>
      <c r="T27" s="66"/>
      <c r="U27" s="66"/>
      <c r="V27" s="66"/>
      <c r="W27" s="66"/>
      <c r="X27" s="66"/>
    </row>
    <row r="28" spans="1:24">
      <c r="A28" s="71"/>
      <c r="B28" s="71" t="s">
        <v>241</v>
      </c>
      <c r="C28" s="71"/>
      <c r="D28" s="72">
        <v>62975.360000000001</v>
      </c>
      <c r="E28" s="72">
        <v>50755.97</v>
      </c>
      <c r="F28" s="72">
        <v>64857.26</v>
      </c>
      <c r="G28" s="72">
        <v>69217.119999999995</v>
      </c>
      <c r="H28" s="72">
        <v>75779.67</v>
      </c>
      <c r="I28" s="72">
        <v>69876.47</v>
      </c>
      <c r="J28" s="72">
        <v>61872.04</v>
      </c>
      <c r="K28" s="72">
        <v>65968.45</v>
      </c>
      <c r="L28" s="72">
        <v>53180.09</v>
      </c>
      <c r="M28" s="72">
        <v>44959.48</v>
      </c>
      <c r="N28" s="72">
        <v>63700.67</v>
      </c>
      <c r="O28" s="72">
        <v>63774.86</v>
      </c>
      <c r="P28" s="72">
        <f t="shared" si="6"/>
        <v>746917.44</v>
      </c>
      <c r="Q28" s="68"/>
      <c r="R28" s="66"/>
      <c r="S28" s="66"/>
      <c r="T28" s="66"/>
      <c r="U28" s="66"/>
      <c r="V28" s="66"/>
      <c r="W28" s="66"/>
      <c r="X28" s="66"/>
    </row>
    <row r="29" spans="1:24">
      <c r="A29" s="71"/>
      <c r="B29" s="71" t="s">
        <v>242</v>
      </c>
      <c r="C29" s="71"/>
      <c r="D29" s="72">
        <v>61976.04</v>
      </c>
      <c r="E29" s="72">
        <v>26968.46</v>
      </c>
      <c r="F29" s="72">
        <v>64911.97</v>
      </c>
      <c r="G29" s="72">
        <v>56137.67</v>
      </c>
      <c r="H29" s="72">
        <v>38643.47</v>
      </c>
      <c r="I29" s="72">
        <v>59173.66</v>
      </c>
      <c r="J29" s="72">
        <v>46732.04</v>
      </c>
      <c r="K29" s="72">
        <v>24333.79</v>
      </c>
      <c r="L29" s="72">
        <v>46760.45</v>
      </c>
      <c r="M29" s="72">
        <v>84204</v>
      </c>
      <c r="N29" s="72">
        <v>47365.87</v>
      </c>
      <c r="O29" s="72">
        <v>49556.5</v>
      </c>
      <c r="P29" s="72">
        <f t="shared" si="6"/>
        <v>606763.92000000004</v>
      </c>
      <c r="Q29" s="68"/>
      <c r="R29" s="66"/>
      <c r="S29" s="66"/>
      <c r="T29" s="66"/>
      <c r="U29" s="66"/>
      <c r="V29" s="66"/>
      <c r="W29" s="66"/>
      <c r="X29" s="66"/>
    </row>
    <row r="30" spans="1:24">
      <c r="A30" s="71"/>
      <c r="B30" s="71" t="s">
        <v>243</v>
      </c>
      <c r="C30" s="71"/>
      <c r="D30" s="72">
        <v>9474.1200000000008</v>
      </c>
      <c r="E30" s="72">
        <v>7561.6</v>
      </c>
      <c r="F30" s="72">
        <v>20878.16</v>
      </c>
      <c r="G30" s="72">
        <v>14073.74</v>
      </c>
      <c r="H30" s="72">
        <v>8236.2800000000007</v>
      </c>
      <c r="I30" s="72">
        <v>2225.7399999999998</v>
      </c>
      <c r="J30" s="72">
        <v>20626.95</v>
      </c>
      <c r="K30" s="72">
        <v>13976.6</v>
      </c>
      <c r="L30" s="72">
        <v>5330.91</v>
      </c>
      <c r="M30" s="72">
        <v>16686.5</v>
      </c>
      <c r="N30" s="72">
        <v>12819.45</v>
      </c>
      <c r="O30" s="72">
        <v>27920.880000000001</v>
      </c>
      <c r="P30" s="72">
        <f t="shared" si="6"/>
        <v>159810.93</v>
      </c>
      <c r="Q30" s="68"/>
      <c r="R30" s="66"/>
      <c r="S30" s="66"/>
      <c r="T30" s="66"/>
      <c r="U30" s="66"/>
      <c r="V30" s="66"/>
      <c r="W30" s="66"/>
      <c r="X30" s="66"/>
    </row>
    <row r="31" spans="1:24">
      <c r="A31" s="71"/>
      <c r="B31" s="71" t="s">
        <v>244</v>
      </c>
      <c r="C31" s="71"/>
      <c r="D31" s="72">
        <v>1091.4100000000001</v>
      </c>
      <c r="E31" s="72">
        <v>13329.18</v>
      </c>
      <c r="F31" s="72">
        <v>10770.9</v>
      </c>
      <c r="G31" s="72">
        <v>5914.09</v>
      </c>
      <c r="H31" s="72">
        <v>24294.03</v>
      </c>
      <c r="I31" s="72">
        <v>9163.9500000000007</v>
      </c>
      <c r="J31" s="72">
        <v>6714.47</v>
      </c>
      <c r="K31" s="72">
        <v>2049.5300000000002</v>
      </c>
      <c r="L31" s="72">
        <v>7940.85</v>
      </c>
      <c r="M31" s="72">
        <v>3412.58</v>
      </c>
      <c r="N31" s="72">
        <v>9096.1200000000008</v>
      </c>
      <c r="O31" s="72">
        <v>11568.42</v>
      </c>
      <c r="P31" s="72">
        <f t="shared" si="6"/>
        <v>105345.53</v>
      </c>
      <c r="Q31" s="68"/>
      <c r="R31" s="66"/>
      <c r="S31" s="66"/>
      <c r="T31" s="66"/>
      <c r="U31" s="66"/>
      <c r="V31" s="66"/>
      <c r="W31" s="66"/>
      <c r="X31" s="66"/>
    </row>
    <row r="32" spans="1:24">
      <c r="A32" s="71"/>
      <c r="B32" s="71" t="s">
        <v>245</v>
      </c>
      <c r="C32" s="71"/>
      <c r="D32" s="72">
        <v>6528.78</v>
      </c>
      <c r="E32" s="72">
        <v>0</v>
      </c>
      <c r="F32" s="72">
        <v>2030.48</v>
      </c>
      <c r="G32" s="72">
        <v>0</v>
      </c>
      <c r="H32" s="72">
        <v>10625.38</v>
      </c>
      <c r="I32" s="72">
        <v>335.17</v>
      </c>
      <c r="J32" s="72">
        <v>1323.07</v>
      </c>
      <c r="K32" s="72">
        <v>2376.08</v>
      </c>
      <c r="L32" s="72">
        <v>2004.06</v>
      </c>
      <c r="M32" s="72">
        <v>3222.07</v>
      </c>
      <c r="N32" s="72">
        <v>505.64</v>
      </c>
      <c r="O32" s="72">
        <v>7797.36</v>
      </c>
      <c r="P32" s="72">
        <f t="shared" si="6"/>
        <v>36748.089999999997</v>
      </c>
      <c r="Q32" s="68"/>
      <c r="R32" s="66"/>
      <c r="S32" s="66"/>
      <c r="T32" s="66"/>
      <c r="U32" s="66"/>
      <c r="V32" s="66"/>
      <c r="W32" s="66"/>
      <c r="X32" s="66"/>
    </row>
    <row r="33" spans="1:24">
      <c r="A33" s="71"/>
      <c r="B33" s="71" t="s">
        <v>246</v>
      </c>
      <c r="C33" s="71"/>
      <c r="D33" s="72">
        <v>20868.45</v>
      </c>
      <c r="E33" s="72">
        <v>32575.17</v>
      </c>
      <c r="F33" s="72">
        <v>42499.03</v>
      </c>
      <c r="G33" s="72">
        <v>16792.63</v>
      </c>
      <c r="H33" s="72">
        <v>62310.81</v>
      </c>
      <c r="I33" s="72">
        <v>47331.12</v>
      </c>
      <c r="J33" s="72">
        <v>28681.34</v>
      </c>
      <c r="K33" s="72">
        <v>19587.310000000001</v>
      </c>
      <c r="L33" s="72">
        <v>25351.88</v>
      </c>
      <c r="M33" s="72">
        <v>29906.03</v>
      </c>
      <c r="N33" s="72">
        <v>10496.65</v>
      </c>
      <c r="O33" s="72">
        <v>7872.81</v>
      </c>
      <c r="P33" s="72">
        <f t="shared" si="6"/>
        <v>344273.23</v>
      </c>
      <c r="Q33" s="68"/>
      <c r="R33" s="66"/>
      <c r="S33" s="66"/>
      <c r="T33" s="66"/>
      <c r="U33" s="66"/>
      <c r="V33" s="66"/>
      <c r="W33" s="66"/>
      <c r="X33" s="66"/>
    </row>
    <row r="34" spans="1:24" ht="15.75" thickBot="1">
      <c r="A34" s="71"/>
      <c r="B34" s="71" t="s">
        <v>247</v>
      </c>
      <c r="C34" s="71"/>
      <c r="D34" s="73">
        <v>8989.36</v>
      </c>
      <c r="E34" s="73">
        <v>35462.400000000001</v>
      </c>
      <c r="F34" s="73">
        <v>23743.96</v>
      </c>
      <c r="G34" s="73">
        <v>1266.3900000000001</v>
      </c>
      <c r="H34" s="73">
        <v>12367.57</v>
      </c>
      <c r="I34" s="73">
        <v>3127.72</v>
      </c>
      <c r="J34" s="73">
        <v>18046.5</v>
      </c>
      <c r="K34" s="73">
        <v>13497.86</v>
      </c>
      <c r="L34" s="73">
        <v>11603.31</v>
      </c>
      <c r="M34" s="73">
        <v>9483.6200000000008</v>
      </c>
      <c r="N34" s="73">
        <v>4583.01</v>
      </c>
      <c r="O34" s="73">
        <v>12963.6</v>
      </c>
      <c r="P34" s="73">
        <f t="shared" si="6"/>
        <v>155135.29999999999</v>
      </c>
      <c r="Q34" s="68"/>
      <c r="R34" s="66"/>
      <c r="S34" s="66"/>
      <c r="T34" s="66"/>
      <c r="U34" s="66"/>
      <c r="V34" s="66"/>
      <c r="W34" s="66"/>
      <c r="X34" s="66"/>
    </row>
    <row r="35" spans="1:24">
      <c r="A35" s="71"/>
      <c r="B35" s="71" t="s">
        <v>248</v>
      </c>
      <c r="C35" s="71"/>
      <c r="D35" s="72">
        <f>ROUND(SUM(D27:D34),5)</f>
        <v>215952.72</v>
      </c>
      <c r="E35" s="72">
        <f t="shared" ref="E35:O35" si="7">ROUND(SUM(E27:E34),5)</f>
        <v>226410.82</v>
      </c>
      <c r="F35" s="72">
        <f t="shared" si="7"/>
        <v>293647.46999999997</v>
      </c>
      <c r="G35" s="72">
        <f t="shared" si="7"/>
        <v>223281.36</v>
      </c>
      <c r="H35" s="72">
        <f t="shared" si="7"/>
        <v>292916.40000000002</v>
      </c>
      <c r="I35" s="72">
        <f t="shared" si="7"/>
        <v>238078.85</v>
      </c>
      <c r="J35" s="72">
        <f t="shared" si="7"/>
        <v>223801.66</v>
      </c>
      <c r="K35" s="72">
        <f t="shared" si="7"/>
        <v>212847.39</v>
      </c>
      <c r="L35" s="72">
        <f t="shared" si="7"/>
        <v>213491.69</v>
      </c>
      <c r="M35" s="72">
        <f t="shared" si="7"/>
        <v>271510.96999999997</v>
      </c>
      <c r="N35" s="72">
        <f t="shared" si="7"/>
        <v>217001.04</v>
      </c>
      <c r="O35" s="72">
        <f t="shared" si="7"/>
        <v>240290.15</v>
      </c>
      <c r="P35" s="72">
        <f t="shared" si="6"/>
        <v>2869230.52</v>
      </c>
      <c r="Q35" s="68"/>
      <c r="R35" s="66"/>
      <c r="S35" s="66"/>
      <c r="T35" s="66"/>
      <c r="U35" s="66"/>
      <c r="V35" s="66"/>
      <c r="W35" s="66"/>
      <c r="X35" s="66"/>
    </row>
    <row r="36" spans="1:24">
      <c r="A36" s="71"/>
      <c r="B36" s="71"/>
      <c r="C36" s="71"/>
      <c r="D36" s="72"/>
      <c r="E36" s="72"/>
      <c r="F36" s="72"/>
      <c r="G36" s="72"/>
      <c r="H36" s="72"/>
      <c r="I36" s="72"/>
      <c r="J36" s="72"/>
      <c r="K36" s="72"/>
      <c r="L36" s="72"/>
      <c r="M36" s="72"/>
      <c r="N36" s="72"/>
      <c r="O36" s="72"/>
      <c r="P36" s="72"/>
      <c r="Q36" s="68"/>
      <c r="R36" s="66"/>
      <c r="S36" s="66"/>
      <c r="T36" s="66"/>
      <c r="U36" s="66"/>
      <c r="V36" s="66"/>
      <c r="W36" s="66"/>
      <c r="X36" s="66"/>
    </row>
    <row r="37" spans="1:24">
      <c r="A37" s="71"/>
      <c r="B37" s="71" t="s">
        <v>249</v>
      </c>
      <c r="C37" s="71"/>
      <c r="D37" s="72"/>
      <c r="E37" s="72"/>
      <c r="F37" s="72"/>
      <c r="G37" s="72"/>
      <c r="H37" s="72"/>
      <c r="I37" s="72"/>
      <c r="J37" s="72"/>
      <c r="K37" s="72"/>
      <c r="L37" s="72"/>
      <c r="M37" s="72"/>
      <c r="N37" s="72"/>
      <c r="O37" s="72"/>
      <c r="P37" s="72"/>
      <c r="Q37" s="68"/>
      <c r="R37" s="66"/>
      <c r="S37" s="66"/>
      <c r="T37" s="66"/>
      <c r="U37" s="66"/>
      <c r="V37" s="66"/>
      <c r="W37" s="66"/>
      <c r="X37" s="66"/>
    </row>
    <row r="38" spans="1:24">
      <c r="A38" s="71"/>
      <c r="B38" s="71" t="s">
        <v>250</v>
      </c>
      <c r="C38" s="71"/>
      <c r="D38" s="72">
        <v>1170.49</v>
      </c>
      <c r="E38" s="72">
        <v>3683.95</v>
      </c>
      <c r="F38" s="72">
        <v>3495.11</v>
      </c>
      <c r="G38" s="72">
        <v>13088.35</v>
      </c>
      <c r="H38" s="72">
        <v>6505.27</v>
      </c>
      <c r="I38" s="72">
        <v>0</v>
      </c>
      <c r="J38" s="72">
        <v>4210.46</v>
      </c>
      <c r="K38" s="72">
        <v>0</v>
      </c>
      <c r="L38" s="72">
        <v>5661.35</v>
      </c>
      <c r="M38" s="72">
        <v>0</v>
      </c>
      <c r="N38" s="72">
        <v>2811.75</v>
      </c>
      <c r="O38" s="72">
        <v>951.2</v>
      </c>
      <c r="P38" s="72">
        <f t="shared" ref="P38:P46" si="8">ROUND(SUM(D38:O38),5)</f>
        <v>41577.93</v>
      </c>
      <c r="Q38" s="68"/>
      <c r="R38" s="66"/>
      <c r="S38" s="66"/>
      <c r="T38" s="66"/>
      <c r="U38" s="66"/>
      <c r="V38" s="66"/>
      <c r="W38" s="66"/>
      <c r="X38" s="66"/>
    </row>
    <row r="39" spans="1:24">
      <c r="A39" s="71"/>
      <c r="B39" s="71" t="s">
        <v>251</v>
      </c>
      <c r="C39" s="71"/>
      <c r="D39" s="72">
        <v>169.12</v>
      </c>
      <c r="E39" s="72">
        <v>4334.8999999999996</v>
      </c>
      <c r="F39" s="72">
        <v>5384.05</v>
      </c>
      <c r="G39" s="72">
        <v>3185.66</v>
      </c>
      <c r="H39" s="72">
        <v>12058.19</v>
      </c>
      <c r="I39" s="72">
        <v>2879.45</v>
      </c>
      <c r="J39" s="72">
        <v>5731.41</v>
      </c>
      <c r="K39" s="72">
        <v>0</v>
      </c>
      <c r="L39" s="72">
        <v>5394.68</v>
      </c>
      <c r="M39" s="72">
        <v>0</v>
      </c>
      <c r="N39" s="72">
        <v>0</v>
      </c>
      <c r="O39" s="72">
        <v>290.67</v>
      </c>
      <c r="P39" s="72">
        <f t="shared" si="8"/>
        <v>39428.129999999997</v>
      </c>
      <c r="Q39" s="68"/>
      <c r="R39" s="66"/>
      <c r="S39" s="66"/>
      <c r="T39" s="66"/>
      <c r="U39" s="66"/>
      <c r="V39" s="66"/>
      <c r="W39" s="66"/>
      <c r="X39" s="66"/>
    </row>
    <row r="40" spans="1:24">
      <c r="A40" s="71"/>
      <c r="B40" s="71" t="s">
        <v>252</v>
      </c>
      <c r="C40" s="71"/>
      <c r="D40" s="72">
        <v>48.35</v>
      </c>
      <c r="E40" s="72">
        <v>0</v>
      </c>
      <c r="F40" s="72">
        <v>0</v>
      </c>
      <c r="G40" s="72">
        <v>120.77</v>
      </c>
      <c r="H40" s="72">
        <v>0</v>
      </c>
      <c r="I40" s="72">
        <v>0</v>
      </c>
      <c r="J40" s="72">
        <v>0</v>
      </c>
      <c r="K40" s="72">
        <v>0</v>
      </c>
      <c r="L40" s="72">
        <v>0</v>
      </c>
      <c r="M40" s="72">
        <v>0</v>
      </c>
      <c r="N40" s="72">
        <v>0</v>
      </c>
      <c r="O40" s="72">
        <v>7231.35</v>
      </c>
      <c r="P40" s="72">
        <f t="shared" si="8"/>
        <v>7400.47</v>
      </c>
      <c r="Q40" s="68"/>
      <c r="R40" s="66"/>
      <c r="S40" s="66"/>
      <c r="T40" s="66"/>
      <c r="U40" s="66"/>
      <c r="V40" s="66"/>
      <c r="W40" s="66"/>
      <c r="X40" s="66"/>
    </row>
    <row r="41" spans="1:24">
      <c r="A41" s="71"/>
      <c r="B41" s="71" t="s">
        <v>253</v>
      </c>
      <c r="C41" s="71"/>
      <c r="D41" s="72">
        <v>0</v>
      </c>
      <c r="E41" s="72">
        <v>0</v>
      </c>
      <c r="F41" s="72">
        <v>0</v>
      </c>
      <c r="G41" s="72">
        <v>0</v>
      </c>
      <c r="H41" s="72">
        <v>0</v>
      </c>
      <c r="I41" s="72">
        <v>0</v>
      </c>
      <c r="J41" s="72">
        <v>0</v>
      </c>
      <c r="K41" s="72">
        <v>756.22</v>
      </c>
      <c r="L41" s="72">
        <v>1219.73</v>
      </c>
      <c r="M41" s="72">
        <v>0</v>
      </c>
      <c r="N41" s="72">
        <v>0</v>
      </c>
      <c r="O41" s="72">
        <v>0</v>
      </c>
      <c r="P41" s="72">
        <f t="shared" si="8"/>
        <v>1975.95</v>
      </c>
      <c r="Q41" s="68"/>
      <c r="R41" s="66"/>
      <c r="S41" s="66"/>
      <c r="T41" s="66"/>
      <c r="U41" s="66"/>
      <c r="V41" s="66"/>
      <c r="W41" s="66"/>
      <c r="X41" s="66"/>
    </row>
    <row r="42" spans="1:24">
      <c r="A42" s="71"/>
      <c r="B42" s="71" t="s">
        <v>254</v>
      </c>
      <c r="C42" s="71"/>
      <c r="D42" s="72">
        <v>120.77</v>
      </c>
      <c r="E42" s="72">
        <v>2242.92</v>
      </c>
      <c r="F42" s="72">
        <v>379.9</v>
      </c>
      <c r="G42" s="72">
        <v>264.8</v>
      </c>
      <c r="H42" s="72">
        <v>3339.39</v>
      </c>
      <c r="I42" s="72">
        <v>348.81</v>
      </c>
      <c r="J42" s="72">
        <v>3418.88</v>
      </c>
      <c r="K42" s="72">
        <v>519.89</v>
      </c>
      <c r="L42" s="72">
        <v>582.64</v>
      </c>
      <c r="M42" s="72">
        <v>0</v>
      </c>
      <c r="N42" s="72">
        <v>1565.01</v>
      </c>
      <c r="O42" s="72">
        <v>1162.24</v>
      </c>
      <c r="P42" s="72">
        <f t="shared" si="8"/>
        <v>13945.25</v>
      </c>
      <c r="Q42" s="68"/>
      <c r="R42" s="66"/>
      <c r="S42" s="66"/>
      <c r="T42" s="66"/>
      <c r="U42" s="66"/>
      <c r="V42" s="66"/>
      <c r="W42" s="66"/>
      <c r="X42" s="66"/>
    </row>
    <row r="43" spans="1:24">
      <c r="A43" s="71"/>
      <c r="B43" s="71" t="s">
        <v>255</v>
      </c>
      <c r="C43" s="71"/>
      <c r="D43" s="72">
        <v>0</v>
      </c>
      <c r="E43" s="72">
        <v>1133.23</v>
      </c>
      <c r="F43" s="72">
        <v>886.45</v>
      </c>
      <c r="G43" s="72">
        <v>617.87</v>
      </c>
      <c r="H43" s="72">
        <v>1853.11</v>
      </c>
      <c r="I43" s="72">
        <v>813.88</v>
      </c>
      <c r="J43" s="72">
        <v>2661.31</v>
      </c>
      <c r="K43" s="72">
        <v>5327.58</v>
      </c>
      <c r="L43" s="72">
        <v>1359.47</v>
      </c>
      <c r="M43" s="72">
        <v>0</v>
      </c>
      <c r="N43" s="72">
        <v>0</v>
      </c>
      <c r="O43" s="72">
        <v>0</v>
      </c>
      <c r="P43" s="72">
        <f t="shared" si="8"/>
        <v>14652.9</v>
      </c>
      <c r="Q43" s="68"/>
      <c r="R43" s="66"/>
      <c r="S43" s="66"/>
      <c r="T43" s="66"/>
      <c r="U43" s="66"/>
      <c r="V43" s="66"/>
      <c r="W43" s="66"/>
      <c r="X43" s="66"/>
    </row>
    <row r="44" spans="1:24">
      <c r="A44" s="71"/>
      <c r="B44" s="71" t="s">
        <v>256</v>
      </c>
      <c r="C44" s="71"/>
      <c r="D44" s="72">
        <v>0</v>
      </c>
      <c r="E44" s="72">
        <v>120.77</v>
      </c>
      <c r="F44" s="72">
        <v>0</v>
      </c>
      <c r="G44" s="72">
        <v>0</v>
      </c>
      <c r="H44" s="72">
        <v>0</v>
      </c>
      <c r="I44" s="72">
        <v>0</v>
      </c>
      <c r="J44" s="72">
        <v>0</v>
      </c>
      <c r="K44" s="72">
        <v>0</v>
      </c>
      <c r="L44" s="72">
        <v>0</v>
      </c>
      <c r="M44" s="72">
        <v>0</v>
      </c>
      <c r="N44" s="72">
        <v>0</v>
      </c>
      <c r="O44" s="72">
        <v>0</v>
      </c>
      <c r="P44" s="72">
        <f t="shared" si="8"/>
        <v>120.77</v>
      </c>
      <c r="Q44" s="68"/>
      <c r="R44" s="66"/>
      <c r="S44" s="66"/>
      <c r="T44" s="66"/>
      <c r="U44" s="66"/>
      <c r="V44" s="66"/>
      <c r="W44" s="66"/>
      <c r="X44" s="66"/>
    </row>
    <row r="45" spans="1:24" ht="15.75" thickBot="1">
      <c r="A45" s="71"/>
      <c r="B45" s="71" t="s">
        <v>257</v>
      </c>
      <c r="C45" s="71"/>
      <c r="D45" s="73">
        <v>0</v>
      </c>
      <c r="E45" s="73">
        <v>165.13</v>
      </c>
      <c r="F45" s="73">
        <v>0</v>
      </c>
      <c r="G45" s="73">
        <v>0</v>
      </c>
      <c r="H45" s="73">
        <v>0</v>
      </c>
      <c r="I45" s="73">
        <v>0</v>
      </c>
      <c r="J45" s="73">
        <v>154.15</v>
      </c>
      <c r="K45" s="73">
        <v>2085.77</v>
      </c>
      <c r="L45" s="73">
        <v>0</v>
      </c>
      <c r="M45" s="73">
        <v>691.22</v>
      </c>
      <c r="N45" s="73">
        <v>212.79</v>
      </c>
      <c r="O45" s="73">
        <v>0</v>
      </c>
      <c r="P45" s="73">
        <f t="shared" si="8"/>
        <v>3309.06</v>
      </c>
      <c r="Q45" s="68"/>
      <c r="R45" s="66"/>
      <c r="S45" s="66"/>
      <c r="T45" s="66"/>
      <c r="U45" s="66"/>
      <c r="V45" s="66"/>
      <c r="W45" s="66"/>
      <c r="X45" s="66"/>
    </row>
    <row r="46" spans="1:24">
      <c r="A46" s="71"/>
      <c r="B46" s="71" t="s">
        <v>258</v>
      </c>
      <c r="C46" s="71"/>
      <c r="D46" s="72">
        <f t="shared" ref="D46:O46" si="9">ROUND(SUM(D37:D45),5)</f>
        <v>1508.73</v>
      </c>
      <c r="E46" s="72">
        <f t="shared" si="9"/>
        <v>11680.9</v>
      </c>
      <c r="F46" s="72">
        <f t="shared" si="9"/>
        <v>10145.51</v>
      </c>
      <c r="G46" s="72">
        <f t="shared" si="9"/>
        <v>17277.45</v>
      </c>
      <c r="H46" s="72">
        <f t="shared" si="9"/>
        <v>23755.96</v>
      </c>
      <c r="I46" s="72">
        <f t="shared" si="9"/>
        <v>4042.14</v>
      </c>
      <c r="J46" s="72">
        <f t="shared" si="9"/>
        <v>16176.21</v>
      </c>
      <c r="K46" s="72">
        <f t="shared" si="9"/>
        <v>8689.4599999999991</v>
      </c>
      <c r="L46" s="72">
        <f t="shared" si="9"/>
        <v>14217.87</v>
      </c>
      <c r="M46" s="72">
        <f t="shared" si="9"/>
        <v>691.22</v>
      </c>
      <c r="N46" s="72">
        <f t="shared" si="9"/>
        <v>4589.55</v>
      </c>
      <c r="O46" s="72">
        <f t="shared" si="9"/>
        <v>9635.4599999999991</v>
      </c>
      <c r="P46" s="72">
        <f t="shared" si="8"/>
        <v>122410.46</v>
      </c>
      <c r="Q46" s="68"/>
      <c r="R46" s="66"/>
      <c r="S46" s="66"/>
      <c r="T46" s="66"/>
      <c r="U46" s="66"/>
      <c r="V46" s="66"/>
      <c r="W46" s="66"/>
      <c r="X46" s="66"/>
    </row>
    <row r="47" spans="1:24">
      <c r="A47" s="71"/>
      <c r="B47" s="71"/>
      <c r="C47" s="71"/>
      <c r="D47" s="72"/>
      <c r="E47" s="72"/>
      <c r="F47" s="72"/>
      <c r="G47" s="72"/>
      <c r="H47" s="72"/>
      <c r="I47" s="72"/>
      <c r="J47" s="72"/>
      <c r="K47" s="72"/>
      <c r="L47" s="72"/>
      <c r="M47" s="72"/>
      <c r="N47" s="72"/>
      <c r="O47" s="72"/>
      <c r="P47" s="72"/>
      <c r="Q47" s="68"/>
      <c r="R47" s="66"/>
      <c r="S47" s="66"/>
      <c r="T47" s="66"/>
      <c r="U47" s="66"/>
      <c r="V47" s="66"/>
      <c r="W47" s="66"/>
      <c r="X47" s="66"/>
    </row>
    <row r="48" spans="1:24">
      <c r="A48" s="71"/>
      <c r="B48" s="71" t="s">
        <v>259</v>
      </c>
      <c r="C48" s="71"/>
      <c r="D48" s="72"/>
      <c r="E48" s="72"/>
      <c r="F48" s="72"/>
      <c r="G48" s="72"/>
      <c r="H48" s="72"/>
      <c r="I48" s="72"/>
      <c r="J48" s="72"/>
      <c r="K48" s="72"/>
      <c r="L48" s="72"/>
      <c r="M48" s="72"/>
      <c r="N48" s="72"/>
      <c r="O48" s="72"/>
      <c r="P48" s="72"/>
      <c r="Q48" s="68"/>
      <c r="R48" s="66"/>
      <c r="S48" s="66"/>
      <c r="T48" s="66"/>
      <c r="U48" s="66"/>
      <c r="V48" s="66"/>
      <c r="W48" s="66"/>
      <c r="X48" s="66"/>
    </row>
    <row r="49" spans="1:24">
      <c r="A49" s="71"/>
      <c r="B49" s="71" t="s">
        <v>260</v>
      </c>
      <c r="C49" s="71"/>
      <c r="D49" s="72"/>
      <c r="E49" s="72"/>
      <c r="F49" s="72"/>
      <c r="G49" s="72"/>
      <c r="H49" s="72"/>
      <c r="I49" s="72"/>
      <c r="J49" s="72"/>
      <c r="K49" s="72"/>
      <c r="L49" s="72"/>
      <c r="M49" s="72"/>
      <c r="N49" s="72"/>
      <c r="O49" s="72"/>
      <c r="P49" s="72"/>
      <c r="Q49" s="68"/>
      <c r="R49" s="66"/>
      <c r="S49" s="66"/>
      <c r="T49" s="66"/>
      <c r="U49" s="66"/>
      <c r="V49" s="66"/>
      <c r="W49" s="66"/>
      <c r="X49" s="66"/>
    </row>
    <row r="50" spans="1:24">
      <c r="A50" s="71"/>
      <c r="B50" s="71" t="s">
        <v>261</v>
      </c>
      <c r="C50" s="71"/>
      <c r="D50" s="72">
        <v>88969.37</v>
      </c>
      <c r="E50" s="72">
        <v>71582.89</v>
      </c>
      <c r="F50" s="72">
        <v>77496.289999999994</v>
      </c>
      <c r="G50" s="72">
        <v>92087.82</v>
      </c>
      <c r="H50" s="72">
        <v>73293.429999999993</v>
      </c>
      <c r="I50" s="72">
        <v>99153.37</v>
      </c>
      <c r="J50" s="72">
        <v>73869.039999999994</v>
      </c>
      <c r="K50" s="72">
        <v>74516.259999999995</v>
      </c>
      <c r="L50" s="72">
        <v>101661.75999999999</v>
      </c>
      <c r="M50" s="72">
        <v>84190.28</v>
      </c>
      <c r="N50" s="72">
        <v>78358.16</v>
      </c>
      <c r="O50" s="72">
        <v>101781.39</v>
      </c>
      <c r="P50" s="72">
        <f t="shared" ref="P50:P58" si="10">ROUND(SUM(D50:O50),5)</f>
        <v>1016960.06</v>
      </c>
      <c r="Q50" s="68"/>
      <c r="R50" s="66"/>
      <c r="S50" s="66"/>
      <c r="T50" s="66"/>
      <c r="U50" s="66"/>
      <c r="V50" s="66"/>
      <c r="W50" s="66"/>
      <c r="X50" s="66"/>
    </row>
    <row r="51" spans="1:24">
      <c r="A51" s="71"/>
      <c r="B51" s="71" t="s">
        <v>262</v>
      </c>
      <c r="C51" s="71"/>
      <c r="D51" s="72">
        <v>20462.669999999998</v>
      </c>
      <c r="E51" s="72">
        <v>16616.84</v>
      </c>
      <c r="F51" s="72">
        <v>18954.96</v>
      </c>
      <c r="G51" s="72">
        <v>27339.96</v>
      </c>
      <c r="H51" s="72">
        <v>16662.939999999999</v>
      </c>
      <c r="I51" s="72">
        <v>24741.75</v>
      </c>
      <c r="J51" s="72">
        <v>18117</v>
      </c>
      <c r="K51" s="72">
        <v>18389.25</v>
      </c>
      <c r="L51" s="72">
        <v>25954.5</v>
      </c>
      <c r="M51" s="72">
        <v>19540.5</v>
      </c>
      <c r="N51" s="72">
        <v>20963.25</v>
      </c>
      <c r="O51" s="72">
        <v>23141.25</v>
      </c>
      <c r="P51" s="72">
        <f t="shared" si="10"/>
        <v>250884.87</v>
      </c>
      <c r="Q51" s="68"/>
      <c r="R51" s="66"/>
      <c r="S51" s="66"/>
      <c r="T51" s="66"/>
      <c r="U51" s="66"/>
      <c r="V51" s="66"/>
      <c r="W51" s="66"/>
      <c r="X51" s="66"/>
    </row>
    <row r="52" spans="1:24">
      <c r="A52" s="71"/>
      <c r="B52" s="71" t="s">
        <v>263</v>
      </c>
      <c r="C52" s="71"/>
      <c r="D52" s="72">
        <v>38837.15</v>
      </c>
      <c r="E52" s="72">
        <v>27928.59</v>
      </c>
      <c r="F52" s="72">
        <v>31500.3</v>
      </c>
      <c r="G52" s="72">
        <v>36289.4</v>
      </c>
      <c r="H52" s="72">
        <v>32801.64</v>
      </c>
      <c r="I52" s="72">
        <v>38436.75</v>
      </c>
      <c r="J52" s="72">
        <v>31729.5</v>
      </c>
      <c r="K52" s="72">
        <v>30137.25</v>
      </c>
      <c r="L52" s="72">
        <v>39773.25</v>
      </c>
      <c r="M52" s="72">
        <v>36769.25</v>
      </c>
      <c r="N52" s="72">
        <v>29790.75</v>
      </c>
      <c r="O52" s="72">
        <v>41959.5</v>
      </c>
      <c r="P52" s="72">
        <f t="shared" si="10"/>
        <v>415953.33</v>
      </c>
      <c r="Q52" s="68"/>
      <c r="R52" s="66"/>
      <c r="S52" s="66"/>
      <c r="T52" s="66"/>
      <c r="U52" s="66"/>
      <c r="V52" s="66"/>
      <c r="W52" s="66"/>
      <c r="X52" s="66"/>
    </row>
    <row r="53" spans="1:24">
      <c r="A53" s="71"/>
      <c r="B53" s="71" t="s">
        <v>264</v>
      </c>
      <c r="C53" s="71"/>
      <c r="D53" s="72">
        <v>48875.29</v>
      </c>
      <c r="E53" s="72">
        <v>38515.589999999997</v>
      </c>
      <c r="F53" s="72">
        <v>45237.22</v>
      </c>
      <c r="G53" s="72">
        <v>53521.54</v>
      </c>
      <c r="H53" s="72">
        <v>42301.29</v>
      </c>
      <c r="I53" s="72">
        <v>56539.01</v>
      </c>
      <c r="J53" s="72">
        <v>55268.32</v>
      </c>
      <c r="K53" s="72">
        <v>39705.99</v>
      </c>
      <c r="L53" s="72">
        <v>60858.86</v>
      </c>
      <c r="M53" s="72">
        <v>60144.28</v>
      </c>
      <c r="N53" s="72">
        <v>40762.160000000003</v>
      </c>
      <c r="O53" s="72">
        <v>52984.36</v>
      </c>
      <c r="P53" s="72">
        <f t="shared" si="10"/>
        <v>594713.91</v>
      </c>
      <c r="Q53" s="68"/>
      <c r="R53" s="66"/>
      <c r="S53" s="66"/>
      <c r="T53" s="66"/>
      <c r="U53" s="66"/>
      <c r="V53" s="66"/>
      <c r="W53" s="66"/>
      <c r="X53" s="66"/>
    </row>
    <row r="54" spans="1:24">
      <c r="A54" s="71"/>
      <c r="B54" s="71" t="s">
        <v>265</v>
      </c>
      <c r="C54" s="71"/>
      <c r="D54" s="72">
        <v>7402.81</v>
      </c>
      <c r="E54" s="72">
        <v>3747.83</v>
      </c>
      <c r="F54" s="72">
        <v>5587.53</v>
      </c>
      <c r="G54" s="72">
        <v>7077.34</v>
      </c>
      <c r="H54" s="72">
        <v>5702.57</v>
      </c>
      <c r="I54" s="72">
        <v>5844.13</v>
      </c>
      <c r="J54" s="72">
        <v>5412.47</v>
      </c>
      <c r="K54" s="72">
        <v>3965.83</v>
      </c>
      <c r="L54" s="72">
        <v>5604.37</v>
      </c>
      <c r="M54" s="72">
        <v>4194.28</v>
      </c>
      <c r="N54" s="72">
        <v>4042.64</v>
      </c>
      <c r="O54" s="72">
        <v>4380.2700000000004</v>
      </c>
      <c r="P54" s="72">
        <f t="shared" si="10"/>
        <v>62962.07</v>
      </c>
      <c r="Q54" s="68"/>
      <c r="R54" s="66"/>
      <c r="S54" s="66"/>
      <c r="T54" s="66"/>
      <c r="U54" s="66"/>
      <c r="V54" s="66"/>
      <c r="W54" s="66"/>
      <c r="X54" s="66"/>
    </row>
    <row r="55" spans="1:24">
      <c r="A55" s="71"/>
      <c r="B55" s="71" t="s">
        <v>266</v>
      </c>
      <c r="C55" s="71"/>
      <c r="D55" s="72">
        <v>17273.21</v>
      </c>
      <c r="E55" s="72">
        <v>13975.14</v>
      </c>
      <c r="F55" s="72">
        <v>13037.57</v>
      </c>
      <c r="G55" s="72">
        <v>16513.8</v>
      </c>
      <c r="H55" s="72">
        <v>13306</v>
      </c>
      <c r="I55" s="72">
        <v>13636.32</v>
      </c>
      <c r="J55" s="72">
        <v>12629.08</v>
      </c>
      <c r="K55" s="72">
        <v>9253.6</v>
      </c>
      <c r="L55" s="72">
        <v>13076.88</v>
      </c>
      <c r="M55" s="72">
        <v>9786.65</v>
      </c>
      <c r="N55" s="72">
        <v>9432.82</v>
      </c>
      <c r="O55" s="72">
        <v>12200.71</v>
      </c>
      <c r="P55" s="72">
        <f t="shared" si="10"/>
        <v>154121.78</v>
      </c>
      <c r="Q55" s="68"/>
      <c r="R55" s="66"/>
      <c r="S55" s="66"/>
      <c r="T55" s="66"/>
      <c r="U55" s="66"/>
      <c r="V55" s="66"/>
      <c r="W55" s="66"/>
      <c r="X55" s="66"/>
    </row>
    <row r="56" spans="1:24">
      <c r="A56" s="71"/>
      <c r="B56" s="71" t="s">
        <v>267</v>
      </c>
      <c r="C56" s="71"/>
      <c r="D56" s="72">
        <v>12947.08</v>
      </c>
      <c r="E56" s="72">
        <v>11018.17</v>
      </c>
      <c r="F56" s="72">
        <v>12655.95</v>
      </c>
      <c r="G56" s="72">
        <v>14007.41</v>
      </c>
      <c r="H56" s="72">
        <v>10299.19</v>
      </c>
      <c r="I56" s="72">
        <v>18628.36</v>
      </c>
      <c r="J56" s="72">
        <v>20987.84</v>
      </c>
      <c r="K56" s="72">
        <v>15394.08</v>
      </c>
      <c r="L56" s="72">
        <v>19266.490000000002</v>
      </c>
      <c r="M56" s="72">
        <v>9487.3799999999992</v>
      </c>
      <c r="N56" s="72">
        <v>9572.7800000000007</v>
      </c>
      <c r="O56" s="72">
        <v>10114.379999999999</v>
      </c>
      <c r="P56" s="72">
        <f t="shared" si="10"/>
        <v>164379.10999999999</v>
      </c>
      <c r="Q56" s="68"/>
      <c r="R56" s="66"/>
      <c r="S56" s="66"/>
      <c r="T56" s="66"/>
      <c r="U56" s="66"/>
      <c r="V56" s="66"/>
      <c r="W56" s="66"/>
      <c r="X56" s="66"/>
    </row>
    <row r="57" spans="1:24" ht="15.75" thickBot="1">
      <c r="A57" s="71"/>
      <c r="B57" s="71" t="s">
        <v>268</v>
      </c>
      <c r="C57" s="71"/>
      <c r="D57" s="73">
        <v>9071.6</v>
      </c>
      <c r="E57" s="73">
        <v>11247.86</v>
      </c>
      <c r="F57" s="73">
        <v>8477.5499999999993</v>
      </c>
      <c r="G57" s="73">
        <v>12209.37</v>
      </c>
      <c r="H57" s="73">
        <v>11825.94</v>
      </c>
      <c r="I57" s="73">
        <v>11714.84</v>
      </c>
      <c r="J57" s="73">
        <v>13993.16</v>
      </c>
      <c r="K57" s="73">
        <v>9734.76</v>
      </c>
      <c r="L57" s="73">
        <v>13315.41</v>
      </c>
      <c r="M57" s="73">
        <v>10815.83</v>
      </c>
      <c r="N57" s="73">
        <v>9524.93</v>
      </c>
      <c r="O57" s="73">
        <v>12086.11</v>
      </c>
      <c r="P57" s="73">
        <f t="shared" si="10"/>
        <v>134017.35999999999</v>
      </c>
      <c r="Q57" s="68"/>
      <c r="R57" s="66"/>
      <c r="S57" s="66"/>
      <c r="T57" s="66"/>
      <c r="U57" s="66"/>
      <c r="V57" s="66"/>
      <c r="W57" s="66"/>
      <c r="X57" s="66"/>
    </row>
    <row r="58" spans="1:24">
      <c r="A58" s="71"/>
      <c r="B58" s="71" t="s">
        <v>269</v>
      </c>
      <c r="C58" s="71"/>
      <c r="D58" s="72">
        <f t="shared" ref="D58:O58" si="11">ROUND(SUM(D49:D57),5)</f>
        <v>243839.18</v>
      </c>
      <c r="E58" s="72">
        <f t="shared" si="11"/>
        <v>194632.91</v>
      </c>
      <c r="F58" s="72">
        <f t="shared" si="11"/>
        <v>212947.37</v>
      </c>
      <c r="G58" s="72">
        <f t="shared" si="11"/>
        <v>259046.64</v>
      </c>
      <c r="H58" s="72">
        <f t="shared" si="11"/>
        <v>206193</v>
      </c>
      <c r="I58" s="72">
        <f t="shared" si="11"/>
        <v>268694.53000000003</v>
      </c>
      <c r="J58" s="72">
        <f t="shared" si="11"/>
        <v>232006.41</v>
      </c>
      <c r="K58" s="72">
        <f t="shared" si="11"/>
        <v>201097.02</v>
      </c>
      <c r="L58" s="72">
        <f t="shared" si="11"/>
        <v>279511.52</v>
      </c>
      <c r="M58" s="72">
        <f t="shared" si="11"/>
        <v>234928.45</v>
      </c>
      <c r="N58" s="72">
        <f t="shared" si="11"/>
        <v>202447.49</v>
      </c>
      <c r="O58" s="72">
        <f t="shared" si="11"/>
        <v>258647.97</v>
      </c>
      <c r="P58" s="72">
        <f t="shared" si="10"/>
        <v>2793992.49</v>
      </c>
      <c r="Q58" s="68"/>
      <c r="R58" s="66"/>
      <c r="S58" s="66"/>
      <c r="T58" s="66"/>
      <c r="U58" s="66"/>
      <c r="V58" s="66"/>
      <c r="W58" s="66"/>
      <c r="X58" s="66"/>
    </row>
    <row r="59" spans="1:24">
      <c r="A59" s="71"/>
      <c r="B59" s="71"/>
      <c r="C59" s="71"/>
      <c r="D59" s="72"/>
      <c r="E59" s="72"/>
      <c r="F59" s="72"/>
      <c r="G59" s="72"/>
      <c r="H59" s="72"/>
      <c r="I59" s="72"/>
      <c r="J59" s="72"/>
      <c r="K59" s="72"/>
      <c r="L59" s="72"/>
      <c r="M59" s="72"/>
      <c r="N59" s="72"/>
      <c r="O59" s="72"/>
      <c r="P59" s="72"/>
      <c r="Q59" s="68"/>
      <c r="R59" s="66"/>
      <c r="S59" s="66"/>
      <c r="T59" s="66"/>
      <c r="U59" s="66"/>
      <c r="V59" s="66"/>
      <c r="W59" s="66"/>
      <c r="X59" s="66"/>
    </row>
    <row r="60" spans="1:24">
      <c r="A60" s="71"/>
      <c r="B60" s="71" t="s">
        <v>270</v>
      </c>
      <c r="C60" s="71"/>
      <c r="D60" s="72"/>
      <c r="E60" s="72"/>
      <c r="F60" s="72"/>
      <c r="G60" s="72"/>
      <c r="H60" s="72"/>
      <c r="I60" s="72"/>
      <c r="J60" s="72"/>
      <c r="K60" s="72"/>
      <c r="L60" s="72"/>
      <c r="M60" s="72"/>
      <c r="N60" s="72"/>
      <c r="O60" s="72"/>
      <c r="P60" s="72"/>
      <c r="Q60" s="68"/>
      <c r="R60" s="66"/>
      <c r="S60" s="66"/>
      <c r="T60" s="66"/>
      <c r="U60" s="66"/>
      <c r="V60" s="66"/>
      <c r="W60" s="66"/>
      <c r="X60" s="66"/>
    </row>
    <row r="61" spans="1:24">
      <c r="A61" s="71"/>
      <c r="B61" s="71" t="s">
        <v>271</v>
      </c>
      <c r="C61" s="71"/>
      <c r="D61" s="72">
        <v>-852.73</v>
      </c>
      <c r="E61" s="72">
        <v>-748.42</v>
      </c>
      <c r="F61" s="72">
        <v>13439.87</v>
      </c>
      <c r="G61" s="72">
        <v>-952.18</v>
      </c>
      <c r="H61" s="72">
        <v>-653.66999999999996</v>
      </c>
      <c r="I61" s="72">
        <v>14641.7</v>
      </c>
      <c r="J61" s="72">
        <v>-738.87</v>
      </c>
      <c r="K61" s="72">
        <v>-770.59</v>
      </c>
      <c r="L61" s="72">
        <v>13386.93</v>
      </c>
      <c r="M61" s="72">
        <v>-768.64</v>
      </c>
      <c r="N61" s="72">
        <v>-783.11</v>
      </c>
      <c r="O61" s="72">
        <v>13525.75</v>
      </c>
      <c r="P61" s="72">
        <f t="shared" ref="P61:P72" si="12">ROUND(SUM(D61:O61),5)</f>
        <v>48726.04</v>
      </c>
      <c r="Q61" s="68"/>
      <c r="R61" s="66"/>
      <c r="S61" s="66"/>
      <c r="T61" s="66"/>
      <c r="U61" s="66"/>
      <c r="V61" s="66"/>
      <c r="W61" s="66"/>
      <c r="X61" s="66"/>
    </row>
    <row r="62" spans="1:24">
      <c r="A62" s="71"/>
      <c r="B62" s="71" t="s">
        <v>272</v>
      </c>
      <c r="C62" s="71"/>
      <c r="D62" s="72">
        <v>-200.42</v>
      </c>
      <c r="E62" s="72">
        <v>-196.67</v>
      </c>
      <c r="F62" s="72">
        <v>2739.21</v>
      </c>
      <c r="G62" s="72">
        <v>-247.81</v>
      </c>
      <c r="H62" s="72">
        <v>-182.58</v>
      </c>
      <c r="I62" s="72">
        <v>2966.42</v>
      </c>
      <c r="J62" s="72">
        <v>-198.45</v>
      </c>
      <c r="K62" s="72">
        <v>-167.91</v>
      </c>
      <c r="L62" s="72">
        <v>2724.45</v>
      </c>
      <c r="M62" s="72">
        <v>-197.06</v>
      </c>
      <c r="N62" s="72">
        <v>-191.52</v>
      </c>
      <c r="O62" s="72">
        <v>2781.19</v>
      </c>
      <c r="P62" s="72">
        <f t="shared" si="12"/>
        <v>9628.85</v>
      </c>
      <c r="Q62" s="68"/>
      <c r="R62" s="66"/>
      <c r="S62" s="66"/>
      <c r="T62" s="66"/>
      <c r="U62" s="66"/>
      <c r="V62" s="66"/>
      <c r="W62" s="66"/>
      <c r="X62" s="66"/>
    </row>
    <row r="63" spans="1:24">
      <c r="A63" s="71"/>
      <c r="B63" s="71" t="s">
        <v>273</v>
      </c>
      <c r="C63" s="71"/>
      <c r="D63" s="72">
        <v>-369.46</v>
      </c>
      <c r="E63" s="72">
        <v>-314.45</v>
      </c>
      <c r="F63" s="72">
        <v>4589.79</v>
      </c>
      <c r="G63" s="72">
        <v>-361.44</v>
      </c>
      <c r="H63" s="72">
        <v>-342.79</v>
      </c>
      <c r="I63" s="72">
        <v>4993.0600000000004</v>
      </c>
      <c r="J63" s="72">
        <v>-333.89</v>
      </c>
      <c r="K63" s="72">
        <v>-330.51</v>
      </c>
      <c r="L63" s="72">
        <v>4590.3500000000004</v>
      </c>
      <c r="M63" s="72">
        <v>-308.08</v>
      </c>
      <c r="N63" s="72">
        <v>-252</v>
      </c>
      <c r="O63" s="72">
        <v>4674.7299999999996</v>
      </c>
      <c r="P63" s="72">
        <f t="shared" si="12"/>
        <v>16235.31</v>
      </c>
      <c r="Q63" s="68"/>
      <c r="R63" s="66"/>
      <c r="S63" s="66"/>
      <c r="T63" s="66"/>
      <c r="U63" s="66"/>
      <c r="V63" s="66"/>
      <c r="W63" s="66"/>
      <c r="X63" s="66"/>
    </row>
    <row r="64" spans="1:24">
      <c r="A64" s="71"/>
      <c r="B64" s="71" t="s">
        <v>274</v>
      </c>
      <c r="C64" s="71"/>
      <c r="D64" s="72">
        <v>-714.22</v>
      </c>
      <c r="E64" s="72">
        <v>-541.9</v>
      </c>
      <c r="F64" s="72">
        <v>6250.28</v>
      </c>
      <c r="G64" s="72">
        <v>-747.29</v>
      </c>
      <c r="H64" s="72">
        <v>-580.32000000000005</v>
      </c>
      <c r="I64" s="72">
        <v>6766.28</v>
      </c>
      <c r="J64" s="72">
        <v>-584.88</v>
      </c>
      <c r="K64" s="72">
        <v>-551.99</v>
      </c>
      <c r="L64" s="72">
        <v>6188.22</v>
      </c>
      <c r="M64" s="72">
        <v>-638.80999999999995</v>
      </c>
      <c r="N64" s="72">
        <v>-516.47</v>
      </c>
      <c r="O64" s="72">
        <v>6326.09</v>
      </c>
      <c r="P64" s="72">
        <f t="shared" si="12"/>
        <v>20654.990000000002</v>
      </c>
      <c r="Q64" s="68"/>
      <c r="R64" s="66"/>
      <c r="S64" s="66"/>
      <c r="T64" s="66"/>
      <c r="U64" s="66"/>
      <c r="V64" s="66"/>
      <c r="W64" s="66"/>
      <c r="X64" s="66"/>
    </row>
    <row r="65" spans="1:24">
      <c r="A65" s="71"/>
      <c r="B65" s="71" t="s">
        <v>275</v>
      </c>
      <c r="C65" s="71"/>
      <c r="D65" s="72">
        <v>-102.6</v>
      </c>
      <c r="E65" s="72">
        <v>-60.59</v>
      </c>
      <c r="F65" s="72">
        <v>4818.63</v>
      </c>
      <c r="G65" s="72">
        <v>-93.31</v>
      </c>
      <c r="H65" s="72">
        <v>-74.94</v>
      </c>
      <c r="I65" s="72">
        <v>5295.43</v>
      </c>
      <c r="J65" s="72">
        <v>-51.38</v>
      </c>
      <c r="K65" s="72">
        <v>-49.72</v>
      </c>
      <c r="L65" s="72">
        <v>4875.12</v>
      </c>
      <c r="M65" s="72">
        <v>-49.96</v>
      </c>
      <c r="N65" s="72">
        <v>-49.31</v>
      </c>
      <c r="O65" s="72">
        <v>4972.84</v>
      </c>
      <c r="P65" s="72">
        <f t="shared" si="12"/>
        <v>19430.21</v>
      </c>
      <c r="Q65" s="68"/>
      <c r="R65" s="66"/>
      <c r="S65" s="66"/>
      <c r="T65" s="66"/>
      <c r="U65" s="66"/>
      <c r="V65" s="66"/>
      <c r="W65" s="66"/>
      <c r="X65" s="66"/>
    </row>
    <row r="66" spans="1:24">
      <c r="A66" s="71"/>
      <c r="B66" s="71" t="s">
        <v>276</v>
      </c>
      <c r="C66" s="71"/>
      <c r="D66" s="72">
        <v>-239.4</v>
      </c>
      <c r="E66" s="72">
        <v>-176.36</v>
      </c>
      <c r="F66" s="72">
        <v>2257.04</v>
      </c>
      <c r="G66" s="72">
        <v>-217.7</v>
      </c>
      <c r="H66" s="72">
        <v>-174.88</v>
      </c>
      <c r="I66" s="72">
        <v>2526.3200000000002</v>
      </c>
      <c r="J66" s="72">
        <v>-119.9</v>
      </c>
      <c r="K66" s="72">
        <v>-116.02</v>
      </c>
      <c r="L66" s="72">
        <v>2286.5100000000002</v>
      </c>
      <c r="M66" s="72">
        <v>-116.57</v>
      </c>
      <c r="N66" s="72">
        <v>-115.05</v>
      </c>
      <c r="O66" s="72">
        <v>2349.04</v>
      </c>
      <c r="P66" s="72">
        <f t="shared" si="12"/>
        <v>8143.03</v>
      </c>
      <c r="Q66" s="68"/>
      <c r="R66" s="66"/>
      <c r="S66" s="66"/>
      <c r="T66" s="66"/>
      <c r="U66" s="66"/>
      <c r="V66" s="66"/>
      <c r="W66" s="66"/>
      <c r="X66" s="66"/>
    </row>
    <row r="67" spans="1:24">
      <c r="A67" s="71"/>
      <c r="B67" s="71" t="s">
        <v>277</v>
      </c>
      <c r="C67" s="71"/>
      <c r="D67" s="72">
        <v>-174.83</v>
      </c>
      <c r="E67" s="72">
        <v>-144.91999999999999</v>
      </c>
      <c r="F67" s="72">
        <v>2772.73</v>
      </c>
      <c r="G67" s="72">
        <v>-173.67</v>
      </c>
      <c r="H67" s="72">
        <v>-135.41999999999999</v>
      </c>
      <c r="I67" s="72">
        <v>3035.63</v>
      </c>
      <c r="J67" s="72">
        <v>-184.38</v>
      </c>
      <c r="K67" s="72">
        <v>-193.71</v>
      </c>
      <c r="L67" s="72">
        <v>2742.32</v>
      </c>
      <c r="M67" s="72">
        <v>-109.84</v>
      </c>
      <c r="N67" s="72">
        <v>-96.36</v>
      </c>
      <c r="O67" s="72">
        <v>2916.77</v>
      </c>
      <c r="P67" s="72">
        <f t="shared" si="12"/>
        <v>10254.32</v>
      </c>
      <c r="Q67" s="68"/>
      <c r="R67" s="66"/>
      <c r="S67" s="66"/>
      <c r="T67" s="66"/>
      <c r="U67" s="66"/>
      <c r="V67" s="66"/>
      <c r="W67" s="66"/>
      <c r="X67" s="66"/>
    </row>
    <row r="68" spans="1:24">
      <c r="A68" s="71"/>
      <c r="B68" s="71" t="s">
        <v>278</v>
      </c>
      <c r="C68" s="71"/>
      <c r="D68" s="72">
        <v>-117.67</v>
      </c>
      <c r="E68" s="72">
        <v>-122.92</v>
      </c>
      <c r="F68" s="72">
        <v>2829.61</v>
      </c>
      <c r="G68" s="72">
        <v>-156.43</v>
      </c>
      <c r="H68" s="72">
        <v>-139.16</v>
      </c>
      <c r="I68" s="72">
        <v>3090.94</v>
      </c>
      <c r="J68" s="72">
        <v>-102.9</v>
      </c>
      <c r="K68" s="72">
        <v>-109.82</v>
      </c>
      <c r="L68" s="72">
        <v>2811.5</v>
      </c>
      <c r="M68" s="72">
        <v>-118.35</v>
      </c>
      <c r="N68" s="72">
        <v>-119.74</v>
      </c>
      <c r="O68" s="72">
        <v>2854.37</v>
      </c>
      <c r="P68" s="72">
        <f t="shared" si="12"/>
        <v>10599.43</v>
      </c>
      <c r="Q68" s="68"/>
      <c r="R68" s="66"/>
      <c r="S68" s="66"/>
      <c r="T68" s="66"/>
      <c r="U68" s="66"/>
      <c r="V68" s="66"/>
      <c r="W68" s="66"/>
      <c r="X68" s="66"/>
    </row>
    <row r="69" spans="1:24" ht="15.75" thickBot="1">
      <c r="A69" s="71"/>
      <c r="B69" s="71" t="s">
        <v>279</v>
      </c>
      <c r="C69" s="71"/>
      <c r="D69" s="73">
        <v>0</v>
      </c>
      <c r="E69" s="73">
        <v>0</v>
      </c>
      <c r="F69" s="73">
        <v>0</v>
      </c>
      <c r="G69" s="73">
        <v>0</v>
      </c>
      <c r="H69" s="73">
        <v>0</v>
      </c>
      <c r="I69" s="73">
        <v>0</v>
      </c>
      <c r="J69" s="73">
        <v>0</v>
      </c>
      <c r="K69" s="73">
        <v>0</v>
      </c>
      <c r="L69" s="73">
        <v>0</v>
      </c>
      <c r="M69" s="73">
        <v>0</v>
      </c>
      <c r="N69" s="73">
        <v>0</v>
      </c>
      <c r="O69" s="73">
        <v>0</v>
      </c>
      <c r="P69" s="73">
        <f t="shared" si="12"/>
        <v>0</v>
      </c>
      <c r="Q69" s="68"/>
      <c r="R69" s="66"/>
      <c r="S69" s="66"/>
      <c r="T69" s="66"/>
      <c r="U69" s="66"/>
      <c r="V69" s="66"/>
      <c r="W69" s="66"/>
      <c r="X69" s="66"/>
    </row>
    <row r="70" spans="1:24">
      <c r="A70" s="71"/>
      <c r="B70" s="71" t="s">
        <v>280</v>
      </c>
      <c r="C70" s="71"/>
      <c r="D70" s="72">
        <f t="shared" ref="D70:O70" si="13">ROUND(SUM(D60:D69),5)</f>
        <v>-2771.33</v>
      </c>
      <c r="E70" s="72">
        <f t="shared" si="13"/>
        <v>-2306.23</v>
      </c>
      <c r="F70" s="72">
        <f t="shared" si="13"/>
        <v>39697.160000000003</v>
      </c>
      <c r="G70" s="72">
        <f t="shared" si="13"/>
        <v>-2949.83</v>
      </c>
      <c r="H70" s="72">
        <f t="shared" si="13"/>
        <v>-2283.7600000000002</v>
      </c>
      <c r="I70" s="72">
        <f t="shared" si="13"/>
        <v>43315.78</v>
      </c>
      <c r="J70" s="72">
        <f t="shared" si="13"/>
        <v>-2314.65</v>
      </c>
      <c r="K70" s="72">
        <f t="shared" si="13"/>
        <v>-2290.27</v>
      </c>
      <c r="L70" s="72">
        <f t="shared" si="13"/>
        <v>39605.4</v>
      </c>
      <c r="M70" s="72">
        <f t="shared" si="13"/>
        <v>-2307.31</v>
      </c>
      <c r="N70" s="72">
        <f t="shared" si="13"/>
        <v>-2123.56</v>
      </c>
      <c r="O70" s="72">
        <f t="shared" si="13"/>
        <v>40400.78</v>
      </c>
      <c r="P70" s="72">
        <f t="shared" si="12"/>
        <v>143672.18</v>
      </c>
      <c r="Q70" s="68"/>
      <c r="R70" s="66"/>
      <c r="S70" s="66"/>
      <c r="T70" s="66"/>
      <c r="U70" s="66"/>
      <c r="V70" s="66"/>
      <c r="W70" s="66"/>
      <c r="X70" s="66"/>
    </row>
    <row r="71" spans="1:24">
      <c r="A71" s="71"/>
      <c r="B71" s="71"/>
      <c r="C71" s="71"/>
      <c r="D71" s="72"/>
      <c r="E71" s="72"/>
      <c r="F71" s="72"/>
      <c r="G71" s="72"/>
      <c r="H71" s="72"/>
      <c r="I71" s="72"/>
      <c r="J71" s="72"/>
      <c r="K71" s="72"/>
      <c r="L71" s="72"/>
      <c r="M71" s="72"/>
      <c r="N71" s="72"/>
      <c r="O71" s="72"/>
      <c r="P71" s="72"/>
      <c r="Q71" s="68"/>
      <c r="R71" s="66"/>
      <c r="S71" s="66"/>
      <c r="T71" s="66"/>
      <c r="U71" s="66"/>
      <c r="V71" s="66"/>
      <c r="W71" s="66"/>
      <c r="X71" s="66"/>
    </row>
    <row r="72" spans="1:24">
      <c r="A72" s="71"/>
      <c r="B72" s="71" t="s">
        <v>281</v>
      </c>
      <c r="C72" s="71"/>
      <c r="D72" s="72">
        <v>18954</v>
      </c>
      <c r="E72" s="72">
        <v>16163.2</v>
      </c>
      <c r="F72" s="72">
        <v>16163.2</v>
      </c>
      <c r="G72" s="72">
        <v>18954</v>
      </c>
      <c r="H72" s="72">
        <v>21253.200000000001</v>
      </c>
      <c r="I72" s="72">
        <v>19104</v>
      </c>
      <c r="J72" s="72">
        <v>11283.2</v>
      </c>
      <c r="K72" s="72">
        <v>16283.2</v>
      </c>
      <c r="L72" s="72">
        <v>19668.16</v>
      </c>
      <c r="M72" s="72">
        <v>16283.2</v>
      </c>
      <c r="N72" s="72">
        <v>16283.2</v>
      </c>
      <c r="O72" s="72">
        <v>19104</v>
      </c>
      <c r="P72" s="72">
        <f t="shared" si="12"/>
        <v>209496.56</v>
      </c>
      <c r="Q72" s="68"/>
      <c r="R72" s="66"/>
      <c r="S72" s="66"/>
      <c r="T72" s="66"/>
      <c r="U72" s="66"/>
      <c r="V72" s="66"/>
      <c r="W72" s="66"/>
      <c r="X72" s="66"/>
    </row>
    <row r="73" spans="1:24">
      <c r="A73" s="71"/>
      <c r="B73" s="71"/>
      <c r="C73" s="71"/>
      <c r="D73" s="72"/>
      <c r="E73" s="72"/>
      <c r="F73" s="72"/>
      <c r="G73" s="72"/>
      <c r="H73" s="72"/>
      <c r="I73" s="72"/>
      <c r="J73" s="72"/>
      <c r="K73" s="72"/>
      <c r="L73" s="72"/>
      <c r="M73" s="72"/>
      <c r="N73" s="72"/>
      <c r="O73" s="72"/>
      <c r="P73" s="72"/>
      <c r="Q73" s="68"/>
      <c r="R73" s="66"/>
      <c r="S73" s="66"/>
      <c r="T73" s="66"/>
      <c r="U73" s="66"/>
      <c r="V73" s="66"/>
      <c r="W73" s="66"/>
      <c r="X73" s="66"/>
    </row>
    <row r="74" spans="1:24">
      <c r="A74" s="71"/>
      <c r="B74" s="71" t="s">
        <v>282</v>
      </c>
      <c r="C74" s="71"/>
      <c r="D74" s="72"/>
      <c r="E74" s="72"/>
      <c r="F74" s="72"/>
      <c r="G74" s="72"/>
      <c r="H74" s="72"/>
      <c r="I74" s="72"/>
      <c r="J74" s="72"/>
      <c r="K74" s="72"/>
      <c r="L74" s="72"/>
      <c r="M74" s="72"/>
      <c r="N74" s="72"/>
      <c r="O74" s="72"/>
      <c r="P74" s="72"/>
      <c r="Q74" s="68"/>
      <c r="R74" s="66"/>
      <c r="S74" s="66"/>
      <c r="T74" s="66"/>
      <c r="U74" s="66"/>
      <c r="V74" s="66"/>
      <c r="W74" s="66"/>
      <c r="X74" s="66"/>
    </row>
    <row r="75" spans="1:24">
      <c r="A75" s="71"/>
      <c r="B75" s="71" t="s">
        <v>283</v>
      </c>
      <c r="C75" s="71"/>
      <c r="D75" s="72">
        <v>21932.2</v>
      </c>
      <c r="E75" s="72">
        <v>22032.46</v>
      </c>
      <c r="F75" s="72">
        <v>22231.040000000001</v>
      </c>
      <c r="G75" s="72">
        <v>21932.2</v>
      </c>
      <c r="H75" s="72">
        <v>22065.88</v>
      </c>
      <c r="I75" s="72">
        <v>21932.2</v>
      </c>
      <c r="J75" s="72">
        <v>22099.3</v>
      </c>
      <c r="K75" s="72">
        <v>22244.48</v>
      </c>
      <c r="L75" s="72">
        <v>22239</v>
      </c>
      <c r="M75" s="72">
        <v>24194.080000000002</v>
      </c>
      <c r="N75" s="72">
        <v>24194.080000000002</v>
      </c>
      <c r="O75" s="72">
        <v>24188.6</v>
      </c>
      <c r="P75" s="72">
        <f t="shared" ref="P75:P83" si="14">ROUND(SUM(D75:O75),5)</f>
        <v>271285.52</v>
      </c>
      <c r="Q75" s="68"/>
      <c r="R75" s="66"/>
      <c r="S75" s="66"/>
      <c r="T75" s="66"/>
      <c r="U75" s="66"/>
      <c r="V75" s="66"/>
      <c r="W75" s="66"/>
      <c r="X75" s="66"/>
    </row>
    <row r="76" spans="1:24">
      <c r="A76" s="71"/>
      <c r="B76" s="71" t="s">
        <v>284</v>
      </c>
      <c r="C76" s="71"/>
      <c r="D76" s="72">
        <v>4870.8</v>
      </c>
      <c r="E76" s="72">
        <v>4870.8</v>
      </c>
      <c r="F76" s="72">
        <v>4870.8</v>
      </c>
      <c r="G76" s="72">
        <v>4870.8</v>
      </c>
      <c r="H76" s="72">
        <v>4870.8</v>
      </c>
      <c r="I76" s="72">
        <v>4870.8</v>
      </c>
      <c r="J76" s="72">
        <v>4870.8</v>
      </c>
      <c r="K76" s="72">
        <v>4870.8</v>
      </c>
      <c r="L76" s="72">
        <v>4870.8</v>
      </c>
      <c r="M76" s="72">
        <v>4936.8</v>
      </c>
      <c r="N76" s="72">
        <v>4936.8</v>
      </c>
      <c r="O76" s="72">
        <v>4936.8</v>
      </c>
      <c r="P76" s="72">
        <f t="shared" si="14"/>
        <v>58647.6</v>
      </c>
      <c r="Q76" s="68"/>
      <c r="R76" s="66"/>
      <c r="S76" s="66"/>
      <c r="T76" s="66"/>
      <c r="U76" s="66"/>
      <c r="V76" s="66"/>
      <c r="W76" s="66"/>
      <c r="X76" s="66"/>
    </row>
    <row r="77" spans="1:24">
      <c r="A77" s="71"/>
      <c r="B77" s="71" t="s">
        <v>285</v>
      </c>
      <c r="C77" s="71"/>
      <c r="D77" s="72">
        <v>6494.4</v>
      </c>
      <c r="E77" s="72">
        <v>6494.4</v>
      </c>
      <c r="F77" s="72">
        <v>8118</v>
      </c>
      <c r="G77" s="72">
        <v>8118</v>
      </c>
      <c r="H77" s="72">
        <v>8118</v>
      </c>
      <c r="I77" s="72">
        <v>8118</v>
      </c>
      <c r="J77" s="72">
        <v>8118</v>
      </c>
      <c r="K77" s="72">
        <v>8118</v>
      </c>
      <c r="L77" s="72">
        <v>8118</v>
      </c>
      <c r="M77" s="72">
        <v>6582.4</v>
      </c>
      <c r="N77" s="72">
        <v>8228</v>
      </c>
      <c r="O77" s="72">
        <v>8228</v>
      </c>
      <c r="P77" s="72">
        <f t="shared" si="14"/>
        <v>92853.2</v>
      </c>
      <c r="Q77" s="68"/>
      <c r="R77" s="66"/>
      <c r="S77" s="66"/>
      <c r="T77" s="66"/>
      <c r="U77" s="66"/>
      <c r="V77" s="66"/>
      <c r="W77" s="66"/>
      <c r="X77" s="66"/>
    </row>
    <row r="78" spans="1:24">
      <c r="A78" s="71"/>
      <c r="B78" s="71" t="s">
        <v>286</v>
      </c>
      <c r="C78" s="71"/>
      <c r="D78" s="72">
        <v>9562.06</v>
      </c>
      <c r="E78" s="72">
        <v>12746.31</v>
      </c>
      <c r="F78" s="72">
        <v>12846.56</v>
      </c>
      <c r="G78" s="72">
        <v>11154.18</v>
      </c>
      <c r="H78" s="72">
        <v>9929.68</v>
      </c>
      <c r="I78" s="72">
        <v>9796</v>
      </c>
      <c r="J78" s="72">
        <v>11622.06</v>
      </c>
      <c r="K78" s="72">
        <v>12425.76</v>
      </c>
      <c r="L78" s="72">
        <v>12401.1</v>
      </c>
      <c r="M78" s="72">
        <v>14017.36</v>
      </c>
      <c r="N78" s="72">
        <v>11216.08</v>
      </c>
      <c r="O78" s="72">
        <v>11137.48</v>
      </c>
      <c r="P78" s="72">
        <f t="shared" si="14"/>
        <v>138854.63</v>
      </c>
      <c r="Q78" s="68"/>
      <c r="R78" s="66"/>
      <c r="S78" s="66"/>
      <c r="T78" s="66"/>
      <c r="U78" s="66"/>
      <c r="V78" s="66"/>
      <c r="W78" s="66"/>
      <c r="X78" s="66"/>
    </row>
    <row r="79" spans="1:24">
      <c r="A79" s="71"/>
      <c r="B79" s="71" t="s">
        <v>287</v>
      </c>
      <c r="C79" s="71"/>
      <c r="D79" s="72">
        <v>1449.36</v>
      </c>
      <c r="E79" s="72">
        <v>698.62</v>
      </c>
      <c r="F79" s="72">
        <v>674.56</v>
      </c>
      <c r="G79" s="72">
        <v>634.46</v>
      </c>
      <c r="H79" s="72">
        <v>4014.4</v>
      </c>
      <c r="I79" s="72">
        <v>1519.52</v>
      </c>
      <c r="J79" s="72">
        <v>1579.68</v>
      </c>
      <c r="K79" s="72">
        <v>1660.04</v>
      </c>
      <c r="L79" s="72">
        <v>1657.57</v>
      </c>
      <c r="M79" s="72">
        <v>1260.56</v>
      </c>
      <c r="N79" s="72">
        <v>1260.56</v>
      </c>
      <c r="O79" s="72">
        <v>1258.92</v>
      </c>
      <c r="P79" s="72">
        <f t="shared" si="14"/>
        <v>17668.25</v>
      </c>
      <c r="Q79" s="68"/>
      <c r="R79" s="66"/>
      <c r="S79" s="66"/>
      <c r="T79" s="66"/>
      <c r="U79" s="66"/>
      <c r="V79" s="66"/>
      <c r="W79" s="66"/>
      <c r="X79" s="66"/>
    </row>
    <row r="80" spans="1:24">
      <c r="A80" s="71"/>
      <c r="B80" s="71" t="s">
        <v>288</v>
      </c>
      <c r="C80" s="71"/>
      <c r="D80" s="72">
        <v>3381.8</v>
      </c>
      <c r="E80" s="72">
        <v>1549.86</v>
      </c>
      <c r="F80" s="72">
        <v>1573.92</v>
      </c>
      <c r="G80" s="72">
        <v>1480.34</v>
      </c>
      <c r="H80" s="72">
        <v>9366.8799999999992</v>
      </c>
      <c r="I80" s="72">
        <v>3545.58</v>
      </c>
      <c r="J80" s="72">
        <v>3685.94</v>
      </c>
      <c r="K80" s="72">
        <v>3873.48</v>
      </c>
      <c r="L80" s="72">
        <v>3867.73</v>
      </c>
      <c r="M80" s="72">
        <v>2941.36</v>
      </c>
      <c r="N80" s="72">
        <v>2941.36</v>
      </c>
      <c r="O80" s="72">
        <v>2937.52</v>
      </c>
      <c r="P80" s="72">
        <f t="shared" si="14"/>
        <v>41145.769999999997</v>
      </c>
      <c r="Q80" s="68"/>
      <c r="R80" s="66"/>
      <c r="S80" s="66"/>
      <c r="T80" s="66"/>
      <c r="U80" s="66"/>
      <c r="V80" s="66"/>
      <c r="W80" s="66"/>
      <c r="X80" s="66"/>
    </row>
    <row r="81" spans="1:24">
      <c r="A81" s="71"/>
      <c r="B81" s="71" t="s">
        <v>289</v>
      </c>
      <c r="C81" s="71"/>
      <c r="D81" s="72">
        <v>2449</v>
      </c>
      <c r="E81" s="72">
        <v>2515.84</v>
      </c>
      <c r="F81" s="72">
        <v>2515.84</v>
      </c>
      <c r="G81" s="72">
        <v>2449</v>
      </c>
      <c r="H81" s="72">
        <v>2515.84</v>
      </c>
      <c r="I81" s="72">
        <v>2281.9</v>
      </c>
      <c r="J81" s="72">
        <v>2482.42</v>
      </c>
      <c r="K81" s="72">
        <v>2750.32</v>
      </c>
      <c r="L81" s="72">
        <v>2742.1</v>
      </c>
      <c r="M81" s="72">
        <v>2801.28</v>
      </c>
      <c r="N81" s="72">
        <v>2801.28</v>
      </c>
      <c r="O81" s="72">
        <v>4212.88</v>
      </c>
      <c r="P81" s="72">
        <f t="shared" si="14"/>
        <v>32517.7</v>
      </c>
      <c r="Q81" s="68"/>
      <c r="R81" s="66"/>
      <c r="S81" s="66"/>
      <c r="T81" s="66"/>
      <c r="U81" s="66"/>
      <c r="V81" s="66"/>
      <c r="W81" s="66"/>
      <c r="X81" s="66"/>
    </row>
    <row r="82" spans="1:24" ht="15.75" thickBot="1">
      <c r="A82" s="71"/>
      <c r="B82" s="71" t="s">
        <v>290</v>
      </c>
      <c r="C82" s="71"/>
      <c r="D82" s="73">
        <v>3907.44</v>
      </c>
      <c r="E82" s="73">
        <v>2549.27</v>
      </c>
      <c r="F82" s="73">
        <v>1157.6600000000001</v>
      </c>
      <c r="G82" s="73">
        <v>2449</v>
      </c>
      <c r="H82" s="73">
        <v>2515.84</v>
      </c>
      <c r="I82" s="73">
        <v>2449</v>
      </c>
      <c r="J82" s="73">
        <v>2582.6799999999998</v>
      </c>
      <c r="K82" s="73">
        <v>2764.02</v>
      </c>
      <c r="L82" s="73">
        <v>2755.8</v>
      </c>
      <c r="M82" s="73">
        <v>2801.28</v>
      </c>
      <c r="N82" s="73">
        <v>2801.28</v>
      </c>
      <c r="O82" s="73">
        <v>2795.8</v>
      </c>
      <c r="P82" s="73">
        <f t="shared" si="14"/>
        <v>31529.07</v>
      </c>
      <c r="Q82" s="68"/>
      <c r="R82" s="66"/>
      <c r="S82" s="66"/>
      <c r="T82" s="66"/>
      <c r="U82" s="66"/>
      <c r="V82" s="66"/>
      <c r="W82" s="66"/>
      <c r="X82" s="66"/>
    </row>
    <row r="83" spans="1:24">
      <c r="A83" s="71"/>
      <c r="B83" s="71" t="s">
        <v>291</v>
      </c>
      <c r="C83" s="71"/>
      <c r="D83" s="72">
        <f t="shared" ref="D83:O83" si="15">ROUND(SUM(D74:D82),5)</f>
        <v>54047.06</v>
      </c>
      <c r="E83" s="72">
        <f t="shared" si="15"/>
        <v>53457.56</v>
      </c>
      <c r="F83" s="72">
        <f t="shared" si="15"/>
        <v>53988.38</v>
      </c>
      <c r="G83" s="72">
        <f t="shared" si="15"/>
        <v>53087.98</v>
      </c>
      <c r="H83" s="72">
        <f t="shared" si="15"/>
        <v>63397.32</v>
      </c>
      <c r="I83" s="72">
        <f t="shared" si="15"/>
        <v>54513</v>
      </c>
      <c r="J83" s="72">
        <f t="shared" si="15"/>
        <v>57040.88</v>
      </c>
      <c r="K83" s="72">
        <f t="shared" si="15"/>
        <v>58706.9</v>
      </c>
      <c r="L83" s="72">
        <f t="shared" si="15"/>
        <v>58652.1</v>
      </c>
      <c r="M83" s="72">
        <f t="shared" si="15"/>
        <v>59535.12</v>
      </c>
      <c r="N83" s="72">
        <f t="shared" si="15"/>
        <v>58379.44</v>
      </c>
      <c r="O83" s="72">
        <f t="shared" si="15"/>
        <v>59696</v>
      </c>
      <c r="P83" s="72">
        <f t="shared" si="14"/>
        <v>684501.74</v>
      </c>
      <c r="Q83" s="68"/>
      <c r="R83" s="66"/>
      <c r="S83" s="66"/>
      <c r="T83" s="66"/>
      <c r="U83" s="66"/>
      <c r="V83" s="66"/>
      <c r="W83" s="66"/>
      <c r="X83" s="66"/>
    </row>
    <row r="84" spans="1:24">
      <c r="A84" s="71"/>
      <c r="B84" s="71"/>
      <c r="C84" s="71"/>
      <c r="D84" s="72"/>
      <c r="E84" s="72"/>
      <c r="F84" s="72"/>
      <c r="G84" s="72"/>
      <c r="H84" s="72"/>
      <c r="I84" s="72"/>
      <c r="J84" s="72"/>
      <c r="K84" s="72"/>
      <c r="L84" s="72"/>
      <c r="M84" s="72"/>
      <c r="N84" s="72"/>
      <c r="O84" s="72"/>
      <c r="P84" s="72"/>
      <c r="Q84" s="68"/>
      <c r="R84" s="66"/>
      <c r="S84" s="66"/>
      <c r="T84" s="66"/>
      <c r="U84" s="66"/>
      <c r="V84" s="66"/>
      <c r="W84" s="66"/>
      <c r="X84" s="66"/>
    </row>
    <row r="85" spans="1:24">
      <c r="A85" s="71"/>
      <c r="B85" s="71" t="s">
        <v>292</v>
      </c>
      <c r="C85" s="71"/>
      <c r="D85" s="72"/>
      <c r="E85" s="72"/>
      <c r="F85" s="72"/>
      <c r="G85" s="72"/>
      <c r="H85" s="72"/>
      <c r="I85" s="72"/>
      <c r="J85" s="72"/>
      <c r="K85" s="72"/>
      <c r="L85" s="72"/>
      <c r="M85" s="72"/>
      <c r="N85" s="72"/>
      <c r="O85" s="72"/>
      <c r="P85" s="72"/>
      <c r="Q85" s="68"/>
      <c r="R85" s="66"/>
      <c r="S85" s="66"/>
      <c r="T85" s="66"/>
      <c r="U85" s="66"/>
      <c r="V85" s="66"/>
      <c r="W85" s="66"/>
      <c r="X85" s="66"/>
    </row>
    <row r="86" spans="1:24">
      <c r="A86" s="71"/>
      <c r="B86" s="71" t="s">
        <v>293</v>
      </c>
      <c r="C86" s="71"/>
      <c r="D86" s="72">
        <v>6806.33</v>
      </c>
      <c r="E86" s="72">
        <v>5476.22</v>
      </c>
      <c r="F86" s="72">
        <v>5928.6</v>
      </c>
      <c r="G86" s="72">
        <v>7044.89</v>
      </c>
      <c r="H86" s="72">
        <v>5607.01</v>
      </c>
      <c r="I86" s="72">
        <v>7585.22</v>
      </c>
      <c r="J86" s="72">
        <v>5703.5</v>
      </c>
      <c r="K86" s="72">
        <v>5700.47</v>
      </c>
      <c r="L86" s="72">
        <v>6742.29</v>
      </c>
      <c r="M86" s="72">
        <v>3830.33</v>
      </c>
      <c r="N86" s="72">
        <v>5994.42</v>
      </c>
      <c r="O86" s="72">
        <v>7786.29</v>
      </c>
      <c r="P86" s="72">
        <f t="shared" ref="P86:P94" si="16">ROUND(SUM(D86:O86),5)</f>
        <v>74205.570000000007</v>
      </c>
      <c r="Q86" s="68"/>
      <c r="R86" s="66"/>
      <c r="S86" s="66"/>
      <c r="T86" s="66"/>
      <c r="U86" s="66"/>
      <c r="V86" s="66"/>
      <c r="W86" s="66"/>
      <c r="X86" s="66"/>
    </row>
    <row r="87" spans="1:24">
      <c r="A87" s="71"/>
      <c r="B87" s="71" t="s">
        <v>294</v>
      </c>
      <c r="C87" s="71"/>
      <c r="D87" s="72">
        <v>1565.46</v>
      </c>
      <c r="E87" s="72">
        <v>1271.23</v>
      </c>
      <c r="F87" s="72">
        <v>1450.06</v>
      </c>
      <c r="G87" s="72">
        <v>2091.5300000000002</v>
      </c>
      <c r="H87" s="72">
        <v>1274.72</v>
      </c>
      <c r="I87" s="72">
        <v>1892.79</v>
      </c>
      <c r="J87" s="72">
        <v>1385.96</v>
      </c>
      <c r="K87" s="72">
        <v>1406.77</v>
      </c>
      <c r="L87" s="72">
        <v>1985.54</v>
      </c>
      <c r="M87" s="72">
        <v>1494.85</v>
      </c>
      <c r="N87" s="72">
        <v>1603.69</v>
      </c>
      <c r="O87" s="72">
        <v>1770.3</v>
      </c>
      <c r="P87" s="72">
        <f t="shared" si="16"/>
        <v>19192.900000000001</v>
      </c>
      <c r="Q87" s="68"/>
      <c r="R87" s="66"/>
      <c r="S87" s="66"/>
      <c r="T87" s="66"/>
      <c r="U87" s="66"/>
      <c r="V87" s="66"/>
      <c r="W87" s="66"/>
      <c r="X87" s="66"/>
    </row>
    <row r="88" spans="1:24">
      <c r="A88" s="71"/>
      <c r="B88" s="71" t="s">
        <v>295</v>
      </c>
      <c r="C88" s="71"/>
      <c r="D88" s="72">
        <v>2971.12</v>
      </c>
      <c r="E88" s="72">
        <v>2136.6</v>
      </c>
      <c r="F88" s="72">
        <v>2409.83</v>
      </c>
      <c r="G88" s="72">
        <v>2776.17</v>
      </c>
      <c r="H88" s="72">
        <v>2509.35</v>
      </c>
      <c r="I88" s="72">
        <v>2940.42</v>
      </c>
      <c r="J88" s="72">
        <v>2427.35</v>
      </c>
      <c r="K88" s="72">
        <v>2305.4899999999998</v>
      </c>
      <c r="L88" s="72">
        <v>3042.69</v>
      </c>
      <c r="M88" s="72">
        <v>2812.85</v>
      </c>
      <c r="N88" s="72">
        <v>2279.0100000000002</v>
      </c>
      <c r="O88" s="72">
        <v>3209.94</v>
      </c>
      <c r="P88" s="72">
        <f t="shared" si="16"/>
        <v>31820.82</v>
      </c>
      <c r="Q88" s="68"/>
      <c r="R88" s="66"/>
      <c r="S88" s="66"/>
      <c r="T88" s="66"/>
      <c r="U88" s="66"/>
      <c r="V88" s="66"/>
      <c r="W88" s="66"/>
      <c r="X88" s="66"/>
    </row>
    <row r="89" spans="1:24">
      <c r="A89" s="71"/>
      <c r="B89" s="71" t="s">
        <v>296</v>
      </c>
      <c r="C89" s="71"/>
      <c r="D89" s="72">
        <v>3738.98</v>
      </c>
      <c r="E89" s="72">
        <v>2946.49</v>
      </c>
      <c r="F89" s="72">
        <v>3460.6</v>
      </c>
      <c r="G89" s="72">
        <v>4094.39</v>
      </c>
      <c r="H89" s="72">
        <v>3236.02</v>
      </c>
      <c r="I89" s="72">
        <v>4325.21</v>
      </c>
      <c r="J89" s="72">
        <v>4228.01</v>
      </c>
      <c r="K89" s="72">
        <v>2948.94</v>
      </c>
      <c r="L89" s="72">
        <v>4529.2299999999996</v>
      </c>
      <c r="M89" s="72">
        <v>4563.1099999999997</v>
      </c>
      <c r="N89" s="72">
        <v>3100.33</v>
      </c>
      <c r="O89" s="72">
        <v>4053.26</v>
      </c>
      <c r="P89" s="72">
        <f t="shared" si="16"/>
        <v>45224.57</v>
      </c>
      <c r="Q89" s="68"/>
      <c r="R89" s="66"/>
      <c r="S89" s="66"/>
      <c r="T89" s="66"/>
      <c r="U89" s="66"/>
      <c r="V89" s="66"/>
      <c r="W89" s="66"/>
      <c r="X89" s="66"/>
    </row>
    <row r="90" spans="1:24">
      <c r="A90" s="71"/>
      <c r="B90" s="71" t="s">
        <v>297</v>
      </c>
      <c r="C90" s="71"/>
      <c r="D90" s="72">
        <v>566.30999999999995</v>
      </c>
      <c r="E90" s="72">
        <v>346.07</v>
      </c>
      <c r="F90" s="72">
        <v>427.44</v>
      </c>
      <c r="G90" s="72">
        <v>541.41</v>
      </c>
      <c r="H90" s="72">
        <v>436.24</v>
      </c>
      <c r="I90" s="72">
        <v>447.09</v>
      </c>
      <c r="J90" s="72">
        <v>414.05</v>
      </c>
      <c r="K90" s="72">
        <v>303.38</v>
      </c>
      <c r="L90" s="72">
        <v>428.74</v>
      </c>
      <c r="M90" s="72">
        <v>320.86</v>
      </c>
      <c r="N90" s="72">
        <v>309.26</v>
      </c>
      <c r="O90" s="72">
        <v>380.54</v>
      </c>
      <c r="P90" s="72">
        <f t="shared" si="16"/>
        <v>4921.3900000000003</v>
      </c>
      <c r="Q90" s="68"/>
      <c r="R90" s="66"/>
      <c r="S90" s="66"/>
      <c r="T90" s="66"/>
      <c r="U90" s="66"/>
      <c r="V90" s="66"/>
      <c r="W90" s="66"/>
      <c r="X90" s="66"/>
    </row>
    <row r="91" spans="1:24">
      <c r="A91" s="71"/>
      <c r="B91" s="71" t="s">
        <v>298</v>
      </c>
      <c r="C91" s="71"/>
      <c r="D91" s="72">
        <v>1321.39</v>
      </c>
      <c r="E91" s="72">
        <v>1009.75</v>
      </c>
      <c r="F91" s="72">
        <v>997.37</v>
      </c>
      <c r="G91" s="72">
        <v>1263.29</v>
      </c>
      <c r="H91" s="72">
        <v>1017.92</v>
      </c>
      <c r="I91" s="72">
        <v>1043.17</v>
      </c>
      <c r="J91" s="72">
        <v>966.12</v>
      </c>
      <c r="K91" s="72">
        <v>707.91</v>
      </c>
      <c r="L91" s="72">
        <v>1000.4</v>
      </c>
      <c r="M91" s="72">
        <v>748.7</v>
      </c>
      <c r="N91" s="72">
        <v>721.6</v>
      </c>
      <c r="O91" s="72">
        <v>887.92</v>
      </c>
      <c r="P91" s="72">
        <f t="shared" si="16"/>
        <v>11685.54</v>
      </c>
      <c r="Q91" s="68"/>
      <c r="R91" s="66"/>
      <c r="S91" s="66"/>
      <c r="T91" s="66"/>
      <c r="U91" s="66"/>
      <c r="V91" s="66"/>
      <c r="W91" s="66"/>
      <c r="X91" s="66"/>
    </row>
    <row r="92" spans="1:24">
      <c r="A92" s="71"/>
      <c r="B92" s="71" t="s">
        <v>299</v>
      </c>
      <c r="C92" s="71"/>
      <c r="D92" s="72">
        <v>990.46</v>
      </c>
      <c r="E92" s="72">
        <v>842.91</v>
      </c>
      <c r="F92" s="72">
        <v>968.2</v>
      </c>
      <c r="G92" s="72">
        <v>1071.5899999999999</v>
      </c>
      <c r="H92" s="72">
        <v>787.89</v>
      </c>
      <c r="I92" s="72">
        <v>1425.06</v>
      </c>
      <c r="J92" s="72">
        <v>1605.57</v>
      </c>
      <c r="K92" s="72">
        <v>1177.6600000000001</v>
      </c>
      <c r="L92" s="72">
        <v>1473.93</v>
      </c>
      <c r="M92" s="72">
        <v>725.81</v>
      </c>
      <c r="N92" s="72">
        <v>732.36</v>
      </c>
      <c r="O92" s="72">
        <v>773.78</v>
      </c>
      <c r="P92" s="72">
        <f t="shared" si="16"/>
        <v>12575.22</v>
      </c>
      <c r="Q92" s="68"/>
      <c r="R92" s="66"/>
      <c r="S92" s="66"/>
      <c r="T92" s="66"/>
      <c r="U92" s="66"/>
      <c r="V92" s="66"/>
      <c r="W92" s="66"/>
      <c r="X92" s="66"/>
    </row>
    <row r="93" spans="1:24" ht="15.75" thickBot="1">
      <c r="A93" s="71"/>
      <c r="B93" s="71" t="s">
        <v>300</v>
      </c>
      <c r="C93" s="71"/>
      <c r="D93" s="73">
        <v>711.4</v>
      </c>
      <c r="E93" s="73">
        <v>860.47</v>
      </c>
      <c r="F93" s="73">
        <v>648.54999999999995</v>
      </c>
      <c r="G93" s="73">
        <v>934.02</v>
      </c>
      <c r="H93" s="73">
        <v>904.67</v>
      </c>
      <c r="I93" s="73">
        <v>896.18</v>
      </c>
      <c r="J93" s="73">
        <v>1070.5</v>
      </c>
      <c r="K93" s="73">
        <v>744.73</v>
      </c>
      <c r="L93" s="73">
        <v>1018.64</v>
      </c>
      <c r="M93" s="73">
        <v>827.42</v>
      </c>
      <c r="N93" s="73">
        <v>728.69</v>
      </c>
      <c r="O93" s="73">
        <v>924.62</v>
      </c>
      <c r="P93" s="73">
        <f t="shared" si="16"/>
        <v>10269.89</v>
      </c>
      <c r="Q93" s="68"/>
      <c r="R93" s="66"/>
      <c r="S93" s="66"/>
      <c r="T93" s="66"/>
      <c r="U93" s="66"/>
      <c r="V93" s="66"/>
      <c r="W93" s="66"/>
      <c r="X93" s="66"/>
    </row>
    <row r="94" spans="1:24">
      <c r="A94" s="71"/>
      <c r="B94" s="71" t="s">
        <v>301</v>
      </c>
      <c r="C94" s="71"/>
      <c r="D94" s="72">
        <f t="shared" ref="D94:O94" si="17">ROUND(SUM(D85:D93),5)</f>
        <v>18671.45</v>
      </c>
      <c r="E94" s="72">
        <f t="shared" si="17"/>
        <v>14889.74</v>
      </c>
      <c r="F94" s="72">
        <f t="shared" si="17"/>
        <v>16290.65</v>
      </c>
      <c r="G94" s="72">
        <f t="shared" si="17"/>
        <v>19817.29</v>
      </c>
      <c r="H94" s="72">
        <f t="shared" si="17"/>
        <v>15773.82</v>
      </c>
      <c r="I94" s="72">
        <f t="shared" si="17"/>
        <v>20555.14</v>
      </c>
      <c r="J94" s="72">
        <f t="shared" si="17"/>
        <v>17801.060000000001</v>
      </c>
      <c r="K94" s="72">
        <f t="shared" si="17"/>
        <v>15295.35</v>
      </c>
      <c r="L94" s="72">
        <f t="shared" si="17"/>
        <v>20221.46</v>
      </c>
      <c r="M94" s="72">
        <f t="shared" si="17"/>
        <v>15323.93</v>
      </c>
      <c r="N94" s="72">
        <f t="shared" si="17"/>
        <v>15469.36</v>
      </c>
      <c r="O94" s="72">
        <f t="shared" si="17"/>
        <v>19786.650000000001</v>
      </c>
      <c r="P94" s="72">
        <f t="shared" si="16"/>
        <v>209895.9</v>
      </c>
      <c r="Q94" s="68"/>
      <c r="R94" s="66"/>
      <c r="S94" s="66"/>
      <c r="T94" s="66"/>
      <c r="U94" s="66"/>
      <c r="V94" s="66"/>
      <c r="W94" s="66"/>
      <c r="X94" s="66"/>
    </row>
    <row r="95" spans="1:24">
      <c r="A95" s="71"/>
      <c r="B95" s="71"/>
      <c r="C95" s="71"/>
      <c r="D95" s="72"/>
      <c r="E95" s="72"/>
      <c r="F95" s="72"/>
      <c r="G95" s="72"/>
      <c r="H95" s="72"/>
      <c r="I95" s="72"/>
      <c r="J95" s="72"/>
      <c r="K95" s="72"/>
      <c r="L95" s="72"/>
      <c r="M95" s="72"/>
      <c r="N95" s="72"/>
      <c r="O95" s="72"/>
      <c r="P95" s="72"/>
      <c r="Q95" s="68"/>
      <c r="R95" s="66"/>
      <c r="S95" s="66"/>
      <c r="T95" s="66"/>
      <c r="U95" s="66"/>
      <c r="V95" s="66"/>
      <c r="W95" s="66"/>
      <c r="X95" s="66"/>
    </row>
    <row r="96" spans="1:24">
      <c r="A96" s="71"/>
      <c r="B96" s="71" t="s">
        <v>302</v>
      </c>
      <c r="C96" s="71"/>
      <c r="D96" s="72"/>
      <c r="E96" s="72"/>
      <c r="F96" s="72"/>
      <c r="G96" s="72"/>
      <c r="H96" s="72"/>
      <c r="I96" s="72"/>
      <c r="J96" s="72"/>
      <c r="K96" s="72"/>
      <c r="L96" s="72"/>
      <c r="M96" s="72"/>
      <c r="N96" s="72"/>
      <c r="O96" s="72"/>
      <c r="P96" s="72"/>
      <c r="Q96" s="68"/>
      <c r="R96" s="66"/>
      <c r="S96" s="66"/>
      <c r="T96" s="66"/>
      <c r="U96" s="66"/>
      <c r="V96" s="66"/>
      <c r="W96" s="66"/>
      <c r="X96" s="66"/>
    </row>
    <row r="97" spans="1:24">
      <c r="A97" s="71"/>
      <c r="B97" s="71" t="s">
        <v>303</v>
      </c>
      <c r="C97" s="71"/>
      <c r="D97" s="72">
        <v>7.75</v>
      </c>
      <c r="E97" s="72">
        <v>0.2</v>
      </c>
      <c r="F97" s="72">
        <v>0</v>
      </c>
      <c r="G97" s="72">
        <v>0</v>
      </c>
      <c r="H97" s="72">
        <v>0</v>
      </c>
      <c r="I97" s="72">
        <v>0</v>
      </c>
      <c r="J97" s="72">
        <v>0</v>
      </c>
      <c r="K97" s="72">
        <v>0</v>
      </c>
      <c r="L97" s="72">
        <v>0</v>
      </c>
      <c r="M97" s="72">
        <v>499.6</v>
      </c>
      <c r="N97" s="72">
        <v>149.43</v>
      </c>
      <c r="O97" s="72">
        <v>14.47</v>
      </c>
      <c r="P97" s="72">
        <f t="shared" ref="P97:P105" si="18">ROUND(SUM(D97:O97),5)</f>
        <v>671.45</v>
      </c>
      <c r="Q97" s="68"/>
      <c r="R97" s="66"/>
      <c r="S97" s="66"/>
      <c r="T97" s="66"/>
      <c r="U97" s="66"/>
      <c r="V97" s="66"/>
      <c r="W97" s="66"/>
      <c r="X97" s="66"/>
    </row>
    <row r="98" spans="1:24">
      <c r="A98" s="71"/>
      <c r="B98" s="71" t="s">
        <v>304</v>
      </c>
      <c r="C98" s="71"/>
      <c r="D98" s="72">
        <v>0</v>
      </c>
      <c r="E98" s="72">
        <v>0</v>
      </c>
      <c r="F98" s="72">
        <v>0</v>
      </c>
      <c r="G98" s="72">
        <v>0</v>
      </c>
      <c r="H98" s="72">
        <v>0</v>
      </c>
      <c r="I98" s="72">
        <v>0</v>
      </c>
      <c r="J98" s="72">
        <v>0</v>
      </c>
      <c r="K98" s="72">
        <v>0</v>
      </c>
      <c r="L98" s="72">
        <v>0</v>
      </c>
      <c r="M98" s="72">
        <v>115.82</v>
      </c>
      <c r="N98" s="72">
        <v>10.19</v>
      </c>
      <c r="O98" s="72">
        <v>0</v>
      </c>
      <c r="P98" s="72">
        <f t="shared" si="18"/>
        <v>126.01</v>
      </c>
      <c r="Q98" s="68"/>
      <c r="R98" s="66"/>
      <c r="S98" s="66"/>
      <c r="T98" s="66"/>
      <c r="U98" s="66"/>
      <c r="V98" s="66"/>
      <c r="W98" s="66"/>
      <c r="X98" s="66"/>
    </row>
    <row r="99" spans="1:24">
      <c r="A99" s="71"/>
      <c r="B99" s="71" t="s">
        <v>305</v>
      </c>
      <c r="C99" s="71"/>
      <c r="D99" s="72">
        <v>0</v>
      </c>
      <c r="E99" s="72">
        <v>0</v>
      </c>
      <c r="F99" s="72">
        <v>0</v>
      </c>
      <c r="G99" s="72">
        <v>0</v>
      </c>
      <c r="H99" s="72">
        <v>0</v>
      </c>
      <c r="I99" s="72">
        <v>0</v>
      </c>
      <c r="J99" s="72">
        <v>0</v>
      </c>
      <c r="K99" s="72">
        <v>0</v>
      </c>
      <c r="L99" s="72">
        <v>0</v>
      </c>
      <c r="M99" s="72">
        <v>199.9</v>
      </c>
      <c r="N99" s="72">
        <v>10.119999999999999</v>
      </c>
      <c r="O99" s="72">
        <v>0</v>
      </c>
      <c r="P99" s="72">
        <f t="shared" si="18"/>
        <v>210.02</v>
      </c>
      <c r="Q99" s="68"/>
      <c r="R99" s="66"/>
      <c r="S99" s="66"/>
      <c r="T99" s="66"/>
      <c r="U99" s="66"/>
      <c r="V99" s="66"/>
      <c r="W99" s="66"/>
      <c r="X99" s="66"/>
    </row>
    <row r="100" spans="1:24">
      <c r="A100" s="71"/>
      <c r="B100" s="71" t="s">
        <v>306</v>
      </c>
      <c r="C100" s="71"/>
      <c r="D100" s="72">
        <v>25.8</v>
      </c>
      <c r="E100" s="72">
        <v>24.31</v>
      </c>
      <c r="F100" s="72">
        <v>19.59</v>
      </c>
      <c r="G100" s="72">
        <v>0</v>
      </c>
      <c r="H100" s="72">
        <v>9.4600000000000009</v>
      </c>
      <c r="I100" s="72">
        <v>15.49</v>
      </c>
      <c r="J100" s="72">
        <v>26.5</v>
      </c>
      <c r="K100" s="72">
        <v>0</v>
      </c>
      <c r="L100" s="72">
        <v>6.13</v>
      </c>
      <c r="M100" s="72">
        <v>342</v>
      </c>
      <c r="N100" s="72">
        <v>68.7</v>
      </c>
      <c r="O100" s="72">
        <v>16.07</v>
      </c>
      <c r="P100" s="72">
        <f t="shared" si="18"/>
        <v>554.04999999999995</v>
      </c>
      <c r="Q100" s="68"/>
      <c r="R100" s="66"/>
      <c r="S100" s="66"/>
      <c r="T100" s="66"/>
      <c r="U100" s="66"/>
      <c r="V100" s="66"/>
      <c r="W100" s="66"/>
      <c r="X100" s="66"/>
    </row>
    <row r="101" spans="1:24">
      <c r="A101" s="71"/>
      <c r="B101" s="71" t="s">
        <v>307</v>
      </c>
      <c r="C101" s="71"/>
      <c r="D101" s="72">
        <v>0</v>
      </c>
      <c r="E101" s="72">
        <v>0</v>
      </c>
      <c r="F101" s="72">
        <v>0</v>
      </c>
      <c r="G101" s="72">
        <v>0</v>
      </c>
      <c r="H101" s="72">
        <v>0</v>
      </c>
      <c r="I101" s="72">
        <v>0</v>
      </c>
      <c r="J101" s="72">
        <v>0</v>
      </c>
      <c r="K101" s="72">
        <v>0</v>
      </c>
      <c r="L101" s="72">
        <v>0</v>
      </c>
      <c r="M101" s="72">
        <v>25.17</v>
      </c>
      <c r="N101" s="72">
        <v>12.64</v>
      </c>
      <c r="O101" s="72">
        <v>0</v>
      </c>
      <c r="P101" s="72">
        <f t="shared" si="18"/>
        <v>37.81</v>
      </c>
      <c r="Q101" s="68"/>
      <c r="R101" s="66"/>
      <c r="S101" s="66"/>
      <c r="T101" s="66"/>
      <c r="U101" s="66"/>
      <c r="V101" s="66"/>
      <c r="W101" s="66"/>
      <c r="X101" s="66"/>
    </row>
    <row r="102" spans="1:24">
      <c r="A102" s="71"/>
      <c r="B102" s="71" t="s">
        <v>308</v>
      </c>
      <c r="C102" s="71"/>
      <c r="D102" s="72">
        <v>0</v>
      </c>
      <c r="E102" s="72">
        <v>0</v>
      </c>
      <c r="F102" s="72">
        <v>0</v>
      </c>
      <c r="G102" s="72">
        <v>0</v>
      </c>
      <c r="H102" s="72">
        <v>0</v>
      </c>
      <c r="I102" s="72">
        <v>0</v>
      </c>
      <c r="J102" s="72">
        <v>0</v>
      </c>
      <c r="K102" s="72">
        <v>0</v>
      </c>
      <c r="L102" s="72">
        <v>0</v>
      </c>
      <c r="M102" s="72">
        <v>58.72</v>
      </c>
      <c r="N102" s="72">
        <v>29.48</v>
      </c>
      <c r="O102" s="72">
        <v>0</v>
      </c>
      <c r="P102" s="72">
        <f t="shared" si="18"/>
        <v>88.2</v>
      </c>
      <c r="Q102" s="68"/>
      <c r="R102" s="66"/>
      <c r="S102" s="66"/>
      <c r="T102" s="66"/>
      <c r="U102" s="66"/>
      <c r="V102" s="66"/>
      <c r="W102" s="66"/>
      <c r="X102" s="66"/>
    </row>
    <row r="103" spans="1:24">
      <c r="A103" s="71"/>
      <c r="B103" s="71" t="s">
        <v>309</v>
      </c>
      <c r="C103" s="71"/>
      <c r="D103" s="72">
        <v>0</v>
      </c>
      <c r="E103" s="72">
        <v>0</v>
      </c>
      <c r="F103" s="72">
        <v>0</v>
      </c>
      <c r="G103" s="72">
        <v>0</v>
      </c>
      <c r="H103" s="72">
        <v>0</v>
      </c>
      <c r="I103" s="72">
        <v>0</v>
      </c>
      <c r="J103" s="72">
        <v>0</v>
      </c>
      <c r="K103" s="72">
        <v>0</v>
      </c>
      <c r="L103" s="72">
        <v>0</v>
      </c>
      <c r="M103" s="72">
        <v>56.93</v>
      </c>
      <c r="N103" s="72">
        <v>27.08</v>
      </c>
      <c r="O103" s="72">
        <v>0</v>
      </c>
      <c r="P103" s="72">
        <f t="shared" si="18"/>
        <v>84.01</v>
      </c>
      <c r="Q103" s="68"/>
      <c r="R103" s="66"/>
      <c r="S103" s="66"/>
      <c r="T103" s="66"/>
      <c r="U103" s="66"/>
      <c r="V103" s="66"/>
      <c r="W103" s="66"/>
      <c r="X103" s="66"/>
    </row>
    <row r="104" spans="1:24" ht="15.75" thickBot="1">
      <c r="A104" s="71"/>
      <c r="B104" s="71" t="s">
        <v>310</v>
      </c>
      <c r="C104" s="71"/>
      <c r="D104" s="73">
        <v>0</v>
      </c>
      <c r="E104" s="73">
        <v>0</v>
      </c>
      <c r="F104" s="73">
        <v>0</v>
      </c>
      <c r="G104" s="73">
        <v>0</v>
      </c>
      <c r="H104" s="73">
        <v>0</v>
      </c>
      <c r="I104" s="73">
        <v>0</v>
      </c>
      <c r="J104" s="73">
        <v>0</v>
      </c>
      <c r="K104" s="73">
        <v>0</v>
      </c>
      <c r="L104" s="73">
        <v>0</v>
      </c>
      <c r="M104" s="73">
        <v>64.88</v>
      </c>
      <c r="N104" s="73">
        <v>19.100000000000001</v>
      </c>
      <c r="O104" s="73">
        <v>0</v>
      </c>
      <c r="P104" s="73">
        <f t="shared" si="18"/>
        <v>83.98</v>
      </c>
      <c r="Q104" s="68"/>
      <c r="R104" s="66"/>
      <c r="S104" s="66"/>
      <c r="T104" s="66"/>
      <c r="U104" s="66"/>
      <c r="V104" s="66"/>
      <c r="W104" s="66"/>
      <c r="X104" s="66"/>
    </row>
    <row r="105" spans="1:24">
      <c r="A105" s="71"/>
      <c r="B105" s="71" t="s">
        <v>311</v>
      </c>
      <c r="C105" s="71"/>
      <c r="D105" s="72">
        <f t="shared" ref="D105:O105" si="19">ROUND(SUM(D96:D104),5)</f>
        <v>33.549999999999997</v>
      </c>
      <c r="E105" s="72">
        <f t="shared" si="19"/>
        <v>24.51</v>
      </c>
      <c r="F105" s="72">
        <f t="shared" si="19"/>
        <v>19.59</v>
      </c>
      <c r="G105" s="72">
        <f t="shared" si="19"/>
        <v>0</v>
      </c>
      <c r="H105" s="72">
        <f t="shared" si="19"/>
        <v>9.4600000000000009</v>
      </c>
      <c r="I105" s="72">
        <f t="shared" si="19"/>
        <v>15.49</v>
      </c>
      <c r="J105" s="72">
        <f t="shared" si="19"/>
        <v>26.5</v>
      </c>
      <c r="K105" s="72">
        <f t="shared" si="19"/>
        <v>0</v>
      </c>
      <c r="L105" s="72">
        <f t="shared" si="19"/>
        <v>6.13</v>
      </c>
      <c r="M105" s="72">
        <f t="shared" si="19"/>
        <v>1363.02</v>
      </c>
      <c r="N105" s="72">
        <f t="shared" si="19"/>
        <v>326.74</v>
      </c>
      <c r="O105" s="72">
        <f t="shared" si="19"/>
        <v>30.54</v>
      </c>
      <c r="P105" s="72">
        <f t="shared" si="18"/>
        <v>1855.53</v>
      </c>
      <c r="Q105" s="68"/>
      <c r="R105" s="66"/>
      <c r="S105" s="66"/>
      <c r="T105" s="66"/>
      <c r="U105" s="66"/>
      <c r="V105" s="66"/>
      <c r="W105" s="66"/>
      <c r="X105" s="66"/>
    </row>
    <row r="106" spans="1:24">
      <c r="A106" s="71"/>
      <c r="B106" s="71"/>
      <c r="C106" s="71"/>
      <c r="D106" s="72"/>
      <c r="E106" s="72"/>
      <c r="F106" s="72"/>
      <c r="G106" s="72"/>
      <c r="H106" s="72"/>
      <c r="I106" s="72"/>
      <c r="J106" s="72"/>
      <c r="K106" s="72"/>
      <c r="L106" s="72"/>
      <c r="M106" s="72"/>
      <c r="N106" s="72"/>
      <c r="O106" s="72"/>
      <c r="P106" s="72"/>
      <c r="Q106" s="68"/>
      <c r="R106" s="66"/>
      <c r="S106" s="66"/>
      <c r="T106" s="66"/>
      <c r="U106" s="66"/>
      <c r="V106" s="66"/>
      <c r="W106" s="66"/>
      <c r="X106" s="66"/>
    </row>
    <row r="107" spans="1:24">
      <c r="A107" s="71"/>
      <c r="B107" s="71" t="s">
        <v>312</v>
      </c>
      <c r="C107" s="71"/>
      <c r="D107" s="72"/>
      <c r="E107" s="72"/>
      <c r="F107" s="72"/>
      <c r="G107" s="72"/>
      <c r="H107" s="72"/>
      <c r="I107" s="72"/>
      <c r="J107" s="72"/>
      <c r="K107" s="72"/>
      <c r="L107" s="72"/>
      <c r="M107" s="72"/>
      <c r="N107" s="72"/>
      <c r="O107" s="72"/>
      <c r="P107" s="72"/>
      <c r="Q107" s="68"/>
      <c r="R107" s="66"/>
      <c r="S107" s="66"/>
      <c r="T107" s="66"/>
      <c r="U107" s="66"/>
      <c r="V107" s="66"/>
      <c r="W107" s="66"/>
      <c r="X107" s="66"/>
    </row>
    <row r="108" spans="1:24">
      <c r="A108" s="71"/>
      <c r="B108" s="71" t="s">
        <v>313</v>
      </c>
      <c r="C108" s="71"/>
      <c r="D108" s="72">
        <v>219.37</v>
      </c>
      <c r="E108" s="72">
        <v>179.09</v>
      </c>
      <c r="F108" s="72">
        <v>193.8</v>
      </c>
      <c r="G108" s="72">
        <v>230.29</v>
      </c>
      <c r="H108" s="72">
        <v>176.83</v>
      </c>
      <c r="I108" s="72">
        <v>217.58</v>
      </c>
      <c r="J108" s="72">
        <v>60.05</v>
      </c>
      <c r="K108" s="72">
        <v>22.71</v>
      </c>
      <c r="L108" s="72">
        <v>4.07</v>
      </c>
      <c r="M108" s="72">
        <v>210.48</v>
      </c>
      <c r="N108" s="72">
        <v>357.1</v>
      </c>
      <c r="O108" s="72">
        <v>692.23</v>
      </c>
      <c r="P108" s="72">
        <f t="shared" ref="P108:P121" si="20">ROUND(SUM(D108:O108),5)</f>
        <v>2563.6</v>
      </c>
      <c r="Q108" s="68"/>
      <c r="R108" s="66"/>
      <c r="S108" s="66"/>
      <c r="T108" s="66"/>
      <c r="U108" s="66"/>
      <c r="V108" s="66"/>
      <c r="W108" s="66"/>
      <c r="X108" s="66"/>
    </row>
    <row r="109" spans="1:24">
      <c r="A109" s="71"/>
      <c r="B109" s="71" t="s">
        <v>314</v>
      </c>
      <c r="C109" s="71"/>
      <c r="D109" s="72">
        <v>51.18</v>
      </c>
      <c r="E109" s="72">
        <v>41.56</v>
      </c>
      <c r="F109" s="72">
        <v>47.39</v>
      </c>
      <c r="G109" s="72">
        <v>68.34</v>
      </c>
      <c r="H109" s="72">
        <v>37.29</v>
      </c>
      <c r="I109" s="72">
        <v>1.08</v>
      </c>
      <c r="J109" s="72">
        <v>0</v>
      </c>
      <c r="K109" s="72">
        <v>0</v>
      </c>
      <c r="L109" s="72">
        <v>0</v>
      </c>
      <c r="M109" s="72">
        <v>48.86</v>
      </c>
      <c r="N109" s="72">
        <v>101.58</v>
      </c>
      <c r="O109" s="72">
        <v>157.37</v>
      </c>
      <c r="P109" s="72">
        <f t="shared" si="20"/>
        <v>554.65</v>
      </c>
      <c r="Q109" s="68"/>
      <c r="R109" s="66"/>
      <c r="S109" s="66"/>
      <c r="T109" s="66"/>
      <c r="U109" s="66"/>
      <c r="V109" s="66"/>
      <c r="W109" s="66"/>
      <c r="X109" s="66"/>
    </row>
    <row r="110" spans="1:24">
      <c r="A110" s="71"/>
      <c r="B110" s="71" t="s">
        <v>315</v>
      </c>
      <c r="C110" s="71"/>
      <c r="D110" s="72">
        <v>97.09</v>
      </c>
      <c r="E110" s="72">
        <v>69.83</v>
      </c>
      <c r="F110" s="72">
        <v>78.760000000000005</v>
      </c>
      <c r="G110" s="72">
        <v>90.75</v>
      </c>
      <c r="H110" s="72">
        <v>53.06</v>
      </c>
      <c r="I110" s="72">
        <v>24.67</v>
      </c>
      <c r="J110" s="72">
        <v>0.78</v>
      </c>
      <c r="K110" s="72">
        <v>0</v>
      </c>
      <c r="L110" s="72">
        <v>0</v>
      </c>
      <c r="M110" s="72">
        <v>91.95</v>
      </c>
      <c r="N110" s="72">
        <v>133.32</v>
      </c>
      <c r="O110" s="72">
        <v>285.37</v>
      </c>
      <c r="P110" s="72">
        <f t="shared" si="20"/>
        <v>925.58</v>
      </c>
      <c r="Q110" s="68"/>
      <c r="R110" s="66"/>
      <c r="S110" s="66"/>
      <c r="T110" s="66"/>
      <c r="U110" s="66"/>
      <c r="V110" s="66"/>
      <c r="W110" s="66"/>
      <c r="X110" s="66"/>
    </row>
    <row r="111" spans="1:24">
      <c r="A111" s="71"/>
      <c r="B111" s="71" t="s">
        <v>316</v>
      </c>
      <c r="C111" s="71"/>
      <c r="D111" s="72">
        <v>122.13</v>
      </c>
      <c r="E111" s="72">
        <v>96.27</v>
      </c>
      <c r="F111" s="72">
        <v>113.1</v>
      </c>
      <c r="G111" s="72">
        <v>133.86000000000001</v>
      </c>
      <c r="H111" s="72">
        <v>105.72</v>
      </c>
      <c r="I111" s="72">
        <v>141.26</v>
      </c>
      <c r="J111" s="72">
        <v>130.88999999999999</v>
      </c>
      <c r="K111" s="72">
        <v>38.35</v>
      </c>
      <c r="L111" s="72">
        <v>20.98</v>
      </c>
      <c r="M111" s="72">
        <v>150.35</v>
      </c>
      <c r="N111" s="72">
        <v>185.25</v>
      </c>
      <c r="O111" s="72">
        <v>360.36</v>
      </c>
      <c r="P111" s="72">
        <f t="shared" si="20"/>
        <v>1598.52</v>
      </c>
      <c r="Q111" s="68"/>
      <c r="R111" s="66"/>
      <c r="S111" s="66"/>
      <c r="T111" s="66"/>
      <c r="U111" s="66"/>
      <c r="V111" s="66"/>
      <c r="W111" s="66"/>
      <c r="X111" s="66"/>
    </row>
    <row r="112" spans="1:24">
      <c r="A112" s="71"/>
      <c r="B112" s="71" t="s">
        <v>317</v>
      </c>
      <c r="C112" s="71"/>
      <c r="D112" s="72">
        <v>18.5</v>
      </c>
      <c r="E112" s="72">
        <v>11.31</v>
      </c>
      <c r="F112" s="72">
        <v>13.98</v>
      </c>
      <c r="G112" s="72">
        <v>17.7</v>
      </c>
      <c r="H112" s="72">
        <v>14.27</v>
      </c>
      <c r="I112" s="72">
        <v>14.61</v>
      </c>
      <c r="J112" s="72">
        <v>13.52</v>
      </c>
      <c r="K112" s="72">
        <v>5.47</v>
      </c>
      <c r="L112" s="72">
        <v>0</v>
      </c>
      <c r="M112" s="72">
        <v>10.49</v>
      </c>
      <c r="N112" s="72">
        <v>18.64</v>
      </c>
      <c r="O112" s="72">
        <v>33.840000000000003</v>
      </c>
      <c r="P112" s="72">
        <f t="shared" si="20"/>
        <v>172.33</v>
      </c>
      <c r="Q112" s="68"/>
      <c r="R112" s="66"/>
      <c r="S112" s="66"/>
      <c r="T112" s="66"/>
      <c r="U112" s="66"/>
      <c r="V112" s="66"/>
      <c r="W112" s="66"/>
      <c r="X112" s="66"/>
    </row>
    <row r="113" spans="1:24">
      <c r="A113" s="71"/>
      <c r="B113" s="71" t="s">
        <v>318</v>
      </c>
      <c r="C113" s="71"/>
      <c r="D113" s="72">
        <v>43.15</v>
      </c>
      <c r="E113" s="72">
        <v>33</v>
      </c>
      <c r="F113" s="72">
        <v>32.61</v>
      </c>
      <c r="G113" s="72">
        <v>41.3</v>
      </c>
      <c r="H113" s="72">
        <v>33.28</v>
      </c>
      <c r="I113" s="72">
        <v>34.08</v>
      </c>
      <c r="J113" s="72">
        <v>31.56</v>
      </c>
      <c r="K113" s="72">
        <v>12.77</v>
      </c>
      <c r="L113" s="72">
        <v>0</v>
      </c>
      <c r="M113" s="72">
        <v>24.46</v>
      </c>
      <c r="N113" s="72">
        <v>43.5</v>
      </c>
      <c r="O113" s="72">
        <v>78.95</v>
      </c>
      <c r="P113" s="72">
        <f t="shared" si="20"/>
        <v>408.66</v>
      </c>
      <c r="Q113" s="68"/>
      <c r="R113" s="66"/>
      <c r="S113" s="66"/>
      <c r="T113" s="66"/>
      <c r="U113" s="66"/>
      <c r="V113" s="66"/>
      <c r="W113" s="66"/>
      <c r="X113" s="66"/>
    </row>
    <row r="114" spans="1:24">
      <c r="A114" s="71"/>
      <c r="B114" s="71" t="s">
        <v>319</v>
      </c>
      <c r="C114" s="71"/>
      <c r="D114" s="72">
        <v>32.36</v>
      </c>
      <c r="E114" s="72">
        <v>27.54</v>
      </c>
      <c r="F114" s="72">
        <v>31.63</v>
      </c>
      <c r="G114" s="72">
        <v>35.03</v>
      </c>
      <c r="H114" s="72">
        <v>25.75</v>
      </c>
      <c r="I114" s="72">
        <v>46.55</v>
      </c>
      <c r="J114" s="72">
        <v>27.67</v>
      </c>
      <c r="K114" s="72">
        <v>0</v>
      </c>
      <c r="L114" s="72">
        <v>0</v>
      </c>
      <c r="M114" s="72">
        <v>23.7</v>
      </c>
      <c r="N114" s="72">
        <v>46.41</v>
      </c>
      <c r="O114" s="72">
        <v>68.75</v>
      </c>
      <c r="P114" s="72">
        <f t="shared" si="20"/>
        <v>365.39</v>
      </c>
      <c r="Q114" s="68"/>
      <c r="R114" s="66"/>
      <c r="S114" s="66"/>
      <c r="T114" s="66"/>
      <c r="U114" s="66"/>
      <c r="V114" s="66"/>
      <c r="W114" s="66"/>
      <c r="X114" s="66"/>
    </row>
    <row r="115" spans="1:24" ht="15.75" thickBot="1">
      <c r="A115" s="71"/>
      <c r="B115" s="71" t="s">
        <v>320</v>
      </c>
      <c r="C115" s="71"/>
      <c r="D115" s="73">
        <v>22.67</v>
      </c>
      <c r="E115" s="73">
        <v>28.11</v>
      </c>
      <c r="F115" s="73">
        <v>21.21</v>
      </c>
      <c r="G115" s="73">
        <v>30.53</v>
      </c>
      <c r="H115" s="73">
        <v>29.54</v>
      </c>
      <c r="I115" s="73">
        <v>29.3</v>
      </c>
      <c r="J115" s="73">
        <v>15.14</v>
      </c>
      <c r="K115" s="73">
        <v>0</v>
      </c>
      <c r="L115" s="73">
        <v>0</v>
      </c>
      <c r="M115" s="73">
        <v>27.03</v>
      </c>
      <c r="N115" s="73">
        <v>44.37</v>
      </c>
      <c r="O115" s="73">
        <v>82.18</v>
      </c>
      <c r="P115" s="73">
        <f t="shared" si="20"/>
        <v>330.08</v>
      </c>
      <c r="Q115" s="68"/>
      <c r="R115" s="66"/>
      <c r="S115" s="66"/>
      <c r="T115" s="66"/>
      <c r="U115" s="66"/>
      <c r="V115" s="66"/>
      <c r="W115" s="66"/>
      <c r="X115" s="66"/>
    </row>
    <row r="116" spans="1:24">
      <c r="A116" s="71"/>
      <c r="B116" s="71" t="s">
        <v>321</v>
      </c>
      <c r="C116" s="71"/>
      <c r="D116" s="72">
        <f t="shared" ref="D116:O116" si="21">ROUND(SUM(D107:D115),5)</f>
        <v>606.45000000000005</v>
      </c>
      <c r="E116" s="72">
        <f t="shared" si="21"/>
        <v>486.71</v>
      </c>
      <c r="F116" s="72">
        <f t="shared" si="21"/>
        <v>532.48</v>
      </c>
      <c r="G116" s="72">
        <f t="shared" si="21"/>
        <v>647.79999999999995</v>
      </c>
      <c r="H116" s="72">
        <f t="shared" si="21"/>
        <v>475.74</v>
      </c>
      <c r="I116" s="72">
        <f t="shared" si="21"/>
        <v>509.13</v>
      </c>
      <c r="J116" s="72">
        <f t="shared" si="21"/>
        <v>279.61</v>
      </c>
      <c r="K116" s="72">
        <f t="shared" si="21"/>
        <v>79.3</v>
      </c>
      <c r="L116" s="72">
        <f t="shared" si="21"/>
        <v>25.05</v>
      </c>
      <c r="M116" s="72">
        <f t="shared" si="21"/>
        <v>587.32000000000005</v>
      </c>
      <c r="N116" s="72">
        <f t="shared" si="21"/>
        <v>930.17</v>
      </c>
      <c r="O116" s="72">
        <f t="shared" si="21"/>
        <v>1759.05</v>
      </c>
      <c r="P116" s="72">
        <f t="shared" si="20"/>
        <v>6918.81</v>
      </c>
      <c r="Q116" s="68"/>
      <c r="R116" s="66"/>
      <c r="S116" s="66"/>
      <c r="T116" s="66"/>
      <c r="U116" s="66"/>
      <c r="V116" s="66"/>
      <c r="W116" s="66"/>
      <c r="X116" s="66"/>
    </row>
    <row r="117" spans="1:24">
      <c r="A117" s="71"/>
      <c r="B117" s="71"/>
      <c r="C117" s="71"/>
      <c r="D117" s="72"/>
      <c r="E117" s="72"/>
      <c r="F117" s="72"/>
      <c r="G117" s="72"/>
      <c r="H117" s="72"/>
      <c r="I117" s="72"/>
      <c r="J117" s="72"/>
      <c r="K117" s="72"/>
      <c r="L117" s="72"/>
      <c r="M117" s="72"/>
      <c r="N117" s="72"/>
      <c r="O117" s="72"/>
      <c r="P117" s="72"/>
      <c r="Q117" s="68"/>
      <c r="R117" s="66"/>
      <c r="S117" s="66"/>
      <c r="T117" s="66"/>
      <c r="U117" s="66"/>
      <c r="V117" s="66"/>
      <c r="W117" s="66"/>
      <c r="X117" s="66"/>
    </row>
    <row r="118" spans="1:24" ht="15.75" thickBot="1">
      <c r="A118" s="71"/>
      <c r="B118" s="71" t="s">
        <v>322</v>
      </c>
      <c r="C118" s="71"/>
      <c r="D118" s="73">
        <v>0</v>
      </c>
      <c r="E118" s="73">
        <v>0</v>
      </c>
      <c r="F118" s="73">
        <v>0</v>
      </c>
      <c r="G118" s="73">
        <v>0</v>
      </c>
      <c r="H118" s="73">
        <v>0</v>
      </c>
      <c r="I118" s="73">
        <v>0</v>
      </c>
      <c r="J118" s="73">
        <v>0</v>
      </c>
      <c r="K118" s="73">
        <v>0</v>
      </c>
      <c r="L118" s="73">
        <v>0</v>
      </c>
      <c r="M118" s="73">
        <v>2772.42</v>
      </c>
      <c r="N118" s="73">
        <v>0</v>
      </c>
      <c r="O118" s="73">
        <v>0</v>
      </c>
      <c r="P118" s="73">
        <f t="shared" si="20"/>
        <v>2772.42</v>
      </c>
      <c r="Q118" s="68"/>
      <c r="R118" s="66"/>
      <c r="S118" s="66"/>
      <c r="T118" s="66"/>
      <c r="U118" s="66"/>
      <c r="V118" s="66"/>
      <c r="W118" s="66"/>
      <c r="X118" s="66"/>
    </row>
    <row r="119" spans="1:24">
      <c r="A119" s="71"/>
      <c r="B119" s="71" t="s">
        <v>323</v>
      </c>
      <c r="C119" s="71"/>
      <c r="D119" s="72">
        <f t="shared" ref="D119:O119" si="22">ROUND(D48+D58+SUM(D70:D72)+D83+D94+D105+SUM(D116:D118),5)</f>
        <v>333380.36</v>
      </c>
      <c r="E119" s="72">
        <f t="shared" si="22"/>
        <v>277348.40000000002</v>
      </c>
      <c r="F119" s="72">
        <f t="shared" si="22"/>
        <v>339638.83</v>
      </c>
      <c r="G119" s="72">
        <f t="shared" si="22"/>
        <v>348603.88</v>
      </c>
      <c r="H119" s="72">
        <f t="shared" si="22"/>
        <v>304818.78000000003</v>
      </c>
      <c r="I119" s="72">
        <f t="shared" si="22"/>
        <v>406707.07</v>
      </c>
      <c r="J119" s="72">
        <f t="shared" si="22"/>
        <v>316123.01</v>
      </c>
      <c r="K119" s="72">
        <f t="shared" si="22"/>
        <v>289171.5</v>
      </c>
      <c r="L119" s="72">
        <f t="shared" si="22"/>
        <v>417689.82</v>
      </c>
      <c r="M119" s="72">
        <f t="shared" si="22"/>
        <v>328486.15000000002</v>
      </c>
      <c r="N119" s="72">
        <f t="shared" si="22"/>
        <v>291712.84000000003</v>
      </c>
      <c r="O119" s="72">
        <f t="shared" si="22"/>
        <v>399424.99</v>
      </c>
      <c r="P119" s="72">
        <f t="shared" si="20"/>
        <v>4053105.63</v>
      </c>
      <c r="Q119" s="68"/>
      <c r="R119" s="66"/>
      <c r="S119" s="66"/>
      <c r="T119" s="66"/>
      <c r="U119" s="66"/>
      <c r="V119" s="66"/>
      <c r="W119" s="66"/>
      <c r="X119" s="66"/>
    </row>
    <row r="120" spans="1:24">
      <c r="A120" s="71"/>
      <c r="B120" s="71"/>
      <c r="C120" s="71"/>
      <c r="D120" s="72"/>
      <c r="E120" s="72"/>
      <c r="F120" s="72"/>
      <c r="G120" s="72"/>
      <c r="H120" s="72"/>
      <c r="I120" s="72"/>
      <c r="J120" s="72"/>
      <c r="K120" s="72"/>
      <c r="L120" s="72"/>
      <c r="M120" s="72"/>
      <c r="N120" s="72"/>
      <c r="O120" s="72"/>
      <c r="P120" s="72"/>
      <c r="Q120" s="68"/>
      <c r="R120" s="66"/>
      <c r="S120" s="66"/>
      <c r="T120" s="66"/>
      <c r="U120" s="66"/>
      <c r="V120" s="66"/>
      <c r="W120" s="66"/>
      <c r="X120" s="66"/>
    </row>
    <row r="121" spans="1:24">
      <c r="A121" s="71"/>
      <c r="B121" s="71" t="s">
        <v>324</v>
      </c>
      <c r="C121" s="71"/>
      <c r="D121" s="72">
        <v>102.46</v>
      </c>
      <c r="E121" s="72">
        <v>235.33</v>
      </c>
      <c r="F121" s="72">
        <v>206.14</v>
      </c>
      <c r="G121" s="72">
        <v>259.35000000000002</v>
      </c>
      <c r="H121" s="72">
        <v>285.02</v>
      </c>
      <c r="I121" s="72">
        <v>248.17</v>
      </c>
      <c r="J121" s="72">
        <v>246.06</v>
      </c>
      <c r="K121" s="72">
        <v>238.99</v>
      </c>
      <c r="L121" s="72">
        <v>233.84</v>
      </c>
      <c r="M121" s="72">
        <v>291.14</v>
      </c>
      <c r="N121" s="72">
        <v>282.55</v>
      </c>
      <c r="O121" s="72">
        <v>319.16000000000003</v>
      </c>
      <c r="P121" s="72">
        <f t="shared" si="20"/>
        <v>2948.21</v>
      </c>
      <c r="Q121" s="68"/>
      <c r="R121" s="66"/>
      <c r="S121" s="66"/>
      <c r="T121" s="66"/>
      <c r="U121" s="66"/>
      <c r="V121" s="66"/>
      <c r="W121" s="66"/>
      <c r="X121" s="66"/>
    </row>
    <row r="122" spans="1:24">
      <c r="A122" s="71"/>
      <c r="B122" s="71"/>
      <c r="C122" s="71"/>
      <c r="D122" s="72"/>
      <c r="E122" s="72"/>
      <c r="F122" s="72"/>
      <c r="G122" s="72"/>
      <c r="H122" s="72"/>
      <c r="I122" s="72"/>
      <c r="J122" s="72"/>
      <c r="K122" s="72"/>
      <c r="L122" s="72"/>
      <c r="M122" s="72"/>
      <c r="N122" s="72"/>
      <c r="O122" s="72"/>
      <c r="P122" s="72"/>
      <c r="Q122" s="68"/>
      <c r="R122" s="66"/>
      <c r="S122" s="66"/>
      <c r="T122" s="66"/>
      <c r="U122" s="66"/>
      <c r="V122" s="66"/>
      <c r="W122" s="66"/>
      <c r="X122" s="66"/>
    </row>
    <row r="123" spans="1:24">
      <c r="A123" s="71"/>
      <c r="B123" s="71" t="s">
        <v>325</v>
      </c>
      <c r="C123" s="71"/>
      <c r="D123" s="72"/>
      <c r="E123" s="72"/>
      <c r="F123" s="72"/>
      <c r="G123" s="72"/>
      <c r="H123" s="72"/>
      <c r="I123" s="72"/>
      <c r="J123" s="72"/>
      <c r="K123" s="72"/>
      <c r="L123" s="72"/>
      <c r="M123" s="72"/>
      <c r="N123" s="72"/>
      <c r="O123" s="72"/>
      <c r="P123" s="72"/>
      <c r="Q123" s="68"/>
      <c r="R123" s="66"/>
      <c r="S123" s="66"/>
      <c r="T123" s="66"/>
      <c r="U123" s="66"/>
      <c r="V123" s="66"/>
      <c r="W123" s="66"/>
      <c r="X123" s="66"/>
    </row>
    <row r="124" spans="1:24">
      <c r="A124" s="71"/>
      <c r="B124" s="71" t="s">
        <v>326</v>
      </c>
      <c r="C124" s="71"/>
      <c r="D124" s="72">
        <v>5513.15</v>
      </c>
      <c r="E124" s="72">
        <v>4166.57</v>
      </c>
      <c r="F124" s="72">
        <v>5024.5600000000004</v>
      </c>
      <c r="G124" s="72">
        <v>4359.03</v>
      </c>
      <c r="H124" s="72">
        <v>4727.45</v>
      </c>
      <c r="I124" s="72">
        <v>3187.03</v>
      </c>
      <c r="J124" s="72">
        <v>4653.1400000000003</v>
      </c>
      <c r="K124" s="72">
        <v>4883.6000000000004</v>
      </c>
      <c r="L124" s="72">
        <v>5436.66</v>
      </c>
      <c r="M124" s="72">
        <v>4902.04</v>
      </c>
      <c r="N124" s="72">
        <v>4303.1099999999997</v>
      </c>
      <c r="O124" s="72">
        <v>6467.45</v>
      </c>
      <c r="P124" s="72">
        <f t="shared" ref="P124:P133" si="23">ROUND(SUM(D124:O124),5)</f>
        <v>57623.79</v>
      </c>
      <c r="Q124" s="68"/>
      <c r="R124" s="66"/>
      <c r="S124" s="66"/>
      <c r="T124" s="66"/>
      <c r="U124" s="66"/>
      <c r="V124" s="66"/>
      <c r="W124" s="66"/>
      <c r="X124" s="66"/>
    </row>
    <row r="125" spans="1:24">
      <c r="A125" s="71"/>
      <c r="B125" s="71" t="s">
        <v>327</v>
      </c>
      <c r="C125" s="71"/>
      <c r="D125" s="72">
        <v>4104.46</v>
      </c>
      <c r="E125" s="72">
        <v>3434.12</v>
      </c>
      <c r="F125" s="72">
        <v>3903.93</v>
      </c>
      <c r="G125" s="72">
        <v>3295.93</v>
      </c>
      <c r="H125" s="72">
        <v>4616.0200000000004</v>
      </c>
      <c r="I125" s="72">
        <v>4539.34</v>
      </c>
      <c r="J125" s="72">
        <v>5136.34</v>
      </c>
      <c r="K125" s="72">
        <v>4889.93</v>
      </c>
      <c r="L125" s="72">
        <v>6013.98</v>
      </c>
      <c r="M125" s="72">
        <v>5741.39</v>
      </c>
      <c r="N125" s="72">
        <v>6372.75</v>
      </c>
      <c r="O125" s="72">
        <v>7457.26</v>
      </c>
      <c r="P125" s="72">
        <f t="shared" si="23"/>
        <v>59505.45</v>
      </c>
      <c r="Q125" s="68"/>
      <c r="R125" s="66"/>
      <c r="S125" s="66"/>
      <c r="T125" s="66"/>
      <c r="U125" s="66"/>
      <c r="V125" s="66"/>
      <c r="W125" s="66"/>
      <c r="X125" s="66"/>
    </row>
    <row r="126" spans="1:24">
      <c r="A126" s="71"/>
      <c r="B126" s="71" t="s">
        <v>328</v>
      </c>
      <c r="C126" s="71"/>
      <c r="D126" s="72">
        <v>3762.24</v>
      </c>
      <c r="E126" s="72">
        <v>4424.6499999999996</v>
      </c>
      <c r="F126" s="72">
        <v>4219.4399999999996</v>
      </c>
      <c r="G126" s="72">
        <v>3202.51</v>
      </c>
      <c r="H126" s="72">
        <v>4470.37</v>
      </c>
      <c r="I126" s="72">
        <v>3592.87</v>
      </c>
      <c r="J126" s="72">
        <v>4889.79</v>
      </c>
      <c r="K126" s="72">
        <v>6750.92</v>
      </c>
      <c r="L126" s="72">
        <v>6255.18</v>
      </c>
      <c r="M126" s="72">
        <v>5722.84</v>
      </c>
      <c r="N126" s="72">
        <v>6468.89</v>
      </c>
      <c r="O126" s="72">
        <v>7643.54</v>
      </c>
      <c r="P126" s="72">
        <f t="shared" si="23"/>
        <v>61403.24</v>
      </c>
      <c r="Q126" s="68"/>
      <c r="R126" s="66"/>
    </row>
    <row r="127" spans="1:24">
      <c r="A127" s="71"/>
      <c r="B127" s="71" t="s">
        <v>329</v>
      </c>
      <c r="C127" s="71"/>
      <c r="D127" s="72">
        <v>2745.18</v>
      </c>
      <c r="E127" s="72">
        <v>2071.06</v>
      </c>
      <c r="F127" s="72">
        <v>2625.94</v>
      </c>
      <c r="G127" s="72">
        <v>3010.77</v>
      </c>
      <c r="H127" s="72">
        <v>3203.22</v>
      </c>
      <c r="I127" s="72">
        <v>1810.51</v>
      </c>
      <c r="J127" s="72">
        <v>2651.92</v>
      </c>
      <c r="K127" s="72">
        <v>2629.04</v>
      </c>
      <c r="L127" s="72">
        <v>3302.65</v>
      </c>
      <c r="M127" s="72">
        <v>2225.9699999999998</v>
      </c>
      <c r="N127" s="72">
        <v>2116.36</v>
      </c>
      <c r="O127" s="72">
        <v>3350.28</v>
      </c>
      <c r="P127" s="72">
        <f t="shared" si="23"/>
        <v>31742.9</v>
      </c>
      <c r="Q127" s="68"/>
      <c r="R127" s="66"/>
    </row>
    <row r="128" spans="1:24">
      <c r="A128" s="71"/>
      <c r="B128" s="71" t="s">
        <v>330</v>
      </c>
      <c r="C128" s="71"/>
      <c r="D128" s="72">
        <v>2418.2399999999998</v>
      </c>
      <c r="E128" s="72">
        <v>1946.14</v>
      </c>
      <c r="F128" s="72">
        <v>2408.17</v>
      </c>
      <c r="G128" s="72">
        <v>1863.05</v>
      </c>
      <c r="H128" s="72">
        <v>2141.4899999999998</v>
      </c>
      <c r="I128" s="72">
        <v>1631.91</v>
      </c>
      <c r="J128" s="72">
        <v>2223.16</v>
      </c>
      <c r="K128" s="72">
        <v>2441.71</v>
      </c>
      <c r="L128" s="72">
        <v>2816.53</v>
      </c>
      <c r="M128" s="72">
        <v>2067.4699999999998</v>
      </c>
      <c r="N128" s="72">
        <v>2425.73</v>
      </c>
      <c r="O128" s="72">
        <v>3020.84</v>
      </c>
      <c r="P128" s="72">
        <f t="shared" si="23"/>
        <v>27404.44</v>
      </c>
      <c r="Q128" s="68"/>
      <c r="R128" s="66"/>
    </row>
    <row r="129" spans="1:18">
      <c r="A129" s="71"/>
      <c r="B129" s="71" t="s">
        <v>331</v>
      </c>
      <c r="C129" s="71"/>
      <c r="D129" s="72">
        <v>1120.99</v>
      </c>
      <c r="E129" s="72">
        <v>817.81</v>
      </c>
      <c r="F129" s="72">
        <v>427.4</v>
      </c>
      <c r="G129" s="72">
        <v>890.48</v>
      </c>
      <c r="H129" s="72">
        <v>753.82</v>
      </c>
      <c r="I129" s="72">
        <v>647.69000000000005</v>
      </c>
      <c r="J129" s="72">
        <v>809.06</v>
      </c>
      <c r="K129" s="72">
        <v>1266.21</v>
      </c>
      <c r="L129" s="72">
        <v>1173.43</v>
      </c>
      <c r="M129" s="72">
        <v>1452.7</v>
      </c>
      <c r="N129" s="72">
        <v>1319.15</v>
      </c>
      <c r="O129" s="72">
        <v>1005.79</v>
      </c>
      <c r="P129" s="72">
        <f t="shared" si="23"/>
        <v>11684.53</v>
      </c>
      <c r="Q129" s="68"/>
      <c r="R129" s="66"/>
    </row>
    <row r="130" spans="1:18">
      <c r="A130" s="71"/>
      <c r="B130" s="71" t="s">
        <v>332</v>
      </c>
      <c r="C130" s="71"/>
      <c r="D130" s="72">
        <v>3532.74</v>
      </c>
      <c r="E130" s="72">
        <v>2820.05</v>
      </c>
      <c r="F130" s="72">
        <v>3359.96</v>
      </c>
      <c r="G130" s="72">
        <v>1644.2</v>
      </c>
      <c r="H130" s="72">
        <v>1819.73</v>
      </c>
      <c r="I130" s="72">
        <v>2364.2199999999998</v>
      </c>
      <c r="J130" s="72">
        <v>3151.9</v>
      </c>
      <c r="K130" s="72">
        <v>3000.7</v>
      </c>
      <c r="L130" s="72">
        <v>3058.67</v>
      </c>
      <c r="M130" s="72">
        <v>2479.62</v>
      </c>
      <c r="N130" s="72">
        <v>2867.91</v>
      </c>
      <c r="O130" s="72">
        <v>4388.05</v>
      </c>
      <c r="P130" s="72">
        <f t="shared" si="23"/>
        <v>34487.75</v>
      </c>
      <c r="Q130" s="68"/>
      <c r="R130" s="66"/>
    </row>
    <row r="131" spans="1:18">
      <c r="A131" s="71"/>
      <c r="B131" s="71" t="s">
        <v>333</v>
      </c>
      <c r="C131" s="71"/>
      <c r="D131" s="72">
        <v>5130.03</v>
      </c>
      <c r="E131" s="72">
        <v>2533.64</v>
      </c>
      <c r="F131" s="72">
        <v>3471.48</v>
      </c>
      <c r="G131" s="72">
        <v>3357.36</v>
      </c>
      <c r="H131" s="72">
        <v>4345.8999999999996</v>
      </c>
      <c r="I131" s="72">
        <v>3895.51</v>
      </c>
      <c r="J131" s="72">
        <v>3343.31</v>
      </c>
      <c r="K131" s="72">
        <v>3029.94</v>
      </c>
      <c r="L131" s="72">
        <v>2825.86</v>
      </c>
      <c r="M131" s="72">
        <v>2779.58</v>
      </c>
      <c r="N131" s="72">
        <v>3173.9</v>
      </c>
      <c r="O131" s="72">
        <v>3839.51</v>
      </c>
      <c r="P131" s="72">
        <f t="shared" si="23"/>
        <v>41726.019999999997</v>
      </c>
      <c r="Q131" s="68"/>
      <c r="R131" s="66"/>
    </row>
    <row r="132" spans="1:18" ht="15.75" thickBot="1">
      <c r="A132" s="71"/>
      <c r="B132" s="71" t="s">
        <v>334</v>
      </c>
      <c r="C132" s="71"/>
      <c r="D132" s="73">
        <v>0</v>
      </c>
      <c r="E132" s="73">
        <v>0</v>
      </c>
      <c r="F132" s="73">
        <v>0</v>
      </c>
      <c r="G132" s="73">
        <v>0</v>
      </c>
      <c r="H132" s="73">
        <v>0</v>
      </c>
      <c r="I132" s="73">
        <v>0</v>
      </c>
      <c r="J132" s="73">
        <v>0</v>
      </c>
      <c r="K132" s="73">
        <v>0</v>
      </c>
      <c r="L132" s="73">
        <v>0</v>
      </c>
      <c r="M132" s="73">
        <v>0</v>
      </c>
      <c r="N132" s="73">
        <v>0</v>
      </c>
      <c r="O132" s="73">
        <v>0</v>
      </c>
      <c r="P132" s="73">
        <f t="shared" si="23"/>
        <v>0</v>
      </c>
      <c r="Q132" s="68"/>
      <c r="R132" s="66"/>
    </row>
    <row r="133" spans="1:18">
      <c r="A133" s="71"/>
      <c r="B133" s="71" t="s">
        <v>335</v>
      </c>
      <c r="C133" s="71"/>
      <c r="D133" s="72">
        <f t="shared" ref="D133:O133" si="24">ROUND(SUM(D123:D132),5)</f>
        <v>28327.03</v>
      </c>
      <c r="E133" s="72">
        <f t="shared" si="24"/>
        <v>22214.04</v>
      </c>
      <c r="F133" s="72">
        <f t="shared" si="24"/>
        <v>25440.880000000001</v>
      </c>
      <c r="G133" s="72">
        <f t="shared" si="24"/>
        <v>21623.33</v>
      </c>
      <c r="H133" s="72">
        <f t="shared" si="24"/>
        <v>26078</v>
      </c>
      <c r="I133" s="72">
        <f t="shared" si="24"/>
        <v>21669.08</v>
      </c>
      <c r="J133" s="72">
        <f t="shared" si="24"/>
        <v>26858.62</v>
      </c>
      <c r="K133" s="72">
        <f t="shared" si="24"/>
        <v>28892.05</v>
      </c>
      <c r="L133" s="72">
        <f t="shared" si="24"/>
        <v>30882.959999999999</v>
      </c>
      <c r="M133" s="72">
        <f t="shared" si="24"/>
        <v>27371.61</v>
      </c>
      <c r="N133" s="72">
        <f t="shared" si="24"/>
        <v>29047.8</v>
      </c>
      <c r="O133" s="72">
        <f t="shared" si="24"/>
        <v>37172.720000000001</v>
      </c>
      <c r="P133" s="72">
        <f t="shared" si="23"/>
        <v>325578.12</v>
      </c>
      <c r="Q133" s="68"/>
      <c r="R133" s="66"/>
    </row>
    <row r="134" spans="1:18">
      <c r="A134" s="71"/>
      <c r="B134" s="71"/>
      <c r="C134" s="71"/>
      <c r="D134" s="72"/>
      <c r="E134" s="72"/>
      <c r="F134" s="72"/>
      <c r="G134" s="72"/>
      <c r="H134" s="72"/>
      <c r="I134" s="72"/>
      <c r="J134" s="72"/>
      <c r="K134" s="72"/>
      <c r="L134" s="72"/>
      <c r="M134" s="72"/>
      <c r="N134" s="72"/>
      <c r="O134" s="72"/>
      <c r="P134" s="72"/>
      <c r="Q134" s="68"/>
      <c r="R134" s="66"/>
    </row>
    <row r="135" spans="1:18">
      <c r="A135" s="71"/>
      <c r="B135" s="71" t="s">
        <v>336</v>
      </c>
      <c r="C135" s="71"/>
      <c r="D135" s="72"/>
      <c r="E135" s="72"/>
      <c r="F135" s="72"/>
      <c r="G135" s="72"/>
      <c r="H135" s="72"/>
      <c r="I135" s="72"/>
      <c r="J135" s="72"/>
      <c r="K135" s="72"/>
      <c r="L135" s="72"/>
      <c r="M135" s="72"/>
      <c r="N135" s="72"/>
      <c r="O135" s="72"/>
      <c r="P135" s="72"/>
      <c r="Q135" s="68"/>
      <c r="R135" s="66"/>
    </row>
    <row r="136" spans="1:18">
      <c r="A136" s="71"/>
      <c r="B136" s="71" t="s">
        <v>337</v>
      </c>
      <c r="C136" s="71"/>
      <c r="D136" s="72">
        <v>3421.7</v>
      </c>
      <c r="E136" s="72">
        <v>0</v>
      </c>
      <c r="F136" s="72">
        <v>0</v>
      </c>
      <c r="G136" s="72">
        <v>0</v>
      </c>
      <c r="H136" s="72">
        <v>0</v>
      </c>
      <c r="I136" s="72">
        <v>0</v>
      </c>
      <c r="J136" s="72">
        <v>2394.5100000000002</v>
      </c>
      <c r="K136" s="72">
        <v>0</v>
      </c>
      <c r="L136" s="72">
        <v>0</v>
      </c>
      <c r="M136" s="72">
        <v>0</v>
      </c>
      <c r="N136" s="72">
        <v>0</v>
      </c>
      <c r="O136" s="72">
        <v>0</v>
      </c>
      <c r="P136" s="72">
        <f>ROUND(SUM(D136:O136),5)</f>
        <v>5816.21</v>
      </c>
      <c r="Q136" s="68"/>
      <c r="R136" s="66"/>
    </row>
    <row r="137" spans="1:18" ht="15.75" thickBot="1">
      <c r="A137" s="71"/>
      <c r="B137" s="71" t="s">
        <v>338</v>
      </c>
      <c r="C137" s="71"/>
      <c r="D137" s="73">
        <v>4948.6899999999996</v>
      </c>
      <c r="E137" s="73">
        <v>6585.8</v>
      </c>
      <c r="F137" s="73">
        <v>5002.49</v>
      </c>
      <c r="G137" s="73">
        <v>4981.63</v>
      </c>
      <c r="H137" s="73">
        <v>6209.18</v>
      </c>
      <c r="I137" s="73">
        <v>5294.55</v>
      </c>
      <c r="J137" s="73">
        <v>5378.01</v>
      </c>
      <c r="K137" s="73">
        <v>6685.73</v>
      </c>
      <c r="L137" s="73">
        <v>5442.79</v>
      </c>
      <c r="M137" s="73">
        <v>7567.42</v>
      </c>
      <c r="N137" s="73">
        <v>4192.17</v>
      </c>
      <c r="O137" s="73">
        <v>6259.7</v>
      </c>
      <c r="P137" s="73">
        <f>ROUND(SUM(D137:O137),5)</f>
        <v>68548.160000000003</v>
      </c>
      <c r="Q137" s="68"/>
      <c r="R137" s="66"/>
    </row>
    <row r="138" spans="1:18">
      <c r="A138" s="71"/>
      <c r="B138" s="71" t="s">
        <v>339</v>
      </c>
      <c r="C138" s="71"/>
      <c r="D138" s="72">
        <f t="shared" ref="D138:O138" si="25">ROUND(SUM(D135:D137),5)</f>
        <v>8370.39</v>
      </c>
      <c r="E138" s="72">
        <f t="shared" si="25"/>
        <v>6585.8</v>
      </c>
      <c r="F138" s="72">
        <f t="shared" si="25"/>
        <v>5002.49</v>
      </c>
      <c r="G138" s="72">
        <f t="shared" si="25"/>
        <v>4981.63</v>
      </c>
      <c r="H138" s="72">
        <f t="shared" si="25"/>
        <v>6209.18</v>
      </c>
      <c r="I138" s="72">
        <f t="shared" si="25"/>
        <v>5294.55</v>
      </c>
      <c r="J138" s="72">
        <f t="shared" si="25"/>
        <v>7772.52</v>
      </c>
      <c r="K138" s="72">
        <f t="shared" si="25"/>
        <v>6685.73</v>
      </c>
      <c r="L138" s="72">
        <f t="shared" si="25"/>
        <v>5442.79</v>
      </c>
      <c r="M138" s="72">
        <f t="shared" si="25"/>
        <v>7567.42</v>
      </c>
      <c r="N138" s="72">
        <f t="shared" si="25"/>
        <v>4192.17</v>
      </c>
      <c r="O138" s="72">
        <f t="shared" si="25"/>
        <v>6259.7</v>
      </c>
      <c r="P138" s="72">
        <f>ROUND(SUM(D138:O138),5)</f>
        <v>74364.37</v>
      </c>
      <c r="Q138" s="68"/>
      <c r="R138" s="66"/>
    </row>
    <row r="139" spans="1:18">
      <c r="A139" s="71"/>
      <c r="B139" s="71"/>
      <c r="C139" s="71"/>
      <c r="D139" s="72"/>
      <c r="E139" s="72"/>
      <c r="F139" s="72"/>
      <c r="G139" s="72"/>
      <c r="H139" s="72"/>
      <c r="I139" s="72"/>
      <c r="J139" s="72"/>
      <c r="K139" s="72"/>
      <c r="L139" s="72"/>
      <c r="M139" s="72"/>
      <c r="N139" s="72"/>
      <c r="O139" s="72"/>
      <c r="P139" s="72"/>
      <c r="Q139" s="68"/>
      <c r="R139" s="66"/>
    </row>
    <row r="140" spans="1:18">
      <c r="A140" s="71"/>
      <c r="B140" s="71" t="s">
        <v>340</v>
      </c>
      <c r="C140" s="71"/>
      <c r="D140" s="72"/>
      <c r="E140" s="72"/>
      <c r="F140" s="72"/>
      <c r="G140" s="72"/>
      <c r="H140" s="72"/>
      <c r="I140" s="72"/>
      <c r="J140" s="72"/>
      <c r="K140" s="72"/>
      <c r="L140" s="72"/>
      <c r="M140" s="72"/>
      <c r="N140" s="72"/>
      <c r="O140" s="72"/>
      <c r="P140" s="72"/>
      <c r="Q140" s="68"/>
      <c r="R140" s="66"/>
    </row>
    <row r="141" spans="1:18">
      <c r="A141" s="71"/>
      <c r="B141" s="71" t="s">
        <v>341</v>
      </c>
      <c r="C141" s="71"/>
      <c r="D141" s="72">
        <v>127444.96</v>
      </c>
      <c r="E141" s="72">
        <v>127067.86</v>
      </c>
      <c r="F141" s="72">
        <v>134896.16</v>
      </c>
      <c r="G141" s="72">
        <v>135801.31</v>
      </c>
      <c r="H141" s="72">
        <v>127858.3</v>
      </c>
      <c r="I141" s="72">
        <v>125830.25</v>
      </c>
      <c r="J141" s="72">
        <v>137010.92000000001</v>
      </c>
      <c r="K141" s="72">
        <v>125179.78</v>
      </c>
      <c r="L141" s="72">
        <v>139663.15</v>
      </c>
      <c r="M141" s="72">
        <v>121904.29</v>
      </c>
      <c r="N141" s="72">
        <v>113374.18</v>
      </c>
      <c r="O141" s="72">
        <v>125928.95</v>
      </c>
      <c r="P141" s="72">
        <f t="shared" ref="P141:P149" si="26">ROUND(SUM(D141:O141),5)</f>
        <v>1541960.11</v>
      </c>
      <c r="Q141" s="68"/>
      <c r="R141" s="66"/>
    </row>
    <row r="142" spans="1:18">
      <c r="A142" s="71"/>
      <c r="B142" s="71" t="s">
        <v>342</v>
      </c>
      <c r="C142" s="71"/>
      <c r="D142" s="72">
        <v>189365.24</v>
      </c>
      <c r="E142" s="72">
        <v>195029.09</v>
      </c>
      <c r="F142" s="72">
        <v>210806.89</v>
      </c>
      <c r="G142" s="72">
        <v>215583.29</v>
      </c>
      <c r="H142" s="72">
        <v>204859.4</v>
      </c>
      <c r="I142" s="72">
        <v>205139.20000000001</v>
      </c>
      <c r="J142" s="72">
        <v>183492.5</v>
      </c>
      <c r="K142" s="72">
        <v>179366.26</v>
      </c>
      <c r="L142" s="72">
        <v>187417.01</v>
      </c>
      <c r="M142" s="72">
        <v>135239.66</v>
      </c>
      <c r="N142" s="72">
        <v>189361.82</v>
      </c>
      <c r="O142" s="72">
        <v>228351.55</v>
      </c>
      <c r="P142" s="72">
        <f t="shared" si="26"/>
        <v>2324011.91</v>
      </c>
      <c r="Q142" s="68"/>
      <c r="R142" s="66"/>
    </row>
    <row r="143" spans="1:18">
      <c r="A143" s="71"/>
      <c r="B143" s="71" t="s">
        <v>343</v>
      </c>
      <c r="C143" s="71"/>
      <c r="D143" s="72">
        <v>169631.84</v>
      </c>
      <c r="E143" s="72">
        <v>220134.73</v>
      </c>
      <c r="F143" s="72">
        <v>259612.95</v>
      </c>
      <c r="G143" s="72">
        <v>286152.08</v>
      </c>
      <c r="H143" s="72">
        <v>275561.64</v>
      </c>
      <c r="I143" s="72">
        <v>288472.23</v>
      </c>
      <c r="J143" s="72">
        <v>327834.26</v>
      </c>
      <c r="K143" s="72">
        <v>310036.47999999998</v>
      </c>
      <c r="L143" s="72">
        <v>308062.61</v>
      </c>
      <c r="M143" s="72">
        <v>359382.55</v>
      </c>
      <c r="N143" s="72">
        <v>262316.03000000003</v>
      </c>
      <c r="O143" s="72">
        <v>294519.96999999997</v>
      </c>
      <c r="P143" s="72">
        <f t="shared" si="26"/>
        <v>3361717.37</v>
      </c>
      <c r="Q143" s="68"/>
      <c r="R143" s="66"/>
    </row>
    <row r="144" spans="1:18">
      <c r="A144" s="71"/>
      <c r="B144" s="71" t="s">
        <v>344</v>
      </c>
      <c r="C144" s="71"/>
      <c r="D144" s="72">
        <v>93706.62</v>
      </c>
      <c r="E144" s="72">
        <v>106764.99</v>
      </c>
      <c r="F144" s="72">
        <v>101337.60000000001</v>
      </c>
      <c r="G144" s="72">
        <v>84972.26</v>
      </c>
      <c r="H144" s="72">
        <v>51427.24</v>
      </c>
      <c r="I144" s="72">
        <v>50388.4</v>
      </c>
      <c r="J144" s="72">
        <v>71404.87</v>
      </c>
      <c r="K144" s="72">
        <v>65109.63</v>
      </c>
      <c r="L144" s="72">
        <v>35026.699999999997</v>
      </c>
      <c r="M144" s="72">
        <v>53562.8</v>
      </c>
      <c r="N144" s="72">
        <v>33774.51</v>
      </c>
      <c r="O144" s="72">
        <v>52217.37</v>
      </c>
      <c r="P144" s="72">
        <f t="shared" si="26"/>
        <v>799692.99</v>
      </c>
      <c r="Q144" s="68"/>
      <c r="R144" s="66"/>
    </row>
    <row r="145" spans="1:18">
      <c r="A145" s="71"/>
      <c r="B145" s="71" t="s">
        <v>345</v>
      </c>
      <c r="C145" s="71"/>
      <c r="D145" s="72">
        <v>5709.96</v>
      </c>
      <c r="E145" s="72">
        <v>6593.71</v>
      </c>
      <c r="F145" s="72">
        <v>5132.2700000000004</v>
      </c>
      <c r="G145" s="72">
        <v>8353.15</v>
      </c>
      <c r="H145" s="72">
        <v>9910.25</v>
      </c>
      <c r="I145" s="72">
        <v>12496.96</v>
      </c>
      <c r="J145" s="72">
        <v>12421.44</v>
      </c>
      <c r="K145" s="72">
        <v>16204.22</v>
      </c>
      <c r="L145" s="72">
        <v>12638.6</v>
      </c>
      <c r="M145" s="72">
        <v>12376.77</v>
      </c>
      <c r="N145" s="72">
        <v>12528.65</v>
      </c>
      <c r="O145" s="72">
        <v>12415.4</v>
      </c>
      <c r="P145" s="72">
        <f t="shared" si="26"/>
        <v>126781.38</v>
      </c>
      <c r="Q145" s="68"/>
      <c r="R145" s="66"/>
    </row>
    <row r="146" spans="1:18">
      <c r="A146" s="71"/>
      <c r="B146" s="71" t="s">
        <v>346</v>
      </c>
      <c r="C146" s="71"/>
      <c r="D146" s="72">
        <v>0</v>
      </c>
      <c r="E146" s="72">
        <v>0</v>
      </c>
      <c r="F146" s="72">
        <v>0</v>
      </c>
      <c r="G146" s="72">
        <v>0</v>
      </c>
      <c r="H146" s="72">
        <v>0</v>
      </c>
      <c r="I146" s="72">
        <v>0</v>
      </c>
      <c r="J146" s="72">
        <v>543.51</v>
      </c>
      <c r="K146" s="72">
        <v>0</v>
      </c>
      <c r="L146" s="72">
        <v>0</v>
      </c>
      <c r="M146" s="72">
        <v>0</v>
      </c>
      <c r="N146" s="72">
        <v>0</v>
      </c>
      <c r="O146" s="72">
        <v>0</v>
      </c>
      <c r="P146" s="72">
        <f t="shared" si="26"/>
        <v>543.51</v>
      </c>
      <c r="Q146" s="68"/>
      <c r="R146" s="66"/>
    </row>
    <row r="147" spans="1:18">
      <c r="A147" s="71"/>
      <c r="B147" s="71" t="s">
        <v>347</v>
      </c>
      <c r="C147" s="71"/>
      <c r="D147" s="72">
        <v>0</v>
      </c>
      <c r="E147" s="72">
        <v>0</v>
      </c>
      <c r="F147" s="72">
        <v>0</v>
      </c>
      <c r="G147" s="72">
        <v>0</v>
      </c>
      <c r="H147" s="72">
        <v>0</v>
      </c>
      <c r="I147" s="72">
        <v>0</v>
      </c>
      <c r="J147" s="72">
        <v>0</v>
      </c>
      <c r="K147" s="72">
        <v>0</v>
      </c>
      <c r="L147" s="72">
        <v>63.02</v>
      </c>
      <c r="M147" s="72">
        <v>0</v>
      </c>
      <c r="N147" s="72">
        <v>0</v>
      </c>
      <c r="O147" s="72">
        <v>0</v>
      </c>
      <c r="P147" s="72">
        <f t="shared" si="26"/>
        <v>63.02</v>
      </c>
      <c r="Q147" s="68"/>
      <c r="R147" s="66"/>
    </row>
    <row r="148" spans="1:18" ht="15.75" thickBot="1">
      <c r="A148" s="71"/>
      <c r="B148" s="71" t="s">
        <v>348</v>
      </c>
      <c r="C148" s="71"/>
      <c r="D148" s="73">
        <v>978.77</v>
      </c>
      <c r="E148" s="73">
        <v>0</v>
      </c>
      <c r="F148" s="73">
        <v>925.07</v>
      </c>
      <c r="G148" s="73">
        <v>1476.49</v>
      </c>
      <c r="H148" s="73">
        <v>7553.2</v>
      </c>
      <c r="I148" s="73">
        <v>3661.43</v>
      </c>
      <c r="J148" s="73">
        <v>5275.56</v>
      </c>
      <c r="K148" s="73">
        <v>4687.22</v>
      </c>
      <c r="L148" s="73">
        <v>4364.16</v>
      </c>
      <c r="M148" s="73">
        <v>5503.75</v>
      </c>
      <c r="N148" s="73">
        <v>2220.3200000000002</v>
      </c>
      <c r="O148" s="73">
        <v>3864.2</v>
      </c>
      <c r="P148" s="73">
        <f t="shared" si="26"/>
        <v>40510.17</v>
      </c>
      <c r="Q148" s="68"/>
      <c r="R148" s="66"/>
    </row>
    <row r="149" spans="1:18">
      <c r="A149" s="71"/>
      <c r="B149" s="71" t="s">
        <v>349</v>
      </c>
      <c r="C149" s="71"/>
      <c r="D149" s="72">
        <f t="shared" ref="D149:O149" si="27">ROUND(SUM(D140:D148),5)</f>
        <v>586837.39</v>
      </c>
      <c r="E149" s="72">
        <f t="shared" si="27"/>
        <v>655590.38</v>
      </c>
      <c r="F149" s="72">
        <f t="shared" si="27"/>
        <v>712710.94</v>
      </c>
      <c r="G149" s="72">
        <f t="shared" si="27"/>
        <v>732338.58</v>
      </c>
      <c r="H149" s="72">
        <f t="shared" si="27"/>
        <v>677170.03</v>
      </c>
      <c r="I149" s="72">
        <f t="shared" si="27"/>
        <v>685988.47</v>
      </c>
      <c r="J149" s="72">
        <f t="shared" si="27"/>
        <v>737983.06</v>
      </c>
      <c r="K149" s="72">
        <f t="shared" si="27"/>
        <v>700583.59</v>
      </c>
      <c r="L149" s="72">
        <f t="shared" si="27"/>
        <v>687235.25</v>
      </c>
      <c r="M149" s="72">
        <f t="shared" si="27"/>
        <v>687969.82</v>
      </c>
      <c r="N149" s="72">
        <f t="shared" si="27"/>
        <v>613575.51</v>
      </c>
      <c r="O149" s="72">
        <f t="shared" si="27"/>
        <v>717297.44</v>
      </c>
      <c r="P149" s="72">
        <f t="shared" si="26"/>
        <v>8195280.46</v>
      </c>
      <c r="Q149" s="68"/>
      <c r="R149" s="66"/>
    </row>
    <row r="150" spans="1:18">
      <c r="A150" s="71"/>
      <c r="B150" s="71"/>
      <c r="C150" s="71"/>
      <c r="D150" s="72"/>
      <c r="E150" s="72"/>
      <c r="F150" s="72"/>
      <c r="G150" s="72"/>
      <c r="H150" s="72"/>
      <c r="I150" s="72"/>
      <c r="J150" s="72"/>
      <c r="K150" s="72"/>
      <c r="L150" s="72"/>
      <c r="M150" s="72"/>
      <c r="N150" s="72"/>
      <c r="O150" s="72"/>
      <c r="P150" s="72"/>
      <c r="Q150" s="68"/>
      <c r="R150" s="66"/>
    </row>
    <row r="151" spans="1:18">
      <c r="A151" s="71"/>
      <c r="B151" s="71" t="s">
        <v>350</v>
      </c>
      <c r="C151" s="71"/>
      <c r="D151" s="72"/>
      <c r="E151" s="72"/>
      <c r="F151" s="72"/>
      <c r="G151" s="72"/>
      <c r="H151" s="72"/>
      <c r="I151" s="72"/>
      <c r="J151" s="72"/>
      <c r="K151" s="72"/>
      <c r="L151" s="72"/>
      <c r="M151" s="72"/>
      <c r="N151" s="72"/>
      <c r="O151" s="72"/>
      <c r="P151" s="72"/>
      <c r="Q151" s="68"/>
      <c r="R151" s="66"/>
    </row>
    <row r="152" spans="1:18">
      <c r="A152" s="71"/>
      <c r="B152" s="71" t="s">
        <v>351</v>
      </c>
      <c r="C152" s="71"/>
      <c r="D152" s="72">
        <v>42558.49</v>
      </c>
      <c r="E152" s="72">
        <v>46215.77</v>
      </c>
      <c r="F152" s="72">
        <v>37934.03</v>
      </c>
      <c r="G152" s="72">
        <v>76525.179999999993</v>
      </c>
      <c r="H152" s="72">
        <v>12215.9</v>
      </c>
      <c r="I152" s="72">
        <v>40691.75</v>
      </c>
      <c r="J152" s="72">
        <v>46162.81</v>
      </c>
      <c r="K152" s="72">
        <v>44423.57</v>
      </c>
      <c r="L152" s="72">
        <v>43195.21</v>
      </c>
      <c r="M152" s="72">
        <v>48978.6</v>
      </c>
      <c r="N152" s="72">
        <v>46115.33</v>
      </c>
      <c r="O152" s="72">
        <v>46671.12</v>
      </c>
      <c r="P152" s="72">
        <f>ROUND(SUM(D152:O152),5)</f>
        <v>531687.76</v>
      </c>
      <c r="Q152" s="68"/>
      <c r="R152" s="66"/>
    </row>
    <row r="153" spans="1:18">
      <c r="A153" s="71"/>
      <c r="B153" s="71" t="s">
        <v>352</v>
      </c>
      <c r="C153" s="71"/>
      <c r="D153" s="72">
        <v>5613.33</v>
      </c>
      <c r="E153" s="72">
        <v>3108.54</v>
      </c>
      <c r="F153" s="72">
        <v>4201.87</v>
      </c>
      <c r="G153" s="72">
        <v>5015.0600000000004</v>
      </c>
      <c r="H153" s="72">
        <v>720.86</v>
      </c>
      <c r="I153" s="72">
        <v>2670.43</v>
      </c>
      <c r="J153" s="72">
        <v>3119.11</v>
      </c>
      <c r="K153" s="72">
        <v>3001.59</v>
      </c>
      <c r="L153" s="72">
        <v>2918.6</v>
      </c>
      <c r="M153" s="72">
        <v>5176.99</v>
      </c>
      <c r="N153" s="72">
        <v>4578.51</v>
      </c>
      <c r="O153" s="72">
        <v>9898.0300000000007</v>
      </c>
      <c r="P153" s="72">
        <f>ROUND(SUM(D153:O153),5)</f>
        <v>50022.92</v>
      </c>
      <c r="Q153" s="68"/>
      <c r="R153" s="66"/>
    </row>
    <row r="154" spans="1:18" ht="15.75" thickBot="1">
      <c r="A154" s="71"/>
      <c r="B154" s="71" t="s">
        <v>353</v>
      </c>
      <c r="C154" s="71"/>
      <c r="D154" s="73">
        <v>9450.8700000000008</v>
      </c>
      <c r="E154" s="73">
        <v>13273.81</v>
      </c>
      <c r="F154" s="73">
        <v>9192.86</v>
      </c>
      <c r="G154" s="73">
        <v>21872.16</v>
      </c>
      <c r="H154" s="73">
        <v>3571.21</v>
      </c>
      <c r="I154" s="73">
        <v>11626.67</v>
      </c>
      <c r="J154" s="73">
        <v>13100.26</v>
      </c>
      <c r="K154" s="73">
        <v>12606.68</v>
      </c>
      <c r="L154" s="73">
        <v>12258.1</v>
      </c>
      <c r="M154" s="73">
        <v>11914.49</v>
      </c>
      <c r="N154" s="73">
        <v>11532.39</v>
      </c>
      <c r="O154" s="73">
        <v>6076.65</v>
      </c>
      <c r="P154" s="73">
        <f>ROUND(SUM(D154:O154),5)</f>
        <v>136476.15</v>
      </c>
      <c r="Q154" s="68"/>
      <c r="R154" s="66"/>
    </row>
    <row r="155" spans="1:18">
      <c r="A155" s="71"/>
      <c r="B155" s="71" t="s">
        <v>354</v>
      </c>
      <c r="C155" s="71"/>
      <c r="D155" s="72">
        <f t="shared" ref="D155:O155" si="28">ROUND(SUM(D151:D154),5)</f>
        <v>57622.69</v>
      </c>
      <c r="E155" s="72">
        <f t="shared" si="28"/>
        <v>62598.12</v>
      </c>
      <c r="F155" s="72">
        <f t="shared" si="28"/>
        <v>51328.76</v>
      </c>
      <c r="G155" s="72">
        <f t="shared" si="28"/>
        <v>103412.4</v>
      </c>
      <c r="H155" s="72">
        <f t="shared" si="28"/>
        <v>16507.97</v>
      </c>
      <c r="I155" s="72">
        <f t="shared" si="28"/>
        <v>54988.85</v>
      </c>
      <c r="J155" s="72">
        <f t="shared" si="28"/>
        <v>62382.18</v>
      </c>
      <c r="K155" s="72">
        <f t="shared" si="28"/>
        <v>60031.839999999997</v>
      </c>
      <c r="L155" s="72">
        <f t="shared" si="28"/>
        <v>58371.91</v>
      </c>
      <c r="M155" s="72">
        <f t="shared" si="28"/>
        <v>66070.080000000002</v>
      </c>
      <c r="N155" s="72">
        <f t="shared" si="28"/>
        <v>62226.23</v>
      </c>
      <c r="O155" s="72">
        <f t="shared" si="28"/>
        <v>62645.8</v>
      </c>
      <c r="P155" s="72">
        <f>ROUND(SUM(D155:O155),5)</f>
        <v>718186.83</v>
      </c>
      <c r="Q155" s="68"/>
      <c r="R155" s="66"/>
    </row>
    <row r="156" spans="1:18">
      <c r="A156" s="71"/>
      <c r="B156" s="71"/>
      <c r="C156" s="71"/>
      <c r="D156" s="72"/>
      <c r="E156" s="72"/>
      <c r="F156" s="72"/>
      <c r="G156" s="72"/>
      <c r="H156" s="72"/>
      <c r="I156" s="72"/>
      <c r="J156" s="72"/>
      <c r="K156" s="72"/>
      <c r="L156" s="72"/>
      <c r="M156" s="72"/>
      <c r="N156" s="72"/>
      <c r="O156" s="72"/>
      <c r="P156" s="72"/>
      <c r="Q156" s="68"/>
      <c r="R156" s="66"/>
    </row>
    <row r="157" spans="1:18">
      <c r="A157" s="71"/>
      <c r="B157" s="71" t="s">
        <v>355</v>
      </c>
      <c r="C157" s="71"/>
      <c r="D157" s="72"/>
      <c r="E157" s="72"/>
      <c r="F157" s="72"/>
      <c r="G157" s="72"/>
      <c r="H157" s="72"/>
      <c r="I157" s="72"/>
      <c r="J157" s="72"/>
      <c r="K157" s="72"/>
      <c r="L157" s="72"/>
      <c r="M157" s="72"/>
      <c r="N157" s="72"/>
      <c r="O157" s="72"/>
      <c r="P157" s="72"/>
      <c r="Q157" s="68"/>
      <c r="R157" s="66"/>
    </row>
    <row r="158" spans="1:18">
      <c r="A158" s="71"/>
      <c r="B158" s="71" t="s">
        <v>356</v>
      </c>
      <c r="C158" s="71"/>
      <c r="D158" s="72"/>
      <c r="E158" s="72"/>
      <c r="F158" s="72"/>
      <c r="G158" s="72"/>
      <c r="H158" s="72"/>
      <c r="I158" s="72"/>
      <c r="J158" s="72"/>
      <c r="K158" s="72"/>
      <c r="L158" s="72"/>
      <c r="M158" s="72"/>
      <c r="N158" s="72"/>
      <c r="O158" s="72"/>
      <c r="P158" s="72"/>
      <c r="Q158" s="68"/>
      <c r="R158" s="66"/>
    </row>
    <row r="159" spans="1:18">
      <c r="A159" s="71"/>
      <c r="B159" s="71" t="s">
        <v>357</v>
      </c>
      <c r="C159" s="71"/>
      <c r="D159" s="72">
        <v>6556.82</v>
      </c>
      <c r="E159" s="72">
        <v>5715.54</v>
      </c>
      <c r="F159" s="72">
        <v>5715.54</v>
      </c>
      <c r="G159" s="72">
        <v>6719.41</v>
      </c>
      <c r="H159" s="72">
        <v>5962.74</v>
      </c>
      <c r="I159" s="72">
        <v>6649.6</v>
      </c>
      <c r="J159" s="72">
        <v>5793.54</v>
      </c>
      <c r="K159" s="72">
        <v>5884.74</v>
      </c>
      <c r="L159" s="72">
        <v>9620.3799999999992</v>
      </c>
      <c r="M159" s="72">
        <v>5138.5600000000004</v>
      </c>
      <c r="N159" s="72">
        <v>4512.83</v>
      </c>
      <c r="O159" s="72">
        <v>8093.96</v>
      </c>
      <c r="P159" s="72">
        <f t="shared" ref="P159:P176" si="29">ROUND(SUM(D159:O159),5)</f>
        <v>76363.66</v>
      </c>
      <c r="Q159" s="68"/>
      <c r="R159" s="66"/>
    </row>
    <row r="160" spans="1:18">
      <c r="A160" s="71"/>
      <c r="B160" s="71" t="s">
        <v>358</v>
      </c>
      <c r="C160" s="71"/>
      <c r="D160" s="72">
        <v>42467.68</v>
      </c>
      <c r="E160" s="72">
        <v>33699.4</v>
      </c>
      <c r="F160" s="72">
        <v>33462.400000000001</v>
      </c>
      <c r="G160" s="72">
        <v>43856.62</v>
      </c>
      <c r="H160" s="72">
        <v>36408.400000000001</v>
      </c>
      <c r="I160" s="72">
        <v>43395.5</v>
      </c>
      <c r="J160" s="72">
        <v>34716.400000000001</v>
      </c>
      <c r="K160" s="72">
        <v>38028.400000000001</v>
      </c>
      <c r="L160" s="72">
        <v>79343.31</v>
      </c>
      <c r="M160" s="72">
        <v>44176.35</v>
      </c>
      <c r="N160" s="72">
        <v>35519.1</v>
      </c>
      <c r="O160" s="72">
        <v>74960.39</v>
      </c>
      <c r="P160" s="72">
        <f t="shared" si="29"/>
        <v>540033.94999999995</v>
      </c>
      <c r="Q160" s="68"/>
      <c r="R160" s="66"/>
    </row>
    <row r="161" spans="1:18">
      <c r="A161" s="71"/>
      <c r="B161" s="71" t="s">
        <v>359</v>
      </c>
      <c r="C161" s="71"/>
      <c r="D161" s="72">
        <v>3498.17</v>
      </c>
      <c r="E161" s="72">
        <v>2781.5</v>
      </c>
      <c r="F161" s="72">
        <v>2766.8</v>
      </c>
      <c r="G161" s="72">
        <v>3584.29</v>
      </c>
      <c r="H161" s="72">
        <v>2955.04</v>
      </c>
      <c r="I161" s="72">
        <v>3565.02</v>
      </c>
      <c r="J161" s="72">
        <v>2852</v>
      </c>
      <c r="K161" s="72">
        <v>3057.34</v>
      </c>
      <c r="L161" s="72">
        <v>5294.5</v>
      </c>
      <c r="M161" s="72">
        <v>3438.52</v>
      </c>
      <c r="N161" s="72">
        <v>2901.77</v>
      </c>
      <c r="O161" s="72">
        <v>5522</v>
      </c>
      <c r="P161" s="72">
        <f t="shared" si="29"/>
        <v>42216.95</v>
      </c>
      <c r="Q161" s="68"/>
      <c r="R161" s="66"/>
    </row>
    <row r="162" spans="1:18">
      <c r="A162" s="71"/>
      <c r="B162" s="71" t="s">
        <v>360</v>
      </c>
      <c r="C162" s="71"/>
      <c r="D162" s="72">
        <v>818.19</v>
      </c>
      <c r="E162" s="72">
        <v>650.55999999999995</v>
      </c>
      <c r="F162" s="72">
        <v>647.11</v>
      </c>
      <c r="G162" s="72">
        <v>838.3</v>
      </c>
      <c r="H162" s="72">
        <v>691.09</v>
      </c>
      <c r="I162" s="72">
        <v>833.7</v>
      </c>
      <c r="J162" s="72">
        <v>666.95</v>
      </c>
      <c r="K162" s="72">
        <v>715.01</v>
      </c>
      <c r="L162" s="72">
        <v>1363.15</v>
      </c>
      <c r="M162" s="72">
        <v>804.15</v>
      </c>
      <c r="N162" s="72">
        <v>678.61</v>
      </c>
      <c r="O162" s="72">
        <v>1291.4100000000001</v>
      </c>
      <c r="P162" s="72">
        <f t="shared" si="29"/>
        <v>9998.23</v>
      </c>
      <c r="Q162" s="68"/>
      <c r="R162" s="66"/>
    </row>
    <row r="163" spans="1:18">
      <c r="A163" s="71"/>
      <c r="B163" s="71" t="s">
        <v>361</v>
      </c>
      <c r="C163" s="71"/>
      <c r="D163" s="72">
        <v>-85.36</v>
      </c>
      <c r="E163" s="72">
        <v>-71.41</v>
      </c>
      <c r="F163" s="72">
        <v>445.73</v>
      </c>
      <c r="G163" s="72">
        <v>-85.14</v>
      </c>
      <c r="H163" s="72">
        <v>-69.64</v>
      </c>
      <c r="I163" s="72">
        <v>456.8</v>
      </c>
      <c r="J163" s="72">
        <v>-70.72</v>
      </c>
      <c r="K163" s="72">
        <v>-71.27</v>
      </c>
      <c r="L163" s="72">
        <v>430.11</v>
      </c>
      <c r="M163" s="72">
        <v>-64.489999999999995</v>
      </c>
      <c r="N163" s="72">
        <v>-60</v>
      </c>
      <c r="O163" s="72">
        <v>436.56</v>
      </c>
      <c r="P163" s="72">
        <f t="shared" si="29"/>
        <v>1191.17</v>
      </c>
      <c r="Q163" s="68"/>
      <c r="R163" s="66"/>
    </row>
    <row r="164" spans="1:18">
      <c r="A164" s="71"/>
      <c r="B164" s="71" t="s">
        <v>362</v>
      </c>
      <c r="C164" s="71"/>
      <c r="D164" s="72">
        <v>95.91</v>
      </c>
      <c r="E164" s="72">
        <v>76.040000000000006</v>
      </c>
      <c r="F164" s="72">
        <v>75.44</v>
      </c>
      <c r="G164" s="72">
        <v>78.14</v>
      </c>
      <c r="H164" s="72">
        <v>44.85</v>
      </c>
      <c r="I164" s="72">
        <v>50.55</v>
      </c>
      <c r="J164" s="72">
        <v>30.04</v>
      </c>
      <c r="K164" s="72">
        <v>35.840000000000003</v>
      </c>
      <c r="L164" s="72">
        <v>50.19</v>
      </c>
      <c r="M164" s="72">
        <v>102.09</v>
      </c>
      <c r="N164" s="72">
        <v>141.80000000000001</v>
      </c>
      <c r="O164" s="72">
        <v>481.26</v>
      </c>
      <c r="P164" s="72">
        <f t="shared" si="29"/>
        <v>1262.1500000000001</v>
      </c>
      <c r="Q164" s="68"/>
      <c r="R164" s="66"/>
    </row>
    <row r="165" spans="1:18">
      <c r="A165" s="71"/>
      <c r="B165" s="71" t="s">
        <v>363</v>
      </c>
      <c r="C165" s="71"/>
      <c r="D165" s="72">
        <v>3.56</v>
      </c>
      <c r="E165" s="72">
        <v>1.42</v>
      </c>
      <c r="F165" s="72">
        <v>0</v>
      </c>
      <c r="G165" s="72">
        <v>2.13</v>
      </c>
      <c r="H165" s="72">
        <v>2.84</v>
      </c>
      <c r="I165" s="72">
        <v>3.55</v>
      </c>
      <c r="J165" s="72">
        <v>2.84</v>
      </c>
      <c r="K165" s="72">
        <v>-1431.47</v>
      </c>
      <c r="L165" s="72">
        <v>-1003.64</v>
      </c>
      <c r="M165" s="72">
        <v>248.06</v>
      </c>
      <c r="N165" s="72">
        <v>77.12</v>
      </c>
      <c r="O165" s="72">
        <v>27.31</v>
      </c>
      <c r="P165" s="72">
        <f t="shared" si="29"/>
        <v>-2066.2800000000002</v>
      </c>
      <c r="Q165" s="68"/>
      <c r="R165" s="66"/>
    </row>
    <row r="166" spans="1:18">
      <c r="A166" s="71"/>
      <c r="B166" s="71" t="s">
        <v>364</v>
      </c>
      <c r="C166" s="71"/>
      <c r="D166" s="72">
        <v>12988.8</v>
      </c>
      <c r="E166" s="72">
        <v>12988.8</v>
      </c>
      <c r="F166" s="72">
        <v>12988.8</v>
      </c>
      <c r="G166" s="72">
        <v>12988.8</v>
      </c>
      <c r="H166" s="72">
        <v>12988.8</v>
      </c>
      <c r="I166" s="72">
        <v>12988.8</v>
      </c>
      <c r="J166" s="72">
        <v>12988.8</v>
      </c>
      <c r="K166" s="72">
        <v>12988.8</v>
      </c>
      <c r="L166" s="72">
        <v>14612.4</v>
      </c>
      <c r="M166" s="72">
        <v>14810.4</v>
      </c>
      <c r="N166" s="72">
        <v>11519.2</v>
      </c>
      <c r="O166" s="72">
        <v>11519.2</v>
      </c>
      <c r="P166" s="72">
        <f t="shared" si="29"/>
        <v>156371.6</v>
      </c>
      <c r="Q166" s="68"/>
      <c r="R166" s="66"/>
    </row>
    <row r="167" spans="1:18" ht="15.75" thickBot="1">
      <c r="A167" s="71"/>
      <c r="B167" s="71" t="s">
        <v>365</v>
      </c>
      <c r="C167" s="71"/>
      <c r="D167" s="73">
        <v>0</v>
      </c>
      <c r="E167" s="73">
        <v>0</v>
      </c>
      <c r="F167" s="73">
        <v>0</v>
      </c>
      <c r="G167" s="73">
        <v>0</v>
      </c>
      <c r="H167" s="73">
        <v>0</v>
      </c>
      <c r="I167" s="73">
        <v>0</v>
      </c>
      <c r="J167" s="73">
        <v>0</v>
      </c>
      <c r="K167" s="73">
        <v>0</v>
      </c>
      <c r="L167" s="73">
        <v>0</v>
      </c>
      <c r="M167" s="73">
        <v>0</v>
      </c>
      <c r="N167" s="73">
        <v>0</v>
      </c>
      <c r="O167" s="73">
        <v>804.16</v>
      </c>
      <c r="P167" s="73">
        <f t="shared" si="29"/>
        <v>804.16</v>
      </c>
      <c r="Q167" s="68"/>
      <c r="R167" s="66"/>
    </row>
    <row r="168" spans="1:18">
      <c r="A168" s="71"/>
      <c r="B168" s="71" t="s">
        <v>366</v>
      </c>
      <c r="C168" s="71"/>
      <c r="D168" s="72">
        <f t="shared" ref="D168:O168" si="30">ROUND(SUM(D158:D167),5)</f>
        <v>66343.77</v>
      </c>
      <c r="E168" s="72">
        <f t="shared" si="30"/>
        <v>55841.85</v>
      </c>
      <c r="F168" s="72">
        <f t="shared" si="30"/>
        <v>56101.82</v>
      </c>
      <c r="G168" s="72">
        <f t="shared" si="30"/>
        <v>67982.55</v>
      </c>
      <c r="H168" s="72">
        <f t="shared" si="30"/>
        <v>58984.12</v>
      </c>
      <c r="I168" s="72">
        <f t="shared" si="30"/>
        <v>67943.520000000004</v>
      </c>
      <c r="J168" s="72">
        <f t="shared" si="30"/>
        <v>56979.85</v>
      </c>
      <c r="K168" s="72">
        <f t="shared" si="30"/>
        <v>59207.39</v>
      </c>
      <c r="L168" s="72">
        <f t="shared" si="30"/>
        <v>109710.39999999999</v>
      </c>
      <c r="M168" s="72">
        <f t="shared" si="30"/>
        <v>68653.64</v>
      </c>
      <c r="N168" s="72">
        <f t="shared" si="30"/>
        <v>55290.43</v>
      </c>
      <c r="O168" s="72">
        <f t="shared" si="30"/>
        <v>103136.25</v>
      </c>
      <c r="P168" s="72">
        <f t="shared" si="29"/>
        <v>826175.59</v>
      </c>
      <c r="Q168" s="68"/>
      <c r="R168" s="66"/>
    </row>
    <row r="169" spans="1:18">
      <c r="A169" s="71"/>
      <c r="B169" s="71"/>
      <c r="C169" s="71"/>
      <c r="D169" s="72"/>
      <c r="E169" s="72"/>
      <c r="F169" s="72"/>
      <c r="G169" s="72"/>
      <c r="H169" s="72"/>
      <c r="I169" s="72"/>
      <c r="J169" s="72"/>
      <c r="K169" s="72"/>
      <c r="L169" s="72"/>
      <c r="M169" s="72"/>
      <c r="N169" s="72"/>
      <c r="O169" s="72"/>
      <c r="P169" s="72"/>
      <c r="Q169" s="68"/>
      <c r="R169" s="66"/>
    </row>
    <row r="170" spans="1:18">
      <c r="A170" s="71"/>
      <c r="B170" s="71" t="s">
        <v>367</v>
      </c>
      <c r="C170" s="71"/>
      <c r="D170" s="72">
        <v>2530</v>
      </c>
      <c r="E170" s="72">
        <v>2530</v>
      </c>
      <c r="F170" s="72">
        <v>3030</v>
      </c>
      <c r="G170" s="72">
        <v>2530</v>
      </c>
      <c r="H170" s="72">
        <v>2530</v>
      </c>
      <c r="I170" s="72">
        <v>2530</v>
      </c>
      <c r="J170" s="72">
        <v>3548</v>
      </c>
      <c r="K170" s="72">
        <v>2530</v>
      </c>
      <c r="L170" s="72">
        <v>2530</v>
      </c>
      <c r="M170" s="72">
        <v>3400</v>
      </c>
      <c r="N170" s="72">
        <v>2720</v>
      </c>
      <c r="O170" s="72">
        <v>2720</v>
      </c>
      <c r="P170" s="72">
        <f t="shared" si="29"/>
        <v>33128</v>
      </c>
      <c r="Q170" s="68"/>
      <c r="R170" s="66"/>
    </row>
    <row r="171" spans="1:18">
      <c r="A171" s="71"/>
      <c r="B171" s="71" t="s">
        <v>368</v>
      </c>
      <c r="C171" s="71"/>
      <c r="D171" s="72">
        <v>150</v>
      </c>
      <c r="E171" s="72">
        <v>75</v>
      </c>
      <c r="F171" s="72">
        <v>0</v>
      </c>
      <c r="G171" s="72">
        <v>337.5</v>
      </c>
      <c r="H171" s="72">
        <v>0</v>
      </c>
      <c r="I171" s="72">
        <v>105.54</v>
      </c>
      <c r="J171" s="72">
        <v>528.74</v>
      </c>
      <c r="K171" s="72">
        <v>75</v>
      </c>
      <c r="L171" s="72">
        <v>450</v>
      </c>
      <c r="M171" s="72">
        <v>150</v>
      </c>
      <c r="N171" s="72">
        <v>112.5</v>
      </c>
      <c r="O171" s="72">
        <v>280.52999999999997</v>
      </c>
      <c r="P171" s="72">
        <f t="shared" si="29"/>
        <v>2264.81</v>
      </c>
      <c r="Q171" s="68"/>
      <c r="R171" s="66"/>
    </row>
    <row r="172" spans="1:18">
      <c r="A172" s="71"/>
      <c r="B172" s="71" t="s">
        <v>369</v>
      </c>
      <c r="C172" s="71"/>
      <c r="D172" s="72">
        <v>0</v>
      </c>
      <c r="E172" s="72">
        <v>495</v>
      </c>
      <c r="F172" s="72">
        <v>100</v>
      </c>
      <c r="G172" s="72">
        <v>395</v>
      </c>
      <c r="H172" s="72">
        <v>0</v>
      </c>
      <c r="I172" s="72">
        <v>181.33</v>
      </c>
      <c r="J172" s="72">
        <v>1206.47</v>
      </c>
      <c r="K172" s="72">
        <v>207.73</v>
      </c>
      <c r="L172" s="72">
        <v>0</v>
      </c>
      <c r="M172" s="72">
        <v>395</v>
      </c>
      <c r="N172" s="72">
        <v>0</v>
      </c>
      <c r="O172" s="72">
        <v>0</v>
      </c>
      <c r="P172" s="72">
        <f t="shared" si="29"/>
        <v>2980.53</v>
      </c>
      <c r="Q172" s="68"/>
      <c r="R172" s="66"/>
    </row>
    <row r="173" spans="1:18" ht="15.75" thickBot="1">
      <c r="A173" s="71"/>
      <c r="B173" s="71" t="s">
        <v>370</v>
      </c>
      <c r="C173" s="71"/>
      <c r="D173" s="73">
        <v>-597.74</v>
      </c>
      <c r="E173" s="73">
        <v>237.29</v>
      </c>
      <c r="F173" s="73">
        <v>301.20999999999998</v>
      </c>
      <c r="G173" s="73">
        <v>-575.27</v>
      </c>
      <c r="H173" s="73">
        <v>668.27</v>
      </c>
      <c r="I173" s="73">
        <v>-205.03</v>
      </c>
      <c r="J173" s="73">
        <v>582.71</v>
      </c>
      <c r="K173" s="73">
        <v>515.24</v>
      </c>
      <c r="L173" s="73">
        <v>-675.43</v>
      </c>
      <c r="M173" s="73">
        <v>533.04</v>
      </c>
      <c r="N173" s="73">
        <v>377.73</v>
      </c>
      <c r="O173" s="73">
        <v>-90.66</v>
      </c>
      <c r="P173" s="73">
        <f t="shared" si="29"/>
        <v>1071.3599999999999</v>
      </c>
      <c r="Q173" s="68"/>
      <c r="R173" s="66"/>
    </row>
    <row r="174" spans="1:18">
      <c r="A174" s="71"/>
      <c r="B174" s="71" t="s">
        <v>371</v>
      </c>
      <c r="C174" s="71"/>
      <c r="D174" s="72">
        <f t="shared" ref="D174:O174" si="31">ROUND(D157+SUM(D168:D173),5)</f>
        <v>68426.03</v>
      </c>
      <c r="E174" s="72">
        <f t="shared" si="31"/>
        <v>59179.14</v>
      </c>
      <c r="F174" s="72">
        <f t="shared" si="31"/>
        <v>59533.03</v>
      </c>
      <c r="G174" s="72">
        <f t="shared" si="31"/>
        <v>70669.78</v>
      </c>
      <c r="H174" s="72">
        <f t="shared" si="31"/>
        <v>62182.39</v>
      </c>
      <c r="I174" s="72">
        <f t="shared" si="31"/>
        <v>70555.360000000001</v>
      </c>
      <c r="J174" s="72">
        <f t="shared" si="31"/>
        <v>62845.77</v>
      </c>
      <c r="K174" s="72">
        <f t="shared" si="31"/>
        <v>62535.360000000001</v>
      </c>
      <c r="L174" s="72">
        <f t="shared" si="31"/>
        <v>112014.97</v>
      </c>
      <c r="M174" s="72">
        <f t="shared" si="31"/>
        <v>73131.679999999993</v>
      </c>
      <c r="N174" s="72">
        <f t="shared" si="31"/>
        <v>58500.66</v>
      </c>
      <c r="O174" s="72">
        <f t="shared" si="31"/>
        <v>106046.12</v>
      </c>
      <c r="P174" s="72">
        <f t="shared" si="29"/>
        <v>865620.29</v>
      </c>
      <c r="Q174" s="68"/>
      <c r="R174" s="66"/>
    </row>
    <row r="175" spans="1:18">
      <c r="A175" s="71"/>
      <c r="B175" s="71"/>
      <c r="C175" s="71"/>
      <c r="D175" s="72"/>
      <c r="E175" s="72"/>
      <c r="F175" s="72"/>
      <c r="G175" s="72"/>
      <c r="H175" s="72"/>
      <c r="I175" s="72"/>
      <c r="J175" s="72"/>
      <c r="K175" s="72"/>
      <c r="L175" s="72"/>
      <c r="M175" s="72"/>
      <c r="N175" s="72"/>
      <c r="O175" s="72"/>
      <c r="P175" s="72"/>
      <c r="Q175" s="68"/>
      <c r="R175" s="66"/>
    </row>
    <row r="176" spans="1:18">
      <c r="A176" s="71"/>
      <c r="B176" s="71" t="s">
        <v>372</v>
      </c>
      <c r="C176" s="71"/>
      <c r="D176" s="72">
        <v>1612.09</v>
      </c>
      <c r="E176" s="72">
        <v>216.4</v>
      </c>
      <c r="F176" s="72">
        <v>0</v>
      </c>
      <c r="G176" s="72">
        <v>162.88999999999999</v>
      </c>
      <c r="H176" s="72">
        <v>2000</v>
      </c>
      <c r="I176" s="72">
        <v>3343.84</v>
      </c>
      <c r="J176" s="72">
        <v>2786.93</v>
      </c>
      <c r="K176" s="72">
        <v>0</v>
      </c>
      <c r="L176" s="72">
        <v>0</v>
      </c>
      <c r="M176" s="72">
        <v>1125.45</v>
      </c>
      <c r="N176" s="72">
        <v>9497.23</v>
      </c>
      <c r="O176" s="72">
        <v>2082.5700000000002</v>
      </c>
      <c r="P176" s="72">
        <f t="shared" si="29"/>
        <v>22827.4</v>
      </c>
      <c r="Q176" s="68"/>
      <c r="R176" s="66"/>
    </row>
    <row r="177" spans="1:18">
      <c r="A177" s="71"/>
      <c r="B177" s="71"/>
      <c r="C177" s="71"/>
      <c r="D177" s="72"/>
      <c r="E177" s="72"/>
      <c r="F177" s="72"/>
      <c r="G177" s="72"/>
      <c r="H177" s="72"/>
      <c r="I177" s="72"/>
      <c r="J177" s="72"/>
      <c r="K177" s="72"/>
      <c r="L177" s="72"/>
      <c r="M177" s="72"/>
      <c r="N177" s="72"/>
      <c r="O177" s="72"/>
      <c r="P177" s="72"/>
      <c r="Q177" s="68"/>
      <c r="R177" s="66"/>
    </row>
    <row r="178" spans="1:18">
      <c r="A178" s="71"/>
      <c r="B178" s="71" t="s">
        <v>373</v>
      </c>
      <c r="C178" s="71"/>
      <c r="D178" s="72"/>
      <c r="E178" s="72"/>
      <c r="F178" s="72"/>
      <c r="G178" s="72"/>
      <c r="H178" s="72"/>
      <c r="I178" s="72"/>
      <c r="J178" s="72"/>
      <c r="K178" s="72"/>
      <c r="L178" s="72"/>
      <c r="M178" s="72"/>
      <c r="N178" s="72"/>
      <c r="O178" s="72"/>
      <c r="P178" s="72"/>
      <c r="Q178" s="68"/>
      <c r="R178" s="66"/>
    </row>
    <row r="179" spans="1:18">
      <c r="A179" s="71"/>
      <c r="B179" s="71" t="s">
        <v>374</v>
      </c>
      <c r="C179" s="71"/>
      <c r="D179" s="72">
        <v>12078.55</v>
      </c>
      <c r="E179" s="72">
        <v>11994.17</v>
      </c>
      <c r="F179" s="72">
        <v>11994.17</v>
      </c>
      <c r="G179" s="72">
        <v>11994.17</v>
      </c>
      <c r="H179" s="72">
        <v>14220.37</v>
      </c>
      <c r="I179" s="72">
        <v>14182.84</v>
      </c>
      <c r="J179" s="72">
        <v>14182.84</v>
      </c>
      <c r="K179" s="72">
        <v>14182.84</v>
      </c>
      <c r="L179" s="72">
        <v>14182.84</v>
      </c>
      <c r="M179" s="72">
        <v>13942.92</v>
      </c>
      <c r="N179" s="72">
        <v>14182.84</v>
      </c>
      <c r="O179" s="72">
        <v>14182.84</v>
      </c>
      <c r="P179" s="72">
        <f t="shared" ref="P179:P187" si="32">ROUND(SUM(D179:O179),5)</f>
        <v>161321.39000000001</v>
      </c>
      <c r="Q179" s="68"/>
      <c r="R179" s="66"/>
    </row>
    <row r="180" spans="1:18">
      <c r="A180" s="71"/>
      <c r="B180" s="71" t="s">
        <v>375</v>
      </c>
      <c r="C180" s="71"/>
      <c r="D180" s="72">
        <v>2498.02</v>
      </c>
      <c r="E180" s="72">
        <v>2480.5700000000002</v>
      </c>
      <c r="F180" s="72">
        <v>2480.5700000000002</v>
      </c>
      <c r="G180" s="72">
        <v>2480.5700000000002</v>
      </c>
      <c r="H180" s="72">
        <v>2940.98</v>
      </c>
      <c r="I180" s="72">
        <v>2933.22</v>
      </c>
      <c r="J180" s="72">
        <v>2933.22</v>
      </c>
      <c r="K180" s="72">
        <v>2933.22</v>
      </c>
      <c r="L180" s="72">
        <v>2933.22</v>
      </c>
      <c r="M180" s="72">
        <v>2933.22</v>
      </c>
      <c r="N180" s="72">
        <v>2933.22</v>
      </c>
      <c r="O180" s="72">
        <v>2933.22</v>
      </c>
      <c r="P180" s="72">
        <f t="shared" si="32"/>
        <v>33413.25</v>
      </c>
      <c r="Q180" s="68"/>
      <c r="R180" s="66"/>
    </row>
    <row r="181" spans="1:18">
      <c r="A181" s="71"/>
      <c r="B181" s="71" t="s">
        <v>376</v>
      </c>
      <c r="C181" s="71"/>
      <c r="D181" s="72">
        <v>4162.18</v>
      </c>
      <c r="E181" s="72">
        <v>4133.1000000000004</v>
      </c>
      <c r="F181" s="72">
        <v>4133.1000000000004</v>
      </c>
      <c r="G181" s="72">
        <v>4133.1000000000004</v>
      </c>
      <c r="H181" s="72">
        <v>4900.2299999999996</v>
      </c>
      <c r="I181" s="72">
        <v>4887.3</v>
      </c>
      <c r="J181" s="72">
        <v>4887.3</v>
      </c>
      <c r="K181" s="72">
        <v>4887.3</v>
      </c>
      <c r="L181" s="72">
        <v>4887.3</v>
      </c>
      <c r="M181" s="72">
        <v>4887.3</v>
      </c>
      <c r="N181" s="72">
        <v>4887.3</v>
      </c>
      <c r="O181" s="72">
        <v>4887.3</v>
      </c>
      <c r="P181" s="72">
        <f t="shared" si="32"/>
        <v>55672.81</v>
      </c>
      <c r="Q181" s="68"/>
      <c r="R181" s="66"/>
    </row>
    <row r="182" spans="1:18">
      <c r="A182" s="71"/>
      <c r="B182" s="71" t="s">
        <v>377</v>
      </c>
      <c r="C182" s="71"/>
      <c r="D182" s="72">
        <v>5833.49</v>
      </c>
      <c r="E182" s="72">
        <v>5792.74</v>
      </c>
      <c r="F182" s="72">
        <v>5792.74</v>
      </c>
      <c r="G182" s="72">
        <v>5792.74</v>
      </c>
      <c r="H182" s="72">
        <v>6867.91</v>
      </c>
      <c r="I182" s="72">
        <v>6849.78</v>
      </c>
      <c r="J182" s="72">
        <v>6849.78</v>
      </c>
      <c r="K182" s="72">
        <v>6849.78</v>
      </c>
      <c r="L182" s="72">
        <v>6849.78</v>
      </c>
      <c r="M182" s="72">
        <v>6849.78</v>
      </c>
      <c r="N182" s="72">
        <v>6849.78</v>
      </c>
      <c r="O182" s="72">
        <v>6849.78</v>
      </c>
      <c r="P182" s="72">
        <f t="shared" si="32"/>
        <v>78028.08</v>
      </c>
      <c r="Q182" s="68"/>
      <c r="R182" s="66"/>
    </row>
    <row r="183" spans="1:18">
      <c r="A183" s="71"/>
      <c r="B183" s="71" t="s">
        <v>378</v>
      </c>
      <c r="C183" s="71"/>
      <c r="D183" s="72">
        <v>4162.18</v>
      </c>
      <c r="E183" s="72">
        <v>4133.1000000000004</v>
      </c>
      <c r="F183" s="72">
        <v>4133.1000000000004</v>
      </c>
      <c r="G183" s="72">
        <v>4133.1000000000004</v>
      </c>
      <c r="H183" s="72">
        <v>4900.2299999999996</v>
      </c>
      <c r="I183" s="72">
        <v>4887.3</v>
      </c>
      <c r="J183" s="72">
        <v>4887.3</v>
      </c>
      <c r="K183" s="72">
        <v>4887.3</v>
      </c>
      <c r="L183" s="72">
        <v>4887.3</v>
      </c>
      <c r="M183" s="72">
        <v>4887.3</v>
      </c>
      <c r="N183" s="72">
        <v>4887.3</v>
      </c>
      <c r="O183" s="72">
        <v>4887.3</v>
      </c>
      <c r="P183" s="72">
        <f t="shared" si="32"/>
        <v>55672.81</v>
      </c>
      <c r="Q183" s="68"/>
      <c r="R183" s="66"/>
    </row>
    <row r="184" spans="1:18">
      <c r="A184" s="71"/>
      <c r="B184" s="71" t="s">
        <v>379</v>
      </c>
      <c r="C184" s="71"/>
      <c r="D184" s="72">
        <v>2057.83</v>
      </c>
      <c r="E184" s="72">
        <v>2043.45</v>
      </c>
      <c r="F184" s="72">
        <v>2043.45</v>
      </c>
      <c r="G184" s="72">
        <v>2043.45</v>
      </c>
      <c r="H184" s="72">
        <v>2422.73</v>
      </c>
      <c r="I184" s="72">
        <v>2416.34</v>
      </c>
      <c r="J184" s="72">
        <v>2416.34</v>
      </c>
      <c r="K184" s="72">
        <v>2416.34</v>
      </c>
      <c r="L184" s="72">
        <v>2416.34</v>
      </c>
      <c r="M184" s="72">
        <v>2416.34</v>
      </c>
      <c r="N184" s="72">
        <v>2416.34</v>
      </c>
      <c r="O184" s="72">
        <v>2416.34</v>
      </c>
      <c r="P184" s="72">
        <f t="shared" si="32"/>
        <v>27525.29</v>
      </c>
      <c r="Q184" s="68"/>
      <c r="R184" s="66"/>
    </row>
    <row r="185" spans="1:18">
      <c r="A185" s="71"/>
      <c r="B185" s="71" t="s">
        <v>380</v>
      </c>
      <c r="C185" s="71"/>
      <c r="D185" s="72">
        <v>2498.02</v>
      </c>
      <c r="E185" s="72">
        <v>2480.5700000000002</v>
      </c>
      <c r="F185" s="72">
        <v>2480.5700000000002</v>
      </c>
      <c r="G185" s="72">
        <v>2480.5700000000002</v>
      </c>
      <c r="H185" s="72">
        <v>2940.98</v>
      </c>
      <c r="I185" s="72">
        <v>2933.22</v>
      </c>
      <c r="J185" s="72">
        <v>2933.22</v>
      </c>
      <c r="K185" s="72">
        <v>2933.22</v>
      </c>
      <c r="L185" s="72">
        <v>2933.22</v>
      </c>
      <c r="M185" s="72">
        <v>2933.22</v>
      </c>
      <c r="N185" s="72">
        <v>2933.22</v>
      </c>
      <c r="O185" s="72">
        <v>2933.22</v>
      </c>
      <c r="P185" s="72">
        <f t="shared" si="32"/>
        <v>33413.25</v>
      </c>
      <c r="Q185" s="68"/>
      <c r="R185" s="66"/>
    </row>
    <row r="186" spans="1:18" ht="15.75" thickBot="1">
      <c r="A186" s="71"/>
      <c r="B186" s="71" t="s">
        <v>381</v>
      </c>
      <c r="C186" s="71"/>
      <c r="D186" s="73">
        <v>2480.5700000000002</v>
      </c>
      <c r="E186" s="73">
        <v>2480.5700000000002</v>
      </c>
      <c r="F186" s="73">
        <v>2480.5700000000002</v>
      </c>
      <c r="G186" s="73">
        <v>2480.5700000000002</v>
      </c>
      <c r="H186" s="73">
        <v>2940.99</v>
      </c>
      <c r="I186" s="73">
        <v>2933.22</v>
      </c>
      <c r="J186" s="73">
        <v>2933.22</v>
      </c>
      <c r="K186" s="73">
        <v>2933.22</v>
      </c>
      <c r="L186" s="73">
        <v>2933.22</v>
      </c>
      <c r="M186" s="73">
        <v>2933.22</v>
      </c>
      <c r="N186" s="73">
        <v>2933.22</v>
      </c>
      <c r="O186" s="73">
        <v>2933.22</v>
      </c>
      <c r="P186" s="73">
        <f t="shared" si="32"/>
        <v>33395.81</v>
      </c>
      <c r="Q186" s="68"/>
      <c r="R186" s="66"/>
    </row>
    <row r="187" spans="1:18">
      <c r="A187" s="71"/>
      <c r="B187" s="71" t="s">
        <v>382</v>
      </c>
      <c r="C187" s="71"/>
      <c r="D187" s="72">
        <f t="shared" ref="D187:O187" si="33">ROUND(SUM(D178:D186),5)</f>
        <v>35770.839999999997</v>
      </c>
      <c r="E187" s="72">
        <f t="shared" si="33"/>
        <v>35538.269999999997</v>
      </c>
      <c r="F187" s="72">
        <f t="shared" si="33"/>
        <v>35538.269999999997</v>
      </c>
      <c r="G187" s="72">
        <f t="shared" si="33"/>
        <v>35538.269999999997</v>
      </c>
      <c r="H187" s="72">
        <f t="shared" si="33"/>
        <v>42134.42</v>
      </c>
      <c r="I187" s="72">
        <f t="shared" si="33"/>
        <v>42023.22</v>
      </c>
      <c r="J187" s="72">
        <f t="shared" si="33"/>
        <v>42023.22</v>
      </c>
      <c r="K187" s="72">
        <f t="shared" si="33"/>
        <v>42023.22</v>
      </c>
      <c r="L187" s="72">
        <f t="shared" si="33"/>
        <v>42023.22</v>
      </c>
      <c r="M187" s="72">
        <f t="shared" si="33"/>
        <v>41783.300000000003</v>
      </c>
      <c r="N187" s="72">
        <f t="shared" si="33"/>
        <v>42023.22</v>
      </c>
      <c r="O187" s="72">
        <f t="shared" si="33"/>
        <v>42023.22</v>
      </c>
      <c r="P187" s="72">
        <f t="shared" si="32"/>
        <v>478442.69</v>
      </c>
      <c r="Q187" s="68"/>
      <c r="R187" s="66"/>
    </row>
    <row r="188" spans="1:18">
      <c r="A188" s="71"/>
      <c r="B188" s="71"/>
      <c r="C188" s="71"/>
      <c r="D188" s="72"/>
      <c r="E188" s="72"/>
      <c r="F188" s="72"/>
      <c r="G188" s="72"/>
      <c r="H188" s="72"/>
      <c r="I188" s="72"/>
      <c r="J188" s="72"/>
      <c r="K188" s="72"/>
      <c r="L188" s="72"/>
      <c r="M188" s="72"/>
      <c r="N188" s="72"/>
      <c r="O188" s="72"/>
      <c r="P188" s="72"/>
      <c r="Q188" s="68"/>
      <c r="R188" s="66"/>
    </row>
    <row r="189" spans="1:18">
      <c r="A189" s="71"/>
      <c r="B189" s="71" t="s">
        <v>383</v>
      </c>
      <c r="C189" s="71"/>
      <c r="D189" s="72"/>
      <c r="E189" s="72"/>
      <c r="F189" s="72"/>
      <c r="G189" s="72"/>
      <c r="H189" s="72"/>
      <c r="I189" s="72"/>
      <c r="J189" s="72"/>
      <c r="K189" s="72"/>
      <c r="L189" s="72"/>
      <c r="M189" s="72"/>
      <c r="N189" s="72"/>
      <c r="O189" s="72"/>
      <c r="P189" s="72"/>
      <c r="Q189" s="68"/>
      <c r="R189" s="66"/>
    </row>
    <row r="190" spans="1:18">
      <c r="A190" s="71"/>
      <c r="B190" s="71" t="s">
        <v>384</v>
      </c>
      <c r="C190" s="71"/>
      <c r="D190" s="72">
        <v>0</v>
      </c>
      <c r="E190" s="72">
        <v>150</v>
      </c>
      <c r="F190" s="72">
        <v>300</v>
      </c>
      <c r="G190" s="72">
        <v>0</v>
      </c>
      <c r="H190" s="72">
        <v>150</v>
      </c>
      <c r="I190" s="72">
        <v>150</v>
      </c>
      <c r="J190" s="72">
        <v>300</v>
      </c>
      <c r="K190" s="72">
        <v>750</v>
      </c>
      <c r="L190" s="72">
        <v>600</v>
      </c>
      <c r="M190" s="72">
        <v>450</v>
      </c>
      <c r="N190" s="72">
        <v>600</v>
      </c>
      <c r="O190" s="72">
        <v>450</v>
      </c>
      <c r="P190" s="72">
        <f>ROUND(SUM(D190:O190),5)</f>
        <v>3900</v>
      </c>
      <c r="Q190" s="68"/>
      <c r="R190" s="66"/>
    </row>
    <row r="191" spans="1:18">
      <c r="A191" s="71"/>
      <c r="B191" s="71"/>
      <c r="C191" s="71"/>
      <c r="D191" s="72"/>
      <c r="E191" s="72"/>
      <c r="F191" s="72"/>
      <c r="G191" s="72"/>
      <c r="H191" s="72"/>
      <c r="I191" s="72"/>
      <c r="J191" s="72"/>
      <c r="K191" s="72"/>
      <c r="L191" s="72"/>
      <c r="M191" s="72"/>
      <c r="N191" s="72"/>
      <c r="O191" s="72"/>
      <c r="P191" s="72"/>
      <c r="Q191" s="68"/>
      <c r="R191" s="66"/>
    </row>
    <row r="192" spans="1:18">
      <c r="A192" s="71"/>
      <c r="B192" s="71" t="s">
        <v>385</v>
      </c>
      <c r="C192" s="71"/>
      <c r="D192" s="72"/>
      <c r="E192" s="72"/>
      <c r="F192" s="72"/>
      <c r="G192" s="72"/>
      <c r="H192" s="72"/>
      <c r="I192" s="72"/>
      <c r="J192" s="72"/>
      <c r="K192" s="72"/>
      <c r="L192" s="72"/>
      <c r="M192" s="72"/>
      <c r="N192" s="72"/>
      <c r="O192" s="72"/>
      <c r="P192" s="72"/>
      <c r="Q192" s="68"/>
      <c r="R192" s="66"/>
    </row>
    <row r="193" spans="1:18">
      <c r="A193" s="71"/>
      <c r="B193" s="71" t="s">
        <v>386</v>
      </c>
      <c r="C193" s="71"/>
      <c r="D193" s="72">
        <v>26575.99</v>
      </c>
      <c r="E193" s="72">
        <v>20722.2</v>
      </c>
      <c r="F193" s="72">
        <v>23354.32</v>
      </c>
      <c r="G193" s="72">
        <v>29732.83</v>
      </c>
      <c r="H193" s="72">
        <v>23472.97</v>
      </c>
      <c r="I193" s="72">
        <v>29331.06</v>
      </c>
      <c r="J193" s="72">
        <v>29542.7</v>
      </c>
      <c r="K193" s="72">
        <v>1697.24</v>
      </c>
      <c r="L193" s="72">
        <v>42480.31</v>
      </c>
      <c r="M193" s="72">
        <v>28916.68</v>
      </c>
      <c r="N193" s="72">
        <v>11591.89</v>
      </c>
      <c r="O193" s="72">
        <v>34344.43</v>
      </c>
      <c r="P193" s="72">
        <f t="shared" ref="P193:P202" si="34">ROUND(SUM(D193:O193),5)</f>
        <v>301762.62</v>
      </c>
      <c r="Q193" s="68"/>
      <c r="R193" s="66"/>
    </row>
    <row r="194" spans="1:18">
      <c r="A194" s="71"/>
      <c r="B194" s="71" t="s">
        <v>387</v>
      </c>
      <c r="C194" s="71"/>
      <c r="D194" s="72">
        <v>5644.38</v>
      </c>
      <c r="E194" s="72">
        <v>4561.71</v>
      </c>
      <c r="F194" s="72">
        <v>5023.7700000000004</v>
      </c>
      <c r="G194" s="72">
        <v>7586.28</v>
      </c>
      <c r="H194" s="72">
        <v>4413.24</v>
      </c>
      <c r="I194" s="72">
        <v>6575.4</v>
      </c>
      <c r="J194" s="72">
        <v>6642.72</v>
      </c>
      <c r="K194" s="72">
        <v>0</v>
      </c>
      <c r="L194" s="72">
        <v>0</v>
      </c>
      <c r="M194" s="72">
        <v>5934.94</v>
      </c>
      <c r="N194" s="72">
        <v>3145.82</v>
      </c>
      <c r="O194" s="72">
        <v>6629.35</v>
      </c>
      <c r="P194" s="72">
        <f t="shared" si="34"/>
        <v>56157.61</v>
      </c>
      <c r="Q194" s="68"/>
      <c r="R194" s="66"/>
    </row>
    <row r="195" spans="1:18">
      <c r="A195" s="71"/>
      <c r="B195" s="71" t="s">
        <v>388</v>
      </c>
      <c r="C195" s="71"/>
      <c r="D195" s="72">
        <v>10722.51</v>
      </c>
      <c r="E195" s="72">
        <v>7646.64</v>
      </c>
      <c r="F195" s="72">
        <v>8557.17</v>
      </c>
      <c r="G195" s="72">
        <v>10141.56</v>
      </c>
      <c r="H195" s="72">
        <v>8980.92</v>
      </c>
      <c r="I195" s="72">
        <v>10263.24</v>
      </c>
      <c r="J195" s="72">
        <v>10987.2</v>
      </c>
      <c r="K195" s="72">
        <v>0</v>
      </c>
      <c r="L195" s="72">
        <v>3017.14</v>
      </c>
      <c r="M195" s="72">
        <v>11159.23</v>
      </c>
      <c r="N195" s="72">
        <v>3794.33</v>
      </c>
      <c r="O195" s="72">
        <v>11370.8</v>
      </c>
      <c r="P195" s="72">
        <f t="shared" si="34"/>
        <v>96640.74</v>
      </c>
      <c r="Q195" s="68"/>
      <c r="R195" s="66"/>
    </row>
    <row r="196" spans="1:18">
      <c r="A196" s="71"/>
      <c r="B196" s="71" t="s">
        <v>389</v>
      </c>
      <c r="C196" s="71"/>
      <c r="D196" s="72">
        <v>9787.93</v>
      </c>
      <c r="E196" s="72">
        <v>7766.62</v>
      </c>
      <c r="F196" s="72">
        <v>8223.31</v>
      </c>
      <c r="G196" s="72">
        <v>10082.92</v>
      </c>
      <c r="H196" s="72">
        <v>8607.0300000000007</v>
      </c>
      <c r="I196" s="72">
        <v>8672.98</v>
      </c>
      <c r="J196" s="72">
        <v>7297.57</v>
      </c>
      <c r="K196" s="72">
        <v>5049.6400000000003</v>
      </c>
      <c r="L196" s="72">
        <v>1957.14</v>
      </c>
      <c r="M196" s="72">
        <v>11674.7</v>
      </c>
      <c r="N196" s="72">
        <v>-424.71</v>
      </c>
      <c r="O196" s="72">
        <v>8458.75</v>
      </c>
      <c r="P196" s="72">
        <f t="shared" si="34"/>
        <v>87153.88</v>
      </c>
      <c r="Q196" s="68"/>
      <c r="R196" s="66"/>
    </row>
    <row r="197" spans="1:18">
      <c r="A197" s="71"/>
      <c r="B197" s="71" t="s">
        <v>390</v>
      </c>
      <c r="C197" s="71"/>
      <c r="D197" s="72">
        <v>1404.44</v>
      </c>
      <c r="E197" s="72">
        <v>954.28</v>
      </c>
      <c r="F197" s="72">
        <v>860.7</v>
      </c>
      <c r="G197" s="72">
        <v>1029.81</v>
      </c>
      <c r="H197" s="72">
        <v>920.56</v>
      </c>
      <c r="I197" s="72">
        <v>1159.97</v>
      </c>
      <c r="J197" s="72">
        <v>925.61</v>
      </c>
      <c r="K197" s="72">
        <v>964.39</v>
      </c>
      <c r="L197" s="72">
        <v>720.39</v>
      </c>
      <c r="M197" s="72">
        <v>780.57</v>
      </c>
      <c r="N197" s="72">
        <v>-4935.87</v>
      </c>
      <c r="O197" s="72">
        <v>641.25</v>
      </c>
      <c r="P197" s="72">
        <f t="shared" si="34"/>
        <v>5426.1</v>
      </c>
      <c r="Q197" s="68"/>
      <c r="R197" s="66"/>
    </row>
    <row r="198" spans="1:18">
      <c r="A198" s="71"/>
      <c r="B198" s="71" t="s">
        <v>391</v>
      </c>
      <c r="C198" s="71"/>
      <c r="D198" s="72">
        <v>3277.02</v>
      </c>
      <c r="E198" s="72">
        <v>2226.64</v>
      </c>
      <c r="F198" s="72">
        <v>2008.31</v>
      </c>
      <c r="G198" s="72">
        <v>2402.89</v>
      </c>
      <c r="H198" s="72">
        <v>2147.96</v>
      </c>
      <c r="I198" s="72">
        <v>2706.59</v>
      </c>
      <c r="J198" s="72">
        <v>2159.77</v>
      </c>
      <c r="K198" s="72">
        <v>2250.25</v>
      </c>
      <c r="L198" s="72">
        <v>1680.91</v>
      </c>
      <c r="M198" s="72">
        <v>1821.33</v>
      </c>
      <c r="N198" s="72">
        <v>-1325.54</v>
      </c>
      <c r="O198" s="72">
        <v>1496.25</v>
      </c>
      <c r="P198" s="72">
        <f t="shared" si="34"/>
        <v>22852.38</v>
      </c>
      <c r="Q198" s="68"/>
      <c r="R198" s="66"/>
    </row>
    <row r="199" spans="1:18">
      <c r="A199" s="71"/>
      <c r="B199" s="71" t="s">
        <v>392</v>
      </c>
      <c r="C199" s="71"/>
      <c r="D199" s="72">
        <v>2576.77</v>
      </c>
      <c r="E199" s="72">
        <v>2149.65</v>
      </c>
      <c r="F199" s="72">
        <v>2380.0700000000002</v>
      </c>
      <c r="G199" s="72">
        <v>2298.58</v>
      </c>
      <c r="H199" s="72">
        <v>1596.08</v>
      </c>
      <c r="I199" s="72">
        <v>1747.82</v>
      </c>
      <c r="J199" s="72">
        <v>1261.69</v>
      </c>
      <c r="K199" s="72">
        <v>283.81</v>
      </c>
      <c r="L199" s="72">
        <v>188.8</v>
      </c>
      <c r="M199" s="72">
        <v>991.2</v>
      </c>
      <c r="N199" s="72">
        <v>-1296.6099999999999</v>
      </c>
      <c r="O199" s="72">
        <v>2056.25</v>
      </c>
      <c r="P199" s="72">
        <f t="shared" si="34"/>
        <v>16234.11</v>
      </c>
      <c r="Q199" s="68"/>
      <c r="R199" s="66"/>
    </row>
    <row r="200" spans="1:18" ht="15.75" thickBot="1">
      <c r="A200" s="71"/>
      <c r="B200" s="71" t="s">
        <v>393</v>
      </c>
      <c r="C200" s="71"/>
      <c r="D200" s="72">
        <v>1396.57</v>
      </c>
      <c r="E200" s="72">
        <v>2197.42</v>
      </c>
      <c r="F200" s="72">
        <v>1677.57</v>
      </c>
      <c r="G200" s="72">
        <v>2436.27</v>
      </c>
      <c r="H200" s="72">
        <v>2278.91</v>
      </c>
      <c r="I200" s="72">
        <v>1812.45</v>
      </c>
      <c r="J200" s="72">
        <v>1905.18</v>
      </c>
      <c r="K200" s="72">
        <v>1899.56</v>
      </c>
      <c r="L200" s="72">
        <v>1548.75</v>
      </c>
      <c r="M200" s="72">
        <v>2121.0500000000002</v>
      </c>
      <c r="N200" s="72">
        <v>-1361.51</v>
      </c>
      <c r="O200" s="72">
        <v>2109.38</v>
      </c>
      <c r="P200" s="72">
        <f t="shared" si="34"/>
        <v>20021.599999999999</v>
      </c>
      <c r="Q200" s="68"/>
      <c r="R200" s="66"/>
    </row>
    <row r="201" spans="1:18" ht="15.75" thickBot="1">
      <c r="A201" s="71"/>
      <c r="B201" s="71" t="s">
        <v>394</v>
      </c>
      <c r="C201" s="71"/>
      <c r="D201" s="75">
        <f t="shared" ref="D201:O201" si="35">ROUND(SUM(D192:D200),5)</f>
        <v>61385.61</v>
      </c>
      <c r="E201" s="75">
        <f t="shared" si="35"/>
        <v>48225.16</v>
      </c>
      <c r="F201" s="75">
        <f t="shared" si="35"/>
        <v>52085.22</v>
      </c>
      <c r="G201" s="75">
        <f t="shared" si="35"/>
        <v>65711.14</v>
      </c>
      <c r="H201" s="75">
        <f t="shared" si="35"/>
        <v>52417.67</v>
      </c>
      <c r="I201" s="75">
        <f t="shared" si="35"/>
        <v>62269.51</v>
      </c>
      <c r="J201" s="75">
        <f t="shared" si="35"/>
        <v>60722.44</v>
      </c>
      <c r="K201" s="75">
        <f t="shared" si="35"/>
        <v>12144.89</v>
      </c>
      <c r="L201" s="75">
        <f t="shared" si="35"/>
        <v>51593.440000000002</v>
      </c>
      <c r="M201" s="75">
        <f t="shared" si="35"/>
        <v>63399.7</v>
      </c>
      <c r="N201" s="75">
        <f t="shared" si="35"/>
        <v>9187.7999999999993</v>
      </c>
      <c r="O201" s="75">
        <f t="shared" si="35"/>
        <v>67106.460000000006</v>
      </c>
      <c r="P201" s="75">
        <f t="shared" si="34"/>
        <v>606249.04</v>
      </c>
      <c r="Q201" s="68"/>
      <c r="R201" s="66"/>
    </row>
    <row r="202" spans="1:18">
      <c r="A202" s="71"/>
      <c r="B202" s="71" t="s">
        <v>395</v>
      </c>
      <c r="C202" s="71"/>
      <c r="D202" s="72">
        <f t="shared" ref="D202:O202" si="36">ROUND(SUM(D189:D190)+D201,5)</f>
        <v>61385.61</v>
      </c>
      <c r="E202" s="72">
        <f t="shared" si="36"/>
        <v>48375.16</v>
      </c>
      <c r="F202" s="72">
        <f t="shared" si="36"/>
        <v>52385.22</v>
      </c>
      <c r="G202" s="72">
        <f t="shared" si="36"/>
        <v>65711.14</v>
      </c>
      <c r="H202" s="72">
        <f t="shared" si="36"/>
        <v>52567.67</v>
      </c>
      <c r="I202" s="72">
        <f t="shared" si="36"/>
        <v>62419.51</v>
      </c>
      <c r="J202" s="72">
        <f t="shared" si="36"/>
        <v>61022.44</v>
      </c>
      <c r="K202" s="72">
        <f t="shared" si="36"/>
        <v>12894.89</v>
      </c>
      <c r="L202" s="72">
        <f t="shared" si="36"/>
        <v>52193.440000000002</v>
      </c>
      <c r="M202" s="72">
        <f t="shared" si="36"/>
        <v>63849.7</v>
      </c>
      <c r="N202" s="72">
        <f t="shared" si="36"/>
        <v>9787.7999999999993</v>
      </c>
      <c r="O202" s="72">
        <f t="shared" si="36"/>
        <v>67556.460000000006</v>
      </c>
      <c r="P202" s="72">
        <f t="shared" si="34"/>
        <v>610149.04</v>
      </c>
      <c r="Q202" s="68"/>
      <c r="R202" s="66"/>
    </row>
    <row r="203" spans="1:18">
      <c r="A203" s="71"/>
      <c r="B203" s="71"/>
      <c r="C203" s="71"/>
      <c r="D203" s="72"/>
      <c r="E203" s="72"/>
      <c r="F203" s="72"/>
      <c r="G203" s="72"/>
      <c r="H203" s="72"/>
      <c r="I203" s="72"/>
      <c r="J203" s="72"/>
      <c r="K203" s="72"/>
      <c r="L203" s="72"/>
      <c r="M203" s="72"/>
      <c r="N203" s="72"/>
      <c r="O203" s="72"/>
      <c r="P203" s="72"/>
      <c r="Q203" s="68"/>
      <c r="R203" s="66"/>
    </row>
    <row r="204" spans="1:18">
      <c r="A204" s="71"/>
      <c r="B204" s="71" t="s">
        <v>396</v>
      </c>
      <c r="C204" s="71"/>
      <c r="D204" s="72"/>
      <c r="E204" s="72"/>
      <c r="F204" s="72"/>
      <c r="G204" s="72"/>
      <c r="H204" s="72"/>
      <c r="I204" s="72"/>
      <c r="J204" s="72"/>
      <c r="K204" s="72"/>
      <c r="L204" s="72"/>
      <c r="M204" s="72"/>
      <c r="N204" s="72"/>
      <c r="O204" s="72"/>
      <c r="P204" s="72"/>
      <c r="Q204" s="68"/>
      <c r="R204" s="66"/>
    </row>
    <row r="205" spans="1:18">
      <c r="A205" s="71"/>
      <c r="B205" s="71" t="s">
        <v>397</v>
      </c>
      <c r="C205" s="71"/>
      <c r="D205" s="72">
        <v>4708.3599999999997</v>
      </c>
      <c r="E205" s="72">
        <v>4679.95</v>
      </c>
      <c r="F205" s="72">
        <v>4693.6400000000003</v>
      </c>
      <c r="G205" s="72">
        <v>4707.1400000000003</v>
      </c>
      <c r="H205" s="72">
        <v>5159.03</v>
      </c>
      <c r="I205" s="72">
        <v>5154.08</v>
      </c>
      <c r="J205" s="72">
        <v>4723.9799999999996</v>
      </c>
      <c r="K205" s="72">
        <v>5830.44</v>
      </c>
      <c r="L205" s="72">
        <v>4690.38</v>
      </c>
      <c r="M205" s="72">
        <v>4629.8100000000004</v>
      </c>
      <c r="N205" s="72">
        <v>4716.2</v>
      </c>
      <c r="O205" s="72">
        <v>5081.53</v>
      </c>
      <c r="P205" s="72">
        <f t="shared" ref="P205:P220" si="37">ROUND(SUM(D205:O205),5)</f>
        <v>58774.54</v>
      </c>
      <c r="Q205" s="68"/>
      <c r="R205" s="66"/>
    </row>
    <row r="206" spans="1:18">
      <c r="A206" s="71"/>
      <c r="B206" s="71" t="s">
        <v>398</v>
      </c>
      <c r="C206" s="71"/>
      <c r="D206" s="72">
        <v>5741.06</v>
      </c>
      <c r="E206" s="72">
        <v>11307.12</v>
      </c>
      <c r="F206" s="72">
        <v>4819.58</v>
      </c>
      <c r="G206" s="72">
        <v>4782.87</v>
      </c>
      <c r="H206" s="72">
        <v>5108.78</v>
      </c>
      <c r="I206" s="72">
        <v>5175.8100000000004</v>
      </c>
      <c r="J206" s="72">
        <v>4986.6099999999997</v>
      </c>
      <c r="K206" s="72">
        <v>9249.7900000000009</v>
      </c>
      <c r="L206" s="72">
        <v>7997.66</v>
      </c>
      <c r="M206" s="72">
        <v>4398.68</v>
      </c>
      <c r="N206" s="72">
        <v>5545.82</v>
      </c>
      <c r="O206" s="72">
        <v>4818.25</v>
      </c>
      <c r="P206" s="72">
        <f t="shared" si="37"/>
        <v>73932.03</v>
      </c>
      <c r="Q206" s="68"/>
      <c r="R206" s="66"/>
    </row>
    <row r="207" spans="1:18">
      <c r="A207" s="71"/>
      <c r="B207" s="71" t="s">
        <v>399</v>
      </c>
      <c r="C207" s="71"/>
      <c r="D207" s="72">
        <v>159.26</v>
      </c>
      <c r="E207" s="72">
        <v>79.63</v>
      </c>
      <c r="F207" s="72">
        <v>79.63</v>
      </c>
      <c r="G207" s="72">
        <v>79.63</v>
      </c>
      <c r="H207" s="72">
        <v>79.63</v>
      </c>
      <c r="I207" s="72">
        <v>79.63</v>
      </c>
      <c r="J207" s="72">
        <v>79.63</v>
      </c>
      <c r="K207" s="72">
        <v>79.63</v>
      </c>
      <c r="L207" s="72">
        <v>1039.6300000000001</v>
      </c>
      <c r="M207" s="72">
        <v>79.63</v>
      </c>
      <c r="N207" s="72">
        <v>79.63</v>
      </c>
      <c r="O207" s="72">
        <v>79.63</v>
      </c>
      <c r="P207" s="72">
        <f t="shared" si="37"/>
        <v>1995.19</v>
      </c>
      <c r="Q207" s="68"/>
      <c r="R207" s="66"/>
    </row>
    <row r="208" spans="1:18">
      <c r="A208" s="71"/>
      <c r="B208" s="71" t="s">
        <v>400</v>
      </c>
      <c r="C208" s="71"/>
      <c r="D208" s="72">
        <v>1360</v>
      </c>
      <c r="E208" s="72">
        <v>1360</v>
      </c>
      <c r="F208" s="72">
        <v>1360</v>
      </c>
      <c r="G208" s="72">
        <v>2185.92</v>
      </c>
      <c r="H208" s="72">
        <v>1681.2</v>
      </c>
      <c r="I208" s="72">
        <v>2647.08</v>
      </c>
      <c r="J208" s="72">
        <v>1370.05</v>
      </c>
      <c r="K208" s="72">
        <v>1802.82</v>
      </c>
      <c r="L208" s="72">
        <v>1418.52</v>
      </c>
      <c r="M208" s="72">
        <v>1418.52</v>
      </c>
      <c r="N208" s="72">
        <v>1356.47</v>
      </c>
      <c r="O208" s="72">
        <v>1542.51</v>
      </c>
      <c r="P208" s="72">
        <f t="shared" si="37"/>
        <v>19503.09</v>
      </c>
      <c r="Q208" s="68"/>
      <c r="R208" s="66"/>
    </row>
    <row r="209" spans="1:18">
      <c r="A209" s="71"/>
      <c r="B209" s="71" t="s">
        <v>401</v>
      </c>
      <c r="C209" s="71"/>
      <c r="D209" s="72">
        <v>27.11</v>
      </c>
      <c r="E209" s="72">
        <v>9.8800000000000008</v>
      </c>
      <c r="F209" s="72">
        <v>61.35</v>
      </c>
      <c r="G209" s="72">
        <v>31.5</v>
      </c>
      <c r="H209" s="72">
        <v>9.8800000000000008</v>
      </c>
      <c r="I209" s="72">
        <v>62.79</v>
      </c>
      <c r="J209" s="72">
        <v>35.06</v>
      </c>
      <c r="K209" s="72">
        <v>42.48</v>
      </c>
      <c r="L209" s="72">
        <v>0</v>
      </c>
      <c r="M209" s="72">
        <v>62.73</v>
      </c>
      <c r="N209" s="72">
        <v>35.07</v>
      </c>
      <c r="O209" s="72">
        <v>35.07</v>
      </c>
      <c r="P209" s="72">
        <f t="shared" si="37"/>
        <v>412.92</v>
      </c>
      <c r="Q209" s="68"/>
      <c r="R209" s="66"/>
    </row>
    <row r="210" spans="1:18">
      <c r="A210" s="71"/>
      <c r="B210" s="71" t="s">
        <v>402</v>
      </c>
      <c r="C210" s="71"/>
      <c r="D210" s="72">
        <v>0</v>
      </c>
      <c r="E210" s="72">
        <v>3755.16</v>
      </c>
      <c r="F210" s="72">
        <v>500</v>
      </c>
      <c r="G210" s="72">
        <v>115</v>
      </c>
      <c r="H210" s="72">
        <v>60</v>
      </c>
      <c r="I210" s="72">
        <v>675.27</v>
      </c>
      <c r="J210" s="72">
        <v>60</v>
      </c>
      <c r="K210" s="72">
        <v>0</v>
      </c>
      <c r="L210" s="72">
        <v>1530</v>
      </c>
      <c r="M210" s="72">
        <v>30</v>
      </c>
      <c r="N210" s="72">
        <v>825</v>
      </c>
      <c r="O210" s="72">
        <v>0</v>
      </c>
      <c r="P210" s="72">
        <f t="shared" si="37"/>
        <v>7550.43</v>
      </c>
      <c r="Q210" s="68"/>
      <c r="R210" s="66"/>
    </row>
    <row r="211" spans="1:18">
      <c r="A211" s="71"/>
      <c r="B211" s="71" t="s">
        <v>403</v>
      </c>
      <c r="C211" s="71"/>
      <c r="D211" s="72">
        <v>0.75</v>
      </c>
      <c r="E211" s="72">
        <v>192.31</v>
      </c>
      <c r="F211" s="72">
        <v>247.81</v>
      </c>
      <c r="G211" s="72">
        <v>305.92</v>
      </c>
      <c r="H211" s="72">
        <v>283.56</v>
      </c>
      <c r="I211" s="72">
        <v>259.33999999999997</v>
      </c>
      <c r="J211" s="72">
        <v>169.32</v>
      </c>
      <c r="K211" s="72">
        <v>66.13</v>
      </c>
      <c r="L211" s="72">
        <v>185.52</v>
      </c>
      <c r="M211" s="72">
        <v>134.11000000000001</v>
      </c>
      <c r="N211" s="72">
        <v>39.21</v>
      </c>
      <c r="O211" s="72">
        <v>5</v>
      </c>
      <c r="P211" s="72">
        <f t="shared" si="37"/>
        <v>1888.98</v>
      </c>
      <c r="Q211" s="68"/>
      <c r="R211" s="66"/>
    </row>
    <row r="212" spans="1:18">
      <c r="A212" s="71"/>
      <c r="B212" s="71" t="s">
        <v>404</v>
      </c>
      <c r="C212" s="71"/>
      <c r="D212" s="72">
        <v>0</v>
      </c>
      <c r="E212" s="72">
        <v>0</v>
      </c>
      <c r="F212" s="72">
        <v>0</v>
      </c>
      <c r="G212" s="72">
        <v>0</v>
      </c>
      <c r="H212" s="72">
        <v>0</v>
      </c>
      <c r="I212" s="72">
        <v>0</v>
      </c>
      <c r="J212" s="72">
        <v>250.31</v>
      </c>
      <c r="K212" s="72">
        <v>0</v>
      </c>
      <c r="L212" s="72">
        <v>0</v>
      </c>
      <c r="M212" s="72">
        <v>0</v>
      </c>
      <c r="N212" s="72">
        <v>6.58</v>
      </c>
      <c r="O212" s="72">
        <v>0</v>
      </c>
      <c r="P212" s="72">
        <f t="shared" si="37"/>
        <v>256.89</v>
      </c>
      <c r="Q212" s="68"/>
      <c r="R212" s="66"/>
    </row>
    <row r="213" spans="1:18">
      <c r="A213" s="71"/>
      <c r="B213" s="71" t="s">
        <v>405</v>
      </c>
      <c r="C213" s="71"/>
      <c r="D213" s="72">
        <v>0</v>
      </c>
      <c r="E213" s="72">
        <v>0</v>
      </c>
      <c r="F213" s="72">
        <v>43.7</v>
      </c>
      <c r="G213" s="72">
        <v>0</v>
      </c>
      <c r="H213" s="72">
        <v>0</v>
      </c>
      <c r="I213" s="72">
        <v>385.07</v>
      </c>
      <c r="J213" s="72">
        <v>0</v>
      </c>
      <c r="K213" s="72">
        <v>205.67</v>
      </c>
      <c r="L213" s="72">
        <v>0</v>
      </c>
      <c r="M213" s="72">
        <v>0</v>
      </c>
      <c r="N213" s="72">
        <v>0</v>
      </c>
      <c r="O213" s="72">
        <v>505.07</v>
      </c>
      <c r="P213" s="72">
        <f t="shared" si="37"/>
        <v>1139.51</v>
      </c>
      <c r="Q213" s="68"/>
      <c r="R213" s="66"/>
    </row>
    <row r="214" spans="1:18">
      <c r="A214" s="71"/>
      <c r="B214" s="71" t="s">
        <v>406</v>
      </c>
      <c r="C214" s="71"/>
      <c r="D214" s="72">
        <v>15.84</v>
      </c>
      <c r="E214" s="72">
        <v>395</v>
      </c>
      <c r="F214" s="72">
        <v>1912.54</v>
      </c>
      <c r="G214" s="72">
        <v>941.86</v>
      </c>
      <c r="H214" s="72">
        <v>2256.5</v>
      </c>
      <c r="I214" s="72">
        <v>863.91</v>
      </c>
      <c r="J214" s="72">
        <v>4754.28</v>
      </c>
      <c r="K214" s="72">
        <v>3905.68</v>
      </c>
      <c r="L214" s="72">
        <v>1942.76</v>
      </c>
      <c r="M214" s="72">
        <v>674.03</v>
      </c>
      <c r="N214" s="72">
        <v>400</v>
      </c>
      <c r="O214" s="72">
        <v>400</v>
      </c>
      <c r="P214" s="72">
        <f t="shared" si="37"/>
        <v>18462.400000000001</v>
      </c>
      <c r="Q214" s="68"/>
      <c r="R214" s="66"/>
    </row>
    <row r="215" spans="1:18">
      <c r="A215" s="71"/>
      <c r="B215" s="71" t="s">
        <v>407</v>
      </c>
      <c r="C215" s="71"/>
      <c r="D215" s="72">
        <v>0</v>
      </c>
      <c r="E215" s="72">
        <v>0</v>
      </c>
      <c r="F215" s="72">
        <v>0</v>
      </c>
      <c r="G215" s="72">
        <v>0</v>
      </c>
      <c r="H215" s="72">
        <v>0</v>
      </c>
      <c r="I215" s="72">
        <v>0</v>
      </c>
      <c r="J215" s="72">
        <v>746.52</v>
      </c>
      <c r="K215" s="72">
        <v>0</v>
      </c>
      <c r="L215" s="72">
        <v>62.5</v>
      </c>
      <c r="M215" s="72">
        <v>0</v>
      </c>
      <c r="N215" s="72">
        <v>0</v>
      </c>
      <c r="O215" s="72">
        <v>0</v>
      </c>
      <c r="P215" s="72">
        <f t="shared" si="37"/>
        <v>809.02</v>
      </c>
      <c r="Q215" s="68"/>
      <c r="R215" s="66"/>
    </row>
    <row r="216" spans="1:18">
      <c r="A216" s="71"/>
      <c r="B216" s="71" t="s">
        <v>408</v>
      </c>
      <c r="C216" s="71"/>
      <c r="D216" s="72">
        <v>350</v>
      </c>
      <c r="E216" s="72">
        <v>1350</v>
      </c>
      <c r="F216" s="72">
        <v>4565</v>
      </c>
      <c r="G216" s="72">
        <v>1006.98</v>
      </c>
      <c r="H216" s="72">
        <v>975</v>
      </c>
      <c r="I216" s="72">
        <v>350</v>
      </c>
      <c r="J216" s="72">
        <v>975</v>
      </c>
      <c r="K216" s="72">
        <v>975</v>
      </c>
      <c r="L216" s="72">
        <v>2225</v>
      </c>
      <c r="M216" s="72">
        <v>1550</v>
      </c>
      <c r="N216" s="72">
        <v>1075</v>
      </c>
      <c r="O216" s="72">
        <v>2115</v>
      </c>
      <c r="P216" s="72">
        <f t="shared" si="37"/>
        <v>17511.98</v>
      </c>
      <c r="Q216" s="68"/>
      <c r="R216" s="66"/>
    </row>
    <row r="217" spans="1:18">
      <c r="A217" s="71"/>
      <c r="B217" s="71" t="s">
        <v>409</v>
      </c>
      <c r="C217" s="71"/>
      <c r="D217" s="72">
        <v>1393.02</v>
      </c>
      <c r="E217" s="72">
        <v>1989.02</v>
      </c>
      <c r="F217" s="72">
        <v>1505.02</v>
      </c>
      <c r="G217" s="72">
        <v>1393.02</v>
      </c>
      <c r="H217" s="72">
        <v>1413.92</v>
      </c>
      <c r="I217" s="72">
        <v>1505.02</v>
      </c>
      <c r="J217" s="72">
        <v>1393.02</v>
      </c>
      <c r="K217" s="72">
        <v>1393.02</v>
      </c>
      <c r="L217" s="72">
        <v>1505.02</v>
      </c>
      <c r="M217" s="72">
        <v>1393.02</v>
      </c>
      <c r="N217" s="72">
        <v>1741.25</v>
      </c>
      <c r="O217" s="72">
        <v>1851.82</v>
      </c>
      <c r="P217" s="72">
        <f t="shared" si="37"/>
        <v>18476.169999999998</v>
      </c>
      <c r="Q217" s="68"/>
      <c r="R217" s="66"/>
    </row>
    <row r="218" spans="1:18">
      <c r="A218" s="71"/>
      <c r="B218" s="71" t="s">
        <v>410</v>
      </c>
      <c r="C218" s="71"/>
      <c r="D218" s="72">
        <v>0</v>
      </c>
      <c r="E218" s="72">
        <v>0</v>
      </c>
      <c r="F218" s="72">
        <v>0</v>
      </c>
      <c r="G218" s="72">
        <v>395</v>
      </c>
      <c r="H218" s="72">
        <v>2010</v>
      </c>
      <c r="I218" s="72">
        <v>0</v>
      </c>
      <c r="J218" s="72">
        <v>125</v>
      </c>
      <c r="K218" s="72">
        <v>2070</v>
      </c>
      <c r="L218" s="72">
        <v>0</v>
      </c>
      <c r="M218" s="72">
        <v>250</v>
      </c>
      <c r="N218" s="72">
        <v>1459</v>
      </c>
      <c r="O218" s="72">
        <v>3000</v>
      </c>
      <c r="P218" s="72">
        <f t="shared" si="37"/>
        <v>9309</v>
      </c>
      <c r="Q218" s="68"/>
      <c r="R218" s="66"/>
    </row>
    <row r="219" spans="1:18" ht="15.75" thickBot="1">
      <c r="A219" s="71"/>
      <c r="B219" s="71" t="s">
        <v>411</v>
      </c>
      <c r="C219" s="71"/>
      <c r="D219" s="73">
        <v>167.4</v>
      </c>
      <c r="E219" s="73">
        <v>0</v>
      </c>
      <c r="F219" s="73">
        <v>0</v>
      </c>
      <c r="G219" s="73">
        <v>0</v>
      </c>
      <c r="H219" s="73">
        <v>0</v>
      </c>
      <c r="I219" s="73">
        <v>0</v>
      </c>
      <c r="J219" s="73">
        <v>0</v>
      </c>
      <c r="K219" s="73">
        <v>0</v>
      </c>
      <c r="L219" s="73">
        <v>0</v>
      </c>
      <c r="M219" s="73">
        <v>0</v>
      </c>
      <c r="N219" s="73">
        <v>0</v>
      </c>
      <c r="O219" s="73">
        <v>0</v>
      </c>
      <c r="P219" s="73">
        <f t="shared" si="37"/>
        <v>167.4</v>
      </c>
      <c r="Q219" s="68"/>
      <c r="R219" s="66"/>
    </row>
    <row r="220" spans="1:18">
      <c r="A220" s="71"/>
      <c r="B220" s="71" t="s">
        <v>412</v>
      </c>
      <c r="C220" s="76"/>
      <c r="D220" s="72">
        <f t="shared" ref="D220:O220" si="38">ROUND(SUM(D204:D219),5)</f>
        <v>13922.8</v>
      </c>
      <c r="E220" s="72">
        <f t="shared" si="38"/>
        <v>25118.07</v>
      </c>
      <c r="F220" s="72">
        <f t="shared" si="38"/>
        <v>19788.27</v>
      </c>
      <c r="G220" s="72">
        <f t="shared" si="38"/>
        <v>15944.84</v>
      </c>
      <c r="H220" s="72">
        <f t="shared" si="38"/>
        <v>19037.5</v>
      </c>
      <c r="I220" s="72">
        <f t="shared" si="38"/>
        <v>17158</v>
      </c>
      <c r="J220" s="72">
        <f t="shared" si="38"/>
        <v>19668.78</v>
      </c>
      <c r="K220" s="72">
        <f t="shared" si="38"/>
        <v>25620.66</v>
      </c>
      <c r="L220" s="72">
        <f t="shared" si="38"/>
        <v>22596.99</v>
      </c>
      <c r="M220" s="72">
        <f t="shared" si="38"/>
        <v>14620.53</v>
      </c>
      <c r="N220" s="72">
        <f t="shared" si="38"/>
        <v>17279.23</v>
      </c>
      <c r="O220" s="72">
        <f t="shared" si="38"/>
        <v>19433.88</v>
      </c>
      <c r="P220" s="72">
        <f t="shared" si="37"/>
        <v>230189.55</v>
      </c>
      <c r="Q220" s="68"/>
      <c r="R220" s="66"/>
    </row>
    <row r="221" spans="1:18">
      <c r="A221" s="71"/>
      <c r="B221" s="71"/>
      <c r="C221" s="76"/>
      <c r="D221" s="72"/>
      <c r="E221" s="72"/>
      <c r="F221" s="72"/>
      <c r="G221" s="72"/>
      <c r="H221" s="72"/>
      <c r="I221" s="72"/>
      <c r="J221" s="72"/>
      <c r="K221" s="72"/>
      <c r="L221" s="72"/>
      <c r="M221" s="72"/>
      <c r="N221" s="72"/>
      <c r="O221" s="72"/>
      <c r="P221" s="72"/>
      <c r="Q221" s="68"/>
      <c r="R221" s="66"/>
    </row>
    <row r="222" spans="1:18">
      <c r="A222" s="71"/>
      <c r="B222" s="71" t="s">
        <v>413</v>
      </c>
      <c r="C222" s="76"/>
      <c r="D222" s="72"/>
      <c r="E222" s="72"/>
      <c r="F222" s="72"/>
      <c r="G222" s="72"/>
      <c r="H222" s="72"/>
      <c r="I222" s="72"/>
      <c r="J222" s="72"/>
      <c r="K222" s="72"/>
      <c r="L222" s="72"/>
      <c r="M222" s="72"/>
      <c r="N222" s="72"/>
      <c r="O222" s="72"/>
      <c r="P222" s="72"/>
      <c r="Q222" s="68"/>
      <c r="R222" s="66"/>
    </row>
    <row r="223" spans="1:18">
      <c r="A223" s="71"/>
      <c r="B223" s="71" t="s">
        <v>414</v>
      </c>
      <c r="C223" s="71"/>
      <c r="D223" s="72">
        <v>3552.3</v>
      </c>
      <c r="E223" s="72">
        <v>3913.97</v>
      </c>
      <c r="F223" s="72">
        <v>3552.3</v>
      </c>
      <c r="G223" s="72">
        <v>3552.3</v>
      </c>
      <c r="H223" s="72">
        <v>3555.67</v>
      </c>
      <c r="I223" s="72">
        <v>3468.17</v>
      </c>
      <c r="J223" s="72">
        <v>3877.17</v>
      </c>
      <c r="K223" s="72">
        <v>3643.17</v>
      </c>
      <c r="L223" s="72">
        <v>3561.84</v>
      </c>
      <c r="M223" s="72">
        <v>3852.86</v>
      </c>
      <c r="N223" s="72">
        <v>3603.15</v>
      </c>
      <c r="O223" s="72">
        <v>3786</v>
      </c>
      <c r="P223" s="72">
        <f t="shared" ref="P223:P228" si="39">ROUND(SUM(D223:O223),5)</f>
        <v>43918.9</v>
      </c>
      <c r="Q223" s="68"/>
      <c r="R223" s="66"/>
    </row>
    <row r="224" spans="1:18">
      <c r="A224" s="71"/>
      <c r="B224" s="71" t="s">
        <v>415</v>
      </c>
      <c r="C224" s="71"/>
      <c r="D224" s="72">
        <v>7985.29</v>
      </c>
      <c r="E224" s="72">
        <v>4960.83</v>
      </c>
      <c r="F224" s="72">
        <v>5206.71</v>
      </c>
      <c r="G224" s="72">
        <v>5925.78</v>
      </c>
      <c r="H224" s="72">
        <v>6956.17</v>
      </c>
      <c r="I224" s="72">
        <v>4400.45</v>
      </c>
      <c r="J224" s="72">
        <v>3458.87</v>
      </c>
      <c r="K224" s="72">
        <v>4638.04</v>
      </c>
      <c r="L224" s="72">
        <v>14368.93</v>
      </c>
      <c r="M224" s="72">
        <v>5777.05</v>
      </c>
      <c r="N224" s="72">
        <v>5655.88</v>
      </c>
      <c r="O224" s="72">
        <v>10766.22</v>
      </c>
      <c r="P224" s="72">
        <f t="shared" si="39"/>
        <v>80100.22</v>
      </c>
      <c r="Q224" s="68"/>
      <c r="R224" s="66"/>
    </row>
    <row r="225" spans="1:18">
      <c r="A225" s="71"/>
      <c r="B225" s="71" t="s">
        <v>416</v>
      </c>
      <c r="C225" s="71"/>
      <c r="D225" s="72">
        <v>0</v>
      </c>
      <c r="E225" s="72">
        <v>0</v>
      </c>
      <c r="F225" s="72">
        <v>0</v>
      </c>
      <c r="G225" s="72">
        <v>0</v>
      </c>
      <c r="H225" s="72">
        <v>120</v>
      </c>
      <c r="I225" s="72">
        <v>47</v>
      </c>
      <c r="J225" s="72">
        <v>0</v>
      </c>
      <c r="K225" s="72">
        <v>73</v>
      </c>
      <c r="L225" s="72">
        <v>1105</v>
      </c>
      <c r="M225" s="72">
        <v>456</v>
      </c>
      <c r="N225" s="72">
        <v>0</v>
      </c>
      <c r="O225" s="72">
        <v>1441</v>
      </c>
      <c r="P225" s="72">
        <f t="shared" si="39"/>
        <v>3242</v>
      </c>
      <c r="Q225" s="68"/>
      <c r="R225" s="66"/>
    </row>
    <row r="226" spans="1:18">
      <c r="A226" s="71"/>
      <c r="B226" s="71" t="s">
        <v>417</v>
      </c>
      <c r="C226" s="71"/>
      <c r="D226" s="72">
        <v>0</v>
      </c>
      <c r="E226" s="72">
        <v>0</v>
      </c>
      <c r="F226" s="72">
        <v>0</v>
      </c>
      <c r="G226" s="72">
        <v>0</v>
      </c>
      <c r="H226" s="72">
        <v>0</v>
      </c>
      <c r="I226" s="72">
        <v>0</v>
      </c>
      <c r="J226" s="72">
        <v>0</v>
      </c>
      <c r="K226" s="72">
        <v>0</v>
      </c>
      <c r="L226" s="72">
        <v>0</v>
      </c>
      <c r="M226" s="72">
        <v>0</v>
      </c>
      <c r="N226" s="72">
        <v>0</v>
      </c>
      <c r="O226" s="72">
        <v>0</v>
      </c>
      <c r="P226" s="72">
        <f t="shared" si="39"/>
        <v>0</v>
      </c>
      <c r="Q226" s="68"/>
      <c r="R226" s="66"/>
    </row>
    <row r="227" spans="1:18" ht="15.75" thickBot="1">
      <c r="A227" s="71"/>
      <c r="B227" s="71" t="s">
        <v>418</v>
      </c>
      <c r="C227" s="71"/>
      <c r="D227" s="73">
        <v>2202.34</v>
      </c>
      <c r="E227" s="73">
        <v>0</v>
      </c>
      <c r="F227" s="73">
        <v>0</v>
      </c>
      <c r="G227" s="73">
        <v>2339.19</v>
      </c>
      <c r="H227" s="73">
        <v>0</v>
      </c>
      <c r="I227" s="73">
        <v>0</v>
      </c>
      <c r="J227" s="73">
        <v>2572.87</v>
      </c>
      <c r="K227" s="73">
        <v>0</v>
      </c>
      <c r="L227" s="73">
        <v>0</v>
      </c>
      <c r="M227" s="73">
        <v>2365.6799999999998</v>
      </c>
      <c r="N227" s="73">
        <v>0</v>
      </c>
      <c r="O227" s="73">
        <v>0</v>
      </c>
      <c r="P227" s="73">
        <f t="shared" si="39"/>
        <v>9480.08</v>
      </c>
      <c r="Q227" s="68"/>
      <c r="R227" s="66"/>
    </row>
    <row r="228" spans="1:18">
      <c r="A228" s="71"/>
      <c r="B228" s="71" t="s">
        <v>419</v>
      </c>
      <c r="C228" s="71"/>
      <c r="D228" s="72">
        <f t="shared" ref="D228:O228" si="40">ROUND(SUM(D222:D227),5)</f>
        <v>13739.93</v>
      </c>
      <c r="E228" s="72">
        <f t="shared" si="40"/>
        <v>8874.7999999999993</v>
      </c>
      <c r="F228" s="72">
        <f t="shared" si="40"/>
        <v>8759.01</v>
      </c>
      <c r="G228" s="72">
        <f t="shared" si="40"/>
        <v>11817.27</v>
      </c>
      <c r="H228" s="72">
        <f t="shared" si="40"/>
        <v>10631.84</v>
      </c>
      <c r="I228" s="72">
        <f t="shared" si="40"/>
        <v>7915.62</v>
      </c>
      <c r="J228" s="72">
        <f t="shared" si="40"/>
        <v>9908.91</v>
      </c>
      <c r="K228" s="72">
        <f t="shared" si="40"/>
        <v>8354.2099999999991</v>
      </c>
      <c r="L228" s="72">
        <f t="shared" si="40"/>
        <v>19035.77</v>
      </c>
      <c r="M228" s="72">
        <f t="shared" si="40"/>
        <v>12451.59</v>
      </c>
      <c r="N228" s="72">
        <f t="shared" si="40"/>
        <v>9259.0300000000007</v>
      </c>
      <c r="O228" s="72">
        <f t="shared" si="40"/>
        <v>15993.22</v>
      </c>
      <c r="P228" s="72">
        <f t="shared" si="39"/>
        <v>136741.20000000001</v>
      </c>
      <c r="Q228" s="68"/>
      <c r="R228" s="66"/>
    </row>
    <row r="229" spans="1:18">
      <c r="A229" s="71"/>
      <c r="B229" s="71"/>
      <c r="C229" s="71"/>
      <c r="D229" s="72"/>
      <c r="E229" s="72"/>
      <c r="F229" s="72"/>
      <c r="G229" s="72"/>
      <c r="H229" s="72"/>
      <c r="I229" s="72"/>
      <c r="J229" s="72"/>
      <c r="K229" s="72"/>
      <c r="L229" s="72"/>
      <c r="M229" s="72"/>
      <c r="N229" s="72"/>
      <c r="O229" s="72"/>
      <c r="P229" s="72"/>
      <c r="Q229" s="68"/>
      <c r="R229" s="66"/>
    </row>
    <row r="230" spans="1:18">
      <c r="A230" s="71"/>
      <c r="B230" s="71" t="s">
        <v>420</v>
      </c>
      <c r="C230" s="71"/>
      <c r="D230" s="72"/>
      <c r="E230" s="72"/>
      <c r="F230" s="72"/>
      <c r="G230" s="72"/>
      <c r="H230" s="72"/>
      <c r="I230" s="72"/>
      <c r="J230" s="72"/>
      <c r="K230" s="72"/>
      <c r="L230" s="72"/>
      <c r="M230" s="72"/>
      <c r="N230" s="72"/>
      <c r="O230" s="72"/>
      <c r="P230" s="72"/>
      <c r="Q230" s="68"/>
      <c r="R230" s="66"/>
    </row>
    <row r="231" spans="1:18">
      <c r="A231" s="71"/>
      <c r="B231" s="71" t="s">
        <v>421</v>
      </c>
      <c r="C231" s="71"/>
      <c r="D231" s="72">
        <v>173.32</v>
      </c>
      <c r="E231" s="72">
        <v>167.72</v>
      </c>
      <c r="F231" s="72">
        <v>167.72</v>
      </c>
      <c r="G231" s="72">
        <v>167.72</v>
      </c>
      <c r="H231" s="72">
        <v>173.32</v>
      </c>
      <c r="I231" s="72">
        <v>167.72</v>
      </c>
      <c r="J231" s="72">
        <v>173.32</v>
      </c>
      <c r="K231" s="72">
        <v>173.32</v>
      </c>
      <c r="L231" s="72">
        <v>173.32</v>
      </c>
      <c r="M231" s="72">
        <v>173.32</v>
      </c>
      <c r="N231" s="72">
        <v>167.72</v>
      </c>
      <c r="O231" s="72">
        <v>167.72</v>
      </c>
      <c r="P231" s="72">
        <f t="shared" ref="P231:P237" si="41">ROUND(SUM(D231:O231),5)</f>
        <v>2046.24</v>
      </c>
      <c r="Q231" s="68"/>
      <c r="R231" s="66"/>
    </row>
    <row r="232" spans="1:18">
      <c r="A232" s="71"/>
      <c r="B232" s="71" t="s">
        <v>422</v>
      </c>
      <c r="C232" s="71"/>
      <c r="D232" s="72">
        <v>1779.81</v>
      </c>
      <c r="E232" s="72">
        <v>1778.18</v>
      </c>
      <c r="F232" s="72">
        <v>1778.18</v>
      </c>
      <c r="G232" s="72">
        <v>1978.56</v>
      </c>
      <c r="H232" s="72">
        <v>588.07000000000005</v>
      </c>
      <c r="I232" s="72">
        <v>3507.27</v>
      </c>
      <c r="J232" s="72">
        <v>2006.12</v>
      </c>
      <c r="K232" s="72">
        <v>592.24</v>
      </c>
      <c r="L232" s="72">
        <v>2866.71</v>
      </c>
      <c r="M232" s="72">
        <v>2105.42</v>
      </c>
      <c r="N232" s="72">
        <v>1469.38</v>
      </c>
      <c r="O232" s="72">
        <v>1514.5</v>
      </c>
      <c r="P232" s="72">
        <f t="shared" si="41"/>
        <v>21964.44</v>
      </c>
      <c r="Q232" s="68"/>
      <c r="R232" s="66"/>
    </row>
    <row r="233" spans="1:18">
      <c r="A233" s="71"/>
      <c r="B233" s="71" t="s">
        <v>423</v>
      </c>
      <c r="C233" s="71"/>
      <c r="D233" s="72">
        <v>657</v>
      </c>
      <c r="E233" s="72">
        <v>523.09</v>
      </c>
      <c r="F233" s="72">
        <v>190.18</v>
      </c>
      <c r="G233" s="72">
        <v>603.30999999999995</v>
      </c>
      <c r="H233" s="72">
        <v>345.49</v>
      </c>
      <c r="I233" s="72">
        <v>372.7</v>
      </c>
      <c r="J233" s="72">
        <v>490.18</v>
      </c>
      <c r="K233" s="72">
        <v>650.76</v>
      </c>
      <c r="L233" s="72">
        <v>1379.99</v>
      </c>
      <c r="M233" s="72">
        <v>1189.27</v>
      </c>
      <c r="N233" s="72">
        <v>858.75</v>
      </c>
      <c r="O233" s="72">
        <v>1193.33</v>
      </c>
      <c r="P233" s="72">
        <f t="shared" si="41"/>
        <v>8454.0499999999993</v>
      </c>
      <c r="Q233" s="68"/>
      <c r="R233" s="66"/>
    </row>
    <row r="234" spans="1:18" ht="15.75" thickBot="1">
      <c r="A234" s="71"/>
      <c r="B234" s="71" t="s">
        <v>424</v>
      </c>
      <c r="C234" s="71"/>
      <c r="D234" s="73">
        <v>242.14</v>
      </c>
      <c r="E234" s="73">
        <v>242.14</v>
      </c>
      <c r="F234" s="73">
        <v>242.14</v>
      </c>
      <c r="G234" s="73">
        <v>242.14</v>
      </c>
      <c r="H234" s="73">
        <v>242.14</v>
      </c>
      <c r="I234" s="73">
        <v>242.14</v>
      </c>
      <c r="J234" s="73">
        <v>242.14</v>
      </c>
      <c r="K234" s="73">
        <v>242.14</v>
      </c>
      <c r="L234" s="73">
        <v>242.14</v>
      </c>
      <c r="M234" s="73">
        <v>242.14</v>
      </c>
      <c r="N234" s="73">
        <v>242.14</v>
      </c>
      <c r="O234" s="73">
        <v>140.16</v>
      </c>
      <c r="P234" s="73">
        <f t="shared" si="41"/>
        <v>2803.7</v>
      </c>
      <c r="Q234" s="68"/>
      <c r="R234" s="66"/>
    </row>
    <row r="235" spans="1:18">
      <c r="A235" s="71"/>
      <c r="B235" s="71" t="s">
        <v>425</v>
      </c>
      <c r="C235" s="71"/>
      <c r="D235" s="72">
        <f t="shared" ref="D235:O235" si="42">ROUND(SUM(D230:D234),5)</f>
        <v>2852.27</v>
      </c>
      <c r="E235" s="72">
        <f t="shared" si="42"/>
        <v>2711.13</v>
      </c>
      <c r="F235" s="72">
        <f t="shared" si="42"/>
        <v>2378.2199999999998</v>
      </c>
      <c r="G235" s="72">
        <f t="shared" si="42"/>
        <v>2991.73</v>
      </c>
      <c r="H235" s="72">
        <f t="shared" si="42"/>
        <v>1349.02</v>
      </c>
      <c r="I235" s="72">
        <f t="shared" si="42"/>
        <v>4289.83</v>
      </c>
      <c r="J235" s="72">
        <f t="shared" si="42"/>
        <v>2911.76</v>
      </c>
      <c r="K235" s="72">
        <f t="shared" si="42"/>
        <v>1658.46</v>
      </c>
      <c r="L235" s="72">
        <f t="shared" si="42"/>
        <v>4662.16</v>
      </c>
      <c r="M235" s="72">
        <f t="shared" si="42"/>
        <v>3710.15</v>
      </c>
      <c r="N235" s="72">
        <f t="shared" si="42"/>
        <v>2737.99</v>
      </c>
      <c r="O235" s="72">
        <f t="shared" si="42"/>
        <v>3015.71</v>
      </c>
      <c r="P235" s="72">
        <f t="shared" si="41"/>
        <v>35268.43</v>
      </c>
      <c r="Q235" s="68"/>
      <c r="R235" s="66"/>
    </row>
    <row r="236" spans="1:18">
      <c r="A236" s="71"/>
      <c r="B236" s="71"/>
      <c r="C236" s="71"/>
      <c r="D236" s="72"/>
      <c r="E236" s="72"/>
      <c r="F236" s="72"/>
      <c r="G236" s="72"/>
      <c r="H236" s="72"/>
      <c r="I236" s="72"/>
      <c r="J236" s="72"/>
      <c r="K236" s="72"/>
      <c r="L236" s="72"/>
      <c r="M236" s="72"/>
      <c r="N236" s="72"/>
      <c r="O236" s="72"/>
      <c r="P236" s="72"/>
      <c r="Q236" s="68"/>
      <c r="R236" s="66"/>
    </row>
    <row r="237" spans="1:18">
      <c r="A237" s="71"/>
      <c r="B237" s="71" t="s">
        <v>426</v>
      </c>
      <c r="C237" s="71"/>
      <c r="D237" s="72">
        <v>7754.25</v>
      </c>
      <c r="E237" s="72">
        <v>7754.25</v>
      </c>
      <c r="F237" s="72">
        <v>7754.25</v>
      </c>
      <c r="G237" s="72">
        <v>10474.25</v>
      </c>
      <c r="H237" s="72">
        <v>7859.25</v>
      </c>
      <c r="I237" s="72">
        <v>7754.25</v>
      </c>
      <c r="J237" s="72">
        <v>2412.33</v>
      </c>
      <c r="K237" s="72">
        <v>7754.25</v>
      </c>
      <c r="L237" s="72">
        <v>21897.25</v>
      </c>
      <c r="M237" s="72">
        <v>8393.58</v>
      </c>
      <c r="N237" s="72">
        <v>8393.58</v>
      </c>
      <c r="O237" s="72">
        <v>8393.58</v>
      </c>
      <c r="P237" s="72">
        <f t="shared" si="41"/>
        <v>106595.07</v>
      </c>
      <c r="Q237" s="68"/>
      <c r="R237" s="66"/>
    </row>
    <row r="238" spans="1:18">
      <c r="A238" s="71"/>
      <c r="B238" s="71"/>
      <c r="C238" s="71"/>
      <c r="D238" s="72"/>
      <c r="E238" s="72"/>
      <c r="F238" s="72"/>
      <c r="G238" s="72"/>
      <c r="H238" s="72"/>
      <c r="I238" s="72"/>
      <c r="J238" s="72"/>
      <c r="K238" s="72"/>
      <c r="L238" s="72"/>
      <c r="M238" s="72"/>
      <c r="N238" s="72"/>
      <c r="O238" s="72"/>
      <c r="P238" s="72"/>
      <c r="Q238" s="68"/>
      <c r="R238" s="66"/>
    </row>
    <row r="239" spans="1:18">
      <c r="A239" s="71"/>
      <c r="B239" s="71" t="s">
        <v>427</v>
      </c>
      <c r="C239" s="71"/>
      <c r="D239" s="72"/>
      <c r="E239" s="72"/>
      <c r="F239" s="72"/>
      <c r="G239" s="72"/>
      <c r="H239" s="72"/>
      <c r="I239" s="72"/>
      <c r="J239" s="72"/>
      <c r="K239" s="72"/>
      <c r="L239" s="72"/>
      <c r="M239" s="72"/>
      <c r="N239" s="72"/>
      <c r="O239" s="72"/>
      <c r="P239" s="72"/>
      <c r="Q239" s="68"/>
      <c r="R239" s="66"/>
    </row>
    <row r="240" spans="1:18">
      <c r="A240" s="71"/>
      <c r="B240" s="71" t="s">
        <v>428</v>
      </c>
      <c r="C240" s="71"/>
      <c r="D240" s="72"/>
      <c r="E240" s="72"/>
      <c r="F240" s="72"/>
      <c r="G240" s="72"/>
      <c r="H240" s="72"/>
      <c r="I240" s="72"/>
      <c r="J240" s="72"/>
      <c r="K240" s="72"/>
      <c r="L240" s="72"/>
      <c r="M240" s="72"/>
      <c r="N240" s="72"/>
      <c r="O240" s="72"/>
      <c r="P240" s="72"/>
      <c r="Q240" s="68"/>
      <c r="R240" s="66"/>
    </row>
    <row r="241" spans="1:19">
      <c r="A241" s="71"/>
      <c r="B241" s="71" t="s">
        <v>429</v>
      </c>
      <c r="C241" s="71"/>
      <c r="D241" s="72">
        <v>6847.03</v>
      </c>
      <c r="E241" s="72">
        <v>6847.03</v>
      </c>
      <c r="F241" s="72">
        <v>6847.03</v>
      </c>
      <c r="G241" s="72">
        <v>6847.03</v>
      </c>
      <c r="H241" s="72">
        <v>6847.03</v>
      </c>
      <c r="I241" s="72">
        <v>6847.03</v>
      </c>
      <c r="J241" s="72">
        <v>6847.03</v>
      </c>
      <c r="K241" s="72">
        <v>6847.03</v>
      </c>
      <c r="L241" s="72">
        <v>30158.66</v>
      </c>
      <c r="M241" s="72">
        <v>6847.03</v>
      </c>
      <c r="N241" s="72">
        <v>6847.03</v>
      </c>
      <c r="O241" s="72">
        <v>6847.03</v>
      </c>
      <c r="P241" s="72">
        <f t="shared" ref="P241:P247" si="43">ROUND(SUM(D241:O241),5)</f>
        <v>105475.99</v>
      </c>
      <c r="Q241" s="68"/>
      <c r="R241" s="66"/>
    </row>
    <row r="242" spans="1:19">
      <c r="A242" s="71"/>
      <c r="B242" s="71" t="s">
        <v>430</v>
      </c>
      <c r="C242" s="71"/>
      <c r="D242" s="72">
        <v>3083.57</v>
      </c>
      <c r="E242" s="72">
        <v>3083.57</v>
      </c>
      <c r="F242" s="72">
        <v>3083.57</v>
      </c>
      <c r="G242" s="72">
        <v>3083.57</v>
      </c>
      <c r="H242" s="72">
        <v>3083.57</v>
      </c>
      <c r="I242" s="72">
        <v>3083.57</v>
      </c>
      <c r="J242" s="72">
        <v>3083.57</v>
      </c>
      <c r="K242" s="72">
        <v>3083.57</v>
      </c>
      <c r="L242" s="72">
        <v>-7719.27</v>
      </c>
      <c r="M242" s="72">
        <v>3083.57</v>
      </c>
      <c r="N242" s="72">
        <v>3083.57</v>
      </c>
      <c r="O242" s="72">
        <v>3083.57</v>
      </c>
      <c r="P242" s="72">
        <f t="shared" si="43"/>
        <v>26200</v>
      </c>
      <c r="Q242" s="68"/>
      <c r="R242" s="66"/>
    </row>
    <row r="243" spans="1:19">
      <c r="A243" s="71"/>
      <c r="B243" s="71" t="s">
        <v>431</v>
      </c>
      <c r="C243" s="71"/>
      <c r="D243" s="72">
        <v>2534.09</v>
      </c>
      <c r="E243" s="72">
        <v>2534.09</v>
      </c>
      <c r="F243" s="72">
        <v>2534.09</v>
      </c>
      <c r="G243" s="72">
        <v>2534.09</v>
      </c>
      <c r="H243" s="72">
        <v>2534.09</v>
      </c>
      <c r="I243" s="72">
        <v>2534.09</v>
      </c>
      <c r="J243" s="72">
        <v>2534.09</v>
      </c>
      <c r="K243" s="72">
        <v>2534.09</v>
      </c>
      <c r="L243" s="72">
        <v>-413.57</v>
      </c>
      <c r="M243" s="72">
        <v>2534.09</v>
      </c>
      <c r="N243" s="72">
        <v>2534.09</v>
      </c>
      <c r="O243" s="72">
        <v>2534.09</v>
      </c>
      <c r="P243" s="72">
        <f t="shared" si="43"/>
        <v>27461.42</v>
      </c>
      <c r="Q243" s="68"/>
      <c r="R243" s="66"/>
    </row>
    <row r="244" spans="1:19">
      <c r="A244" s="71"/>
      <c r="B244" s="71" t="s">
        <v>432</v>
      </c>
      <c r="C244" s="71"/>
      <c r="D244" s="72">
        <v>232.7</v>
      </c>
      <c r="E244" s="72">
        <v>232.7</v>
      </c>
      <c r="F244" s="72">
        <v>232.7</v>
      </c>
      <c r="G244" s="72">
        <v>232.7</v>
      </c>
      <c r="H244" s="72">
        <v>232.7</v>
      </c>
      <c r="I244" s="72">
        <v>232.7</v>
      </c>
      <c r="J244" s="72">
        <v>232.7</v>
      </c>
      <c r="K244" s="72">
        <v>232.7</v>
      </c>
      <c r="L244" s="72">
        <v>-2559.6999999999998</v>
      </c>
      <c r="M244" s="72">
        <v>232.7</v>
      </c>
      <c r="N244" s="72">
        <v>232.7</v>
      </c>
      <c r="O244" s="72">
        <v>232.7</v>
      </c>
      <c r="P244" s="72">
        <f t="shared" si="43"/>
        <v>0</v>
      </c>
      <c r="Q244" s="68"/>
      <c r="R244" s="66"/>
    </row>
    <row r="245" spans="1:19">
      <c r="A245" s="71"/>
      <c r="B245" s="71" t="s">
        <v>433</v>
      </c>
      <c r="C245" s="71"/>
      <c r="D245" s="72">
        <v>1731.18</v>
      </c>
      <c r="E245" s="72">
        <v>1731.18</v>
      </c>
      <c r="F245" s="72">
        <v>1731.18</v>
      </c>
      <c r="G245" s="72">
        <v>1731.18</v>
      </c>
      <c r="H245" s="72">
        <v>1731.18</v>
      </c>
      <c r="I245" s="72">
        <v>1731.18</v>
      </c>
      <c r="J245" s="72">
        <v>1731.18</v>
      </c>
      <c r="K245" s="72">
        <v>1731.18</v>
      </c>
      <c r="L245" s="72">
        <v>-2948.97</v>
      </c>
      <c r="M245" s="72">
        <v>1731.18</v>
      </c>
      <c r="N245" s="72">
        <v>1731.18</v>
      </c>
      <c r="O245" s="72">
        <v>1731.18</v>
      </c>
      <c r="P245" s="72">
        <f t="shared" si="43"/>
        <v>16094.01</v>
      </c>
      <c r="Q245" s="68"/>
      <c r="R245" s="66"/>
    </row>
    <row r="246" spans="1:19" ht="15.75" thickBot="1">
      <c r="A246" s="71"/>
      <c r="B246" s="71" t="s">
        <v>434</v>
      </c>
      <c r="C246" s="71"/>
      <c r="D246" s="73">
        <v>3941.33</v>
      </c>
      <c r="E246" s="73">
        <v>3941.33</v>
      </c>
      <c r="F246" s="73">
        <v>3941.33</v>
      </c>
      <c r="G246" s="73">
        <v>3941.33</v>
      </c>
      <c r="H246" s="73">
        <v>3941.33</v>
      </c>
      <c r="I246" s="73">
        <v>3941.33</v>
      </c>
      <c r="J246" s="73">
        <v>3941.33</v>
      </c>
      <c r="K246" s="73">
        <v>3941.33</v>
      </c>
      <c r="L246" s="73">
        <v>-11823.75</v>
      </c>
      <c r="M246" s="73">
        <v>3941.33</v>
      </c>
      <c r="N246" s="73">
        <v>3941.33</v>
      </c>
      <c r="O246" s="73">
        <v>3941.33</v>
      </c>
      <c r="P246" s="73">
        <f t="shared" si="43"/>
        <v>31530.880000000001</v>
      </c>
      <c r="Q246" s="68"/>
      <c r="R246" s="66"/>
    </row>
    <row r="247" spans="1:19">
      <c r="A247" s="71"/>
      <c r="B247" s="71" t="s">
        <v>435</v>
      </c>
      <c r="C247" s="71"/>
      <c r="D247" s="72">
        <f t="shared" ref="D247:O247" si="44">ROUND(SUM(D240:D246),5)</f>
        <v>18369.900000000001</v>
      </c>
      <c r="E247" s="72">
        <f t="shared" si="44"/>
        <v>18369.900000000001</v>
      </c>
      <c r="F247" s="72">
        <f t="shared" si="44"/>
        <v>18369.900000000001</v>
      </c>
      <c r="G247" s="72">
        <f t="shared" si="44"/>
        <v>18369.900000000001</v>
      </c>
      <c r="H247" s="72">
        <f t="shared" si="44"/>
        <v>18369.900000000001</v>
      </c>
      <c r="I247" s="72">
        <f t="shared" si="44"/>
        <v>18369.900000000001</v>
      </c>
      <c r="J247" s="72">
        <f t="shared" si="44"/>
        <v>18369.900000000001</v>
      </c>
      <c r="K247" s="72">
        <f t="shared" si="44"/>
        <v>18369.900000000001</v>
      </c>
      <c r="L247" s="72">
        <f t="shared" si="44"/>
        <v>4693.3999999999996</v>
      </c>
      <c r="M247" s="72">
        <f t="shared" si="44"/>
        <v>18369.900000000001</v>
      </c>
      <c r="N247" s="72">
        <f t="shared" si="44"/>
        <v>18369.900000000001</v>
      </c>
      <c r="O247" s="72">
        <f t="shared" si="44"/>
        <v>18369.900000000001</v>
      </c>
      <c r="P247" s="72">
        <f t="shared" si="43"/>
        <v>206762.3</v>
      </c>
      <c r="Q247" s="68"/>
      <c r="R247" s="66"/>
    </row>
    <row r="248" spans="1:19">
      <c r="A248" s="71"/>
      <c r="B248" s="71" t="s">
        <v>436</v>
      </c>
      <c r="C248" s="71"/>
      <c r="D248" s="72"/>
      <c r="E248" s="72"/>
      <c r="F248" s="72"/>
      <c r="G248" s="72"/>
      <c r="H248" s="72"/>
      <c r="I248" s="72"/>
      <c r="J248" s="72"/>
      <c r="K248" s="72"/>
      <c r="L248" s="72"/>
      <c r="M248" s="72"/>
      <c r="N248" s="72"/>
      <c r="O248" s="72"/>
      <c r="P248" s="72"/>
      <c r="Q248" s="68"/>
      <c r="R248" s="66"/>
    </row>
    <row r="249" spans="1:19">
      <c r="A249" s="71"/>
      <c r="B249" s="71" t="s">
        <v>437</v>
      </c>
      <c r="C249" s="71"/>
      <c r="D249" s="72">
        <v>2600.52</v>
      </c>
      <c r="E249" s="72">
        <v>2600.52</v>
      </c>
      <c r="F249" s="72">
        <v>2600.52</v>
      </c>
      <c r="G249" s="72">
        <v>2600.52</v>
      </c>
      <c r="H249" s="72">
        <v>2600.52</v>
      </c>
      <c r="I249" s="72">
        <v>2600.52</v>
      </c>
      <c r="J249" s="72">
        <v>2600.52</v>
      </c>
      <c r="K249" s="72">
        <v>2600.52</v>
      </c>
      <c r="L249" s="72">
        <v>2352.42</v>
      </c>
      <c r="M249" s="72">
        <v>2600.52</v>
      </c>
      <c r="N249" s="72">
        <v>2600.52</v>
      </c>
      <c r="O249" s="72">
        <v>2600.52</v>
      </c>
      <c r="P249" s="72">
        <f t="shared" ref="P249:P256" si="45">ROUND(SUM(D249:O249),5)</f>
        <v>30958.14</v>
      </c>
      <c r="Q249" s="68"/>
      <c r="R249" s="66"/>
    </row>
    <row r="250" spans="1:19">
      <c r="A250" s="71"/>
      <c r="B250" s="71" t="s">
        <v>438</v>
      </c>
      <c r="C250" s="71"/>
      <c r="D250" s="72">
        <v>6788.85</v>
      </c>
      <c r="E250" s="72">
        <v>6788.85</v>
      </c>
      <c r="F250" s="72">
        <v>6788.85</v>
      </c>
      <c r="G250" s="72">
        <v>6788.85</v>
      </c>
      <c r="H250" s="72">
        <v>6788.85</v>
      </c>
      <c r="I250" s="72">
        <v>6788.85</v>
      </c>
      <c r="J250" s="72">
        <v>6788.85</v>
      </c>
      <c r="K250" s="72">
        <v>6788.85</v>
      </c>
      <c r="L250" s="72">
        <v>61490.25</v>
      </c>
      <c r="M250" s="72">
        <v>6788.85</v>
      </c>
      <c r="N250" s="72">
        <v>6788.85</v>
      </c>
      <c r="O250" s="72">
        <v>6788.85</v>
      </c>
      <c r="P250" s="72">
        <f t="shared" si="45"/>
        <v>136167.6</v>
      </c>
      <c r="Q250" s="68"/>
      <c r="R250" s="66"/>
    </row>
    <row r="251" spans="1:19" ht="15.75" thickBot="1">
      <c r="A251" s="71"/>
      <c r="B251" s="71" t="s">
        <v>439</v>
      </c>
      <c r="C251" s="71"/>
      <c r="D251" s="73">
        <v>1604.61</v>
      </c>
      <c r="E251" s="73">
        <v>1604.61</v>
      </c>
      <c r="F251" s="73">
        <v>1604.61</v>
      </c>
      <c r="G251" s="73">
        <v>1604.61</v>
      </c>
      <c r="H251" s="73">
        <v>1604.61</v>
      </c>
      <c r="I251" s="73">
        <v>1604.61</v>
      </c>
      <c r="J251" s="73">
        <v>1604.61</v>
      </c>
      <c r="K251" s="73">
        <v>1604.61</v>
      </c>
      <c r="L251" s="73">
        <v>-7582.22</v>
      </c>
      <c r="M251" s="73">
        <v>1604.61</v>
      </c>
      <c r="N251" s="73">
        <v>1604.61</v>
      </c>
      <c r="O251" s="73">
        <v>1604.61</v>
      </c>
      <c r="P251" s="73">
        <f t="shared" si="45"/>
        <v>10068.49</v>
      </c>
      <c r="Q251" s="68"/>
      <c r="R251" s="66"/>
    </row>
    <row r="252" spans="1:19">
      <c r="A252" s="71"/>
      <c r="B252" s="71" t="s">
        <v>440</v>
      </c>
      <c r="C252" s="71"/>
      <c r="D252" s="72">
        <f t="shared" ref="D252:O252" si="46">ROUND(SUM(D248:D251),5)</f>
        <v>10993.98</v>
      </c>
      <c r="E252" s="72">
        <f t="shared" si="46"/>
        <v>10993.98</v>
      </c>
      <c r="F252" s="72">
        <f t="shared" si="46"/>
        <v>10993.98</v>
      </c>
      <c r="G252" s="72">
        <f t="shared" si="46"/>
        <v>10993.98</v>
      </c>
      <c r="H252" s="72">
        <f t="shared" si="46"/>
        <v>10993.98</v>
      </c>
      <c r="I252" s="72">
        <f t="shared" si="46"/>
        <v>10993.98</v>
      </c>
      <c r="J252" s="72">
        <f t="shared" si="46"/>
        <v>10993.98</v>
      </c>
      <c r="K252" s="72">
        <f t="shared" si="46"/>
        <v>10993.98</v>
      </c>
      <c r="L252" s="72">
        <f t="shared" si="46"/>
        <v>56260.45</v>
      </c>
      <c r="M252" s="72">
        <f t="shared" si="46"/>
        <v>10993.98</v>
      </c>
      <c r="N252" s="72">
        <f t="shared" si="46"/>
        <v>10993.98</v>
      </c>
      <c r="O252" s="72">
        <f t="shared" si="46"/>
        <v>10993.98</v>
      </c>
      <c r="P252" s="72">
        <f t="shared" si="45"/>
        <v>177194.23</v>
      </c>
      <c r="Q252" s="68"/>
      <c r="R252" s="66"/>
    </row>
    <row r="253" spans="1:19">
      <c r="A253" s="71"/>
      <c r="B253" s="71" t="s">
        <v>441</v>
      </c>
      <c r="C253" s="71"/>
      <c r="D253" s="72">
        <v>0</v>
      </c>
      <c r="E253" s="72">
        <v>0</v>
      </c>
      <c r="F253" s="72">
        <v>0</v>
      </c>
      <c r="G253" s="72">
        <v>0</v>
      </c>
      <c r="H253" s="72">
        <v>0</v>
      </c>
      <c r="I253" s="72">
        <v>0</v>
      </c>
      <c r="J253" s="72">
        <v>0</v>
      </c>
      <c r="K253" s="72">
        <v>0</v>
      </c>
      <c r="L253" s="72">
        <v>3998.9</v>
      </c>
      <c r="M253" s="72">
        <v>0</v>
      </c>
      <c r="N253" s="72">
        <v>0</v>
      </c>
      <c r="O253" s="72">
        <v>0</v>
      </c>
      <c r="P253" s="72">
        <f t="shared" si="45"/>
        <v>3998.9</v>
      </c>
      <c r="Q253" s="68"/>
      <c r="R253" s="66"/>
    </row>
    <row r="254" spans="1:19">
      <c r="A254" s="71"/>
      <c r="B254" s="71" t="s">
        <v>442</v>
      </c>
      <c r="C254" s="71"/>
      <c r="D254" s="72">
        <v>0</v>
      </c>
      <c r="E254" s="72">
        <v>0</v>
      </c>
      <c r="F254" s="72">
        <v>0</v>
      </c>
      <c r="G254" s="72">
        <v>0</v>
      </c>
      <c r="H254" s="72">
        <v>0</v>
      </c>
      <c r="I254" s="72">
        <v>0</v>
      </c>
      <c r="J254" s="72">
        <v>0</v>
      </c>
      <c r="K254" s="72">
        <v>0</v>
      </c>
      <c r="L254" s="72">
        <v>748.84</v>
      </c>
      <c r="M254" s="72">
        <v>0</v>
      </c>
      <c r="N254" s="72">
        <v>0</v>
      </c>
      <c r="O254" s="72">
        <v>0</v>
      </c>
      <c r="P254" s="72">
        <f t="shared" si="45"/>
        <v>748.84</v>
      </c>
      <c r="Q254" s="68"/>
      <c r="R254" s="66"/>
    </row>
    <row r="255" spans="1:19" ht="15.75" thickBot="1">
      <c r="A255" s="71"/>
      <c r="B255" s="71" t="s">
        <v>443</v>
      </c>
      <c r="C255" s="71"/>
      <c r="D255" s="73">
        <v>113.5</v>
      </c>
      <c r="E255" s="73">
        <v>113.5</v>
      </c>
      <c r="F255" s="73">
        <v>113.5</v>
      </c>
      <c r="G255" s="73">
        <v>113.5</v>
      </c>
      <c r="H255" s="73">
        <v>113.5</v>
      </c>
      <c r="I255" s="73">
        <v>113.5</v>
      </c>
      <c r="J255" s="73">
        <v>113.5</v>
      </c>
      <c r="K255" s="73">
        <v>113.5</v>
      </c>
      <c r="L255" s="73">
        <v>113.06</v>
      </c>
      <c r="M255" s="73">
        <v>113.5</v>
      </c>
      <c r="N255" s="73">
        <v>113.5</v>
      </c>
      <c r="O255" s="73">
        <v>113.5</v>
      </c>
      <c r="P255" s="73">
        <f t="shared" si="45"/>
        <v>1361.56</v>
      </c>
      <c r="Q255" s="68"/>
      <c r="R255" s="66"/>
    </row>
    <row r="256" spans="1:19">
      <c r="A256" s="71"/>
      <c r="B256" s="71" t="s">
        <v>444</v>
      </c>
      <c r="C256" s="71"/>
      <c r="D256" s="72">
        <f t="shared" ref="D256:O256" si="47">ROUND(D239+D247+SUM(D252:D255),5)</f>
        <v>29477.38</v>
      </c>
      <c r="E256" s="72">
        <f t="shared" si="47"/>
        <v>29477.38</v>
      </c>
      <c r="F256" s="72">
        <f t="shared" si="47"/>
        <v>29477.38</v>
      </c>
      <c r="G256" s="72">
        <f t="shared" si="47"/>
        <v>29477.38</v>
      </c>
      <c r="H256" s="72">
        <f t="shared" si="47"/>
        <v>29477.38</v>
      </c>
      <c r="I256" s="72">
        <f t="shared" si="47"/>
        <v>29477.38</v>
      </c>
      <c r="J256" s="72">
        <f t="shared" si="47"/>
        <v>29477.38</v>
      </c>
      <c r="K256" s="72">
        <f t="shared" si="47"/>
        <v>29477.38</v>
      </c>
      <c r="L256" s="72">
        <f t="shared" si="47"/>
        <v>65814.649999999994</v>
      </c>
      <c r="M256" s="72">
        <f t="shared" si="47"/>
        <v>29477.38</v>
      </c>
      <c r="N256" s="72">
        <f t="shared" si="47"/>
        <v>29477.38</v>
      </c>
      <c r="O256" s="72">
        <f t="shared" si="47"/>
        <v>29477.38</v>
      </c>
      <c r="P256" s="72">
        <f t="shared" si="45"/>
        <v>390065.83</v>
      </c>
      <c r="Q256" s="68"/>
      <c r="R256" s="66"/>
      <c r="S256" s="6"/>
    </row>
    <row r="257" spans="1:19">
      <c r="A257" s="71"/>
      <c r="B257" s="71"/>
      <c r="C257" s="71"/>
      <c r="D257" s="72"/>
      <c r="E257" s="72"/>
      <c r="F257" s="72"/>
      <c r="G257" s="72"/>
      <c r="H257" s="72"/>
      <c r="I257" s="72"/>
      <c r="J257" s="72"/>
      <c r="K257" s="72"/>
      <c r="L257" s="72"/>
      <c r="M257" s="72"/>
      <c r="N257" s="72"/>
      <c r="O257" s="72"/>
      <c r="P257" s="72"/>
      <c r="Q257" s="68"/>
      <c r="R257" s="66"/>
      <c r="S257" s="6"/>
    </row>
    <row r="258" spans="1:19">
      <c r="A258" s="71"/>
      <c r="B258" s="71" t="s">
        <v>445</v>
      </c>
      <c r="C258" s="71"/>
      <c r="D258" s="72"/>
      <c r="E258" s="72"/>
      <c r="F258" s="72"/>
      <c r="G258" s="72"/>
      <c r="H258" s="72"/>
      <c r="I258" s="72"/>
      <c r="J258" s="72"/>
      <c r="K258" s="72"/>
      <c r="L258" s="72"/>
      <c r="M258" s="72"/>
      <c r="N258" s="72"/>
      <c r="O258" s="72"/>
      <c r="P258" s="72"/>
      <c r="Q258" s="68"/>
      <c r="R258" s="66"/>
    </row>
    <row r="259" spans="1:19">
      <c r="A259" s="71"/>
      <c r="B259" s="71" t="s">
        <v>446</v>
      </c>
      <c r="C259" s="71"/>
      <c r="D259" s="72">
        <v>0</v>
      </c>
      <c r="E259" s="72">
        <v>0</v>
      </c>
      <c r="F259" s="72">
        <v>0</v>
      </c>
      <c r="G259" s="72">
        <v>0</v>
      </c>
      <c r="H259" s="72">
        <v>0</v>
      </c>
      <c r="I259" s="72">
        <v>0</v>
      </c>
      <c r="J259" s="72">
        <v>0</v>
      </c>
      <c r="K259" s="72">
        <v>1927.8</v>
      </c>
      <c r="L259" s="72">
        <v>11489.07</v>
      </c>
      <c r="M259" s="72">
        <v>1060.81</v>
      </c>
      <c r="N259" s="72">
        <v>0</v>
      </c>
      <c r="O259" s="72">
        <v>0</v>
      </c>
      <c r="P259" s="72">
        <f t="shared" ref="P259:P270" si="48">ROUND(SUM(D259:O259),5)</f>
        <v>14477.68</v>
      </c>
      <c r="Q259" s="68"/>
      <c r="R259" s="66"/>
    </row>
    <row r="260" spans="1:19">
      <c r="A260" s="71"/>
      <c r="B260" s="71" t="s">
        <v>447</v>
      </c>
      <c r="C260" s="71"/>
      <c r="D260" s="72">
        <v>0</v>
      </c>
      <c r="E260" s="72">
        <v>0</v>
      </c>
      <c r="F260" s="72">
        <v>0</v>
      </c>
      <c r="G260" s="72">
        <v>0</v>
      </c>
      <c r="H260" s="72">
        <v>0</v>
      </c>
      <c r="I260" s="72">
        <v>0</v>
      </c>
      <c r="J260" s="72">
        <v>0</v>
      </c>
      <c r="K260" s="72">
        <v>398.7</v>
      </c>
      <c r="L260" s="72">
        <v>2233.98</v>
      </c>
      <c r="M260" s="72">
        <v>219.39</v>
      </c>
      <c r="N260" s="72">
        <v>0</v>
      </c>
      <c r="O260" s="72">
        <v>0</v>
      </c>
      <c r="P260" s="72">
        <f t="shared" si="48"/>
        <v>2852.07</v>
      </c>
      <c r="Q260" s="68"/>
      <c r="R260" s="66"/>
    </row>
    <row r="261" spans="1:19">
      <c r="A261" s="71"/>
      <c r="B261" s="71" t="s">
        <v>448</v>
      </c>
      <c r="C261" s="71"/>
      <c r="D261" s="72">
        <v>0</v>
      </c>
      <c r="E261" s="72">
        <v>0</v>
      </c>
      <c r="F261" s="72">
        <v>0</v>
      </c>
      <c r="G261" s="72">
        <v>0</v>
      </c>
      <c r="H261" s="72">
        <v>0</v>
      </c>
      <c r="I261" s="72">
        <v>0</v>
      </c>
      <c r="J261" s="72">
        <v>0</v>
      </c>
      <c r="K261" s="72">
        <v>664.31</v>
      </c>
      <c r="L261" s="72">
        <v>3722.24</v>
      </c>
      <c r="M261" s="72">
        <v>365.55</v>
      </c>
      <c r="N261" s="72">
        <v>0</v>
      </c>
      <c r="O261" s="72">
        <v>0</v>
      </c>
      <c r="P261" s="72">
        <f t="shared" si="48"/>
        <v>4752.1000000000004</v>
      </c>
      <c r="Q261" s="68"/>
      <c r="R261" s="66"/>
    </row>
    <row r="262" spans="1:19">
      <c r="A262" s="71"/>
      <c r="B262" s="71" t="s">
        <v>449</v>
      </c>
      <c r="C262" s="71"/>
      <c r="D262" s="72">
        <v>0</v>
      </c>
      <c r="E262" s="72">
        <v>0</v>
      </c>
      <c r="F262" s="72">
        <v>0</v>
      </c>
      <c r="G262" s="72">
        <v>0</v>
      </c>
      <c r="H262" s="72">
        <v>0</v>
      </c>
      <c r="I262" s="72">
        <v>0</v>
      </c>
      <c r="J262" s="72">
        <v>0</v>
      </c>
      <c r="K262" s="72">
        <v>931.06</v>
      </c>
      <c r="L262" s="72">
        <v>5216.8999999999996</v>
      </c>
      <c r="M262" s="72">
        <v>512.33000000000004</v>
      </c>
      <c r="N262" s="72">
        <v>0</v>
      </c>
      <c r="O262" s="72">
        <v>0</v>
      </c>
      <c r="P262" s="72">
        <f t="shared" si="48"/>
        <v>6660.29</v>
      </c>
      <c r="Q262" s="68"/>
      <c r="R262" s="66"/>
    </row>
    <row r="263" spans="1:19">
      <c r="A263" s="71"/>
      <c r="B263" s="71" t="s">
        <v>450</v>
      </c>
      <c r="C263" s="71"/>
      <c r="D263" s="72">
        <v>0</v>
      </c>
      <c r="E263" s="72">
        <v>0</v>
      </c>
      <c r="F263" s="72">
        <v>0</v>
      </c>
      <c r="G263" s="72">
        <v>13</v>
      </c>
      <c r="H263" s="72">
        <v>0</v>
      </c>
      <c r="I263" s="72">
        <v>0</v>
      </c>
      <c r="J263" s="72">
        <v>0</v>
      </c>
      <c r="K263" s="72">
        <v>664.31</v>
      </c>
      <c r="L263" s="72">
        <v>3722.24</v>
      </c>
      <c r="M263" s="72">
        <v>365.55</v>
      </c>
      <c r="N263" s="72">
        <v>0</v>
      </c>
      <c r="O263" s="72">
        <v>0</v>
      </c>
      <c r="P263" s="72">
        <f t="shared" si="48"/>
        <v>4765.1000000000004</v>
      </c>
      <c r="Q263" s="68"/>
      <c r="R263" s="66"/>
    </row>
    <row r="264" spans="1:19">
      <c r="A264" s="71"/>
      <c r="B264" s="71" t="s">
        <v>451</v>
      </c>
      <c r="C264" s="71"/>
      <c r="D264" s="72">
        <v>0</v>
      </c>
      <c r="E264" s="72">
        <v>0</v>
      </c>
      <c r="F264" s="72">
        <v>0</v>
      </c>
      <c r="G264" s="72">
        <v>0</v>
      </c>
      <c r="H264" s="72">
        <v>0</v>
      </c>
      <c r="I264" s="72">
        <v>0</v>
      </c>
      <c r="J264" s="72">
        <v>0</v>
      </c>
      <c r="K264" s="72">
        <v>328.44</v>
      </c>
      <c r="L264" s="72">
        <v>1840.32</v>
      </c>
      <c r="M264" s="72">
        <v>180.73</v>
      </c>
      <c r="N264" s="72">
        <v>0</v>
      </c>
      <c r="O264" s="72">
        <v>0</v>
      </c>
      <c r="P264" s="72">
        <f t="shared" si="48"/>
        <v>2349.4899999999998</v>
      </c>
      <c r="Q264" s="68"/>
      <c r="R264" s="66"/>
    </row>
    <row r="265" spans="1:19">
      <c r="A265" s="71"/>
      <c r="B265" s="71" t="s">
        <v>452</v>
      </c>
      <c r="C265" s="71"/>
      <c r="D265" s="72">
        <v>0</v>
      </c>
      <c r="E265" s="72">
        <v>0</v>
      </c>
      <c r="F265" s="72">
        <v>0</v>
      </c>
      <c r="G265" s="72">
        <v>0</v>
      </c>
      <c r="H265" s="72">
        <v>0</v>
      </c>
      <c r="I265" s="72">
        <v>0</v>
      </c>
      <c r="J265" s="72">
        <v>0</v>
      </c>
      <c r="K265" s="72">
        <v>398.69</v>
      </c>
      <c r="L265" s="72">
        <v>2233.98</v>
      </c>
      <c r="M265" s="72">
        <v>407.64</v>
      </c>
      <c r="N265" s="72">
        <v>1776</v>
      </c>
      <c r="O265" s="72">
        <v>0</v>
      </c>
      <c r="P265" s="72">
        <f t="shared" si="48"/>
        <v>4816.3100000000004</v>
      </c>
      <c r="Q265" s="68"/>
      <c r="R265" s="66"/>
    </row>
    <row r="266" spans="1:19">
      <c r="A266" s="71"/>
      <c r="B266" s="71" t="s">
        <v>453</v>
      </c>
      <c r="C266" s="71"/>
      <c r="D266" s="72">
        <v>0</v>
      </c>
      <c r="E266" s="72">
        <v>0</v>
      </c>
      <c r="F266" s="72">
        <v>0</v>
      </c>
      <c r="G266" s="72">
        <v>0</v>
      </c>
      <c r="H266" s="72">
        <v>0</v>
      </c>
      <c r="I266" s="72">
        <v>0</v>
      </c>
      <c r="J266" s="72">
        <v>0</v>
      </c>
      <c r="K266" s="72">
        <v>398.69</v>
      </c>
      <c r="L266" s="72">
        <v>2327.69</v>
      </c>
      <c r="M266" s="72">
        <v>219.38</v>
      </c>
      <c r="N266" s="72">
        <v>0</v>
      </c>
      <c r="O266" s="72">
        <v>0</v>
      </c>
      <c r="P266" s="72">
        <f t="shared" si="48"/>
        <v>2945.76</v>
      </c>
      <c r="Q266" s="68"/>
      <c r="R266" s="66"/>
    </row>
    <row r="267" spans="1:19" ht="15.75" thickBot="1">
      <c r="A267" s="71"/>
      <c r="B267" s="71" t="s">
        <v>454</v>
      </c>
      <c r="C267" s="71"/>
      <c r="D267" s="73">
        <v>0</v>
      </c>
      <c r="E267" s="73">
        <v>0</v>
      </c>
      <c r="F267" s="73">
        <v>0</v>
      </c>
      <c r="G267" s="73">
        <v>0</v>
      </c>
      <c r="H267" s="73">
        <v>0</v>
      </c>
      <c r="I267" s="73">
        <v>0</v>
      </c>
      <c r="J267" s="73">
        <v>0</v>
      </c>
      <c r="K267" s="73">
        <v>0</v>
      </c>
      <c r="L267" s="73">
        <v>533</v>
      </c>
      <c r="M267" s="73">
        <v>0</v>
      </c>
      <c r="N267" s="73">
        <v>0</v>
      </c>
      <c r="O267" s="73">
        <v>0</v>
      </c>
      <c r="P267" s="73">
        <f t="shared" si="48"/>
        <v>533</v>
      </c>
      <c r="Q267" s="68"/>
      <c r="R267" s="66"/>
    </row>
    <row r="268" spans="1:19">
      <c r="A268" s="71"/>
      <c r="B268" s="71" t="s">
        <v>455</v>
      </c>
      <c r="C268" s="71"/>
      <c r="D268" s="72">
        <f t="shared" ref="D268:O268" si="49">ROUND(SUM(D258:D267),5)</f>
        <v>0</v>
      </c>
      <c r="E268" s="72">
        <f t="shared" si="49"/>
        <v>0</v>
      </c>
      <c r="F268" s="72">
        <f t="shared" si="49"/>
        <v>0</v>
      </c>
      <c r="G268" s="72">
        <f t="shared" si="49"/>
        <v>13</v>
      </c>
      <c r="H268" s="72">
        <f t="shared" si="49"/>
        <v>0</v>
      </c>
      <c r="I268" s="72">
        <f t="shared" si="49"/>
        <v>0</v>
      </c>
      <c r="J268" s="72">
        <f t="shared" si="49"/>
        <v>0</v>
      </c>
      <c r="K268" s="72">
        <f t="shared" si="49"/>
        <v>5712</v>
      </c>
      <c r="L268" s="72">
        <f t="shared" si="49"/>
        <v>33319.42</v>
      </c>
      <c r="M268" s="72">
        <f t="shared" si="49"/>
        <v>3331.38</v>
      </c>
      <c r="N268" s="72">
        <f t="shared" si="49"/>
        <v>1776</v>
      </c>
      <c r="O268" s="72">
        <f t="shared" si="49"/>
        <v>0</v>
      </c>
      <c r="P268" s="72">
        <f t="shared" si="48"/>
        <v>44151.8</v>
      </c>
      <c r="Q268" s="68"/>
      <c r="R268" s="66"/>
    </row>
    <row r="269" spans="1:19">
      <c r="A269" s="71"/>
      <c r="B269" s="71"/>
      <c r="C269" s="71"/>
      <c r="D269" s="72"/>
      <c r="E269" s="72"/>
      <c r="F269" s="72"/>
      <c r="G269" s="72"/>
      <c r="H269" s="72"/>
      <c r="I269" s="72"/>
      <c r="J269" s="72"/>
      <c r="K269" s="72"/>
      <c r="L269" s="72"/>
      <c r="M269" s="72"/>
      <c r="N269" s="72"/>
      <c r="O269" s="72"/>
      <c r="P269" s="72"/>
      <c r="Q269" s="68"/>
      <c r="R269" s="66"/>
    </row>
    <row r="270" spans="1:19">
      <c r="A270" s="71"/>
      <c r="B270" s="71" t="s">
        <v>456</v>
      </c>
      <c r="C270" s="71"/>
      <c r="D270" s="72">
        <v>6939.08</v>
      </c>
      <c r="E270" s="72">
        <v>0</v>
      </c>
      <c r="F270" s="72">
        <v>0</v>
      </c>
      <c r="G270" s="72">
        <v>0</v>
      </c>
      <c r="H270" s="72">
        <v>0</v>
      </c>
      <c r="I270" s="72">
        <v>0</v>
      </c>
      <c r="J270" s="72">
        <v>6939.09</v>
      </c>
      <c r="K270" s="72">
        <v>0</v>
      </c>
      <c r="L270" s="72">
        <v>0</v>
      </c>
      <c r="M270" s="72">
        <v>0</v>
      </c>
      <c r="N270" s="72">
        <v>0</v>
      </c>
      <c r="O270" s="72">
        <v>0</v>
      </c>
      <c r="P270" s="72">
        <f t="shared" si="48"/>
        <v>13878.17</v>
      </c>
      <c r="Q270" s="68"/>
      <c r="R270" s="66"/>
    </row>
    <row r="271" spans="1:19">
      <c r="A271" s="71"/>
      <c r="B271" s="71" t="s">
        <v>457</v>
      </c>
      <c r="C271" s="71"/>
      <c r="D271" s="72"/>
      <c r="E271" s="72"/>
      <c r="F271" s="72"/>
      <c r="G271" s="72"/>
      <c r="H271" s="72"/>
      <c r="I271" s="72"/>
      <c r="J271" s="72"/>
      <c r="K271" s="72"/>
      <c r="L271" s="72"/>
      <c r="M271" s="72"/>
      <c r="N271" s="72"/>
      <c r="O271" s="72"/>
      <c r="P271" s="72"/>
      <c r="Q271" s="68"/>
      <c r="R271" s="66"/>
    </row>
    <row r="272" spans="1:19">
      <c r="A272" s="71"/>
      <c r="B272" s="71" t="s">
        <v>458</v>
      </c>
      <c r="C272" s="71"/>
      <c r="D272" s="72">
        <v>58525.32</v>
      </c>
      <c r="E272" s="72">
        <v>57567.3</v>
      </c>
      <c r="F272" s="72">
        <v>58763.44</v>
      </c>
      <c r="G272" s="72">
        <v>59804</v>
      </c>
      <c r="H272" s="72">
        <v>59942.76</v>
      </c>
      <c r="I272" s="72">
        <v>62657.04</v>
      </c>
      <c r="J272" s="72">
        <v>62537.599999999999</v>
      </c>
      <c r="K272" s="72">
        <v>58565.82</v>
      </c>
      <c r="L272" s="72">
        <v>74366.37</v>
      </c>
      <c r="M272" s="72">
        <v>56345.38</v>
      </c>
      <c r="N272" s="72">
        <v>58188.28</v>
      </c>
      <c r="O272" s="72">
        <v>65257.38</v>
      </c>
      <c r="P272" s="72">
        <f t="shared" ref="P272:P282" si="50">ROUND(SUM(D272:O272),5)</f>
        <v>732520.69</v>
      </c>
      <c r="Q272" s="68"/>
      <c r="R272" s="66"/>
    </row>
    <row r="273" spans="1:18">
      <c r="A273" s="71"/>
      <c r="B273" s="71" t="s">
        <v>459</v>
      </c>
      <c r="C273" s="71"/>
      <c r="D273" s="72">
        <v>12103.9</v>
      </c>
      <c r="E273" s="72">
        <v>11905.77</v>
      </c>
      <c r="F273" s="72">
        <v>12153.15</v>
      </c>
      <c r="G273" s="72">
        <v>12368.36</v>
      </c>
      <c r="H273" s="72">
        <v>12397.05</v>
      </c>
      <c r="I273" s="72">
        <v>12958.4</v>
      </c>
      <c r="J273" s="72">
        <v>12933.7</v>
      </c>
      <c r="K273" s="72">
        <v>12112.28</v>
      </c>
      <c r="L273" s="72">
        <v>15380.06</v>
      </c>
      <c r="M273" s="72">
        <v>11653.06</v>
      </c>
      <c r="N273" s="72">
        <v>12034.2</v>
      </c>
      <c r="O273" s="72">
        <v>13496.19</v>
      </c>
      <c r="P273" s="72">
        <f t="shared" si="50"/>
        <v>151496.12</v>
      </c>
      <c r="Q273" s="68"/>
      <c r="R273" s="66"/>
    </row>
    <row r="274" spans="1:18">
      <c r="A274" s="71"/>
      <c r="B274" s="71" t="s">
        <v>460</v>
      </c>
      <c r="C274" s="71"/>
      <c r="D274" s="72">
        <v>20167.39</v>
      </c>
      <c r="E274" s="72">
        <v>19837.27</v>
      </c>
      <c r="F274" s="72">
        <v>20249.439999999999</v>
      </c>
      <c r="G274" s="72">
        <v>20608.009999999998</v>
      </c>
      <c r="H274" s="72">
        <v>20655.830000000002</v>
      </c>
      <c r="I274" s="72">
        <v>21591.15</v>
      </c>
      <c r="J274" s="72">
        <v>21550</v>
      </c>
      <c r="K274" s="72">
        <v>20181.349999999999</v>
      </c>
      <c r="L274" s="72">
        <v>25626.1</v>
      </c>
      <c r="M274" s="72">
        <v>19416.21</v>
      </c>
      <c r="N274" s="72">
        <v>20051.25</v>
      </c>
      <c r="O274" s="72">
        <v>22487.21</v>
      </c>
      <c r="P274" s="72">
        <f t="shared" si="50"/>
        <v>252421.21</v>
      </c>
      <c r="Q274" s="68"/>
      <c r="R274" s="66"/>
    </row>
    <row r="275" spans="1:18">
      <c r="A275" s="71"/>
      <c r="B275" s="71" t="s">
        <v>461</v>
      </c>
      <c r="C275" s="71"/>
      <c r="D275" s="72">
        <v>28265.56</v>
      </c>
      <c r="E275" s="72">
        <v>27802.880000000001</v>
      </c>
      <c r="F275" s="72">
        <v>28380.57</v>
      </c>
      <c r="G275" s="72">
        <v>28883.119999999999</v>
      </c>
      <c r="H275" s="72">
        <v>28950.14</v>
      </c>
      <c r="I275" s="72">
        <v>30261.03</v>
      </c>
      <c r="J275" s="72">
        <v>30203.35</v>
      </c>
      <c r="K275" s="72">
        <v>28285.119999999999</v>
      </c>
      <c r="L275" s="72">
        <v>35916.199999999997</v>
      </c>
      <c r="M275" s="72">
        <v>27212.73</v>
      </c>
      <c r="N275" s="72">
        <v>28102.79</v>
      </c>
      <c r="O275" s="72">
        <v>31516.9</v>
      </c>
      <c r="P275" s="72">
        <f t="shared" si="50"/>
        <v>353780.39</v>
      </c>
      <c r="Q275" s="68"/>
      <c r="R275" s="66"/>
    </row>
    <row r="276" spans="1:18">
      <c r="A276" s="71"/>
      <c r="B276" s="71" t="s">
        <v>462</v>
      </c>
      <c r="C276" s="71"/>
      <c r="D276" s="72">
        <v>20167.39</v>
      </c>
      <c r="E276" s="72">
        <v>19837.27</v>
      </c>
      <c r="F276" s="72">
        <v>20249.439999999999</v>
      </c>
      <c r="G276" s="72">
        <v>20608.009999999998</v>
      </c>
      <c r="H276" s="72">
        <v>20655.830000000002</v>
      </c>
      <c r="I276" s="72">
        <v>21591.15</v>
      </c>
      <c r="J276" s="72">
        <v>21550</v>
      </c>
      <c r="K276" s="72">
        <v>20181.349999999999</v>
      </c>
      <c r="L276" s="72">
        <v>25626.1</v>
      </c>
      <c r="M276" s="72">
        <v>14998.5</v>
      </c>
      <c r="N276" s="72">
        <v>20051.25</v>
      </c>
      <c r="O276" s="72">
        <v>22487.21</v>
      </c>
      <c r="P276" s="72">
        <f t="shared" si="50"/>
        <v>248003.5</v>
      </c>
      <c r="Q276" s="68"/>
      <c r="R276" s="66"/>
    </row>
    <row r="277" spans="1:18">
      <c r="A277" s="71"/>
      <c r="B277" s="71" t="s">
        <v>463</v>
      </c>
      <c r="C277" s="71"/>
      <c r="D277" s="72">
        <v>9970.98</v>
      </c>
      <c r="E277" s="72">
        <v>9807.77</v>
      </c>
      <c r="F277" s="72">
        <v>10011.549999999999</v>
      </c>
      <c r="G277" s="72">
        <v>10188.83</v>
      </c>
      <c r="H277" s="72">
        <v>10212.469999999999</v>
      </c>
      <c r="I277" s="72">
        <v>10674.91</v>
      </c>
      <c r="J277" s="72">
        <v>10654.56</v>
      </c>
      <c r="K277" s="72">
        <v>9977.8799999999992</v>
      </c>
      <c r="L277" s="72">
        <v>12669.83</v>
      </c>
      <c r="M277" s="72">
        <v>14017.3</v>
      </c>
      <c r="N277" s="72">
        <v>9913.56</v>
      </c>
      <c r="O277" s="72">
        <v>11117.92</v>
      </c>
      <c r="P277" s="72">
        <f t="shared" si="50"/>
        <v>129217.56</v>
      </c>
      <c r="Q277" s="68"/>
      <c r="R277" s="66"/>
    </row>
    <row r="278" spans="1:18">
      <c r="A278" s="71"/>
      <c r="B278" s="71" t="s">
        <v>464</v>
      </c>
      <c r="C278" s="71"/>
      <c r="D278" s="72">
        <v>12103.9</v>
      </c>
      <c r="E278" s="72">
        <v>11905.77</v>
      </c>
      <c r="F278" s="72">
        <v>12153.15</v>
      </c>
      <c r="G278" s="72">
        <v>12368.36</v>
      </c>
      <c r="H278" s="72">
        <v>12397.05</v>
      </c>
      <c r="I278" s="72">
        <v>12958.4</v>
      </c>
      <c r="J278" s="72">
        <v>12933.69</v>
      </c>
      <c r="K278" s="72">
        <v>12112.28</v>
      </c>
      <c r="L278" s="72">
        <v>15380.06</v>
      </c>
      <c r="M278" s="72">
        <v>11653.06</v>
      </c>
      <c r="N278" s="72">
        <v>12034.2</v>
      </c>
      <c r="O278" s="72">
        <v>13496.19</v>
      </c>
      <c r="P278" s="72">
        <f t="shared" si="50"/>
        <v>151496.10999999999</v>
      </c>
      <c r="Q278" s="68"/>
      <c r="R278" s="66"/>
    </row>
    <row r="279" spans="1:18" ht="15.75" thickBot="1">
      <c r="A279" s="71"/>
      <c r="B279" s="71" t="s">
        <v>465</v>
      </c>
      <c r="C279" s="71"/>
      <c r="D279" s="73">
        <v>12103.89</v>
      </c>
      <c r="E279" s="73">
        <v>11905.77</v>
      </c>
      <c r="F279" s="73">
        <v>12153.14</v>
      </c>
      <c r="G279" s="73">
        <v>12368.35</v>
      </c>
      <c r="H279" s="73">
        <v>12397.05</v>
      </c>
      <c r="I279" s="73">
        <v>12958.4</v>
      </c>
      <c r="J279" s="73">
        <v>12933.68</v>
      </c>
      <c r="K279" s="73">
        <v>12112.28</v>
      </c>
      <c r="L279" s="73">
        <v>15380.07</v>
      </c>
      <c r="M279" s="73">
        <v>11653.05</v>
      </c>
      <c r="N279" s="73">
        <v>12034.19</v>
      </c>
      <c r="O279" s="73">
        <v>13496.19</v>
      </c>
      <c r="P279" s="73">
        <f t="shared" si="50"/>
        <v>151496.06</v>
      </c>
      <c r="Q279" s="68"/>
      <c r="R279" s="66"/>
    </row>
    <row r="280" spans="1:18">
      <c r="A280" s="71"/>
      <c r="B280" s="71" t="s">
        <v>466</v>
      </c>
      <c r="C280" s="71"/>
      <c r="D280" s="72">
        <f t="shared" ref="D280:O280" si="51">ROUND(SUM(D271:D279),5)</f>
        <v>173408.33</v>
      </c>
      <c r="E280" s="72">
        <f t="shared" si="51"/>
        <v>170569.8</v>
      </c>
      <c r="F280" s="72">
        <f t="shared" si="51"/>
        <v>174113.88</v>
      </c>
      <c r="G280" s="72">
        <f t="shared" si="51"/>
        <v>177197.04</v>
      </c>
      <c r="H280" s="72">
        <f t="shared" si="51"/>
        <v>177608.18</v>
      </c>
      <c r="I280" s="72">
        <f t="shared" si="51"/>
        <v>185650.48</v>
      </c>
      <c r="J280" s="72">
        <f t="shared" si="51"/>
        <v>185296.58</v>
      </c>
      <c r="K280" s="72">
        <f t="shared" si="51"/>
        <v>173528.36</v>
      </c>
      <c r="L280" s="72">
        <f t="shared" si="51"/>
        <v>220344.79</v>
      </c>
      <c r="M280" s="72">
        <f t="shared" si="51"/>
        <v>166949.29</v>
      </c>
      <c r="N280" s="72">
        <f t="shared" si="51"/>
        <v>172409.72</v>
      </c>
      <c r="O280" s="72">
        <f t="shared" si="51"/>
        <v>193355.19</v>
      </c>
      <c r="P280" s="72">
        <f t="shared" si="50"/>
        <v>2170431.64</v>
      </c>
      <c r="Q280" s="68"/>
      <c r="R280" s="66"/>
    </row>
    <row r="281" spans="1:18">
      <c r="A281" s="71"/>
      <c r="B281" s="71"/>
      <c r="C281" s="71"/>
      <c r="D281" s="72"/>
      <c r="E281" s="72"/>
      <c r="F281" s="72"/>
      <c r="G281" s="72"/>
      <c r="H281" s="72"/>
      <c r="I281" s="72"/>
      <c r="J281" s="72"/>
      <c r="K281" s="72"/>
      <c r="L281" s="72"/>
      <c r="M281" s="72"/>
      <c r="N281" s="72"/>
      <c r="O281" s="72"/>
      <c r="P281" s="72"/>
      <c r="Q281" s="68"/>
      <c r="R281" s="66"/>
    </row>
    <row r="282" spans="1:18">
      <c r="A282" s="71"/>
      <c r="B282" s="71" t="s">
        <v>467</v>
      </c>
      <c r="C282" s="71"/>
      <c r="D282" s="72">
        <v>0</v>
      </c>
      <c r="E282" s="72">
        <v>0</v>
      </c>
      <c r="F282" s="72">
        <v>149</v>
      </c>
      <c r="G282" s="72">
        <v>0</v>
      </c>
      <c r="H282" s="72">
        <v>0</v>
      </c>
      <c r="I282" s="72">
        <v>0</v>
      </c>
      <c r="J282" s="72">
        <v>15</v>
      </c>
      <c r="K282" s="72">
        <v>0</v>
      </c>
      <c r="L282" s="72">
        <v>0</v>
      </c>
      <c r="M282" s="72">
        <v>0</v>
      </c>
      <c r="N282" s="72">
        <v>0</v>
      </c>
      <c r="O282" s="72">
        <v>0</v>
      </c>
      <c r="P282" s="72">
        <f t="shared" si="50"/>
        <v>164</v>
      </c>
      <c r="Q282" s="68"/>
      <c r="R282" s="66"/>
    </row>
    <row r="283" spans="1:18">
      <c r="A283" s="71"/>
      <c r="B283" s="71"/>
      <c r="C283" s="71"/>
      <c r="D283" s="72"/>
      <c r="E283" s="72"/>
      <c r="F283" s="72"/>
      <c r="G283" s="72"/>
      <c r="H283" s="72"/>
      <c r="I283" s="72"/>
      <c r="J283" s="72"/>
      <c r="K283" s="72"/>
      <c r="L283" s="72"/>
      <c r="M283" s="72"/>
      <c r="N283" s="72"/>
      <c r="O283" s="72"/>
      <c r="P283" s="72"/>
      <c r="Q283" s="68"/>
      <c r="R283" s="66"/>
    </row>
    <row r="284" spans="1:18">
      <c r="A284" s="71"/>
      <c r="B284" s="71" t="s">
        <v>468</v>
      </c>
      <c r="C284" s="71"/>
      <c r="D284" s="72"/>
      <c r="E284" s="72"/>
      <c r="F284" s="72"/>
      <c r="G284" s="72"/>
      <c r="H284" s="72"/>
      <c r="I284" s="72"/>
      <c r="J284" s="72"/>
      <c r="K284" s="72"/>
      <c r="L284" s="72"/>
      <c r="M284" s="72"/>
      <c r="N284" s="72"/>
      <c r="O284" s="72"/>
      <c r="P284" s="72"/>
      <c r="Q284" s="68"/>
      <c r="R284" s="66"/>
    </row>
    <row r="285" spans="1:18">
      <c r="A285" s="71"/>
      <c r="B285" s="71" t="s">
        <v>469</v>
      </c>
      <c r="C285" s="71"/>
      <c r="D285" s="72">
        <v>21329.46</v>
      </c>
      <c r="E285" s="72">
        <v>21329.46</v>
      </c>
      <c r="F285" s="72">
        <v>21329.46</v>
      </c>
      <c r="G285" s="72">
        <v>21329.46</v>
      </c>
      <c r="H285" s="72">
        <v>21329.46</v>
      </c>
      <c r="I285" s="72">
        <v>21329.46</v>
      </c>
      <c r="J285" s="72">
        <v>20744</v>
      </c>
      <c r="K285" s="72">
        <v>21914.92</v>
      </c>
      <c r="L285" s="72">
        <v>21329.46</v>
      </c>
      <c r="M285" s="72">
        <v>26502.46</v>
      </c>
      <c r="N285" s="72">
        <v>21329.46</v>
      </c>
      <c r="O285" s="72">
        <v>21329.46</v>
      </c>
      <c r="P285" s="72">
        <f t="shared" ref="P285:P290" si="52">ROUND(SUM(D285:O285),5)</f>
        <v>261126.52</v>
      </c>
      <c r="Q285" s="68"/>
      <c r="R285" s="66"/>
    </row>
    <row r="286" spans="1:18">
      <c r="A286" s="71"/>
      <c r="B286" s="71" t="s">
        <v>470</v>
      </c>
      <c r="C286" s="71"/>
      <c r="D286" s="72">
        <v>42.82</v>
      </c>
      <c r="E286" s="72">
        <v>42.82</v>
      </c>
      <c r="F286" s="72">
        <v>85.39</v>
      </c>
      <c r="G286" s="72">
        <v>42.82</v>
      </c>
      <c r="H286" s="72">
        <v>42.82</v>
      </c>
      <c r="I286" s="72">
        <v>42.82</v>
      </c>
      <c r="J286" s="72">
        <v>42.82</v>
      </c>
      <c r="K286" s="72">
        <v>42.82</v>
      </c>
      <c r="L286" s="72">
        <v>42.82</v>
      </c>
      <c r="M286" s="72">
        <v>42.82</v>
      </c>
      <c r="N286" s="72">
        <v>42.82</v>
      </c>
      <c r="O286" s="72">
        <v>42.82</v>
      </c>
      <c r="P286" s="72">
        <f t="shared" si="52"/>
        <v>556.41</v>
      </c>
      <c r="Q286" s="68"/>
      <c r="R286" s="66"/>
    </row>
    <row r="287" spans="1:18" ht="15.75" thickBot="1">
      <c r="A287" s="71"/>
      <c r="B287" s="71" t="s">
        <v>471</v>
      </c>
      <c r="C287" s="71"/>
      <c r="D287" s="72">
        <v>0</v>
      </c>
      <c r="E287" s="72">
        <v>0</v>
      </c>
      <c r="F287" s="72">
        <v>0</v>
      </c>
      <c r="G287" s="72">
        <v>0</v>
      </c>
      <c r="H287" s="72">
        <v>0</v>
      </c>
      <c r="I287" s="72">
        <v>0</v>
      </c>
      <c r="J287" s="72">
        <v>0</v>
      </c>
      <c r="K287" s="72">
        <v>0</v>
      </c>
      <c r="L287" s="72">
        <v>0</v>
      </c>
      <c r="M287" s="72">
        <v>0</v>
      </c>
      <c r="N287" s="72">
        <v>0</v>
      </c>
      <c r="O287" s="72">
        <v>0</v>
      </c>
      <c r="P287" s="72">
        <f t="shared" si="52"/>
        <v>0</v>
      </c>
      <c r="Q287" s="68"/>
      <c r="R287" s="66"/>
    </row>
    <row r="288" spans="1:18" ht="15.75" thickBot="1">
      <c r="A288" s="71"/>
      <c r="B288" s="71" t="s">
        <v>472</v>
      </c>
      <c r="C288" s="71"/>
      <c r="D288" s="74">
        <f t="shared" ref="D288:O288" si="53">ROUND(SUM(D284:D287),5)</f>
        <v>21372.28</v>
      </c>
      <c r="E288" s="74">
        <f t="shared" si="53"/>
        <v>21372.28</v>
      </c>
      <c r="F288" s="74">
        <f t="shared" si="53"/>
        <v>21414.85</v>
      </c>
      <c r="G288" s="74">
        <f t="shared" si="53"/>
        <v>21372.28</v>
      </c>
      <c r="H288" s="74">
        <f t="shared" si="53"/>
        <v>21372.28</v>
      </c>
      <c r="I288" s="74">
        <f t="shared" si="53"/>
        <v>21372.28</v>
      </c>
      <c r="J288" s="74">
        <f t="shared" si="53"/>
        <v>20786.82</v>
      </c>
      <c r="K288" s="74">
        <f t="shared" si="53"/>
        <v>21957.74</v>
      </c>
      <c r="L288" s="74">
        <f t="shared" si="53"/>
        <v>21372.28</v>
      </c>
      <c r="M288" s="74">
        <f t="shared" si="53"/>
        <v>26545.279999999999</v>
      </c>
      <c r="N288" s="74">
        <f t="shared" si="53"/>
        <v>21372.28</v>
      </c>
      <c r="O288" s="74">
        <f t="shared" si="53"/>
        <v>21372.28</v>
      </c>
      <c r="P288" s="74">
        <f t="shared" si="52"/>
        <v>261682.93</v>
      </c>
      <c r="Q288" s="68"/>
      <c r="R288" s="66"/>
    </row>
    <row r="289" spans="1:18" ht="15.75" thickBot="1">
      <c r="A289" s="71"/>
      <c r="B289" s="71" t="s">
        <v>473</v>
      </c>
      <c r="C289" s="71"/>
      <c r="D289" s="75">
        <f t="shared" ref="D289:O289" si="54">ROUND(SUM(D23:D25)+D35+D46+SUM(D119:D121)+D133+D138+D149+D155+SUM(D174:D176)+D187+D202+D220+D228+SUM(D235:D237)+D256+SUM(D268:D270)+SUM(D280:D282)+D288,5)</f>
        <v>1668762.66</v>
      </c>
      <c r="E289" s="75">
        <f t="shared" si="54"/>
        <v>1671850.47</v>
      </c>
      <c r="F289" s="75">
        <f t="shared" si="54"/>
        <v>1849450.4</v>
      </c>
      <c r="G289" s="75">
        <f t="shared" si="54"/>
        <v>1893250.61</v>
      </c>
      <c r="H289" s="75">
        <f t="shared" si="54"/>
        <v>1773961.27</v>
      </c>
      <c r="I289" s="75">
        <f t="shared" si="54"/>
        <v>1868986.95</v>
      </c>
      <c r="J289" s="75">
        <f t="shared" si="54"/>
        <v>1851061.09</v>
      </c>
      <c r="K289" s="75">
        <f t="shared" si="54"/>
        <v>1698657.08</v>
      </c>
      <c r="L289" s="75">
        <f t="shared" si="54"/>
        <v>2044596.63</v>
      </c>
      <c r="M289" s="75">
        <f t="shared" si="54"/>
        <v>1835327.72</v>
      </c>
      <c r="N289" s="75">
        <f t="shared" si="54"/>
        <v>1605141.81</v>
      </c>
      <c r="O289" s="75">
        <f t="shared" si="54"/>
        <v>1982133.58</v>
      </c>
      <c r="P289" s="75">
        <f t="shared" si="52"/>
        <v>21743180.27</v>
      </c>
      <c r="Q289" s="68"/>
      <c r="R289" s="66"/>
    </row>
    <row r="290" spans="1:18">
      <c r="A290" s="71"/>
      <c r="B290" s="71" t="s">
        <v>474</v>
      </c>
      <c r="C290" s="71"/>
      <c r="D290" s="72">
        <f t="shared" ref="D290:O290" si="55">ROUND(D2+D21-D289,5)</f>
        <v>9900.41</v>
      </c>
      <c r="E290" s="72">
        <f t="shared" si="55"/>
        <v>-115268.28</v>
      </c>
      <c r="F290" s="72">
        <f t="shared" si="55"/>
        <v>-149831.71</v>
      </c>
      <c r="G290" s="72">
        <f t="shared" si="55"/>
        <v>93305.04</v>
      </c>
      <c r="H290" s="72">
        <f t="shared" si="55"/>
        <v>-80988.03</v>
      </c>
      <c r="I290" s="72">
        <f t="shared" si="55"/>
        <v>-181322.62</v>
      </c>
      <c r="J290" s="72">
        <f t="shared" si="55"/>
        <v>41481.32</v>
      </c>
      <c r="K290" s="72">
        <f t="shared" si="55"/>
        <v>324847.42</v>
      </c>
      <c r="L290" s="72">
        <f t="shared" si="55"/>
        <v>-246256.71</v>
      </c>
      <c r="M290" s="72">
        <f t="shared" si="55"/>
        <v>-287212.12</v>
      </c>
      <c r="N290" s="72">
        <f t="shared" si="55"/>
        <v>355235.98</v>
      </c>
      <c r="O290" s="72">
        <f t="shared" si="55"/>
        <v>150548.19</v>
      </c>
      <c r="P290" s="72">
        <f t="shared" si="52"/>
        <v>-85561.11</v>
      </c>
      <c r="Q290" s="68"/>
      <c r="R290" s="66"/>
    </row>
    <row r="291" spans="1:18">
      <c r="A291" s="71"/>
      <c r="B291" s="71" t="s">
        <v>475</v>
      </c>
      <c r="C291" s="71"/>
      <c r="D291" s="72"/>
      <c r="E291" s="72"/>
      <c r="F291" s="72"/>
      <c r="G291" s="72"/>
      <c r="H291" s="72"/>
      <c r="I291" s="72"/>
      <c r="J291" s="72"/>
      <c r="K291" s="72"/>
      <c r="L291" s="72"/>
      <c r="M291" s="72"/>
      <c r="N291" s="72"/>
      <c r="O291" s="72"/>
      <c r="P291" s="72"/>
      <c r="Q291" s="68"/>
      <c r="R291" s="66"/>
    </row>
    <row r="292" spans="1:18">
      <c r="A292" s="71"/>
      <c r="B292" s="71" t="s">
        <v>476</v>
      </c>
      <c r="C292" s="76"/>
      <c r="D292" s="72"/>
      <c r="E292" s="72"/>
      <c r="F292" s="72"/>
      <c r="G292" s="72"/>
      <c r="H292" s="72"/>
      <c r="I292" s="72"/>
      <c r="J292" s="72"/>
      <c r="K292" s="72"/>
      <c r="L292" s="72"/>
      <c r="M292" s="72"/>
      <c r="N292" s="72"/>
      <c r="O292" s="72"/>
      <c r="P292" s="72"/>
      <c r="Q292" s="68"/>
      <c r="R292" s="66"/>
    </row>
    <row r="293" spans="1:18">
      <c r="A293" s="71"/>
      <c r="B293" s="71" t="s">
        <v>477</v>
      </c>
      <c r="C293" s="71"/>
      <c r="D293" s="72"/>
      <c r="E293" s="72"/>
      <c r="F293" s="72"/>
      <c r="G293" s="72"/>
      <c r="H293" s="72"/>
      <c r="I293" s="72"/>
      <c r="J293" s="72"/>
      <c r="K293" s="72"/>
      <c r="L293" s="72"/>
      <c r="M293" s="72"/>
      <c r="N293" s="72"/>
      <c r="O293" s="72"/>
      <c r="P293" s="72"/>
      <c r="Q293" s="68"/>
      <c r="R293" s="66"/>
    </row>
    <row r="294" spans="1:18">
      <c r="A294" s="71"/>
      <c r="B294" s="71" t="s">
        <v>478</v>
      </c>
      <c r="C294" s="71"/>
      <c r="D294" s="72">
        <v>700</v>
      </c>
      <c r="E294" s="72">
        <v>700</v>
      </c>
      <c r="F294" s="72">
        <v>700</v>
      </c>
      <c r="G294" s="72">
        <v>700</v>
      </c>
      <c r="H294" s="72">
        <v>700</v>
      </c>
      <c r="I294" s="72">
        <v>700</v>
      </c>
      <c r="J294" s="72">
        <v>700</v>
      </c>
      <c r="K294" s="72">
        <v>700</v>
      </c>
      <c r="L294" s="72">
        <v>700</v>
      </c>
      <c r="M294" s="72">
        <v>700</v>
      </c>
      <c r="N294" s="72">
        <v>700</v>
      </c>
      <c r="O294" s="72">
        <v>700</v>
      </c>
      <c r="P294" s="72">
        <f t="shared" ref="P294:P300" si="56">ROUND(SUM(D294:O294),5)</f>
        <v>8400</v>
      </c>
      <c r="Q294" s="68"/>
      <c r="R294" s="66"/>
    </row>
    <row r="295" spans="1:18">
      <c r="A295" s="71"/>
      <c r="B295" s="71" t="s">
        <v>479</v>
      </c>
      <c r="C295" s="71"/>
      <c r="D295" s="72">
        <v>25.05</v>
      </c>
      <c r="E295" s="72">
        <v>23.32</v>
      </c>
      <c r="F295" s="72">
        <v>24.1</v>
      </c>
      <c r="G295" s="72">
        <v>23.32</v>
      </c>
      <c r="H295" s="72">
        <v>23.16</v>
      </c>
      <c r="I295" s="72">
        <v>21.44</v>
      </c>
      <c r="J295" s="72">
        <v>20.75</v>
      </c>
      <c r="K295" s="72">
        <v>19.71</v>
      </c>
      <c r="L295" s="72">
        <v>15.22</v>
      </c>
      <c r="M295" s="72">
        <v>13.41</v>
      </c>
      <c r="N295" s="72">
        <v>13.45</v>
      </c>
      <c r="O295" s="72">
        <v>12.15</v>
      </c>
      <c r="P295" s="72">
        <f t="shared" si="56"/>
        <v>235.08</v>
      </c>
      <c r="Q295" s="68"/>
      <c r="R295" s="66"/>
    </row>
    <row r="296" spans="1:18" ht="15.75" thickBot="1">
      <c r="A296" s="71"/>
      <c r="B296" s="71" t="s">
        <v>480</v>
      </c>
      <c r="C296" s="71"/>
      <c r="D296" s="72">
        <v>392.8</v>
      </c>
      <c r="E296" s="72">
        <v>0</v>
      </c>
      <c r="F296" s="72">
        <v>0</v>
      </c>
      <c r="G296" s="72">
        <v>0</v>
      </c>
      <c r="H296" s="72">
        <v>0</v>
      </c>
      <c r="I296" s="72">
        <v>0</v>
      </c>
      <c r="J296" s="72">
        <v>0</v>
      </c>
      <c r="K296" s="72">
        <v>0</v>
      </c>
      <c r="L296" s="72">
        <v>0</v>
      </c>
      <c r="M296" s="72">
        <v>0</v>
      </c>
      <c r="N296" s="72">
        <v>0</v>
      </c>
      <c r="O296" s="72">
        <v>0</v>
      </c>
      <c r="P296" s="72">
        <f t="shared" si="56"/>
        <v>392.8</v>
      </c>
      <c r="Q296" s="68"/>
      <c r="R296" s="66"/>
    </row>
    <row r="297" spans="1:18" ht="15.75" thickBot="1">
      <c r="A297" s="71"/>
      <c r="B297" s="71" t="s">
        <v>481</v>
      </c>
      <c r="C297" s="71"/>
      <c r="D297" s="74">
        <f t="shared" ref="D297:O297" si="57">ROUND(SUM(D293:D296),5)</f>
        <v>1117.8499999999999</v>
      </c>
      <c r="E297" s="74">
        <f t="shared" si="57"/>
        <v>723.32</v>
      </c>
      <c r="F297" s="74">
        <f t="shared" si="57"/>
        <v>724.1</v>
      </c>
      <c r="G297" s="74">
        <f t="shared" si="57"/>
        <v>723.32</v>
      </c>
      <c r="H297" s="74">
        <f t="shared" si="57"/>
        <v>723.16</v>
      </c>
      <c r="I297" s="74">
        <f t="shared" si="57"/>
        <v>721.44</v>
      </c>
      <c r="J297" s="74">
        <f t="shared" si="57"/>
        <v>720.75</v>
      </c>
      <c r="K297" s="74">
        <f t="shared" si="57"/>
        <v>719.71</v>
      </c>
      <c r="L297" s="74">
        <f t="shared" si="57"/>
        <v>715.22</v>
      </c>
      <c r="M297" s="74">
        <f t="shared" si="57"/>
        <v>713.41</v>
      </c>
      <c r="N297" s="74">
        <f t="shared" si="57"/>
        <v>713.45</v>
      </c>
      <c r="O297" s="74">
        <f t="shared" si="57"/>
        <v>712.15</v>
      </c>
      <c r="P297" s="74">
        <f t="shared" si="56"/>
        <v>9027.8799999999992</v>
      </c>
      <c r="Q297" s="68"/>
      <c r="R297" s="66"/>
    </row>
    <row r="298" spans="1:18" ht="15.75" thickBot="1">
      <c r="A298" s="71"/>
      <c r="B298" s="71" t="s">
        <v>482</v>
      </c>
      <c r="C298" s="76"/>
      <c r="D298" s="74">
        <f t="shared" ref="D298:O298" si="58">ROUND(D292+D297,5)</f>
        <v>1117.8499999999999</v>
      </c>
      <c r="E298" s="74">
        <f t="shared" si="58"/>
        <v>723.32</v>
      </c>
      <c r="F298" s="74">
        <f t="shared" si="58"/>
        <v>724.1</v>
      </c>
      <c r="G298" s="74">
        <f t="shared" si="58"/>
        <v>723.32</v>
      </c>
      <c r="H298" s="74">
        <f t="shared" si="58"/>
        <v>723.16</v>
      </c>
      <c r="I298" s="74">
        <f t="shared" si="58"/>
        <v>721.44</v>
      </c>
      <c r="J298" s="74">
        <f t="shared" si="58"/>
        <v>720.75</v>
      </c>
      <c r="K298" s="74">
        <f t="shared" si="58"/>
        <v>719.71</v>
      </c>
      <c r="L298" s="74">
        <f t="shared" si="58"/>
        <v>715.22</v>
      </c>
      <c r="M298" s="74">
        <f t="shared" si="58"/>
        <v>713.41</v>
      </c>
      <c r="N298" s="74">
        <f t="shared" si="58"/>
        <v>713.45</v>
      </c>
      <c r="O298" s="74">
        <f t="shared" si="58"/>
        <v>712.15</v>
      </c>
      <c r="P298" s="74">
        <f t="shared" si="56"/>
        <v>9027.8799999999992</v>
      </c>
      <c r="Q298" s="68"/>
      <c r="R298" s="66"/>
    </row>
    <row r="299" spans="1:18" ht="15.75" thickBot="1">
      <c r="A299" s="71"/>
      <c r="B299" s="71" t="s">
        <v>483</v>
      </c>
      <c r="C299" s="71"/>
      <c r="D299" s="74">
        <f t="shared" ref="D299:O299" si="59">ROUND(D291+D298,5)</f>
        <v>1117.8499999999999</v>
      </c>
      <c r="E299" s="74">
        <f t="shared" si="59"/>
        <v>723.32</v>
      </c>
      <c r="F299" s="74">
        <f t="shared" si="59"/>
        <v>724.1</v>
      </c>
      <c r="G299" s="74">
        <f t="shared" si="59"/>
        <v>723.32</v>
      </c>
      <c r="H299" s="74">
        <f t="shared" si="59"/>
        <v>723.16</v>
      </c>
      <c r="I299" s="74">
        <f t="shared" si="59"/>
        <v>721.44</v>
      </c>
      <c r="J299" s="74">
        <f t="shared" si="59"/>
        <v>720.75</v>
      </c>
      <c r="K299" s="74">
        <f t="shared" si="59"/>
        <v>719.71</v>
      </c>
      <c r="L299" s="74">
        <f t="shared" si="59"/>
        <v>715.22</v>
      </c>
      <c r="M299" s="74">
        <f t="shared" si="59"/>
        <v>713.41</v>
      </c>
      <c r="N299" s="74">
        <f t="shared" si="59"/>
        <v>713.45</v>
      </c>
      <c r="O299" s="74">
        <f t="shared" si="59"/>
        <v>712.15</v>
      </c>
      <c r="P299" s="74">
        <f t="shared" si="56"/>
        <v>9027.8799999999992</v>
      </c>
      <c r="Q299" s="68"/>
      <c r="R299" s="66"/>
    </row>
    <row r="300" spans="1:18" ht="15.75" thickBot="1">
      <c r="A300" s="71" t="s">
        <v>38</v>
      </c>
      <c r="B300" s="71"/>
      <c r="C300" s="71"/>
      <c r="D300" s="77">
        <f t="shared" ref="D300:O300" si="60">ROUND(D290+D299,5)</f>
        <v>11018.26</v>
      </c>
      <c r="E300" s="77">
        <f t="shared" si="60"/>
        <v>-114544.96000000001</v>
      </c>
      <c r="F300" s="77">
        <f t="shared" si="60"/>
        <v>-149107.60999999999</v>
      </c>
      <c r="G300" s="77">
        <f t="shared" si="60"/>
        <v>94028.36</v>
      </c>
      <c r="H300" s="77">
        <f t="shared" si="60"/>
        <v>-80264.87</v>
      </c>
      <c r="I300" s="77">
        <f t="shared" si="60"/>
        <v>-180601.18</v>
      </c>
      <c r="J300" s="77">
        <f t="shared" si="60"/>
        <v>42202.07</v>
      </c>
      <c r="K300" s="77">
        <f t="shared" si="60"/>
        <v>325567.13</v>
      </c>
      <c r="L300" s="77">
        <f t="shared" si="60"/>
        <v>-245541.49</v>
      </c>
      <c r="M300" s="77">
        <f t="shared" si="60"/>
        <v>-286498.71000000002</v>
      </c>
      <c r="N300" s="77">
        <f t="shared" si="60"/>
        <v>355949.43</v>
      </c>
      <c r="O300" s="77">
        <f t="shared" si="60"/>
        <v>151260.34</v>
      </c>
      <c r="P300" s="77">
        <f t="shared" si="56"/>
        <v>-76533.23</v>
      </c>
      <c r="Q300" s="76"/>
      <c r="R300" s="66"/>
    </row>
    <row r="301" spans="1:18" ht="15.75" thickTop="1">
      <c r="A301" s="76"/>
      <c r="B301" s="76"/>
      <c r="C301" s="76"/>
      <c r="D301" s="68"/>
      <c r="E301" s="68"/>
      <c r="F301" s="68"/>
      <c r="G301" s="68"/>
      <c r="H301" s="68"/>
      <c r="I301" s="68"/>
      <c r="J301" s="68"/>
      <c r="K301" s="68"/>
      <c r="L301" s="68"/>
      <c r="M301" s="68"/>
      <c r="N301" s="68"/>
      <c r="O301" s="68"/>
      <c r="P301" s="68"/>
      <c r="Q301" s="68"/>
      <c r="R301" s="66"/>
    </row>
    <row r="302" spans="1:18">
      <c r="A302" s="76"/>
      <c r="B302" s="76"/>
      <c r="C302" s="76"/>
      <c r="D302" s="68"/>
      <c r="E302" s="68"/>
      <c r="F302" s="68"/>
      <c r="G302" s="68"/>
      <c r="H302" s="68"/>
      <c r="I302" s="68"/>
      <c r="J302" s="68"/>
      <c r="K302" s="68"/>
      <c r="L302" s="68"/>
      <c r="M302" s="68"/>
      <c r="N302" s="68"/>
      <c r="O302" s="68"/>
      <c r="P302" s="68"/>
      <c r="Q302" s="68"/>
      <c r="R302" s="66"/>
    </row>
    <row r="303" spans="1:18">
      <c r="A303" s="66"/>
      <c r="B303" s="66"/>
      <c r="C303" s="66"/>
      <c r="D303" s="66"/>
      <c r="E303" s="66"/>
      <c r="F303" s="66"/>
      <c r="G303" s="66"/>
      <c r="H303" s="66"/>
      <c r="I303" s="66"/>
      <c r="J303" s="66"/>
      <c r="K303" s="66"/>
      <c r="L303" s="66"/>
      <c r="M303" s="66"/>
      <c r="N303" s="66"/>
      <c r="O303" s="66"/>
      <c r="P303" s="66"/>
      <c r="Q303" s="66"/>
      <c r="R303" s="66"/>
    </row>
    <row r="304" spans="1:18">
      <c r="A304" s="66"/>
      <c r="B304" s="66"/>
      <c r="C304" s="66"/>
      <c r="D304" s="66"/>
      <c r="E304" s="66"/>
      <c r="F304" s="66"/>
      <c r="G304" s="66"/>
      <c r="H304" s="66"/>
      <c r="I304" s="66"/>
      <c r="J304" s="66"/>
      <c r="K304" s="66"/>
      <c r="L304" s="66"/>
      <c r="M304" s="66"/>
      <c r="N304" s="66"/>
      <c r="O304" s="66"/>
      <c r="P304" s="66"/>
      <c r="Q304" s="66"/>
      <c r="R304" s="66"/>
    </row>
  </sheetData>
  <printOptions horizontalCentered="1" headings="1" gridLines="1"/>
  <pageMargins left="0.7" right="0.7" top="1" bottom="0.75" header="0.3" footer="0.3"/>
  <pageSetup scale="68" fitToHeight="0" orientation="landscape" r:id="rId1"/>
  <headerFooter>
    <oddHeader>&amp;L&amp;D
&amp;T
Accrual Basis&amp;CRubatino Refuse Removal, Inc.
Profit &amp; Loss
April 2020 through March 2021</oddHeader>
    <oddFooter>&amp;RPage &amp;P of &amp;N</oddFooter>
  </headerFooter>
  <rowBreaks count="2" manualBreakCount="2">
    <brk id="84" max="15" man="1"/>
    <brk id="290"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D6D32-4638-4514-9E70-B8450E15E870}">
  <sheetPr codeName="Sheet7">
    <pageSetUpPr fitToPage="1"/>
  </sheetPr>
  <dimension ref="A1:R80"/>
  <sheetViews>
    <sheetView topLeftCell="A43" zoomScaleNormal="100" workbookViewId="0">
      <selection activeCell="D62" sqref="D62"/>
    </sheetView>
  </sheetViews>
  <sheetFormatPr defaultRowHeight="15"/>
  <cols>
    <col min="1" max="1" width="22.77734375" bestFit="1" customWidth="1"/>
    <col min="2" max="2" width="6.21875" customWidth="1"/>
    <col min="3" max="11" width="10.77734375" customWidth="1"/>
    <col min="12" max="12" width="9" bestFit="1" customWidth="1"/>
  </cols>
  <sheetData>
    <row r="1" spans="1:18" ht="15.75">
      <c r="A1" s="69" t="s">
        <v>128</v>
      </c>
      <c r="B1" s="69"/>
      <c r="C1" s="70"/>
      <c r="D1" s="70"/>
      <c r="E1" s="70"/>
      <c r="F1" s="70"/>
      <c r="G1" s="70"/>
      <c r="H1" s="70"/>
      <c r="I1" s="70"/>
      <c r="J1" s="70"/>
      <c r="K1" s="70"/>
      <c r="L1" s="68"/>
    </row>
    <row r="2" spans="1:18" ht="15.75">
      <c r="A2" s="69" t="s">
        <v>129</v>
      </c>
      <c r="B2" s="69"/>
      <c r="C2" s="70"/>
      <c r="D2" s="70"/>
      <c r="E2" s="70"/>
      <c r="F2" s="70"/>
      <c r="G2" s="70"/>
      <c r="H2" s="70"/>
      <c r="I2" s="70"/>
      <c r="J2" s="70"/>
      <c r="K2" s="70"/>
      <c r="L2" s="68"/>
    </row>
    <row r="3" spans="1:18" ht="15.75">
      <c r="A3" s="69" t="s">
        <v>485</v>
      </c>
      <c r="B3" s="69"/>
      <c r="C3" s="70"/>
      <c r="D3" s="70"/>
      <c r="E3" s="70"/>
      <c r="F3" s="70"/>
      <c r="G3" s="70"/>
      <c r="H3" s="70"/>
      <c r="I3" s="70"/>
      <c r="J3" s="70"/>
      <c r="K3" s="70"/>
      <c r="L3" s="68"/>
    </row>
    <row r="4" spans="1:18" ht="15.75" thickBot="1">
      <c r="A4" s="68"/>
      <c r="B4" s="68"/>
      <c r="C4" s="68"/>
      <c r="D4" s="68"/>
      <c r="E4" s="68"/>
      <c r="F4" s="68"/>
      <c r="G4" s="68"/>
      <c r="H4" s="68"/>
      <c r="I4" s="68"/>
      <c r="J4" s="68"/>
      <c r="K4" s="68"/>
      <c r="L4" s="68"/>
    </row>
    <row r="5" spans="1:18" ht="59.1" customHeight="1" thickBot="1">
      <c r="A5" s="78"/>
      <c r="B5" s="78"/>
      <c r="C5" s="79" t="s">
        <v>130</v>
      </c>
      <c r="D5" s="80" t="s">
        <v>131</v>
      </c>
      <c r="E5" s="80" t="s">
        <v>132</v>
      </c>
      <c r="F5" s="81" t="s">
        <v>133</v>
      </c>
      <c r="G5" s="80" t="s">
        <v>134</v>
      </c>
      <c r="H5" s="80" t="s">
        <v>135</v>
      </c>
      <c r="I5" s="82" t="s">
        <v>136</v>
      </c>
      <c r="J5" s="83" t="s">
        <v>137</v>
      </c>
      <c r="K5" s="84" t="s">
        <v>138</v>
      </c>
      <c r="L5" s="85"/>
      <c r="M5" s="86"/>
      <c r="N5" s="86"/>
      <c r="O5" s="86"/>
      <c r="P5" s="86"/>
      <c r="Q5" s="86"/>
      <c r="R5" s="86"/>
    </row>
    <row r="6" spans="1:18">
      <c r="A6" s="87" t="s">
        <v>12</v>
      </c>
      <c r="B6" s="78"/>
      <c r="C6" s="88"/>
      <c r="D6" s="78"/>
      <c r="E6" s="85"/>
      <c r="F6" s="85"/>
      <c r="G6" s="85"/>
      <c r="H6" s="85"/>
      <c r="I6" s="85"/>
      <c r="J6" s="85"/>
      <c r="K6" s="85"/>
      <c r="L6" s="85"/>
      <c r="M6" s="86"/>
      <c r="N6" s="86"/>
      <c r="O6" s="86"/>
      <c r="P6" s="86"/>
      <c r="Q6" s="86"/>
      <c r="R6" s="86"/>
    </row>
    <row r="7" spans="1:18">
      <c r="A7" s="89" t="s">
        <v>139</v>
      </c>
      <c r="B7" s="78"/>
      <c r="C7" s="88">
        <f>+'12 Month P&amp;L'!P5</f>
        <v>5753087.4000000004</v>
      </c>
      <c r="D7" s="88">
        <f>+'Restating Entries'!O7</f>
        <v>-1141307.5348267709</v>
      </c>
      <c r="E7" s="90">
        <f>+'Pro Forma Entries'!L7</f>
        <v>0</v>
      </c>
      <c r="F7" s="90">
        <f t="shared" ref="F7:F20" si="0">SUM(C7:E7)</f>
        <v>4611779.8651732299</v>
      </c>
      <c r="G7" s="85"/>
      <c r="H7" s="91"/>
      <c r="I7" s="90">
        <f>+F7</f>
        <v>4611779.8651732299</v>
      </c>
      <c r="J7" s="90"/>
      <c r="K7" s="90">
        <f>+J7+I7</f>
        <v>4611779.8651732299</v>
      </c>
      <c r="L7" s="92"/>
      <c r="M7" s="86"/>
      <c r="N7" s="86"/>
      <c r="O7" s="86"/>
      <c r="P7" s="86"/>
      <c r="Q7" s="86"/>
      <c r="R7" s="86"/>
    </row>
    <row r="8" spans="1:18">
      <c r="A8" s="89" t="s">
        <v>140</v>
      </c>
      <c r="B8" s="78"/>
      <c r="C8" s="88">
        <f>+'12 Month P&amp;L'!P6</f>
        <v>6510125.96</v>
      </c>
      <c r="D8" s="88">
        <f>+'Restating Entries'!O8</f>
        <v>-1894410.2206863267</v>
      </c>
      <c r="E8" s="90">
        <f>+'Pro Forma Entries'!L8</f>
        <v>0</v>
      </c>
      <c r="F8" s="90">
        <f t="shared" si="0"/>
        <v>4615715.7393136732</v>
      </c>
      <c r="G8" s="85"/>
      <c r="H8" s="91"/>
      <c r="I8" s="90">
        <f t="shared" ref="I8:I11" si="1">+F8</f>
        <v>4615715.7393136732</v>
      </c>
      <c r="J8" s="90"/>
      <c r="K8" s="90">
        <f t="shared" ref="K8:K20" si="2">+J8+I8</f>
        <v>4615715.7393136732</v>
      </c>
      <c r="L8" s="92"/>
      <c r="M8" s="86"/>
      <c r="N8" s="86"/>
      <c r="O8" s="86"/>
      <c r="P8" s="86"/>
      <c r="Q8" s="86"/>
      <c r="R8" s="86"/>
    </row>
    <row r="9" spans="1:18">
      <c r="A9" s="89" t="s">
        <v>141</v>
      </c>
      <c r="B9" s="78"/>
      <c r="C9" s="88">
        <f>+'12 Month P&amp;L'!P7</f>
        <v>5332161.25</v>
      </c>
      <c r="D9" s="88">
        <f>+'Restating Entries'!O9</f>
        <v>-3841159.4146461068</v>
      </c>
      <c r="E9" s="90">
        <f>+'Pro Forma Entries'!L9</f>
        <v>0</v>
      </c>
      <c r="F9" s="90">
        <f t="shared" si="0"/>
        <v>1491001.8353538932</v>
      </c>
      <c r="G9" s="85"/>
      <c r="H9" s="91"/>
      <c r="I9" s="90">
        <f t="shared" si="1"/>
        <v>1491001.8353538932</v>
      </c>
      <c r="J9" s="90"/>
      <c r="K9" s="90">
        <f t="shared" si="2"/>
        <v>1491001.8353538932</v>
      </c>
      <c r="L9" s="92"/>
      <c r="M9" s="86"/>
      <c r="N9" s="86"/>
      <c r="O9" s="270"/>
      <c r="P9" s="86"/>
      <c r="Q9" s="86"/>
      <c r="R9" s="86"/>
    </row>
    <row r="10" spans="1:18">
      <c r="A10" s="89" t="s">
        <v>142</v>
      </c>
      <c r="B10" s="78"/>
      <c r="C10" s="107"/>
      <c r="D10" s="88">
        <f>+'Restating Entries'!O10</f>
        <v>3340241.42</v>
      </c>
      <c r="E10" s="90">
        <f>+'Pro Forma Entries'!L10</f>
        <v>0</v>
      </c>
      <c r="F10" s="90">
        <f t="shared" si="0"/>
        <v>3340241.42</v>
      </c>
      <c r="G10" s="85"/>
      <c r="H10" s="91"/>
      <c r="I10" s="90">
        <f t="shared" si="1"/>
        <v>3340241.42</v>
      </c>
      <c r="J10" s="90"/>
      <c r="K10" s="90">
        <f t="shared" si="2"/>
        <v>3340241.42</v>
      </c>
      <c r="L10" s="92"/>
      <c r="M10" s="86"/>
      <c r="N10" s="86"/>
      <c r="O10" s="86"/>
      <c r="P10" s="86"/>
      <c r="Q10" s="86"/>
      <c r="R10" s="86"/>
    </row>
    <row r="11" spans="1:18">
      <c r="A11" s="89" t="s">
        <v>143</v>
      </c>
      <c r="B11" s="78"/>
      <c r="C11" s="88">
        <f>+'12 Month P&amp;L'!P8</f>
        <v>498664.1</v>
      </c>
      <c r="D11" s="88">
        <f>+'Restating Entries'!O11</f>
        <v>887961.76916532556</v>
      </c>
      <c r="E11" s="90">
        <f>+'Pro Forma Entries'!L11</f>
        <v>-224345.61999999994</v>
      </c>
      <c r="F11" s="90">
        <f t="shared" si="0"/>
        <v>1162280.2491653257</v>
      </c>
      <c r="G11" s="85"/>
      <c r="H11" s="91"/>
      <c r="I11" s="90">
        <f t="shared" si="1"/>
        <v>1162280.2491653257</v>
      </c>
      <c r="J11" s="90"/>
      <c r="K11" s="90">
        <f t="shared" si="2"/>
        <v>1162280.2491653257</v>
      </c>
      <c r="L11" s="92"/>
      <c r="M11" s="86"/>
      <c r="N11" s="86"/>
      <c r="O11" s="271"/>
      <c r="P11" s="86"/>
      <c r="Q11" s="86"/>
      <c r="R11" s="86"/>
    </row>
    <row r="12" spans="1:18">
      <c r="A12" s="89" t="s">
        <v>144</v>
      </c>
      <c r="B12" s="78"/>
      <c r="C12" s="88">
        <f>+'12 Month P&amp;L'!P9</f>
        <v>1191960.3799999999</v>
      </c>
      <c r="D12" s="88">
        <f>+'Restating Entries'!O12</f>
        <v>0</v>
      </c>
      <c r="E12" s="90">
        <f>+'Pro Forma Entries'!L12</f>
        <v>0</v>
      </c>
      <c r="F12" s="90">
        <f t="shared" si="0"/>
        <v>1191960.3799999999</v>
      </c>
      <c r="G12" s="85"/>
      <c r="H12" s="90">
        <f>+F12</f>
        <v>1191960.3799999999</v>
      </c>
      <c r="I12" s="91"/>
      <c r="J12" s="90"/>
      <c r="K12" s="90">
        <f t="shared" si="2"/>
        <v>0</v>
      </c>
      <c r="L12" s="92"/>
      <c r="M12" s="86"/>
      <c r="N12" s="86"/>
      <c r="O12" s="86"/>
      <c r="P12" s="86"/>
      <c r="Q12" s="86"/>
      <c r="R12" s="86"/>
    </row>
    <row r="13" spans="1:18">
      <c r="A13" s="89" t="s">
        <v>145</v>
      </c>
      <c r="B13" s="78"/>
      <c r="C13" s="88">
        <f>+'12 Month P&amp;L'!P10</f>
        <v>83427.59</v>
      </c>
      <c r="D13" s="88">
        <f>+'Restating Entries'!O13</f>
        <v>819035.99752523704</v>
      </c>
      <c r="E13" s="90">
        <f>+'Pro Forma Entries'!L13</f>
        <v>0</v>
      </c>
      <c r="F13" s="90">
        <f t="shared" si="0"/>
        <v>902463.587525237</v>
      </c>
      <c r="G13" s="85"/>
      <c r="H13" s="91"/>
      <c r="I13" s="90">
        <f t="shared" ref="I13:I14" si="3">+F13</f>
        <v>902463.587525237</v>
      </c>
      <c r="J13" s="90"/>
      <c r="K13" s="90">
        <f t="shared" si="2"/>
        <v>902463.587525237</v>
      </c>
      <c r="L13" s="92"/>
      <c r="M13" s="86"/>
      <c r="N13" s="86"/>
      <c r="O13" s="86"/>
      <c r="P13" s="86"/>
      <c r="Q13" s="86"/>
      <c r="R13" s="86"/>
    </row>
    <row r="14" spans="1:18">
      <c r="A14" s="89" t="s">
        <v>146</v>
      </c>
      <c r="B14" s="78"/>
      <c r="C14" s="88">
        <f>+'12 Month P&amp;L'!P11</f>
        <v>1334816.57</v>
      </c>
      <c r="D14" s="88">
        <f>+'Restating Entries'!O14</f>
        <v>7698.8951472567569</v>
      </c>
      <c r="E14" s="90">
        <f>+'Pro Forma Entries'!L14</f>
        <v>0</v>
      </c>
      <c r="F14" s="90">
        <f t="shared" si="0"/>
        <v>1342515.4651472569</v>
      </c>
      <c r="G14" s="85"/>
      <c r="H14" s="91"/>
      <c r="I14" s="90">
        <f t="shared" si="3"/>
        <v>1342515.4651472569</v>
      </c>
      <c r="J14" s="90"/>
      <c r="K14" s="90">
        <f t="shared" si="2"/>
        <v>1342515.4651472569</v>
      </c>
      <c r="L14" s="92"/>
      <c r="M14" s="86"/>
      <c r="N14" s="86"/>
      <c r="O14" s="86"/>
      <c r="P14" s="86"/>
      <c r="Q14" s="86"/>
      <c r="R14" s="86"/>
    </row>
    <row r="15" spans="1:18">
      <c r="A15" s="93" t="s">
        <v>484</v>
      </c>
      <c r="B15" s="78"/>
      <c r="C15" s="88">
        <f>+'12 Month P&amp;L'!P12</f>
        <v>895927.08</v>
      </c>
      <c r="D15" s="88">
        <f>+'Restating Entries'!O15</f>
        <v>0</v>
      </c>
      <c r="E15" s="90">
        <f>+'Pro Forma Entries'!L15</f>
        <v>0</v>
      </c>
      <c r="F15" s="90">
        <f t="shared" si="0"/>
        <v>895927.08</v>
      </c>
      <c r="G15" s="85"/>
      <c r="H15" s="90">
        <f>+F15</f>
        <v>895927.08</v>
      </c>
      <c r="I15" s="91"/>
      <c r="J15" s="90"/>
      <c r="K15" s="90">
        <f t="shared" si="2"/>
        <v>0</v>
      </c>
      <c r="L15" s="92"/>
      <c r="M15" s="86"/>
      <c r="N15" s="86"/>
      <c r="O15" s="86"/>
      <c r="P15" s="86"/>
      <c r="Q15" s="86"/>
      <c r="R15" s="86"/>
    </row>
    <row r="16" spans="1:18">
      <c r="A16" s="89" t="s">
        <v>147</v>
      </c>
      <c r="B16" s="78"/>
      <c r="C16" s="88"/>
      <c r="D16" s="88">
        <f>+'Restating Entries'!O16</f>
        <v>0</v>
      </c>
      <c r="E16" s="90">
        <f>+'Pro Forma Entries'!L16</f>
        <v>0</v>
      </c>
      <c r="F16" s="90">
        <f t="shared" si="0"/>
        <v>0</v>
      </c>
      <c r="G16" s="85"/>
      <c r="H16" s="90">
        <f>+F16</f>
        <v>0</v>
      </c>
      <c r="I16" s="91"/>
      <c r="J16" s="90"/>
      <c r="K16" s="90">
        <f t="shared" si="2"/>
        <v>0</v>
      </c>
      <c r="L16" s="92"/>
      <c r="M16" s="86"/>
      <c r="N16" s="86"/>
      <c r="O16" s="86"/>
      <c r="P16" s="86"/>
      <c r="Q16" s="86"/>
      <c r="R16" s="86"/>
    </row>
    <row r="17" spans="1:18">
      <c r="A17" s="89" t="s">
        <v>148</v>
      </c>
      <c r="B17" s="78"/>
      <c r="C17" s="88">
        <f>+'12 Month P&amp;L'!P13</f>
        <v>11713.67</v>
      </c>
      <c r="D17" s="88">
        <f>+'Restating Entries'!O17</f>
        <v>0</v>
      </c>
      <c r="E17" s="90">
        <f>+'Pro Forma Entries'!L17</f>
        <v>0</v>
      </c>
      <c r="F17" s="90">
        <f t="shared" si="0"/>
        <v>11713.67</v>
      </c>
      <c r="G17" s="85"/>
      <c r="H17" s="90">
        <f>+F17</f>
        <v>11713.67</v>
      </c>
      <c r="I17" s="91"/>
      <c r="J17" s="90"/>
      <c r="K17" s="90">
        <f t="shared" si="2"/>
        <v>0</v>
      </c>
      <c r="L17" s="92"/>
      <c r="M17" s="86"/>
      <c r="N17" s="86"/>
      <c r="O17" s="86"/>
      <c r="P17" s="86"/>
      <c r="Q17" s="86"/>
      <c r="R17" s="86"/>
    </row>
    <row r="18" spans="1:18">
      <c r="A18" s="89" t="s">
        <v>149</v>
      </c>
      <c r="B18" s="78"/>
      <c r="C18" s="88">
        <f>+'12 Month P&amp;L'!P16</f>
        <v>33844.019999999997</v>
      </c>
      <c r="D18" s="88">
        <f>+'Restating Entries'!O18</f>
        <v>-3160.1481967190753</v>
      </c>
      <c r="E18" s="90">
        <f>+'Pro Forma Entries'!L18</f>
        <v>0</v>
      </c>
      <c r="F18" s="90">
        <f t="shared" si="0"/>
        <v>30683.871803280923</v>
      </c>
      <c r="G18" s="85"/>
      <c r="H18" s="91"/>
      <c r="I18" s="90">
        <f>+F18</f>
        <v>30683.871803280923</v>
      </c>
      <c r="J18" s="90"/>
      <c r="K18" s="90">
        <f t="shared" si="2"/>
        <v>30683.871803280923</v>
      </c>
      <c r="L18" s="92"/>
      <c r="M18" s="86"/>
      <c r="N18" s="86"/>
      <c r="O18" s="86"/>
      <c r="P18" s="86"/>
      <c r="Q18" s="86"/>
      <c r="R18" s="86"/>
    </row>
    <row r="19" spans="1:18">
      <c r="A19" s="89" t="s">
        <v>150</v>
      </c>
      <c r="B19" s="78"/>
      <c r="C19" s="88">
        <f>+'12 Month P&amp;L'!P17</f>
        <v>2286.7600000000002</v>
      </c>
      <c r="D19" s="88">
        <f>+'Restating Entries'!O19</f>
        <v>0</v>
      </c>
      <c r="E19" s="90">
        <f>+'Pro Forma Entries'!L19</f>
        <v>0</v>
      </c>
      <c r="F19" s="90">
        <f t="shared" si="0"/>
        <v>2286.7600000000002</v>
      </c>
      <c r="G19" s="85"/>
      <c r="H19" s="90">
        <f>+F19</f>
        <v>2286.7600000000002</v>
      </c>
      <c r="I19" s="91"/>
      <c r="J19" s="90"/>
      <c r="K19" s="90">
        <f t="shared" si="2"/>
        <v>0</v>
      </c>
      <c r="L19" s="92"/>
      <c r="M19" s="86"/>
      <c r="N19" s="86"/>
      <c r="O19" s="86"/>
      <c r="P19" s="86"/>
      <c r="Q19" s="86"/>
      <c r="R19" s="86"/>
    </row>
    <row r="20" spans="1:18">
      <c r="A20" s="89" t="s">
        <v>151</v>
      </c>
      <c r="B20" s="78"/>
      <c r="C20" s="94">
        <f>+'12 Month P&amp;L'!P18</f>
        <v>9604.3799999999992</v>
      </c>
      <c r="D20" s="94">
        <f>+'Restating Entries'!O20</f>
        <v>-896.76348189605255</v>
      </c>
      <c r="E20" s="90">
        <f>+'Pro Forma Entries'!L20</f>
        <v>0</v>
      </c>
      <c r="F20" s="95">
        <f t="shared" si="0"/>
        <v>8707.6165181039469</v>
      </c>
      <c r="G20" s="85"/>
      <c r="H20" s="96"/>
      <c r="I20" s="95">
        <f>+F20</f>
        <v>8707.6165181039469</v>
      </c>
      <c r="J20" s="95"/>
      <c r="K20" s="95">
        <f t="shared" si="2"/>
        <v>8707.6165181039469</v>
      </c>
      <c r="L20" s="92"/>
      <c r="M20" s="86"/>
      <c r="N20" s="86"/>
      <c r="O20" s="86"/>
      <c r="P20" s="86"/>
      <c r="Q20" s="86"/>
      <c r="R20" s="86"/>
    </row>
    <row r="21" spans="1:18">
      <c r="A21" s="97" t="s">
        <v>152</v>
      </c>
      <c r="B21" s="78"/>
      <c r="C21" s="88">
        <f>SUM(C7:C20)</f>
        <v>21657619.16</v>
      </c>
      <c r="D21" s="88">
        <f t="shared" ref="D21:F21" si="4">SUM(D7:D20)</f>
        <v>-1825996</v>
      </c>
      <c r="E21" s="88">
        <f t="shared" si="4"/>
        <v>-224345.61999999994</v>
      </c>
      <c r="F21" s="88">
        <f t="shared" si="4"/>
        <v>19607277.540000003</v>
      </c>
      <c r="G21" s="85"/>
      <c r="H21" s="90">
        <f>SUM(H12:H20)</f>
        <v>2101887.8899999997</v>
      </c>
      <c r="I21" s="88">
        <f>SUM(I7:I20)</f>
        <v>17505389.650000002</v>
      </c>
      <c r="J21" s="88">
        <f>SUM(J7:J20)</f>
        <v>0</v>
      </c>
      <c r="K21" s="88">
        <f>SUM(K7:K20)</f>
        <v>17505389.650000002</v>
      </c>
      <c r="L21" s="98"/>
      <c r="M21" s="86"/>
      <c r="N21" s="86"/>
      <c r="O21" s="86"/>
      <c r="P21" s="86"/>
      <c r="Q21" s="86"/>
      <c r="R21" s="86"/>
    </row>
    <row r="22" spans="1:18">
      <c r="A22" s="87" t="s">
        <v>153</v>
      </c>
      <c r="B22" s="78"/>
      <c r="C22" s="88"/>
      <c r="D22" s="78"/>
      <c r="E22" s="90"/>
      <c r="F22" s="91"/>
      <c r="G22" s="90"/>
      <c r="H22" s="91"/>
      <c r="I22" s="91"/>
      <c r="J22" s="91"/>
      <c r="K22" s="92"/>
      <c r="L22" s="92"/>
      <c r="M22" s="86"/>
      <c r="N22" s="86"/>
      <c r="O22" s="86"/>
      <c r="P22" s="86"/>
      <c r="Q22" s="86"/>
      <c r="R22" s="86"/>
    </row>
    <row r="23" spans="1:18">
      <c r="A23" s="89" t="s">
        <v>154</v>
      </c>
      <c r="B23" s="78"/>
      <c r="C23" s="88">
        <f>+'12 Month P&amp;L'!P35+'12 Month P&amp;L'!P24+'12 Month P&amp;L'!P25</f>
        <v>2885098.15</v>
      </c>
      <c r="D23" s="88">
        <f>+'Restating Entries'!O23</f>
        <v>0</v>
      </c>
      <c r="E23" s="90">
        <f>+'Pro Forma Entries'!L23</f>
        <v>300683.44999999972</v>
      </c>
      <c r="F23" s="90">
        <f t="shared" ref="F23:F44" si="5">SUM(C23:E23)</f>
        <v>3185781.5999999996</v>
      </c>
      <c r="G23" s="99" t="s">
        <v>155</v>
      </c>
      <c r="H23" s="90">
        <f>+Allocations!H31+Allocations!I31</f>
        <v>705446.42287367035</v>
      </c>
      <c r="I23" s="90">
        <f t="shared" ref="I23:I38" si="6">+F23-H23</f>
        <v>2480335.1771263294</v>
      </c>
      <c r="J23" s="91"/>
      <c r="K23" s="90">
        <f t="shared" ref="K23:K63" si="7">+J23+I23</f>
        <v>2480335.1771263294</v>
      </c>
      <c r="L23" s="92"/>
      <c r="M23" s="86"/>
      <c r="N23" s="86"/>
      <c r="O23" s="86"/>
      <c r="P23" s="86"/>
      <c r="Q23" s="86"/>
      <c r="R23" s="86"/>
    </row>
    <row r="24" spans="1:18">
      <c r="A24" s="89" t="s">
        <v>156</v>
      </c>
      <c r="B24" s="78"/>
      <c r="C24" s="88">
        <f>+'12 Month P&amp;L'!P46</f>
        <v>122410.46</v>
      </c>
      <c r="D24" s="88">
        <f>+'Restating Entries'!O24</f>
        <v>0</v>
      </c>
      <c r="E24" s="90">
        <f>+'Pro Forma Entries'!L24</f>
        <v>0</v>
      </c>
      <c r="F24" s="90">
        <f t="shared" si="5"/>
        <v>122410.46</v>
      </c>
      <c r="G24" s="99" t="s">
        <v>155</v>
      </c>
      <c r="H24" s="90">
        <f>+Allocations!H32+Allocations!I32</f>
        <v>27106.070651334205</v>
      </c>
      <c r="I24" s="90">
        <f t="shared" si="6"/>
        <v>95304.389348665805</v>
      </c>
      <c r="J24" s="91"/>
      <c r="K24" s="90">
        <f t="shared" si="7"/>
        <v>95304.389348665805</v>
      </c>
      <c r="L24" s="92"/>
      <c r="M24" s="86"/>
      <c r="N24" s="86"/>
      <c r="O24" s="86"/>
      <c r="P24" s="86"/>
      <c r="Q24" s="86"/>
      <c r="R24" s="86"/>
    </row>
    <row r="25" spans="1:18">
      <c r="A25" s="89" t="s">
        <v>157</v>
      </c>
      <c r="B25" s="78"/>
      <c r="C25" s="88">
        <f>+'12 Month P&amp;L'!P268</f>
        <v>44151.8</v>
      </c>
      <c r="D25" s="88">
        <f>+'Restating Entries'!O25</f>
        <v>0</v>
      </c>
      <c r="E25" s="90">
        <f>+'Pro Forma Entries'!L25</f>
        <v>0</v>
      </c>
      <c r="F25" s="90">
        <f t="shared" si="5"/>
        <v>44151.8</v>
      </c>
      <c r="G25" s="99" t="s">
        <v>155</v>
      </c>
      <c r="H25" s="90">
        <f>+Allocations!H33+Allocations!I33</f>
        <v>9776.7936676618774</v>
      </c>
      <c r="I25" s="90">
        <f t="shared" si="6"/>
        <v>34375.006332338126</v>
      </c>
      <c r="J25" s="91"/>
      <c r="K25" s="90">
        <f t="shared" si="7"/>
        <v>34375.006332338126</v>
      </c>
      <c r="L25" s="92"/>
      <c r="M25" s="86"/>
      <c r="N25" s="86"/>
      <c r="O25" s="86"/>
      <c r="P25" s="86"/>
      <c r="Q25" s="86"/>
      <c r="R25" s="86"/>
    </row>
    <row r="26" spans="1:18">
      <c r="A26" s="89" t="s">
        <v>487</v>
      </c>
      <c r="B26" s="78"/>
      <c r="C26" s="88">
        <f>+'12 Month P&amp;L'!P121</f>
        <v>2948.21</v>
      </c>
      <c r="D26" s="88">
        <f>+'Restating Entries'!O26</f>
        <v>0</v>
      </c>
      <c r="E26" s="90">
        <f>+'Pro Forma Entries'!L26</f>
        <v>0</v>
      </c>
      <c r="F26" s="90">
        <f t="shared" si="5"/>
        <v>2948.21</v>
      </c>
      <c r="G26" s="99" t="s">
        <v>155</v>
      </c>
      <c r="H26" s="90">
        <f>+Allocations!H34+Allocations!I34</f>
        <v>652.83954128568757</v>
      </c>
      <c r="I26" s="90">
        <f t="shared" si="6"/>
        <v>2295.3704587143125</v>
      </c>
      <c r="J26" s="91"/>
      <c r="K26" s="90">
        <f t="shared" si="7"/>
        <v>2295.3704587143125</v>
      </c>
      <c r="L26" s="92"/>
      <c r="M26" s="86"/>
      <c r="N26" s="86"/>
      <c r="O26" s="86"/>
      <c r="P26" s="86"/>
      <c r="Q26" s="86"/>
      <c r="R26" s="86"/>
    </row>
    <row r="27" spans="1:18">
      <c r="A27" s="89" t="s">
        <v>158</v>
      </c>
      <c r="B27" s="78"/>
      <c r="C27" s="88">
        <f>+'12 Month P&amp;L'!P58</f>
        <v>2793992.49</v>
      </c>
      <c r="D27" s="88">
        <f>+'Restating Entries'!O27</f>
        <v>0</v>
      </c>
      <c r="E27" s="90">
        <f>+'Pro Forma Entries'!L27</f>
        <v>136603.37803695831</v>
      </c>
      <c r="F27" s="90">
        <f t="shared" si="5"/>
        <v>2930595.8680369584</v>
      </c>
      <c r="G27" s="100" t="s">
        <v>159</v>
      </c>
      <c r="H27" s="90">
        <f>+Allocations!H35+Allocations!I35</f>
        <v>206610.11284474685</v>
      </c>
      <c r="I27" s="90">
        <f t="shared" si="6"/>
        <v>2723985.7551922114</v>
      </c>
      <c r="J27" s="91"/>
      <c r="K27" s="90">
        <f t="shared" si="7"/>
        <v>2723985.7551922114</v>
      </c>
      <c r="L27" s="92"/>
      <c r="M27" s="86"/>
      <c r="N27" s="86"/>
      <c r="O27" s="86"/>
      <c r="P27" s="86"/>
      <c r="Q27" s="86"/>
      <c r="R27" s="86"/>
    </row>
    <row r="28" spans="1:18">
      <c r="A28" s="89" t="s">
        <v>160</v>
      </c>
      <c r="B28" s="78"/>
      <c r="C28" s="88">
        <f>+'12 Month P&amp;L'!P133</f>
        <v>325578.12</v>
      </c>
      <c r="D28" s="88">
        <f>+'Restating Entries'!O28</f>
        <v>12084.01999999996</v>
      </c>
      <c r="E28" s="90">
        <f>+'Pro Forma Entries'!L28</f>
        <v>0</v>
      </c>
      <c r="F28" s="90">
        <f t="shared" si="5"/>
        <v>337662.13999999996</v>
      </c>
      <c r="G28" s="99" t="s">
        <v>155</v>
      </c>
      <c r="H28" s="90">
        <f>+Allocations!H36+Allocations!I36</f>
        <v>74770.520616626221</v>
      </c>
      <c r="I28" s="90">
        <f t="shared" si="6"/>
        <v>262891.61938337376</v>
      </c>
      <c r="J28" s="91"/>
      <c r="K28" s="90">
        <f t="shared" si="7"/>
        <v>262891.61938337376</v>
      </c>
      <c r="L28" s="92"/>
      <c r="M28" s="86"/>
      <c r="N28" s="86"/>
      <c r="O28" s="86"/>
      <c r="P28" s="86"/>
      <c r="Q28" s="86"/>
      <c r="R28" s="86"/>
    </row>
    <row r="29" spans="1:18">
      <c r="A29" s="89" t="s">
        <v>161</v>
      </c>
      <c r="B29" s="78"/>
      <c r="C29" s="88">
        <f>+'12 Month P&amp;L'!P138</f>
        <v>74364.37</v>
      </c>
      <c r="D29" s="88">
        <f>+'Restating Entries'!O29</f>
        <v>0</v>
      </c>
      <c r="E29" s="90">
        <f>+'Pro Forma Entries'!L29</f>
        <v>0</v>
      </c>
      <c r="F29" s="90">
        <f t="shared" si="5"/>
        <v>74364.37</v>
      </c>
      <c r="G29" s="99" t="s">
        <v>155</v>
      </c>
      <c r="H29" s="90">
        <f>+Allocations!H37+Allocations!I37</f>
        <v>16466.941364013808</v>
      </c>
      <c r="I29" s="90">
        <f t="shared" si="6"/>
        <v>57897.428635986187</v>
      </c>
      <c r="J29" s="91"/>
      <c r="K29" s="90">
        <f t="shared" si="7"/>
        <v>57897.428635986187</v>
      </c>
      <c r="L29" s="92"/>
      <c r="M29" s="86"/>
      <c r="N29" s="86"/>
      <c r="O29" s="86"/>
      <c r="P29" s="86"/>
      <c r="Q29" s="86"/>
      <c r="R29" s="86"/>
    </row>
    <row r="30" spans="1:18">
      <c r="A30" s="89" t="s">
        <v>162</v>
      </c>
      <c r="B30" s="78"/>
      <c r="C30" s="88">
        <f>+'12 Month P&amp;L'!P149-'12 Month P&amp;L'!P143</f>
        <v>4833563.09</v>
      </c>
      <c r="D30" s="88">
        <f>+'Restating Entries'!O30</f>
        <v>21476</v>
      </c>
      <c r="E30" s="90">
        <f>+'Pro Forma Entries'!L30</f>
        <v>0</v>
      </c>
      <c r="F30" s="90">
        <f t="shared" si="5"/>
        <v>4855039.09</v>
      </c>
      <c r="G30" s="100" t="s">
        <v>163</v>
      </c>
      <c r="H30" s="90">
        <f>+Allocations!H38+Allocations!I38</f>
        <v>301781.81</v>
      </c>
      <c r="I30" s="90">
        <f t="shared" si="6"/>
        <v>4553257.28</v>
      </c>
      <c r="J30" s="91"/>
      <c r="K30" s="90">
        <f t="shared" si="7"/>
        <v>4553257.28</v>
      </c>
      <c r="L30" s="92"/>
      <c r="M30" s="86"/>
      <c r="N30" s="86"/>
      <c r="O30" s="86"/>
      <c r="P30" s="86"/>
      <c r="Q30" s="86"/>
      <c r="R30" s="86"/>
    </row>
    <row r="31" spans="1:18">
      <c r="A31" s="89" t="s">
        <v>164</v>
      </c>
      <c r="B31" s="78"/>
      <c r="C31" s="88">
        <f>+'12 Month P&amp;L'!P143</f>
        <v>3361717.37</v>
      </c>
      <c r="D31" s="88">
        <f>+'Restating Entries'!O31</f>
        <v>-21476</v>
      </c>
      <c r="E31" s="90">
        <f>+'Pro Forma Entries'!L31</f>
        <v>0</v>
      </c>
      <c r="F31" s="90">
        <f t="shared" si="5"/>
        <v>3340241.37</v>
      </c>
      <c r="G31" s="100" t="s">
        <v>163</v>
      </c>
      <c r="H31" s="90">
        <f>+Allocations!H39+Allocations!I39</f>
        <v>0</v>
      </c>
      <c r="I31" s="90">
        <f t="shared" si="6"/>
        <v>3340241.37</v>
      </c>
      <c r="J31" s="91"/>
      <c r="K31" s="90">
        <f t="shared" si="7"/>
        <v>3340241.37</v>
      </c>
      <c r="L31" s="92"/>
      <c r="M31" s="86"/>
      <c r="N31" s="86"/>
      <c r="O31" s="86"/>
      <c r="P31" s="86"/>
      <c r="Q31" s="86"/>
      <c r="R31" s="86"/>
    </row>
    <row r="32" spans="1:18">
      <c r="A32" s="89" t="s">
        <v>165</v>
      </c>
      <c r="B32" s="78"/>
      <c r="C32" s="88">
        <f>+'12 Month P&amp;L'!P155</f>
        <v>718186.83</v>
      </c>
      <c r="D32" s="88">
        <f>+'Restating Entries'!O32</f>
        <v>0</v>
      </c>
      <c r="E32" s="90">
        <f>+'Pro Forma Entries'!L32</f>
        <v>0</v>
      </c>
      <c r="F32" s="90">
        <f t="shared" si="5"/>
        <v>718186.83</v>
      </c>
      <c r="G32" s="100" t="s">
        <v>163</v>
      </c>
      <c r="H32" s="90">
        <f>+Allocations!H40+Allocations!I40</f>
        <v>50022.92</v>
      </c>
      <c r="I32" s="90">
        <f t="shared" si="6"/>
        <v>668163.90999999992</v>
      </c>
      <c r="J32" s="91"/>
      <c r="K32" s="90">
        <f t="shared" si="7"/>
        <v>668163.90999999992</v>
      </c>
      <c r="L32" s="92"/>
      <c r="M32" s="86"/>
      <c r="N32" s="86"/>
      <c r="O32" s="86"/>
      <c r="P32" s="86"/>
      <c r="Q32" s="86"/>
      <c r="R32" s="86"/>
    </row>
    <row r="33" spans="1:18">
      <c r="A33" s="89" t="s">
        <v>166</v>
      </c>
      <c r="B33" s="78"/>
      <c r="C33" s="88">
        <f>+'12 Month P&amp;L'!P83</f>
        <v>684501.74</v>
      </c>
      <c r="D33" s="88">
        <f>+'Restating Entries'!O33</f>
        <v>0</v>
      </c>
      <c r="E33" s="90">
        <f>+'Pro Forma Entries'!L33</f>
        <v>11064</v>
      </c>
      <c r="F33" s="90">
        <f t="shared" si="5"/>
        <v>695565.74</v>
      </c>
      <c r="G33" s="100" t="s">
        <v>159</v>
      </c>
      <c r="H33" s="90">
        <f>+Allocations!H41+Allocations!I41</f>
        <v>49038.121427709419</v>
      </c>
      <c r="I33" s="90">
        <f t="shared" si="6"/>
        <v>646527.61857229052</v>
      </c>
      <c r="J33" s="91"/>
      <c r="K33" s="90">
        <f t="shared" si="7"/>
        <v>646527.61857229052</v>
      </c>
      <c r="L33" s="92"/>
      <c r="M33" s="86"/>
      <c r="N33" s="86"/>
      <c r="O33" s="86"/>
      <c r="P33" s="86"/>
      <c r="Q33" s="86"/>
      <c r="R33" s="86"/>
    </row>
    <row r="34" spans="1:18">
      <c r="A34" s="89" t="s">
        <v>167</v>
      </c>
      <c r="B34" s="78"/>
      <c r="C34" s="88">
        <f>+'12 Month P&amp;L'!P170+'12 Month P&amp;L'!P173</f>
        <v>34199.360000000001</v>
      </c>
      <c r="D34" s="88">
        <f>+'Restating Entries'!O34</f>
        <v>-3852.7864</v>
      </c>
      <c r="E34" s="90">
        <f>+'Pro Forma Entries'!L34</f>
        <v>0</v>
      </c>
      <c r="F34" s="90">
        <f t="shared" si="5"/>
        <v>30346.5736</v>
      </c>
      <c r="G34" s="100" t="s">
        <v>168</v>
      </c>
      <c r="H34" s="90">
        <f>+Allocations!H42+Allocations!I42</f>
        <v>20.157220211914595</v>
      </c>
      <c r="I34" s="90">
        <f t="shared" si="6"/>
        <v>30326.416379788086</v>
      </c>
      <c r="J34" s="91"/>
      <c r="K34" s="90">
        <f t="shared" si="7"/>
        <v>30326.416379788086</v>
      </c>
      <c r="L34" s="92"/>
      <c r="M34" s="86"/>
      <c r="N34" s="86"/>
      <c r="O34" s="86"/>
      <c r="P34" s="86"/>
      <c r="Q34" s="86"/>
      <c r="R34" s="86"/>
    </row>
    <row r="35" spans="1:18">
      <c r="A35" s="89" t="s">
        <v>169</v>
      </c>
      <c r="B35" s="78"/>
      <c r="C35" s="88">
        <f>+'12 Month P&amp;L'!P171</f>
        <v>2264.81</v>
      </c>
      <c r="D35" s="88">
        <f>+'Restating Entries'!O35</f>
        <v>-2264.81</v>
      </c>
      <c r="E35" s="90">
        <f>+'Pro Forma Entries'!L35</f>
        <v>0</v>
      </c>
      <c r="F35" s="90">
        <f t="shared" si="5"/>
        <v>0</v>
      </c>
      <c r="G35" s="100" t="s">
        <v>168</v>
      </c>
      <c r="H35" s="90">
        <f>+Allocations!H43+Allocations!I43</f>
        <v>0</v>
      </c>
      <c r="I35" s="90">
        <f t="shared" si="6"/>
        <v>0</v>
      </c>
      <c r="J35" s="91"/>
      <c r="K35" s="90">
        <f t="shared" si="7"/>
        <v>0</v>
      </c>
      <c r="L35" s="92"/>
      <c r="M35" s="86"/>
      <c r="N35" s="86"/>
      <c r="O35" s="86"/>
      <c r="P35" s="86"/>
      <c r="Q35" s="86"/>
      <c r="R35" s="86"/>
    </row>
    <row r="36" spans="1:18">
      <c r="A36" s="89" t="s">
        <v>170</v>
      </c>
      <c r="B36" s="78"/>
      <c r="C36" s="88">
        <f>+'12 Month P&amp;L'!P172</f>
        <v>2980.53</v>
      </c>
      <c r="D36" s="88">
        <f>+'Restating Entries'!O36</f>
        <v>-2980.53</v>
      </c>
      <c r="E36" s="90">
        <f>+'Pro Forma Entries'!L36</f>
        <v>0</v>
      </c>
      <c r="F36" s="90">
        <f t="shared" si="5"/>
        <v>0</v>
      </c>
      <c r="G36" s="100" t="s">
        <v>168</v>
      </c>
      <c r="H36" s="90">
        <f>+Allocations!H44+Allocations!I44</f>
        <v>0</v>
      </c>
      <c r="I36" s="90">
        <f t="shared" si="6"/>
        <v>0</v>
      </c>
      <c r="J36" s="91"/>
      <c r="K36" s="90">
        <f t="shared" si="7"/>
        <v>0</v>
      </c>
      <c r="L36" s="92"/>
      <c r="M36" s="86"/>
      <c r="N36" s="86"/>
      <c r="O36" s="86"/>
      <c r="P36" s="86"/>
      <c r="Q36" s="86"/>
      <c r="R36" s="86"/>
    </row>
    <row r="37" spans="1:18">
      <c r="A37" s="89" t="s">
        <v>171</v>
      </c>
      <c r="B37" s="78"/>
      <c r="C37" s="88"/>
      <c r="D37" s="88">
        <f>+'Restating Entries'!O37</f>
        <v>0</v>
      </c>
      <c r="E37" s="90">
        <f>+'Pro Forma Entries'!L37</f>
        <v>0</v>
      </c>
      <c r="F37" s="90">
        <f t="shared" si="5"/>
        <v>0</v>
      </c>
      <c r="G37" s="100" t="s">
        <v>168</v>
      </c>
      <c r="H37" s="90">
        <f>+Allocations!H45+Allocations!I45</f>
        <v>0</v>
      </c>
      <c r="I37" s="90"/>
      <c r="J37" s="91"/>
      <c r="K37" s="90">
        <f t="shared" si="7"/>
        <v>0</v>
      </c>
      <c r="L37" s="92"/>
      <c r="M37" s="86"/>
      <c r="N37" s="86"/>
      <c r="O37" s="86"/>
      <c r="P37" s="86"/>
      <c r="Q37" s="86"/>
      <c r="R37" s="86"/>
    </row>
    <row r="38" spans="1:18">
      <c r="A38" s="89" t="s">
        <v>172</v>
      </c>
      <c r="B38" s="78"/>
      <c r="C38" s="88">
        <f>+'12 Month P&amp;L'!P163</f>
        <v>1191.17</v>
      </c>
      <c r="D38" s="88">
        <f>+'Restating Entries'!O38</f>
        <v>0</v>
      </c>
      <c r="E38" s="90">
        <f>+'Pro Forma Entries'!L38</f>
        <v>0</v>
      </c>
      <c r="F38" s="90">
        <f t="shared" si="5"/>
        <v>1191.17</v>
      </c>
      <c r="G38" s="100" t="s">
        <v>159</v>
      </c>
      <c r="H38" s="90">
        <f>+Allocations!H46+Allocations!I46</f>
        <v>162.56797919592105</v>
      </c>
      <c r="I38" s="90">
        <f t="shared" si="6"/>
        <v>1028.6020208040791</v>
      </c>
      <c r="J38" s="91"/>
      <c r="K38" s="90">
        <f t="shared" si="7"/>
        <v>1028.6020208040791</v>
      </c>
      <c r="L38" s="92"/>
      <c r="M38" s="86"/>
      <c r="N38" s="86"/>
      <c r="O38" s="86"/>
      <c r="P38" s="86"/>
      <c r="Q38" s="86"/>
      <c r="R38" s="86"/>
    </row>
    <row r="39" spans="1:18">
      <c r="A39" s="89" t="s">
        <v>173</v>
      </c>
      <c r="B39" s="78"/>
      <c r="C39" s="88">
        <f>+'12 Month P&amp;L'!P176+'12 Month P&amp;L'!P187</f>
        <v>501270.09</v>
      </c>
      <c r="D39" s="88">
        <f>+'Restating Entries'!O39</f>
        <v>-7974.3060000000405</v>
      </c>
      <c r="E39" s="90">
        <f>+'Pro Forma Entries'!L39</f>
        <v>0</v>
      </c>
      <c r="F39" s="90">
        <f t="shared" si="5"/>
        <v>493295.78399999999</v>
      </c>
      <c r="G39" s="100" t="s">
        <v>168</v>
      </c>
      <c r="H39" s="90">
        <f>+Allocations!H47+Allocations!I47</f>
        <v>327.66373821185056</v>
      </c>
      <c r="I39" s="90">
        <f>+F39-H39</f>
        <v>492968.12026178814</v>
      </c>
      <c r="J39" s="91"/>
      <c r="K39" s="90">
        <f t="shared" si="7"/>
        <v>492968.12026178814</v>
      </c>
      <c r="L39" s="92"/>
      <c r="M39" s="86"/>
      <c r="N39" s="86"/>
      <c r="O39" s="86"/>
      <c r="P39" s="86"/>
      <c r="Q39" s="86"/>
      <c r="R39" s="86"/>
    </row>
    <row r="40" spans="1:18">
      <c r="A40" s="89" t="s">
        <v>174</v>
      </c>
      <c r="B40" s="78"/>
      <c r="C40" s="88">
        <f>+'12 Month P&amp;L'!P190</f>
        <v>3900</v>
      </c>
      <c r="D40" s="88">
        <f>+'Restating Entries'!O40</f>
        <v>0</v>
      </c>
      <c r="E40" s="90">
        <f>+'Pro Forma Entries'!L40</f>
        <v>0</v>
      </c>
      <c r="F40" s="90">
        <f t="shared" si="5"/>
        <v>3900</v>
      </c>
      <c r="G40" s="100" t="s">
        <v>168</v>
      </c>
      <c r="H40" s="90">
        <f>+Allocations!H48+Allocations!I48</f>
        <v>2.5905118601747814</v>
      </c>
      <c r="I40" s="90">
        <f>+F40-H40</f>
        <v>3897.409488139825</v>
      </c>
      <c r="J40" s="91"/>
      <c r="K40" s="90">
        <f t="shared" si="7"/>
        <v>3897.409488139825</v>
      </c>
      <c r="L40" s="92"/>
      <c r="M40" s="86"/>
      <c r="N40" s="86"/>
      <c r="O40" s="86"/>
      <c r="P40" s="86"/>
      <c r="Q40" s="86"/>
      <c r="R40" s="86"/>
    </row>
    <row r="41" spans="1:18">
      <c r="A41" s="89" t="s">
        <v>175</v>
      </c>
      <c r="B41" s="78"/>
      <c r="C41" s="88"/>
      <c r="D41" s="88">
        <f>+'Restating Entries'!O41</f>
        <v>0</v>
      </c>
      <c r="E41" s="90"/>
      <c r="F41" s="90">
        <f t="shared" si="5"/>
        <v>0</v>
      </c>
      <c r="G41" s="91"/>
      <c r="H41" s="90">
        <f>+Allocations!H49+Allocations!I49</f>
        <v>0</v>
      </c>
      <c r="I41" s="90"/>
      <c r="J41" s="91"/>
      <c r="K41" s="90">
        <f t="shared" si="7"/>
        <v>0</v>
      </c>
      <c r="L41" s="92"/>
      <c r="M41" s="86"/>
      <c r="N41" s="86"/>
      <c r="O41" s="86"/>
      <c r="P41" s="86"/>
      <c r="Q41" s="86"/>
      <c r="R41" s="86"/>
    </row>
    <row r="42" spans="1:18">
      <c r="A42" s="89" t="s">
        <v>176</v>
      </c>
      <c r="B42" s="78"/>
      <c r="C42" s="88">
        <f>+'12 Month P&amp;L'!P72</f>
        <v>209496.56</v>
      </c>
      <c r="D42" s="88">
        <f>+'Restating Entries'!O42</f>
        <v>0</v>
      </c>
      <c r="E42" s="90">
        <f>+'Pro Forma Entries'!L42</f>
        <v>8149.4161839999724</v>
      </c>
      <c r="F42" s="90">
        <f t="shared" si="5"/>
        <v>217645.97618399997</v>
      </c>
      <c r="G42" s="100" t="s">
        <v>168</v>
      </c>
      <c r="H42" s="90">
        <f>+Allocations!H50+Allocations!I50</f>
        <v>144.56781605742819</v>
      </c>
      <c r="I42" s="90">
        <f>+F42-H42</f>
        <v>217501.40836794255</v>
      </c>
      <c r="J42" s="91"/>
      <c r="K42" s="90">
        <f t="shared" si="7"/>
        <v>217501.40836794255</v>
      </c>
      <c r="L42" s="92"/>
      <c r="M42" s="86"/>
      <c r="N42" s="86"/>
      <c r="O42" s="86"/>
      <c r="P42" s="86"/>
      <c r="Q42" s="86"/>
      <c r="R42" s="86"/>
    </row>
    <row r="43" spans="1:18">
      <c r="A43" s="89" t="s">
        <v>177</v>
      </c>
      <c r="B43" s="78"/>
      <c r="C43" s="88">
        <f>+'12 Month P&amp;L'!P160</f>
        <v>540033.94999999995</v>
      </c>
      <c r="D43" s="88">
        <f>+'Restating Entries'!O43</f>
        <v>0</v>
      </c>
      <c r="E43" s="90">
        <f>+'Pro Forma Entries'!L43</f>
        <v>-18996.159999999916</v>
      </c>
      <c r="F43" s="90">
        <f t="shared" si="5"/>
        <v>521037.79000000004</v>
      </c>
      <c r="G43" s="100" t="s">
        <v>168</v>
      </c>
      <c r="H43" s="90">
        <f>+Allocations!H51+Allocations!I51</f>
        <v>346.09091656263007</v>
      </c>
      <c r="I43" s="90">
        <f>+F43-H43</f>
        <v>520691.69908343739</v>
      </c>
      <c r="J43" s="91"/>
      <c r="K43" s="90">
        <f t="shared" si="7"/>
        <v>520691.69908343739</v>
      </c>
      <c r="L43" s="92"/>
      <c r="M43" s="86"/>
      <c r="N43" s="86"/>
      <c r="O43" s="86"/>
      <c r="P43" s="86"/>
      <c r="Q43" s="86"/>
      <c r="R43" s="86"/>
    </row>
    <row r="44" spans="1:18">
      <c r="A44" s="89" t="s">
        <v>178</v>
      </c>
      <c r="B44" s="78"/>
      <c r="C44" s="88">
        <f>+'12 Month P&amp;L'!P220-'12 Month P&amp;L'!P218-'12 Month P&amp;L'!P216</f>
        <v>203368.56999999998</v>
      </c>
      <c r="D44" s="88">
        <f>+'Restating Entries'!O44</f>
        <v>-8400</v>
      </c>
      <c r="E44" s="90">
        <f>+'Pro Forma Entries'!L44</f>
        <v>0</v>
      </c>
      <c r="F44" s="90">
        <f t="shared" si="5"/>
        <v>194968.56999999998</v>
      </c>
      <c r="G44" s="100" t="s">
        <v>168</v>
      </c>
      <c r="H44" s="90">
        <f>+Allocations!H52+Allocations!I52</f>
        <v>129.50471614008129</v>
      </c>
      <c r="I44" s="90">
        <f>+F44-H44</f>
        <v>194839.06528385991</v>
      </c>
      <c r="J44" s="91"/>
      <c r="K44" s="90">
        <f t="shared" si="7"/>
        <v>194839.06528385991</v>
      </c>
      <c r="L44" s="92"/>
      <c r="M44" s="86"/>
      <c r="N44" s="86"/>
      <c r="O44" s="86"/>
      <c r="P44" s="86"/>
      <c r="Q44" s="86"/>
      <c r="R44" s="86"/>
    </row>
    <row r="45" spans="1:18">
      <c r="A45" s="89" t="s">
        <v>1480</v>
      </c>
      <c r="B45" s="78"/>
      <c r="C45" s="88">
        <f>+'12 Month P&amp;L'!P216</f>
        <v>17511.98</v>
      </c>
      <c r="D45" s="88"/>
      <c r="E45" s="90">
        <f>+'Pro Forma Entries'!L45</f>
        <v>0</v>
      </c>
      <c r="F45" s="90"/>
      <c r="G45" s="100" t="s">
        <v>168</v>
      </c>
      <c r="H45" s="90">
        <v>0</v>
      </c>
      <c r="I45" s="90"/>
      <c r="J45" s="91"/>
      <c r="K45" s="90"/>
      <c r="L45" s="92"/>
      <c r="M45" s="86"/>
      <c r="N45" s="86"/>
      <c r="O45" s="86"/>
      <c r="P45" s="86"/>
      <c r="Q45" s="86"/>
      <c r="R45" s="86"/>
    </row>
    <row r="46" spans="1:18">
      <c r="A46" s="89" t="s">
        <v>179</v>
      </c>
      <c r="B46" s="78"/>
      <c r="C46" s="88">
        <f>+'12 Month P&amp;L'!P218</f>
        <v>9309</v>
      </c>
      <c r="D46" s="88">
        <f>+'Restating Entries'!O46</f>
        <v>-9309</v>
      </c>
      <c r="E46" s="90">
        <f>+'Pro Forma Entries'!L46</f>
        <v>0</v>
      </c>
      <c r="F46" s="90">
        <f>SUM(C46:E46)</f>
        <v>0</v>
      </c>
      <c r="G46" s="100" t="s">
        <v>168</v>
      </c>
      <c r="H46" s="90">
        <v>0</v>
      </c>
      <c r="I46" s="90"/>
      <c r="J46" s="91"/>
      <c r="K46" s="90">
        <f t="shared" si="7"/>
        <v>0</v>
      </c>
      <c r="L46" s="92"/>
      <c r="M46" s="86"/>
      <c r="N46" s="86"/>
      <c r="O46" s="86"/>
      <c r="P46" s="86"/>
      <c r="Q46" s="86"/>
      <c r="R46" s="86"/>
    </row>
    <row r="47" spans="1:18">
      <c r="A47" s="89" t="s">
        <v>180</v>
      </c>
      <c r="B47" s="78"/>
      <c r="C47" s="88">
        <f>+'12 Month P&amp;L'!P228-'12 Month P&amp;L'!P224</f>
        <v>56640.98000000001</v>
      </c>
      <c r="D47" s="88">
        <f>+'Restating Entries'!O47</f>
        <v>0</v>
      </c>
      <c r="E47" s="90">
        <f>+'Pro Forma Entries'!L47</f>
        <v>0</v>
      </c>
      <c r="F47" s="90">
        <f>SUM(C47:E47)</f>
        <v>56640.98000000001</v>
      </c>
      <c r="G47" s="100" t="s">
        <v>168</v>
      </c>
      <c r="H47" s="90">
        <f>+Allocations!H54+Allocations!I54</f>
        <v>37.622853964595542</v>
      </c>
      <c r="I47" s="90">
        <f t="shared" ref="I47:I63" si="8">+F47-H47</f>
        <v>56603.357146035414</v>
      </c>
      <c r="J47" s="91"/>
      <c r="K47" s="90">
        <f t="shared" si="7"/>
        <v>56603.357146035414</v>
      </c>
      <c r="L47" s="92"/>
      <c r="M47" s="86"/>
      <c r="N47" s="86"/>
      <c r="O47" s="86"/>
      <c r="P47" s="86"/>
      <c r="Q47" s="86"/>
      <c r="R47" s="86"/>
    </row>
    <row r="48" spans="1:18">
      <c r="A48" s="89" t="s">
        <v>1489</v>
      </c>
      <c r="B48" s="78"/>
      <c r="C48" s="88">
        <f>+'12 Month P&amp;L'!P224</f>
        <v>80100.22</v>
      </c>
      <c r="D48" s="88"/>
      <c r="E48" s="90">
        <f>+'Pro Forma Entries'!L48</f>
        <v>24064.74</v>
      </c>
      <c r="F48" s="90">
        <f>SUM(C48:E48)</f>
        <v>104164.96</v>
      </c>
      <c r="G48" s="100" t="s">
        <v>168</v>
      </c>
      <c r="H48" s="90">
        <f>+Allocations!H55+Allocations!I55</f>
        <v>23065.861897368912</v>
      </c>
      <c r="I48" s="90">
        <f t="shared" ref="I48" si="9">+F48-H48</f>
        <v>81099.098102631091</v>
      </c>
      <c r="J48" s="91"/>
      <c r="K48" s="90">
        <f t="shared" ref="K48" si="10">+J48+I48</f>
        <v>81099.098102631091</v>
      </c>
      <c r="L48" s="92"/>
      <c r="M48" s="86"/>
      <c r="N48" s="86"/>
      <c r="O48" s="86"/>
      <c r="P48" s="86"/>
      <c r="Q48" s="86"/>
      <c r="R48" s="86"/>
    </row>
    <row r="49" spans="1:18">
      <c r="A49" s="89" t="s">
        <v>181</v>
      </c>
      <c r="B49" s="78"/>
      <c r="C49" s="88">
        <f>+'12 Month P&amp;L'!P235</f>
        <v>35268.43</v>
      </c>
      <c r="D49" s="88">
        <f>+'Restating Entries'!O49</f>
        <v>0</v>
      </c>
      <c r="E49" s="90">
        <f>+'Pro Forma Entries'!L49</f>
        <v>0</v>
      </c>
      <c r="F49" s="90">
        <f t="shared" ref="F49:F63" si="11">SUM(C49:E49)</f>
        <v>35268.43</v>
      </c>
      <c r="G49" s="100" t="s">
        <v>168</v>
      </c>
      <c r="H49" s="90">
        <f>+Allocations!H56+Allocations!I56</f>
        <v>23.426483642242069</v>
      </c>
      <c r="I49" s="90">
        <f t="shared" si="8"/>
        <v>35245.003516357756</v>
      </c>
      <c r="J49" s="91"/>
      <c r="K49" s="90">
        <f t="shared" si="7"/>
        <v>35245.003516357756</v>
      </c>
      <c r="L49" s="92"/>
      <c r="M49" s="86"/>
      <c r="N49" s="86"/>
      <c r="O49" s="86"/>
      <c r="P49" s="86"/>
      <c r="Q49" s="86"/>
      <c r="R49" s="86"/>
    </row>
    <row r="50" spans="1:18">
      <c r="A50" s="89" t="s">
        <v>182</v>
      </c>
      <c r="B50" s="78"/>
      <c r="C50" s="88">
        <f>+'12 Month P&amp;L'!P159</f>
        <v>76363.66</v>
      </c>
      <c r="D50" s="88">
        <f>+'Restating Entries'!O50</f>
        <v>0</v>
      </c>
      <c r="E50" s="90">
        <f>+'Pro Forma Entries'!L50</f>
        <v>-484.86099999998987</v>
      </c>
      <c r="F50" s="90">
        <f t="shared" si="11"/>
        <v>75878.799000000014</v>
      </c>
      <c r="G50" s="100" t="s">
        <v>168</v>
      </c>
      <c r="H50" s="90">
        <f>+Allocations!H57+Allocations!I57</f>
        <v>50.401263780850869</v>
      </c>
      <c r="I50" s="90">
        <f t="shared" si="8"/>
        <v>75828.397736219165</v>
      </c>
      <c r="J50" s="91"/>
      <c r="K50" s="90">
        <f t="shared" si="7"/>
        <v>75828.397736219165</v>
      </c>
      <c r="L50" s="92"/>
      <c r="M50" s="86"/>
      <c r="N50" s="86"/>
      <c r="O50" s="86"/>
      <c r="P50" s="86"/>
      <c r="Q50" s="86"/>
      <c r="R50" s="86"/>
    </row>
    <row r="51" spans="1:18">
      <c r="A51" s="89" t="s">
        <v>183</v>
      </c>
      <c r="B51" s="78"/>
      <c r="C51" s="88">
        <f>+'12 Month P&amp;L'!P166</f>
        <v>156371.6</v>
      </c>
      <c r="D51" s="88">
        <f>+'Restating Entries'!O51</f>
        <v>0</v>
      </c>
      <c r="E51" s="90">
        <f>+'Pro Forma Entries'!L51</f>
        <v>0</v>
      </c>
      <c r="F51" s="90">
        <f t="shared" si="11"/>
        <v>156371.6</v>
      </c>
      <c r="G51" s="100" t="s">
        <v>168</v>
      </c>
      <c r="H51" s="90">
        <f>+Allocations!H58+Allocations!I58</f>
        <v>103.86730369089921</v>
      </c>
      <c r="I51" s="90">
        <f t="shared" si="8"/>
        <v>156267.7326963091</v>
      </c>
      <c r="J51" s="91"/>
      <c r="K51" s="90">
        <f t="shared" si="7"/>
        <v>156267.7326963091</v>
      </c>
      <c r="L51" s="92"/>
      <c r="M51" s="86"/>
      <c r="N51" s="86"/>
      <c r="O51" s="86"/>
      <c r="P51" s="86"/>
      <c r="Q51" s="86"/>
      <c r="R51" s="86"/>
    </row>
    <row r="52" spans="1:18">
      <c r="A52" s="89" t="s">
        <v>184</v>
      </c>
      <c r="B52" s="78"/>
      <c r="C52" s="88">
        <f>+'12 Month P&amp;L'!P201</f>
        <v>606249.04</v>
      </c>
      <c r="D52" s="88">
        <f>+'Restating Entries'!O52</f>
        <v>0</v>
      </c>
      <c r="E52" s="90">
        <f>+'Pro Forma Entries'!L41</f>
        <v>34296.698999999986</v>
      </c>
      <c r="F52" s="90">
        <f t="shared" si="11"/>
        <v>640545.73900000006</v>
      </c>
      <c r="G52" s="100" t="s">
        <v>159</v>
      </c>
      <c r="H52" s="90">
        <f>+Allocations!H59+Allocations!I59</f>
        <v>45159.153078879172</v>
      </c>
      <c r="I52" s="90">
        <f t="shared" si="8"/>
        <v>595386.58592112083</v>
      </c>
      <c r="J52" s="91"/>
      <c r="K52" s="90">
        <f t="shared" si="7"/>
        <v>595386.58592112083</v>
      </c>
      <c r="L52" s="92"/>
      <c r="M52" s="86"/>
      <c r="N52" s="86"/>
      <c r="O52" s="86"/>
      <c r="P52" s="86"/>
      <c r="Q52" s="86"/>
      <c r="R52" s="86"/>
    </row>
    <row r="53" spans="1:18">
      <c r="A53" s="89" t="s">
        <v>486</v>
      </c>
      <c r="B53" s="78"/>
      <c r="C53" s="88">
        <f>+'12 Month P&amp;L'!P118+'12 Month P&amp;L'!P167</f>
        <v>3576.58</v>
      </c>
      <c r="D53" s="88">
        <f>+'Restating Entries'!O53</f>
        <v>0</v>
      </c>
      <c r="E53" s="90">
        <f>+'Pro Forma Entries'!L53</f>
        <v>0</v>
      </c>
      <c r="F53" s="90">
        <f t="shared" si="11"/>
        <v>3576.58</v>
      </c>
      <c r="G53" s="100"/>
      <c r="H53" s="90">
        <f>+Allocations!H60+Allocations!I60</f>
        <v>488.12292370740306</v>
      </c>
      <c r="I53" s="90"/>
      <c r="J53" s="91"/>
      <c r="K53" s="90"/>
      <c r="L53" s="92"/>
      <c r="M53" s="86"/>
      <c r="N53" s="86"/>
      <c r="O53" s="86"/>
      <c r="P53" s="86"/>
      <c r="Q53" s="86"/>
      <c r="R53" s="86"/>
    </row>
    <row r="54" spans="1:18">
      <c r="A54" s="89" t="s">
        <v>185</v>
      </c>
      <c r="B54" s="78"/>
      <c r="C54" s="88">
        <f>+'12 Month P&amp;L'!P237</f>
        <v>106595.07</v>
      </c>
      <c r="D54" s="88">
        <f>+'Restating Entries'!O54</f>
        <v>-6592.0400000000081</v>
      </c>
      <c r="E54" s="90">
        <f>+'Pro Forma Entries'!L54</f>
        <v>0</v>
      </c>
      <c r="F54" s="90">
        <f t="shared" si="11"/>
        <v>100003.03</v>
      </c>
      <c r="G54" s="100" t="s">
        <v>163</v>
      </c>
      <c r="H54" s="90">
        <f>+Allocations!H61+Allocations!I61</f>
        <v>0</v>
      </c>
      <c r="I54" s="90">
        <f t="shared" si="8"/>
        <v>100003.03</v>
      </c>
      <c r="J54" s="90">
        <f>+J21*0.0051</f>
        <v>0</v>
      </c>
      <c r="K54" s="90">
        <f t="shared" si="7"/>
        <v>100003.03</v>
      </c>
      <c r="L54" s="92"/>
      <c r="M54" s="86"/>
      <c r="N54" s="86"/>
      <c r="O54" s="86"/>
      <c r="P54" s="86"/>
      <c r="Q54" s="86"/>
      <c r="R54" s="86"/>
    </row>
    <row r="55" spans="1:18">
      <c r="A55" s="89" t="s">
        <v>186</v>
      </c>
      <c r="B55" s="78"/>
      <c r="C55" s="88">
        <f>+'12 Month P&amp;L'!P256</f>
        <v>390065.83</v>
      </c>
      <c r="D55" s="456">
        <f>+'Restating Entries'!O55</f>
        <v>59695.323071430146</v>
      </c>
      <c r="E55" s="90">
        <f>+'Pro Forma Entries'!L55</f>
        <v>0</v>
      </c>
      <c r="F55" s="90">
        <f t="shared" si="11"/>
        <v>449761.15307143016</v>
      </c>
      <c r="G55" s="100" t="s">
        <v>163</v>
      </c>
      <c r="H55" s="90">
        <f>+Allocations!H62+Allocations!I62</f>
        <v>12021.200000000994</v>
      </c>
      <c r="I55" s="90">
        <f t="shared" si="8"/>
        <v>437739.95307142916</v>
      </c>
      <c r="J55" s="91"/>
      <c r="K55" s="90">
        <f t="shared" si="7"/>
        <v>437739.95307142916</v>
      </c>
      <c r="L55" s="92"/>
      <c r="M55" s="86"/>
      <c r="N55" s="86"/>
      <c r="O55" s="86"/>
      <c r="P55" s="86"/>
      <c r="Q55" s="86"/>
      <c r="R55" s="86"/>
    </row>
    <row r="56" spans="1:18">
      <c r="A56" s="89" t="s">
        <v>187</v>
      </c>
      <c r="B56" s="78"/>
      <c r="C56" s="88">
        <f>+'12 Month P&amp;L'!P288</f>
        <v>261682.93</v>
      </c>
      <c r="D56" s="88">
        <f>+'Restating Entries'!O56</f>
        <v>-5173</v>
      </c>
      <c r="E56" s="90">
        <f>+'Pro Forma Entries'!L56</f>
        <v>0</v>
      </c>
      <c r="F56" s="90">
        <f t="shared" si="11"/>
        <v>256509.93</v>
      </c>
      <c r="G56" s="100" t="s">
        <v>168</v>
      </c>
      <c r="H56" s="90">
        <f>+Allocations!H63+Allocations!I63</f>
        <v>170.38256818400077</v>
      </c>
      <c r="I56" s="90">
        <f t="shared" si="8"/>
        <v>256339.547431816</v>
      </c>
      <c r="J56" s="91"/>
      <c r="K56" s="90">
        <f t="shared" si="7"/>
        <v>256339.547431816</v>
      </c>
      <c r="L56" s="92"/>
      <c r="M56" s="86"/>
      <c r="N56" s="86"/>
      <c r="O56" s="86"/>
      <c r="P56" s="86"/>
      <c r="Q56" s="86"/>
      <c r="R56" s="86"/>
    </row>
    <row r="57" spans="1:18">
      <c r="A57" s="89" t="s">
        <v>188</v>
      </c>
      <c r="B57" s="78"/>
      <c r="C57" s="88">
        <f>+'12 Month P&amp;L'!P280</f>
        <v>2170431.64</v>
      </c>
      <c r="D57" s="88">
        <f>+'Restating Entries'!O57</f>
        <v>-1825996</v>
      </c>
      <c r="E57" s="90">
        <f>+'Pro Forma Entries'!L57</f>
        <v>0</v>
      </c>
      <c r="F57" s="90">
        <f t="shared" si="11"/>
        <v>344435.64000000013</v>
      </c>
      <c r="G57" s="101" t="s">
        <v>189</v>
      </c>
      <c r="H57" s="90">
        <f>+Allocations!H64+Allocations!I64</f>
        <v>36923.285199766688</v>
      </c>
      <c r="I57" s="90">
        <f t="shared" si="8"/>
        <v>307512.35480023344</v>
      </c>
      <c r="J57" s="90">
        <f>+J21*0.015</f>
        <v>0</v>
      </c>
      <c r="K57" s="90">
        <f t="shared" si="7"/>
        <v>307512.35480023344</v>
      </c>
      <c r="L57" s="92"/>
      <c r="M57" s="86"/>
      <c r="N57" s="86"/>
      <c r="O57" s="86"/>
      <c r="P57" s="86"/>
      <c r="Q57" s="86"/>
      <c r="R57" s="86"/>
    </row>
    <row r="58" spans="1:18">
      <c r="A58" s="89" t="s">
        <v>190</v>
      </c>
      <c r="B58" s="78"/>
      <c r="C58" s="88">
        <f>+'12 Month P&amp;L'!P116+'12 Month P&amp;L'!P164</f>
        <v>8180.9600000000009</v>
      </c>
      <c r="D58" s="88">
        <f>+'Restating Entries'!O58</f>
        <v>0</v>
      </c>
      <c r="E58" s="90">
        <f>+'Pro Forma Entries'!L58</f>
        <v>0</v>
      </c>
      <c r="F58" s="90">
        <f t="shared" si="11"/>
        <v>8180.9600000000009</v>
      </c>
      <c r="G58" s="101" t="s">
        <v>191</v>
      </c>
      <c r="H58" s="90">
        <f>+Allocations!H65+Allocations!I65</f>
        <v>1116.5174870779674</v>
      </c>
      <c r="I58" s="90">
        <f t="shared" si="8"/>
        <v>7064.4425129220335</v>
      </c>
      <c r="J58" s="91"/>
      <c r="K58" s="90">
        <f t="shared" si="7"/>
        <v>7064.4425129220335</v>
      </c>
      <c r="L58" s="92"/>
      <c r="M58" s="86"/>
      <c r="N58" s="86"/>
      <c r="O58" s="86"/>
      <c r="P58" s="86"/>
      <c r="Q58" s="86"/>
      <c r="R58" s="86"/>
    </row>
    <row r="59" spans="1:18">
      <c r="A59" s="89" t="s">
        <v>192</v>
      </c>
      <c r="B59" s="78"/>
      <c r="C59" s="88">
        <f>+'12 Month P&amp;L'!P70</f>
        <v>143672.18</v>
      </c>
      <c r="D59" s="88">
        <f>+'Restating Entries'!O59</f>
        <v>0</v>
      </c>
      <c r="E59" s="90">
        <f>+'Pro Forma Entries'!L59</f>
        <v>0</v>
      </c>
      <c r="F59" s="90">
        <f t="shared" si="11"/>
        <v>143672.18</v>
      </c>
      <c r="G59" s="101" t="s">
        <v>191</v>
      </c>
      <c r="H59" s="90">
        <f>+Allocations!H66+Allocations!I66</f>
        <v>19594.029054855833</v>
      </c>
      <c r="I59" s="90">
        <f t="shared" si="8"/>
        <v>124078.15094514415</v>
      </c>
      <c r="J59" s="91"/>
      <c r="K59" s="90">
        <f t="shared" si="7"/>
        <v>124078.15094514415</v>
      </c>
      <c r="L59" s="92"/>
      <c r="M59" s="86"/>
      <c r="N59" s="86"/>
      <c r="O59" s="86"/>
      <c r="P59" s="86"/>
      <c r="Q59" s="86"/>
      <c r="R59" s="86"/>
    </row>
    <row r="60" spans="1:18">
      <c r="A60" s="89" t="s">
        <v>193</v>
      </c>
      <c r="B60" s="78"/>
      <c r="C60" s="88">
        <f>+'12 Month P&amp;L'!P282</f>
        <v>164</v>
      </c>
      <c r="D60" s="88">
        <f>+'Restating Entries'!O60</f>
        <v>0</v>
      </c>
      <c r="E60" s="90">
        <f>+'Pro Forma Entries'!L60</f>
        <v>0</v>
      </c>
      <c r="F60" s="90">
        <f t="shared" si="11"/>
        <v>164</v>
      </c>
      <c r="G60" s="101" t="s">
        <v>191</v>
      </c>
      <c r="H60" s="90">
        <f>+Allocations!H67+Allocations!I67</f>
        <v>0.10893434488940107</v>
      </c>
      <c r="I60" s="90">
        <f t="shared" si="8"/>
        <v>163.89106565511059</v>
      </c>
      <c r="J60" s="91"/>
      <c r="K60" s="90">
        <f t="shared" si="7"/>
        <v>163.89106565511059</v>
      </c>
      <c r="L60" s="92"/>
      <c r="M60" s="86"/>
      <c r="N60" s="86"/>
      <c r="O60" s="86"/>
      <c r="P60" s="86"/>
      <c r="Q60" s="86"/>
      <c r="R60" s="86"/>
    </row>
    <row r="61" spans="1:18">
      <c r="A61" s="89" t="s">
        <v>194</v>
      </c>
      <c r="B61" s="78"/>
      <c r="C61" s="88">
        <f>+'12 Month P&amp;L'!P270</f>
        <v>13878.17</v>
      </c>
      <c r="D61" s="88">
        <f>+'Restating Entries'!O61</f>
        <v>0</v>
      </c>
      <c r="E61" s="90">
        <f>+'Pro Forma Entries'!L61</f>
        <v>0</v>
      </c>
      <c r="F61" s="90">
        <f t="shared" si="11"/>
        <v>13878.17</v>
      </c>
      <c r="G61" s="101" t="s">
        <v>191</v>
      </c>
      <c r="H61" s="90">
        <f>+Allocations!H68+Allocations!I68</f>
        <v>9.2183497391081666</v>
      </c>
      <c r="I61" s="90">
        <f t="shared" si="8"/>
        <v>13868.951650260891</v>
      </c>
      <c r="J61" s="91"/>
      <c r="K61" s="90">
        <f t="shared" si="7"/>
        <v>13868.951650260891</v>
      </c>
      <c r="L61" s="92"/>
      <c r="M61" s="86"/>
      <c r="N61" s="86"/>
      <c r="O61" s="86"/>
      <c r="P61" s="86"/>
      <c r="Q61" s="86"/>
      <c r="R61" s="86"/>
    </row>
    <row r="62" spans="1:18">
      <c r="A62" s="89" t="s">
        <v>195</v>
      </c>
      <c r="B62" s="78"/>
      <c r="C62" s="88">
        <f>+'12 Month P&amp;L'!P94+'12 Month P&amp;L'!P161+'12 Month P&amp;L'!P162</f>
        <v>262111.08</v>
      </c>
      <c r="D62" s="88">
        <f>+'Restating Entries'!O62</f>
        <v>10798.829730000027</v>
      </c>
      <c r="E62" s="90">
        <f>+'Pro Forma Entries'!L62</f>
        <v>9683.2608350137943</v>
      </c>
      <c r="F62" s="90">
        <f t="shared" si="11"/>
        <v>282593.17056501383</v>
      </c>
      <c r="G62" s="101" t="s">
        <v>191</v>
      </c>
      <c r="H62" s="90">
        <f>+Allocations!H69+Allocations!I69</f>
        <v>38539.627352369971</v>
      </c>
      <c r="I62" s="90">
        <f t="shared" si="8"/>
        <v>244053.54321264385</v>
      </c>
      <c r="J62" s="91"/>
      <c r="K62" s="90">
        <f t="shared" si="7"/>
        <v>244053.54321264385</v>
      </c>
      <c r="L62" s="92"/>
      <c r="M62" s="86"/>
      <c r="N62" s="86"/>
      <c r="O62" s="86"/>
      <c r="P62" s="86"/>
      <c r="Q62" s="86"/>
      <c r="R62" s="86"/>
    </row>
    <row r="63" spans="1:18">
      <c r="A63" s="89" t="s">
        <v>196</v>
      </c>
      <c r="B63" s="78"/>
      <c r="C63" s="94">
        <f>+'12 Month P&amp;L'!P105+'12 Month P&amp;L'!P165</f>
        <v>-210.75000000000023</v>
      </c>
      <c r="D63" s="88">
        <f>+'Restating Entries'!O63</f>
        <v>0</v>
      </c>
      <c r="E63" s="90">
        <f>+'Pro Forma Entries'!L63</f>
        <v>0</v>
      </c>
      <c r="F63" s="90">
        <f t="shared" si="11"/>
        <v>-210.75000000000023</v>
      </c>
      <c r="G63" s="102" t="s">
        <v>191</v>
      </c>
      <c r="H63" s="90">
        <f>+Allocations!H70+Allocations!I70</f>
        <v>-28.762646486681497</v>
      </c>
      <c r="I63" s="95">
        <f t="shared" si="8"/>
        <v>-181.98735351331874</v>
      </c>
      <c r="J63" s="91"/>
      <c r="K63" s="90">
        <f t="shared" si="7"/>
        <v>-181.98735351331874</v>
      </c>
      <c r="L63" s="92"/>
      <c r="M63" s="86"/>
      <c r="N63" s="86"/>
      <c r="O63" s="86"/>
      <c r="P63" s="86"/>
      <c r="Q63" s="86"/>
      <c r="R63" s="86"/>
    </row>
    <row r="64" spans="1:18">
      <c r="A64" s="89" t="s">
        <v>197</v>
      </c>
      <c r="B64" s="78"/>
      <c r="C64" s="103">
        <f>SUM(C23:C63)</f>
        <v>21743180.269999996</v>
      </c>
      <c r="D64" s="103">
        <f>SUM(D23:D63)</f>
        <v>-1789964.2995985697</v>
      </c>
      <c r="E64" s="103">
        <f>SUM(E23:E63)</f>
        <v>505063.92305597186</v>
      </c>
      <c r="F64" s="103">
        <f>SUM(F23:F63)</f>
        <v>20440767.913457405</v>
      </c>
      <c r="G64" s="91"/>
      <c r="H64" s="104">
        <f>SUM(H23:H63)</f>
        <v>1620079.7579901752</v>
      </c>
      <c r="I64" s="104">
        <f>SUM(I23:I63)</f>
        <v>18817599.698390938</v>
      </c>
      <c r="J64" s="104">
        <f>SUM(J23:J63)</f>
        <v>0</v>
      </c>
      <c r="K64" s="104">
        <f>SUM(K23:K63)</f>
        <v>18817599.698390938</v>
      </c>
      <c r="L64" s="92"/>
      <c r="M64" s="86"/>
      <c r="N64" s="86"/>
      <c r="O64" s="86"/>
      <c r="P64" s="86"/>
      <c r="Q64" s="86"/>
      <c r="R64" s="86"/>
    </row>
    <row r="65" spans="1:18">
      <c r="A65" s="89" t="s">
        <v>34</v>
      </c>
      <c r="B65" s="78"/>
      <c r="C65" s="88">
        <f>+C21-C64</f>
        <v>-85561.109999995679</v>
      </c>
      <c r="D65" s="88">
        <f>+D21-D64</f>
        <v>-36031.700401430251</v>
      </c>
      <c r="E65" s="88">
        <f>+E21-E64</f>
        <v>-729409.54305597185</v>
      </c>
      <c r="F65" s="88">
        <f>+F21-F64</f>
        <v>-833490.37345740199</v>
      </c>
      <c r="G65" s="91"/>
      <c r="H65" s="88">
        <f>+H21-H64</f>
        <v>481808.13200982451</v>
      </c>
      <c r="I65" s="88">
        <f>+I21-I64</f>
        <v>-1312210.0483909361</v>
      </c>
      <c r="J65" s="88">
        <f>+J21-J64</f>
        <v>0</v>
      </c>
      <c r="K65" s="88">
        <f>+K21-K64</f>
        <v>-1312210.0483909361</v>
      </c>
      <c r="L65" s="92"/>
      <c r="M65" s="86"/>
      <c r="N65" s="86"/>
      <c r="O65" s="86"/>
      <c r="P65" s="86"/>
      <c r="Q65" s="86"/>
      <c r="R65" s="86"/>
    </row>
    <row r="66" spans="1:18">
      <c r="A66" s="89"/>
      <c r="B66" s="78"/>
      <c r="C66" s="88"/>
      <c r="D66" s="78"/>
      <c r="E66" s="90"/>
      <c r="F66" s="90"/>
      <c r="G66" s="91"/>
      <c r="H66" s="91"/>
      <c r="I66" s="91"/>
      <c r="J66" s="91"/>
      <c r="K66" s="92"/>
      <c r="L66" s="92"/>
      <c r="M66" s="86"/>
      <c r="N66" s="86"/>
      <c r="O66" s="86"/>
      <c r="P66" s="86"/>
      <c r="Q66" s="86"/>
      <c r="R66" s="86"/>
    </row>
    <row r="67" spans="1:18">
      <c r="A67" s="89" t="s">
        <v>198</v>
      </c>
      <c r="B67" s="78"/>
      <c r="C67" s="88"/>
      <c r="D67" s="78"/>
      <c r="E67" s="90"/>
      <c r="F67" s="90"/>
      <c r="G67" s="91"/>
      <c r="H67" s="91"/>
      <c r="I67" s="91"/>
      <c r="J67" s="91"/>
      <c r="K67" s="92"/>
      <c r="L67" s="92"/>
      <c r="M67" s="86"/>
      <c r="N67" s="86"/>
      <c r="O67" s="86"/>
      <c r="P67" s="86"/>
      <c r="Q67" s="86"/>
      <c r="R67" s="86"/>
    </row>
    <row r="68" spans="1:18">
      <c r="A68" s="89" t="s">
        <v>199</v>
      </c>
      <c r="B68" s="78"/>
      <c r="C68" s="88"/>
      <c r="D68" s="88"/>
      <c r="E68" s="90">
        <f>+'[2]Pro Forma Entries '!L65</f>
        <v>0</v>
      </c>
      <c r="F68" s="90">
        <f>SUM(C68:E68)</f>
        <v>0</v>
      </c>
      <c r="G68" s="91"/>
      <c r="H68" s="90"/>
      <c r="I68" s="91"/>
      <c r="J68" s="91"/>
      <c r="K68" s="92"/>
      <c r="L68" s="92"/>
      <c r="M68" s="86"/>
      <c r="N68" s="86"/>
      <c r="O68" s="86"/>
      <c r="P68" s="86"/>
      <c r="Q68" s="86"/>
      <c r="R68" s="86"/>
    </row>
    <row r="69" spans="1:18">
      <c r="A69" s="89" t="s">
        <v>200</v>
      </c>
      <c r="B69" s="78"/>
      <c r="C69" s="88">
        <f>+'12 Month P&amp;L'!P295</f>
        <v>235.08</v>
      </c>
      <c r="D69" s="88">
        <f>+'Restating Entries'!O69</f>
        <v>0</v>
      </c>
      <c r="E69" s="90">
        <f>+'[2]Pro Forma Entries '!L66</f>
        <v>0</v>
      </c>
      <c r="F69" s="90">
        <f>SUM(C69:E69)</f>
        <v>235.08</v>
      </c>
      <c r="G69" s="91"/>
      <c r="H69" s="90"/>
      <c r="I69" s="91"/>
      <c r="J69" s="91"/>
      <c r="K69" s="92"/>
      <c r="L69" s="92"/>
      <c r="M69" s="86"/>
      <c r="N69" s="86"/>
      <c r="O69" s="86"/>
      <c r="P69" s="86"/>
      <c r="Q69" s="86"/>
      <c r="R69" s="86"/>
    </row>
    <row r="70" spans="1:18">
      <c r="A70" s="93" t="s">
        <v>488</v>
      </c>
      <c r="B70" s="78"/>
      <c r="C70" s="88">
        <f>+'12 Month P&amp;L'!P294</f>
        <v>8400</v>
      </c>
      <c r="D70" s="88">
        <f>+'Restating Entries'!O70</f>
        <v>-8400</v>
      </c>
      <c r="E70" s="90">
        <f>+'[2]Pro Forma Entries '!L67</f>
        <v>0</v>
      </c>
      <c r="F70" s="90">
        <f>SUM(C70:E70)</f>
        <v>0</v>
      </c>
      <c r="G70" s="91"/>
      <c r="H70" s="90"/>
      <c r="I70" s="91"/>
      <c r="J70" s="91"/>
      <c r="K70" s="92"/>
      <c r="L70" s="92"/>
      <c r="M70" s="86"/>
      <c r="N70" s="86"/>
      <c r="O70" s="86"/>
      <c r="P70" s="86"/>
      <c r="Q70" s="86"/>
      <c r="R70" s="86"/>
    </row>
    <row r="71" spans="1:18">
      <c r="A71" s="89" t="s">
        <v>201</v>
      </c>
      <c r="B71" s="78"/>
      <c r="C71" s="88">
        <f>+'12 Month P&amp;L'!P296</f>
        <v>392.8</v>
      </c>
      <c r="D71" s="88">
        <f>+'Restating Entries'!O71</f>
        <v>0</v>
      </c>
      <c r="E71" s="90">
        <f>+'[2]Pro Forma Entries '!L68</f>
        <v>0</v>
      </c>
      <c r="F71" s="90">
        <f>SUM(C71:E71)</f>
        <v>392.8</v>
      </c>
      <c r="G71" s="91"/>
      <c r="H71" s="90"/>
      <c r="I71" s="91"/>
      <c r="J71" s="91"/>
      <c r="K71" s="92"/>
      <c r="L71" s="92"/>
      <c r="M71" s="86"/>
      <c r="N71" s="86"/>
      <c r="O71" s="86"/>
      <c r="P71" s="86"/>
      <c r="Q71" s="86"/>
      <c r="R71" s="86"/>
    </row>
    <row r="72" spans="1:18">
      <c r="A72" s="89" t="s">
        <v>35</v>
      </c>
      <c r="B72" s="78"/>
      <c r="C72" s="94"/>
      <c r="D72" s="88"/>
      <c r="E72" s="95">
        <f>+'[2]Pro Forma Entries '!L69</f>
        <v>0</v>
      </c>
      <c r="F72" s="90">
        <f>SUM(C72:E72)</f>
        <v>0</v>
      </c>
      <c r="G72" s="91"/>
      <c r="H72" s="90"/>
      <c r="I72" s="91"/>
      <c r="J72" s="91"/>
      <c r="K72" s="92"/>
      <c r="L72" s="92"/>
      <c r="M72" s="86"/>
      <c r="N72" s="86"/>
      <c r="O72" s="86"/>
      <c r="P72" s="86"/>
      <c r="Q72" s="86"/>
      <c r="R72" s="86"/>
    </row>
    <row r="73" spans="1:18">
      <c r="A73" s="89" t="s">
        <v>202</v>
      </c>
      <c r="B73" s="78"/>
      <c r="C73" s="103">
        <f>SUM(C68:C72)</f>
        <v>9027.8799999999992</v>
      </c>
      <c r="D73" s="103">
        <f>SUM(D68:D72)</f>
        <v>-8400</v>
      </c>
      <c r="E73" s="103">
        <f>SUM(E68:E72)</f>
        <v>0</v>
      </c>
      <c r="F73" s="103">
        <f>SUM(F68:F72)</f>
        <v>627.88</v>
      </c>
      <c r="G73" s="91"/>
      <c r="H73" s="103">
        <f t="shared" ref="H73:K73" si="12">SUM(H68:H72)</f>
        <v>0</v>
      </c>
      <c r="I73" s="103">
        <f t="shared" si="12"/>
        <v>0</v>
      </c>
      <c r="J73" s="103">
        <f t="shared" si="12"/>
        <v>0</v>
      </c>
      <c r="K73" s="103">
        <f t="shared" si="12"/>
        <v>0</v>
      </c>
      <c r="L73" s="92"/>
      <c r="M73" s="86"/>
      <c r="N73" s="86"/>
      <c r="O73" s="86"/>
      <c r="P73" s="86"/>
      <c r="Q73" s="86"/>
      <c r="R73" s="86"/>
    </row>
    <row r="74" spans="1:18">
      <c r="A74" s="89"/>
      <c r="B74" s="78"/>
      <c r="C74" s="88"/>
      <c r="D74" s="88"/>
      <c r="E74" s="88"/>
      <c r="F74" s="88"/>
      <c r="G74" s="91"/>
      <c r="H74" s="88"/>
      <c r="I74" s="88"/>
      <c r="J74" s="88"/>
      <c r="K74" s="88"/>
      <c r="L74" s="92"/>
      <c r="M74" s="86"/>
      <c r="N74" s="86"/>
      <c r="O74" s="86"/>
      <c r="P74" s="86"/>
      <c r="Q74" s="86"/>
      <c r="R74" s="86"/>
    </row>
    <row r="75" spans="1:18" ht="15.75" thickBot="1">
      <c r="A75" s="89" t="s">
        <v>38</v>
      </c>
      <c r="B75" s="78"/>
      <c r="C75" s="105">
        <f>+C65+C73</f>
        <v>-76533.229999995674</v>
      </c>
      <c r="D75" s="105">
        <f>+D65+D73</f>
        <v>-44431.700401430251</v>
      </c>
      <c r="E75" s="105">
        <f>+E65+E73</f>
        <v>-729409.54305597185</v>
      </c>
      <c r="F75" s="105">
        <f>+F65+F73</f>
        <v>-832862.49345740199</v>
      </c>
      <c r="G75" s="91"/>
      <c r="H75" s="105">
        <f t="shared" ref="H75:K75" si="13">+H65+H73</f>
        <v>481808.13200982451</v>
      </c>
      <c r="I75" s="105">
        <f t="shared" si="13"/>
        <v>-1312210.0483909361</v>
      </c>
      <c r="J75" s="105">
        <f t="shared" si="13"/>
        <v>0</v>
      </c>
      <c r="K75" s="105">
        <f t="shared" si="13"/>
        <v>-1312210.0483909361</v>
      </c>
      <c r="L75" s="92"/>
      <c r="M75" s="86"/>
      <c r="N75" s="86"/>
      <c r="O75" s="86"/>
      <c r="P75" s="86"/>
      <c r="Q75" s="86"/>
      <c r="R75" s="86"/>
    </row>
    <row r="76" spans="1:18" ht="15.75" thickTop="1">
      <c r="A76" s="89"/>
      <c r="B76" s="78"/>
      <c r="C76" s="78"/>
      <c r="D76" s="78"/>
      <c r="E76" s="91"/>
      <c r="F76" s="91"/>
      <c r="G76" s="91"/>
      <c r="H76" s="91"/>
      <c r="I76" s="91"/>
      <c r="J76" s="91"/>
      <c r="K76" s="85"/>
      <c r="L76" s="85"/>
      <c r="M76" s="86"/>
      <c r="N76" s="86"/>
      <c r="O76" s="86"/>
      <c r="P76" s="86"/>
      <c r="Q76" s="86"/>
      <c r="R76" s="86"/>
    </row>
    <row r="77" spans="1:18">
      <c r="A77" s="89"/>
      <c r="B77" s="78"/>
      <c r="C77" s="78"/>
      <c r="D77" s="78"/>
      <c r="E77" s="91"/>
      <c r="F77" s="91"/>
      <c r="G77" s="91"/>
      <c r="H77" s="91"/>
      <c r="I77" s="91"/>
      <c r="J77" s="91"/>
      <c r="K77" s="85"/>
      <c r="L77" s="85"/>
      <c r="M77" s="86"/>
      <c r="N77" s="86"/>
      <c r="O77" s="86"/>
      <c r="P77" s="86"/>
      <c r="Q77" s="86"/>
      <c r="R77" s="86"/>
    </row>
    <row r="78" spans="1:18">
      <c r="A78" s="89" t="s">
        <v>31</v>
      </c>
      <c r="B78" s="78"/>
      <c r="C78" s="106">
        <f>+C64/C21</f>
        <v>1.0039506239983211</v>
      </c>
      <c r="D78" s="78"/>
      <c r="E78" s="91"/>
      <c r="F78" s="106">
        <f>+F64/F21</f>
        <v>1.0425092352447725</v>
      </c>
      <c r="G78" s="91"/>
      <c r="H78" s="106">
        <f>+H64/H21</f>
        <v>0.77077362960123219</v>
      </c>
      <c r="I78" s="106">
        <f>+I64/I21</f>
        <v>1.0749603450495566</v>
      </c>
      <c r="J78" s="106" t="e">
        <f>+J64/J21</f>
        <v>#DIV/0!</v>
      </c>
      <c r="K78" s="106">
        <f>+K64/K21</f>
        <v>1.0749603450495566</v>
      </c>
      <c r="L78" s="85"/>
      <c r="M78" s="86"/>
      <c r="N78" s="86"/>
      <c r="O78" s="86"/>
      <c r="P78" s="86"/>
      <c r="Q78" s="86"/>
      <c r="R78" s="86"/>
    </row>
    <row r="79" spans="1:18">
      <c r="A79" s="78"/>
      <c r="B79" s="78"/>
      <c r="C79" s="78"/>
      <c r="D79" s="78"/>
      <c r="E79" s="91"/>
      <c r="F79" s="91"/>
      <c r="G79" s="91"/>
      <c r="H79" s="91"/>
      <c r="I79" s="91"/>
      <c r="J79" s="91"/>
      <c r="K79" s="85"/>
      <c r="L79" s="85"/>
      <c r="M79" s="86"/>
      <c r="N79" s="86"/>
      <c r="O79" s="86"/>
      <c r="P79" s="86"/>
      <c r="Q79" s="86"/>
      <c r="R79" s="86"/>
    </row>
    <row r="80" spans="1:18">
      <c r="A80" s="78"/>
      <c r="B80" s="78"/>
      <c r="C80" s="78"/>
      <c r="D80" s="78"/>
      <c r="E80" s="91"/>
      <c r="F80" s="91"/>
      <c r="G80" s="91"/>
      <c r="H80" s="91"/>
      <c r="I80" s="91"/>
      <c r="J80" s="91"/>
      <c r="K80" s="85"/>
      <c r="L80" s="85"/>
      <c r="M80" s="107"/>
      <c r="N80" s="107"/>
      <c r="O80" s="107"/>
      <c r="P80" s="107"/>
      <c r="Q80" s="107"/>
      <c r="R80" s="107"/>
    </row>
  </sheetData>
  <printOptions headings="1" gridLines="1"/>
  <pageMargins left="0.5" right="0.25" top="0.75" bottom="0.75" header="0.3" footer="0.3"/>
  <pageSetup scale="84" fitToHeight="0" orientation="landscape" horizontalDpi="4294967293" r:id="rId1"/>
  <headerFooter>
    <oddFooter>&amp;L&amp;D  &amp;T&amp;CPage &amp;P of &amp;N&amp;R&amp;A</oddFooter>
  </headerFooter>
  <rowBreaks count="1" manualBreakCount="1">
    <brk id="66"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81D4-43EE-4582-9F7B-C669218E6D5F}">
  <sheetPr codeName="Sheet8"/>
  <dimension ref="A1:V142"/>
  <sheetViews>
    <sheetView topLeftCell="A42" zoomScale="81" zoomScaleNormal="81" workbookViewId="0">
      <selection activeCell="L62" sqref="L62"/>
    </sheetView>
  </sheetViews>
  <sheetFormatPr defaultRowHeight="15"/>
  <cols>
    <col min="1" max="1" width="27.44140625" customWidth="1"/>
  </cols>
  <sheetData>
    <row r="1" spans="1:22" ht="15.75">
      <c r="A1" s="278" t="s">
        <v>128</v>
      </c>
      <c r="B1" s="279"/>
      <c r="C1" s="279"/>
      <c r="D1" s="279"/>
      <c r="E1" s="279"/>
      <c r="F1" s="279"/>
      <c r="G1" s="279"/>
      <c r="H1" s="279"/>
      <c r="I1" s="279"/>
      <c r="J1" s="279"/>
      <c r="K1" s="276"/>
      <c r="L1" s="276"/>
      <c r="M1" s="276"/>
      <c r="N1" s="276"/>
      <c r="O1" s="276"/>
      <c r="P1" s="276"/>
      <c r="Q1" s="276"/>
      <c r="R1" s="272"/>
      <c r="S1" s="272"/>
      <c r="T1" s="272"/>
      <c r="U1" s="272"/>
      <c r="V1" s="272"/>
    </row>
    <row r="2" spans="1:22" ht="15.75">
      <c r="A2" s="278" t="s">
        <v>1039</v>
      </c>
      <c r="B2" s="279"/>
      <c r="C2" s="279"/>
      <c r="D2" s="279"/>
      <c r="E2" s="279"/>
      <c r="F2" s="279"/>
      <c r="G2" s="279"/>
      <c r="H2" s="279"/>
      <c r="I2" s="279"/>
      <c r="J2" s="279"/>
      <c r="K2" s="276"/>
      <c r="L2" s="276"/>
      <c r="M2" s="276"/>
      <c r="N2" s="276"/>
      <c r="O2" s="276"/>
      <c r="P2" s="276"/>
      <c r="Q2" s="276"/>
      <c r="R2" s="272"/>
      <c r="S2" s="272"/>
      <c r="T2" s="272"/>
      <c r="U2" s="272"/>
      <c r="V2" s="272"/>
    </row>
    <row r="3" spans="1:22" ht="15.75">
      <c r="A3" s="278" t="s">
        <v>485</v>
      </c>
      <c r="B3" s="279"/>
      <c r="C3" s="279"/>
      <c r="D3" s="279"/>
      <c r="E3" s="279"/>
      <c r="F3" s="279"/>
      <c r="G3" s="279"/>
      <c r="H3" s="279"/>
      <c r="I3" s="279"/>
      <c r="J3" s="279"/>
      <c r="K3" s="276"/>
      <c r="L3" s="276"/>
      <c r="M3" s="276"/>
      <c r="N3" s="276"/>
      <c r="O3" s="276"/>
      <c r="P3" s="276"/>
      <c r="Q3" s="276"/>
      <c r="R3" s="272"/>
      <c r="S3" s="272"/>
      <c r="T3" s="272"/>
      <c r="U3" s="272"/>
      <c r="V3" s="272"/>
    </row>
    <row r="4" spans="1:22" ht="15.75">
      <c r="A4" s="280"/>
      <c r="B4" s="276"/>
      <c r="C4" s="276"/>
      <c r="D4" s="276"/>
      <c r="E4" s="276"/>
      <c r="F4" s="276"/>
      <c r="G4" s="276"/>
      <c r="H4" s="276"/>
      <c r="I4" s="276"/>
      <c r="J4" s="276"/>
      <c r="K4" s="276"/>
      <c r="L4" s="276"/>
      <c r="M4" s="276"/>
      <c r="N4" s="276"/>
      <c r="O4" s="276"/>
      <c r="P4" s="276"/>
      <c r="Q4" s="276"/>
      <c r="R4" s="272"/>
      <c r="S4" s="272"/>
      <c r="T4" s="272"/>
      <c r="U4" s="272"/>
      <c r="V4" s="272"/>
    </row>
    <row r="5" spans="1:22" ht="15.75">
      <c r="A5" s="280"/>
      <c r="B5" s="534" t="s">
        <v>1042</v>
      </c>
      <c r="C5" s="534" t="s">
        <v>1043</v>
      </c>
      <c r="D5" s="534" t="s">
        <v>1291</v>
      </c>
      <c r="E5" s="534" t="s">
        <v>1293</v>
      </c>
      <c r="F5" s="534" t="s">
        <v>1466</v>
      </c>
      <c r="G5" s="534" t="s">
        <v>1475</v>
      </c>
      <c r="H5" s="534" t="s">
        <v>1476</v>
      </c>
      <c r="I5" s="534" t="s">
        <v>1481</v>
      </c>
      <c r="J5" s="534" t="s">
        <v>1487</v>
      </c>
      <c r="K5" s="534" t="s">
        <v>1493</v>
      </c>
      <c r="L5" s="534" t="s">
        <v>1497</v>
      </c>
      <c r="M5" s="534" t="s">
        <v>1551</v>
      </c>
      <c r="N5" s="534" t="s">
        <v>1564</v>
      </c>
      <c r="O5" s="276"/>
      <c r="P5" s="276"/>
      <c r="Q5" s="276"/>
      <c r="R5" s="272"/>
      <c r="S5" s="272"/>
      <c r="T5" s="272"/>
      <c r="U5" s="272"/>
      <c r="V5" s="272"/>
    </row>
    <row r="6" spans="1:22" ht="15.75">
      <c r="A6" s="452" t="s">
        <v>12</v>
      </c>
      <c r="B6" s="277"/>
      <c r="C6" s="277"/>
      <c r="D6" s="277"/>
      <c r="E6" s="277"/>
      <c r="F6" s="277"/>
      <c r="G6" s="277"/>
      <c r="H6" s="277"/>
      <c r="I6" s="277"/>
      <c r="J6" s="277"/>
      <c r="K6" s="277"/>
      <c r="L6" s="277"/>
      <c r="M6" s="277"/>
      <c r="N6" s="277"/>
      <c r="O6" s="277"/>
      <c r="P6" s="277"/>
      <c r="Q6" s="276"/>
      <c r="R6" s="272"/>
      <c r="S6" s="272"/>
      <c r="T6" s="272"/>
      <c r="U6" s="272"/>
      <c r="V6" s="272"/>
    </row>
    <row r="7" spans="1:22" ht="15.75">
      <c r="A7" s="280" t="s">
        <v>139</v>
      </c>
      <c r="B7" s="277"/>
      <c r="C7" s="277"/>
      <c r="D7" s="277"/>
      <c r="E7" s="277"/>
      <c r="F7" s="272"/>
      <c r="G7" s="277">
        <f>+'Restating Entries Explanation'!G26</f>
        <v>-537188.53482677089</v>
      </c>
      <c r="H7" s="277"/>
      <c r="I7" s="277"/>
      <c r="J7" s="277"/>
      <c r="K7" s="277"/>
      <c r="L7" s="277"/>
      <c r="M7" s="277"/>
      <c r="N7" s="277">
        <f>+'Restating Entries Explanation'!G67</f>
        <v>-604119</v>
      </c>
      <c r="O7" s="277">
        <f>SUM(B7:N7)</f>
        <v>-1141307.5348267709</v>
      </c>
      <c r="P7" s="277"/>
      <c r="Q7" s="276"/>
      <c r="R7" s="272"/>
      <c r="S7" s="272"/>
      <c r="T7" s="272"/>
      <c r="U7" s="272"/>
      <c r="V7" s="272"/>
    </row>
    <row r="8" spans="1:22" ht="15.75">
      <c r="A8" s="280" t="s">
        <v>140</v>
      </c>
      <c r="B8" s="277"/>
      <c r="C8" s="277"/>
      <c r="D8" s="277"/>
      <c r="E8" s="277"/>
      <c r="F8" s="272"/>
      <c r="G8" s="277">
        <f>+'Restating Entries Explanation'!G27</f>
        <v>-607876.22068632673</v>
      </c>
      <c r="H8" s="277"/>
      <c r="I8" s="277"/>
      <c r="J8" s="277"/>
      <c r="K8" s="277"/>
      <c r="L8" s="277"/>
      <c r="M8" s="277"/>
      <c r="N8" s="277">
        <f>+'Restating Entries Explanation'!G68</f>
        <v>-1286534</v>
      </c>
      <c r="O8" s="277">
        <f t="shared" ref="O8:O20" si="0">SUM(B8:N8)</f>
        <v>-1894410.2206863267</v>
      </c>
      <c r="P8" s="277"/>
      <c r="Q8" s="276"/>
      <c r="R8" s="272"/>
      <c r="S8" s="272"/>
      <c r="T8" s="272"/>
      <c r="U8" s="272"/>
      <c r="V8" s="272"/>
    </row>
    <row r="9" spans="1:22" ht="15.75">
      <c r="A9" s="280" t="s">
        <v>141</v>
      </c>
      <c r="B9" s="277">
        <f>+'Restating Entries Explanation'!G7</f>
        <v>-3340241.42</v>
      </c>
      <c r="C9" s="277"/>
      <c r="D9" s="277"/>
      <c r="E9" s="277"/>
      <c r="F9" s="272"/>
      <c r="G9" s="277">
        <f>+'Restating Entries Explanation'!G28</f>
        <v>-497884.99464610667</v>
      </c>
      <c r="H9" s="277"/>
      <c r="I9" s="277"/>
      <c r="J9" s="277"/>
      <c r="K9" s="277"/>
      <c r="L9" s="277"/>
      <c r="M9" s="277"/>
      <c r="N9" s="277">
        <f>+'Restating Entries Explanation'!G69</f>
        <v>-3033</v>
      </c>
      <c r="O9" s="277">
        <f t="shared" si="0"/>
        <v>-3841159.4146461068</v>
      </c>
      <c r="P9" s="277"/>
      <c r="Q9" s="276"/>
      <c r="R9" s="272"/>
      <c r="S9" s="272"/>
      <c r="T9" s="272"/>
      <c r="U9" s="272"/>
      <c r="V9" s="272"/>
    </row>
    <row r="10" spans="1:22" ht="15.75">
      <c r="A10" s="280" t="s">
        <v>142</v>
      </c>
      <c r="B10" s="277">
        <f>+'Restating Entries Explanation'!G8</f>
        <v>3340241.42</v>
      </c>
      <c r="C10" s="277"/>
      <c r="D10" s="277"/>
      <c r="E10" s="277"/>
      <c r="F10" s="272"/>
      <c r="G10" s="277"/>
      <c r="H10" s="277"/>
      <c r="I10" s="277"/>
      <c r="J10" s="277"/>
      <c r="K10" s="277"/>
      <c r="L10" s="277"/>
      <c r="M10" s="277"/>
      <c r="N10" s="277"/>
      <c r="O10" s="277">
        <f t="shared" si="0"/>
        <v>3340241.42</v>
      </c>
      <c r="P10" s="277"/>
      <c r="Q10" s="276"/>
      <c r="R10" s="272"/>
      <c r="S10" s="272"/>
      <c r="T10" s="272"/>
      <c r="U10" s="272"/>
      <c r="V10" s="272"/>
    </row>
    <row r="11" spans="1:22" ht="15.75">
      <c r="A11" s="280" t="s">
        <v>143</v>
      </c>
      <c r="B11" s="277"/>
      <c r="C11" s="277"/>
      <c r="D11" s="277"/>
      <c r="E11" s="277"/>
      <c r="F11" s="272"/>
      <c r="G11" s="277">
        <f>+'Restating Entries Explanation'!G30</f>
        <v>-46562.230834674425</v>
      </c>
      <c r="H11" s="277"/>
      <c r="I11" s="277"/>
      <c r="J11" s="277"/>
      <c r="K11" s="277"/>
      <c r="L11" s="277"/>
      <c r="M11" s="277"/>
      <c r="N11" s="277">
        <f>+'Restating Entries Explanation'!G71</f>
        <v>934524</v>
      </c>
      <c r="O11" s="277">
        <f t="shared" si="0"/>
        <v>887961.76916532556</v>
      </c>
      <c r="P11" s="277"/>
      <c r="Q11" s="276"/>
      <c r="R11" s="272"/>
      <c r="S11" s="272"/>
      <c r="T11" s="272"/>
      <c r="U11" s="272"/>
      <c r="V11" s="272"/>
    </row>
    <row r="12" spans="1:22" ht="15.75">
      <c r="A12" s="280" t="s">
        <v>144</v>
      </c>
      <c r="B12" s="277"/>
      <c r="C12" s="277"/>
      <c r="D12" s="277"/>
      <c r="E12" s="277"/>
      <c r="F12" s="272"/>
      <c r="G12" s="277"/>
      <c r="H12" s="277"/>
      <c r="I12" s="277"/>
      <c r="J12" s="277"/>
      <c r="K12" s="277"/>
      <c r="L12" s="277"/>
      <c r="M12" s="277"/>
      <c r="N12" s="277"/>
      <c r="O12" s="277">
        <f t="shared" si="0"/>
        <v>0</v>
      </c>
      <c r="P12" s="277"/>
      <c r="Q12" s="276"/>
      <c r="R12" s="272"/>
      <c r="S12" s="272"/>
      <c r="T12" s="272"/>
      <c r="U12" s="272"/>
      <c r="V12" s="272"/>
    </row>
    <row r="13" spans="1:22" ht="15.75">
      <c r="A13" s="280" t="s">
        <v>145</v>
      </c>
      <c r="B13" s="277"/>
      <c r="C13" s="277"/>
      <c r="D13" s="277"/>
      <c r="E13" s="277"/>
      <c r="F13" s="272"/>
      <c r="G13" s="277">
        <f>+'Restating Entries Explanation'!G29</f>
        <v>-7790.0024747630023</v>
      </c>
      <c r="H13" s="277"/>
      <c r="I13" s="277"/>
      <c r="J13" s="277"/>
      <c r="K13" s="277"/>
      <c r="L13" s="277"/>
      <c r="M13" s="277"/>
      <c r="N13" s="277">
        <f>+'Restating Entries Explanation'!G72</f>
        <v>826826</v>
      </c>
      <c r="O13" s="277">
        <f t="shared" si="0"/>
        <v>819035.99752523704</v>
      </c>
      <c r="P13" s="277"/>
      <c r="Q13" s="276"/>
      <c r="R13" s="272"/>
      <c r="S13" s="272"/>
      <c r="T13" s="272"/>
      <c r="U13" s="272"/>
      <c r="V13" s="272"/>
    </row>
    <row r="14" spans="1:22" ht="15.75">
      <c r="A14" s="280" t="s">
        <v>146</v>
      </c>
      <c r="B14" s="277"/>
      <c r="C14" s="277"/>
      <c r="D14" s="277"/>
      <c r="E14" s="277"/>
      <c r="F14" s="272"/>
      <c r="G14" s="277">
        <f>+'Restating Entries Explanation'!G31</f>
        <v>-124637.10485274324</v>
      </c>
      <c r="H14" s="277"/>
      <c r="I14" s="277"/>
      <c r="J14" s="277"/>
      <c r="K14" s="277"/>
      <c r="L14" s="277"/>
      <c r="M14" s="277"/>
      <c r="N14" s="277">
        <f>+'Restating Entries Explanation'!G73</f>
        <v>132336</v>
      </c>
      <c r="O14" s="277">
        <f t="shared" si="0"/>
        <v>7698.8951472567569</v>
      </c>
      <c r="P14" s="277"/>
      <c r="Q14" s="276"/>
      <c r="R14" s="272"/>
      <c r="S14" s="272"/>
      <c r="T14" s="272"/>
      <c r="U14" s="272"/>
      <c r="V14" s="272"/>
    </row>
    <row r="15" spans="1:22" ht="15.75">
      <c r="A15" s="280" t="s">
        <v>484</v>
      </c>
      <c r="B15" s="277"/>
      <c r="C15" s="277"/>
      <c r="D15" s="277"/>
      <c r="E15" s="277"/>
      <c r="F15" s="272"/>
      <c r="G15" s="277"/>
      <c r="H15" s="277"/>
      <c r="I15" s="277"/>
      <c r="J15" s="277"/>
      <c r="K15" s="277"/>
      <c r="L15" s="277"/>
      <c r="M15" s="277"/>
      <c r="N15" s="277"/>
      <c r="O15" s="277">
        <f t="shared" si="0"/>
        <v>0</v>
      </c>
      <c r="P15" s="277"/>
      <c r="Q15" s="276"/>
      <c r="R15" s="272"/>
      <c r="S15" s="272"/>
      <c r="T15" s="272"/>
      <c r="U15" s="272"/>
      <c r="V15" s="272"/>
    </row>
    <row r="16" spans="1:22" ht="15.75">
      <c r="A16" s="280" t="s">
        <v>147</v>
      </c>
      <c r="B16" s="277"/>
      <c r="C16" s="277"/>
      <c r="D16" s="277"/>
      <c r="E16" s="277"/>
      <c r="F16" s="272"/>
      <c r="G16" s="277"/>
      <c r="H16" s="277"/>
      <c r="I16" s="277"/>
      <c r="J16" s="277"/>
      <c r="K16" s="277"/>
      <c r="L16" s="277"/>
      <c r="M16" s="277"/>
      <c r="N16" s="277"/>
      <c r="O16" s="277">
        <f t="shared" si="0"/>
        <v>0</v>
      </c>
      <c r="P16" s="277"/>
      <c r="Q16" s="276"/>
      <c r="R16" s="272"/>
      <c r="S16" s="272"/>
      <c r="T16" s="272"/>
      <c r="U16" s="272"/>
      <c r="V16" s="272"/>
    </row>
    <row r="17" spans="1:22" ht="15.75">
      <c r="A17" s="280" t="s">
        <v>148</v>
      </c>
      <c r="B17" s="277"/>
      <c r="C17" s="277"/>
      <c r="D17" s="277"/>
      <c r="E17" s="277"/>
      <c r="F17" s="272"/>
      <c r="G17" s="277"/>
      <c r="H17" s="277"/>
      <c r="I17" s="277"/>
      <c r="J17" s="277"/>
      <c r="K17" s="277"/>
      <c r="L17" s="277"/>
      <c r="M17" s="277"/>
      <c r="N17" s="277"/>
      <c r="O17" s="277">
        <f t="shared" si="0"/>
        <v>0</v>
      </c>
      <c r="P17" s="277"/>
      <c r="Q17" s="276"/>
      <c r="R17" s="272"/>
      <c r="S17" s="272"/>
      <c r="T17" s="272"/>
      <c r="U17" s="272"/>
      <c r="V17" s="272"/>
    </row>
    <row r="18" spans="1:22" ht="15.75">
      <c r="A18" s="280" t="s">
        <v>149</v>
      </c>
      <c r="B18" s="277"/>
      <c r="C18" s="277"/>
      <c r="D18" s="277"/>
      <c r="E18" s="277"/>
      <c r="F18" s="272"/>
      <c r="G18" s="277">
        <f>+'Restating Entries Explanation'!G32</f>
        <v>-3160.1481967190753</v>
      </c>
      <c r="H18" s="277"/>
      <c r="I18" s="277"/>
      <c r="J18" s="277"/>
      <c r="K18" s="277"/>
      <c r="L18" s="277"/>
      <c r="M18" s="277"/>
      <c r="N18" s="277"/>
      <c r="O18" s="277">
        <f t="shared" si="0"/>
        <v>-3160.1481967190753</v>
      </c>
      <c r="P18" s="277"/>
      <c r="Q18" s="276"/>
      <c r="R18" s="272"/>
      <c r="S18" s="272"/>
      <c r="T18" s="272"/>
      <c r="U18" s="272"/>
      <c r="V18" s="272"/>
    </row>
    <row r="19" spans="1:22" ht="15.75">
      <c r="A19" s="280" t="s">
        <v>150</v>
      </c>
      <c r="B19" s="277"/>
      <c r="C19" s="277"/>
      <c r="D19" s="277"/>
      <c r="E19" s="277"/>
      <c r="F19" s="272"/>
      <c r="G19" s="277"/>
      <c r="H19" s="277"/>
      <c r="I19" s="277"/>
      <c r="J19" s="277"/>
      <c r="K19" s="277"/>
      <c r="L19" s="277"/>
      <c r="M19" s="277"/>
      <c r="N19" s="277"/>
      <c r="O19" s="277">
        <f t="shared" si="0"/>
        <v>0</v>
      </c>
      <c r="P19" s="277"/>
      <c r="Q19" s="276"/>
      <c r="R19" s="272"/>
      <c r="S19" s="272"/>
      <c r="T19" s="272"/>
      <c r="U19" s="272"/>
      <c r="V19" s="272"/>
    </row>
    <row r="20" spans="1:22" ht="15.75">
      <c r="A20" s="280" t="s">
        <v>151</v>
      </c>
      <c r="B20" s="281"/>
      <c r="C20" s="281"/>
      <c r="D20" s="281"/>
      <c r="E20" s="281"/>
      <c r="F20" s="281"/>
      <c r="G20" s="281">
        <f>+'Restating Entries Explanation'!G33</f>
        <v>-896.76348189605255</v>
      </c>
      <c r="H20" s="281"/>
      <c r="I20" s="281"/>
      <c r="J20" s="281"/>
      <c r="K20" s="281"/>
      <c r="L20" s="281"/>
      <c r="M20" s="281"/>
      <c r="N20" s="281"/>
      <c r="O20" s="281">
        <f t="shared" si="0"/>
        <v>-896.76348189605255</v>
      </c>
      <c r="P20" s="281"/>
      <c r="Q20" s="276"/>
      <c r="R20" s="272"/>
      <c r="S20" s="272"/>
      <c r="T20" s="272"/>
      <c r="U20" s="272"/>
      <c r="V20" s="272"/>
    </row>
    <row r="21" spans="1:22" ht="15.75">
      <c r="A21" s="451" t="s">
        <v>152</v>
      </c>
      <c r="B21" s="277">
        <f>SUM(B7:B20)</f>
        <v>0</v>
      </c>
      <c r="C21" s="277">
        <f t="shared" ref="C21:O21" si="1">SUM(C7:C20)</f>
        <v>0</v>
      </c>
      <c r="D21" s="277">
        <f t="shared" si="1"/>
        <v>0</v>
      </c>
      <c r="E21" s="277">
        <f t="shared" si="1"/>
        <v>0</v>
      </c>
      <c r="F21" s="277">
        <f t="shared" si="1"/>
        <v>0</v>
      </c>
      <c r="G21" s="277">
        <f>SUM(G7:G20)</f>
        <v>-1825996</v>
      </c>
      <c r="H21" s="277">
        <f t="shared" si="1"/>
        <v>0</v>
      </c>
      <c r="I21" s="277">
        <f t="shared" si="1"/>
        <v>0</v>
      </c>
      <c r="J21" s="277">
        <f t="shared" si="1"/>
        <v>0</v>
      </c>
      <c r="K21" s="277">
        <f t="shared" si="1"/>
        <v>0</v>
      </c>
      <c r="L21" s="277">
        <f t="shared" si="1"/>
        <v>0</v>
      </c>
      <c r="M21" s="277">
        <f t="shared" si="1"/>
        <v>0</v>
      </c>
      <c r="N21" s="277">
        <f t="shared" si="1"/>
        <v>0</v>
      </c>
      <c r="O21" s="277">
        <f t="shared" si="1"/>
        <v>-1825996</v>
      </c>
      <c r="P21" s="277"/>
      <c r="Q21" s="276"/>
      <c r="R21" s="272"/>
      <c r="S21" s="272"/>
      <c r="T21" s="272"/>
      <c r="U21" s="272"/>
      <c r="V21" s="272"/>
    </row>
    <row r="22" spans="1:22" ht="15.75">
      <c r="A22" s="453" t="s">
        <v>153</v>
      </c>
      <c r="B22" s="277"/>
      <c r="C22" s="277"/>
      <c r="D22" s="277"/>
      <c r="E22" s="277"/>
      <c r="F22" s="272"/>
      <c r="G22" s="277"/>
      <c r="H22" s="277"/>
      <c r="I22" s="277"/>
      <c r="J22" s="277"/>
      <c r="K22" s="277"/>
      <c r="L22" s="277"/>
      <c r="M22" s="277"/>
      <c r="N22" s="277"/>
      <c r="O22" s="277"/>
      <c r="P22" s="277"/>
      <c r="Q22" s="276"/>
      <c r="R22" s="272"/>
      <c r="S22" s="272"/>
      <c r="T22" s="272"/>
      <c r="U22" s="272"/>
      <c r="V22" s="272"/>
    </row>
    <row r="23" spans="1:22" ht="15.75">
      <c r="A23" s="280" t="s">
        <v>154</v>
      </c>
      <c r="B23" s="277"/>
      <c r="C23" s="277"/>
      <c r="D23" s="277"/>
      <c r="E23" s="277"/>
      <c r="F23" s="272"/>
      <c r="G23" s="277"/>
      <c r="H23" s="277"/>
      <c r="I23" s="277"/>
      <c r="J23" s="277"/>
      <c r="K23" s="277"/>
      <c r="L23" s="277"/>
      <c r="M23" s="277"/>
      <c r="N23" s="277"/>
      <c r="O23" s="277">
        <f t="shared" ref="O23:O63" si="2">SUM(B23:N23)</f>
        <v>0</v>
      </c>
      <c r="P23" s="277"/>
      <c r="Q23" s="276"/>
      <c r="R23" s="272"/>
      <c r="S23" s="272"/>
      <c r="T23" s="272"/>
      <c r="U23" s="272"/>
      <c r="V23" s="272"/>
    </row>
    <row r="24" spans="1:22" ht="15.75">
      <c r="A24" s="280" t="s">
        <v>156</v>
      </c>
      <c r="B24" s="277"/>
      <c r="C24" s="277"/>
      <c r="D24" s="277"/>
      <c r="E24" s="277"/>
      <c r="F24" s="272"/>
      <c r="G24" s="277"/>
      <c r="H24" s="277"/>
      <c r="I24" s="277"/>
      <c r="J24" s="277"/>
      <c r="K24" s="277"/>
      <c r="L24" s="277"/>
      <c r="M24" s="277"/>
      <c r="N24" s="277"/>
      <c r="O24" s="277">
        <f t="shared" si="2"/>
        <v>0</v>
      </c>
      <c r="P24" s="277"/>
      <c r="Q24" s="276"/>
      <c r="R24" s="272"/>
      <c r="S24" s="272"/>
      <c r="T24" s="272"/>
      <c r="U24" s="272"/>
      <c r="V24" s="272"/>
    </row>
    <row r="25" spans="1:22" ht="15.75">
      <c r="A25" s="280" t="s">
        <v>157</v>
      </c>
      <c r="B25" s="277"/>
      <c r="C25" s="277"/>
      <c r="D25" s="277"/>
      <c r="E25" s="277"/>
      <c r="F25" s="272"/>
      <c r="G25" s="277"/>
      <c r="H25" s="277"/>
      <c r="I25" s="277"/>
      <c r="J25" s="277"/>
      <c r="K25" s="277"/>
      <c r="L25" s="277"/>
      <c r="M25" s="277"/>
      <c r="N25" s="277"/>
      <c r="O25" s="277">
        <f t="shared" si="2"/>
        <v>0</v>
      </c>
      <c r="P25" s="277"/>
      <c r="Q25" s="276"/>
      <c r="R25" s="272"/>
      <c r="S25" s="272"/>
      <c r="T25" s="272"/>
      <c r="U25" s="272"/>
      <c r="V25" s="272"/>
    </row>
    <row r="26" spans="1:22" ht="15.75">
      <c r="A26" s="280" t="s">
        <v>487</v>
      </c>
      <c r="B26" s="277"/>
      <c r="C26" s="277"/>
      <c r="D26" s="277"/>
      <c r="E26" s="277"/>
      <c r="F26" s="272"/>
      <c r="G26" s="277"/>
      <c r="H26" s="277"/>
      <c r="I26" s="277"/>
      <c r="J26" s="277"/>
      <c r="K26" s="277"/>
      <c r="L26" s="277"/>
      <c r="M26" s="277"/>
      <c r="N26" s="277"/>
      <c r="O26" s="277">
        <f t="shared" si="2"/>
        <v>0</v>
      </c>
      <c r="P26" s="277"/>
      <c r="Q26" s="276"/>
      <c r="R26" s="272"/>
      <c r="S26" s="272"/>
      <c r="T26" s="272"/>
      <c r="U26" s="272"/>
      <c r="V26" s="272"/>
    </row>
    <row r="27" spans="1:22" ht="15.75">
      <c r="A27" s="280" t="s">
        <v>158</v>
      </c>
      <c r="B27" s="277"/>
      <c r="C27" s="277"/>
      <c r="D27" s="277"/>
      <c r="E27" s="277"/>
      <c r="F27" s="272"/>
      <c r="G27" s="277"/>
      <c r="H27" s="277"/>
      <c r="I27" s="277"/>
      <c r="J27" s="277"/>
      <c r="K27" s="277"/>
      <c r="L27" s="277"/>
      <c r="M27" s="277"/>
      <c r="N27" s="277"/>
      <c r="O27" s="277">
        <f t="shared" si="2"/>
        <v>0</v>
      </c>
      <c r="P27" s="277"/>
      <c r="Q27" s="276"/>
      <c r="R27" s="272"/>
      <c r="S27" s="272"/>
      <c r="T27" s="272"/>
      <c r="U27" s="272"/>
      <c r="V27" s="272"/>
    </row>
    <row r="28" spans="1:22" ht="15.75">
      <c r="A28" s="280" t="s">
        <v>160</v>
      </c>
      <c r="B28" s="277"/>
      <c r="C28" s="277"/>
      <c r="D28" s="277"/>
      <c r="E28" s="277"/>
      <c r="F28" s="272"/>
      <c r="G28" s="277"/>
      <c r="H28" s="277"/>
      <c r="I28" s="277"/>
      <c r="J28" s="277"/>
      <c r="K28" s="277"/>
      <c r="L28" s="277"/>
      <c r="M28" s="277">
        <f>+'Restating Entries Explanation'!G63</f>
        <v>12084.01999999996</v>
      </c>
      <c r="N28" s="277"/>
      <c r="O28" s="277">
        <f t="shared" si="2"/>
        <v>12084.01999999996</v>
      </c>
      <c r="P28" s="277"/>
      <c r="Q28" s="276"/>
      <c r="R28" s="272"/>
      <c r="S28" s="272"/>
      <c r="T28" s="272"/>
      <c r="U28" s="272"/>
      <c r="V28" s="272"/>
    </row>
    <row r="29" spans="1:22" ht="15.75">
      <c r="A29" s="280" t="s">
        <v>161</v>
      </c>
      <c r="B29" s="277"/>
      <c r="C29" s="277"/>
      <c r="D29" s="277"/>
      <c r="E29" s="277"/>
      <c r="F29" s="272"/>
      <c r="G29" s="277"/>
      <c r="H29" s="277"/>
      <c r="I29" s="277"/>
      <c r="J29" s="277"/>
      <c r="K29" s="277"/>
      <c r="L29" s="277"/>
      <c r="M29" s="277"/>
      <c r="N29" s="277"/>
      <c r="O29" s="277">
        <f t="shared" si="2"/>
        <v>0</v>
      </c>
      <c r="P29" s="277"/>
      <c r="Q29" s="276"/>
      <c r="R29" s="272"/>
      <c r="S29" s="272"/>
      <c r="T29" s="272"/>
      <c r="U29" s="272"/>
      <c r="V29" s="272"/>
    </row>
    <row r="30" spans="1:22" ht="15.75">
      <c r="A30" s="280" t="s">
        <v>162</v>
      </c>
      <c r="B30" s="277"/>
      <c r="C30" s="277">
        <f>+'Restating Entries Explanation'!G11</f>
        <v>21476</v>
      </c>
      <c r="D30" s="277"/>
      <c r="E30" s="277"/>
      <c r="F30" s="272"/>
      <c r="G30" s="277"/>
      <c r="H30" s="277"/>
      <c r="I30" s="277"/>
      <c r="J30" s="277"/>
      <c r="K30" s="277"/>
      <c r="L30" s="277"/>
      <c r="M30" s="277"/>
      <c r="N30" s="277"/>
      <c r="O30" s="277">
        <f t="shared" si="2"/>
        <v>21476</v>
      </c>
      <c r="P30" s="277"/>
      <c r="Q30" s="276"/>
      <c r="R30" s="272"/>
      <c r="S30" s="272"/>
      <c r="T30" s="272"/>
      <c r="U30" s="272"/>
      <c r="V30" s="272"/>
    </row>
    <row r="31" spans="1:22" ht="15.75">
      <c r="A31" s="280" t="s">
        <v>164</v>
      </c>
      <c r="B31" s="277"/>
      <c r="C31" s="277">
        <f>+'Restating Entries Explanation'!G12</f>
        <v>-21476</v>
      </c>
      <c r="D31" s="277"/>
      <c r="E31" s="277"/>
      <c r="F31" s="272"/>
      <c r="G31" s="277"/>
      <c r="H31" s="277"/>
      <c r="I31" s="277"/>
      <c r="J31" s="277"/>
      <c r="K31" s="277"/>
      <c r="L31" s="277"/>
      <c r="M31" s="277"/>
      <c r="N31" s="277"/>
      <c r="O31" s="277">
        <f t="shared" si="2"/>
        <v>-21476</v>
      </c>
      <c r="P31" s="277"/>
      <c r="Q31" s="276"/>
      <c r="R31" s="272"/>
      <c r="S31" s="272"/>
      <c r="T31" s="272"/>
      <c r="U31" s="272"/>
      <c r="V31" s="272"/>
    </row>
    <row r="32" spans="1:22" ht="15.75">
      <c r="A32" s="280" t="s">
        <v>165</v>
      </c>
      <c r="B32" s="277"/>
      <c r="C32" s="277"/>
      <c r="D32" s="277"/>
      <c r="E32" s="277"/>
      <c r="F32" s="272"/>
      <c r="G32" s="277"/>
      <c r="H32" s="277"/>
      <c r="I32" s="277"/>
      <c r="J32" s="277"/>
      <c r="K32" s="277"/>
      <c r="L32" s="277"/>
      <c r="M32" s="277"/>
      <c r="N32" s="277"/>
      <c r="O32" s="277">
        <f t="shared" si="2"/>
        <v>0</v>
      </c>
      <c r="P32" s="277"/>
      <c r="Q32" s="276"/>
      <c r="R32" s="272"/>
      <c r="S32" s="272"/>
      <c r="T32" s="272"/>
      <c r="U32" s="272"/>
      <c r="V32" s="272"/>
    </row>
    <row r="33" spans="1:22" ht="15.75">
      <c r="A33" s="280" t="s">
        <v>166</v>
      </c>
      <c r="B33" s="277"/>
      <c r="C33" s="277"/>
      <c r="D33" s="277"/>
      <c r="E33" s="277"/>
      <c r="F33" s="272"/>
      <c r="G33" s="277"/>
      <c r="H33" s="277"/>
      <c r="I33" s="277"/>
      <c r="J33" s="277"/>
      <c r="K33" s="277"/>
      <c r="L33" s="277"/>
      <c r="M33" s="277"/>
      <c r="N33" s="277"/>
      <c r="O33" s="277">
        <f t="shared" si="2"/>
        <v>0</v>
      </c>
      <c r="P33" s="277"/>
      <c r="Q33" s="276"/>
      <c r="R33" s="272"/>
      <c r="S33" s="272"/>
      <c r="T33" s="272"/>
      <c r="U33" s="272"/>
      <c r="V33" s="272"/>
    </row>
    <row r="34" spans="1:22" ht="15.75">
      <c r="A34" s="280" t="s">
        <v>167</v>
      </c>
      <c r="B34" s="277"/>
      <c r="C34" s="277"/>
      <c r="D34" s="277"/>
      <c r="E34" s="277"/>
      <c r="F34" s="440">
        <f>+'Restating Entries Explanation'!G21</f>
        <v>-3852.7864</v>
      </c>
      <c r="G34" s="277"/>
      <c r="H34" s="277"/>
      <c r="I34" s="277"/>
      <c r="J34" s="277"/>
      <c r="K34" s="277"/>
      <c r="L34" s="277"/>
      <c r="M34" s="277"/>
      <c r="N34" s="277"/>
      <c r="O34" s="277">
        <f t="shared" si="2"/>
        <v>-3852.7864</v>
      </c>
      <c r="P34" s="277"/>
      <c r="Q34" s="276"/>
      <c r="R34" s="272"/>
      <c r="S34" s="272"/>
      <c r="T34" s="272"/>
      <c r="U34" s="272"/>
      <c r="V34" s="272"/>
    </row>
    <row r="35" spans="1:22" ht="15.75">
      <c r="A35" s="280" t="s">
        <v>169</v>
      </c>
      <c r="B35" s="277"/>
      <c r="C35" s="277"/>
      <c r="D35" s="277"/>
      <c r="E35" s="277"/>
      <c r="F35" s="272"/>
      <c r="G35" s="277"/>
      <c r="H35" s="277"/>
      <c r="I35" s="277">
        <f>+'Restating Entries Explanation'!G44</f>
        <v>-2264.81</v>
      </c>
      <c r="J35" s="277"/>
      <c r="K35" s="277"/>
      <c r="L35" s="277"/>
      <c r="M35" s="277"/>
      <c r="N35" s="277"/>
      <c r="O35" s="277">
        <f t="shared" si="2"/>
        <v>-2264.81</v>
      </c>
      <c r="P35" s="277"/>
      <c r="Q35" s="276"/>
      <c r="R35" s="272"/>
      <c r="S35" s="272"/>
      <c r="T35" s="272"/>
      <c r="U35" s="272"/>
      <c r="V35" s="272"/>
    </row>
    <row r="36" spans="1:22" ht="15.75">
      <c r="A36" s="280" t="s">
        <v>170</v>
      </c>
      <c r="B36" s="277"/>
      <c r="C36" s="277"/>
      <c r="D36" s="277"/>
      <c r="E36" s="277"/>
      <c r="F36" s="272"/>
      <c r="G36" s="277"/>
      <c r="H36" s="277"/>
      <c r="I36" s="277">
        <f>+'Restating Entries Explanation'!G45</f>
        <v>-2980.53</v>
      </c>
      <c r="J36" s="277"/>
      <c r="K36" s="277"/>
      <c r="L36" s="277"/>
      <c r="M36" s="277"/>
      <c r="N36" s="277"/>
      <c r="O36" s="277">
        <f t="shared" si="2"/>
        <v>-2980.53</v>
      </c>
      <c r="P36" s="277"/>
      <c r="Q36" s="276"/>
      <c r="R36" s="272"/>
      <c r="S36" s="272"/>
      <c r="T36" s="272"/>
      <c r="U36" s="272"/>
      <c r="V36" s="272"/>
    </row>
    <row r="37" spans="1:22" ht="15.75">
      <c r="A37" s="280" t="s">
        <v>171</v>
      </c>
      <c r="B37" s="277"/>
      <c r="C37" s="277"/>
      <c r="D37" s="277"/>
      <c r="E37" s="277"/>
      <c r="F37" s="272"/>
      <c r="G37" s="277"/>
      <c r="H37" s="277"/>
      <c r="I37" s="277"/>
      <c r="J37" s="277"/>
      <c r="K37" s="277"/>
      <c r="L37" s="277"/>
      <c r="M37" s="277"/>
      <c r="N37" s="277"/>
      <c r="O37" s="277">
        <f t="shared" si="2"/>
        <v>0</v>
      </c>
      <c r="P37" s="277"/>
      <c r="Q37" s="276"/>
      <c r="R37" s="272"/>
      <c r="S37" s="272"/>
      <c r="T37" s="272"/>
      <c r="U37" s="272"/>
      <c r="V37" s="272"/>
    </row>
    <row r="38" spans="1:22" ht="15.75">
      <c r="A38" s="280" t="s">
        <v>172</v>
      </c>
      <c r="B38" s="277"/>
      <c r="C38" s="277"/>
      <c r="D38" s="277"/>
      <c r="E38" s="277"/>
      <c r="F38" s="272"/>
      <c r="G38" s="277"/>
      <c r="H38" s="277"/>
      <c r="I38" s="277"/>
      <c r="J38" s="277"/>
      <c r="K38" s="277"/>
      <c r="L38" s="277"/>
      <c r="M38" s="277"/>
      <c r="N38" s="277"/>
      <c r="O38" s="277">
        <f t="shared" si="2"/>
        <v>0</v>
      </c>
      <c r="P38" s="277"/>
      <c r="Q38" s="276"/>
      <c r="R38" s="272"/>
      <c r="S38" s="272"/>
      <c r="T38" s="272"/>
      <c r="U38" s="272"/>
      <c r="V38" s="272"/>
    </row>
    <row r="39" spans="1:22" ht="15.75">
      <c r="A39" s="280" t="s">
        <v>173</v>
      </c>
      <c r="B39" s="277"/>
      <c r="C39" s="277"/>
      <c r="D39" s="277"/>
      <c r="E39" s="277"/>
      <c r="F39" s="272"/>
      <c r="G39" s="277"/>
      <c r="H39" s="277"/>
      <c r="I39" s="277"/>
      <c r="J39" s="277"/>
      <c r="K39" s="277">
        <f>+'Restating Entries Explanation'!G55</f>
        <v>-7974.3060000000405</v>
      </c>
      <c r="L39" s="277"/>
      <c r="M39" s="277"/>
      <c r="N39" s="277"/>
      <c r="O39" s="277">
        <f t="shared" si="2"/>
        <v>-7974.3060000000405</v>
      </c>
      <c r="P39" s="277"/>
      <c r="Q39" s="276"/>
      <c r="R39" s="272"/>
      <c r="S39" s="272"/>
      <c r="T39" s="272"/>
      <c r="U39" s="272"/>
      <c r="V39" s="272"/>
    </row>
    <row r="40" spans="1:22" ht="15.75">
      <c r="A40" s="280" t="s">
        <v>174</v>
      </c>
      <c r="B40" s="277"/>
      <c r="C40" s="277"/>
      <c r="D40" s="277"/>
      <c r="E40" s="277"/>
      <c r="F40" s="272"/>
      <c r="G40" s="277"/>
      <c r="H40" s="277"/>
      <c r="I40" s="277"/>
      <c r="J40" s="277"/>
      <c r="K40" s="277"/>
      <c r="L40" s="277"/>
      <c r="M40" s="277"/>
      <c r="N40" s="277"/>
      <c r="O40" s="277">
        <f t="shared" si="2"/>
        <v>0</v>
      </c>
      <c r="P40" s="277"/>
      <c r="Q40" s="276"/>
      <c r="R40" s="272"/>
      <c r="S40" s="272"/>
      <c r="T40" s="272"/>
      <c r="U40" s="272"/>
      <c r="V40" s="272"/>
    </row>
    <row r="41" spans="1:22" ht="15.75">
      <c r="A41" s="280" t="s">
        <v>175</v>
      </c>
      <c r="B41" s="277"/>
      <c r="C41" s="277"/>
      <c r="D41" s="277"/>
      <c r="E41" s="277"/>
      <c r="F41" s="272"/>
      <c r="G41" s="277"/>
      <c r="H41" s="277"/>
      <c r="I41" s="277"/>
      <c r="J41" s="277"/>
      <c r="K41" s="277"/>
      <c r="L41" s="277"/>
      <c r="M41" s="277"/>
      <c r="N41" s="277"/>
      <c r="O41" s="277">
        <f t="shared" si="2"/>
        <v>0</v>
      </c>
      <c r="P41" s="277"/>
      <c r="Q41" s="276"/>
      <c r="R41" s="272"/>
      <c r="S41" s="272"/>
      <c r="T41" s="272"/>
      <c r="U41" s="272"/>
      <c r="V41" s="272"/>
    </row>
    <row r="42" spans="1:22" ht="15.75">
      <c r="A42" s="280" t="s">
        <v>176</v>
      </c>
      <c r="B42" s="277"/>
      <c r="C42" s="277"/>
      <c r="D42" s="277"/>
      <c r="E42" s="277"/>
      <c r="F42" s="272"/>
      <c r="G42" s="277"/>
      <c r="H42" s="277"/>
      <c r="I42" s="277"/>
      <c r="J42" s="277"/>
      <c r="K42" s="277"/>
      <c r="L42" s="277"/>
      <c r="M42" s="277"/>
      <c r="N42" s="277"/>
      <c r="O42" s="277">
        <f t="shared" si="2"/>
        <v>0</v>
      </c>
      <c r="P42" s="277"/>
      <c r="Q42" s="276"/>
      <c r="R42" s="272"/>
      <c r="S42" s="272"/>
      <c r="T42" s="272"/>
      <c r="U42" s="272"/>
      <c r="V42" s="272"/>
    </row>
    <row r="43" spans="1:22" ht="15.75">
      <c r="A43" s="280" t="s">
        <v>177</v>
      </c>
      <c r="B43" s="277"/>
      <c r="C43" s="277"/>
      <c r="D43" s="277"/>
      <c r="E43" s="277"/>
      <c r="F43" s="272"/>
      <c r="G43" s="277"/>
      <c r="H43" s="277"/>
      <c r="I43" s="277"/>
      <c r="J43" s="277"/>
      <c r="K43" s="277"/>
      <c r="L43" s="277"/>
      <c r="M43" s="277"/>
      <c r="N43" s="277"/>
      <c r="O43" s="277">
        <f t="shared" si="2"/>
        <v>0</v>
      </c>
      <c r="P43" s="277"/>
      <c r="Q43" s="276"/>
      <c r="R43" s="272"/>
      <c r="S43" s="272"/>
      <c r="T43" s="272"/>
      <c r="U43" s="272"/>
      <c r="V43" s="272"/>
    </row>
    <row r="44" spans="1:22" ht="15.75">
      <c r="A44" s="280" t="s">
        <v>178</v>
      </c>
      <c r="B44" s="277"/>
      <c r="C44" s="277"/>
      <c r="D44" s="277"/>
      <c r="E44" s="277"/>
      <c r="F44" s="272"/>
      <c r="G44" s="277"/>
      <c r="H44" s="277">
        <f>+'Restating Entries Explanation'!G40</f>
        <v>-8400</v>
      </c>
      <c r="I44" s="277"/>
      <c r="J44" s="277"/>
      <c r="K44" s="277"/>
      <c r="L44" s="277"/>
      <c r="M44" s="277"/>
      <c r="N44" s="277"/>
      <c r="O44" s="277">
        <f t="shared" si="2"/>
        <v>-8400</v>
      </c>
      <c r="P44" s="277"/>
      <c r="Q44" s="276"/>
      <c r="R44" s="272"/>
      <c r="S44" s="272"/>
      <c r="T44" s="272"/>
      <c r="U44" s="272"/>
      <c r="V44" s="272"/>
    </row>
    <row r="45" spans="1:22" ht="15.75">
      <c r="A45" s="280" t="str">
        <f>+'Pro Forma'!A45</f>
        <v>Public Relations</v>
      </c>
      <c r="B45" s="277"/>
      <c r="C45" s="277"/>
      <c r="D45" s="277"/>
      <c r="E45" s="277"/>
      <c r="F45" s="272"/>
      <c r="G45" s="277"/>
      <c r="H45" s="277"/>
      <c r="I45" s="277">
        <f>+'Restating Entries Explanation'!G47</f>
        <v>-17511.98</v>
      </c>
      <c r="J45" s="277"/>
      <c r="K45" s="277"/>
      <c r="L45" s="277"/>
      <c r="M45" s="277"/>
      <c r="N45" s="277"/>
      <c r="O45" s="277">
        <f t="shared" si="2"/>
        <v>-17511.98</v>
      </c>
      <c r="P45" s="277"/>
      <c r="Q45" s="276"/>
      <c r="R45" s="272"/>
      <c r="S45" s="272"/>
      <c r="T45" s="272"/>
      <c r="U45" s="272"/>
      <c r="V45" s="272"/>
    </row>
    <row r="46" spans="1:22" ht="15.75">
      <c r="A46" s="280" t="s">
        <v>179</v>
      </c>
      <c r="B46" s="277"/>
      <c r="C46" s="277"/>
      <c r="D46" s="277"/>
      <c r="E46" s="277"/>
      <c r="F46" s="272"/>
      <c r="G46" s="277"/>
      <c r="H46" s="277"/>
      <c r="I46" s="277">
        <f>+'Restating Entries Explanation'!G46</f>
        <v>-9309</v>
      </c>
      <c r="J46" s="277"/>
      <c r="K46" s="277"/>
      <c r="L46" s="277"/>
      <c r="M46" s="277"/>
      <c r="N46" s="277"/>
      <c r="O46" s="277">
        <f t="shared" si="2"/>
        <v>-9309</v>
      </c>
      <c r="P46" s="277"/>
      <c r="Q46" s="276"/>
      <c r="R46" s="272"/>
      <c r="S46" s="272"/>
      <c r="T46" s="272"/>
      <c r="U46" s="272"/>
      <c r="V46" s="272"/>
    </row>
    <row r="47" spans="1:22" ht="15.75">
      <c r="A47" s="280" t="s">
        <v>180</v>
      </c>
      <c r="B47" s="277"/>
      <c r="C47" s="277"/>
      <c r="D47" s="277"/>
      <c r="E47" s="277"/>
      <c r="F47" s="272"/>
      <c r="G47" s="277"/>
      <c r="H47" s="277"/>
      <c r="I47" s="277"/>
      <c r="J47" s="277"/>
      <c r="K47" s="277"/>
      <c r="L47" s="277"/>
      <c r="M47" s="277"/>
      <c r="N47" s="277"/>
      <c r="O47" s="277">
        <f t="shared" si="2"/>
        <v>0</v>
      </c>
      <c r="P47" s="277"/>
      <c r="Q47" s="276"/>
      <c r="R47" s="272"/>
      <c r="S47" s="272"/>
      <c r="T47" s="272"/>
      <c r="U47" s="272"/>
      <c r="V47" s="272"/>
    </row>
    <row r="48" spans="1:22" ht="15.75">
      <c r="A48" s="280" t="s">
        <v>1489</v>
      </c>
      <c r="B48" s="277"/>
      <c r="C48" s="277"/>
      <c r="D48" s="277"/>
      <c r="E48" s="277"/>
      <c r="F48" s="272"/>
      <c r="G48" s="277"/>
      <c r="H48" s="277"/>
      <c r="I48" s="277"/>
      <c r="J48" s="277"/>
      <c r="K48" s="277"/>
      <c r="L48" s="277"/>
      <c r="M48" s="277"/>
      <c r="N48" s="277"/>
      <c r="O48" s="277">
        <f t="shared" si="2"/>
        <v>0</v>
      </c>
      <c r="P48" s="277"/>
      <c r="Q48" s="276"/>
      <c r="R48" s="272"/>
      <c r="S48" s="272"/>
      <c r="T48" s="272"/>
      <c r="U48" s="272"/>
      <c r="V48" s="272"/>
    </row>
    <row r="49" spans="1:22" ht="15.75">
      <c r="A49" s="280" t="s">
        <v>181</v>
      </c>
      <c r="B49" s="277"/>
      <c r="C49" s="277"/>
      <c r="D49" s="277"/>
      <c r="E49" s="277"/>
      <c r="F49" s="272"/>
      <c r="G49" s="277"/>
      <c r="H49" s="277"/>
      <c r="I49" s="277"/>
      <c r="J49" s="277"/>
      <c r="K49" s="277"/>
      <c r="L49" s="277"/>
      <c r="M49" s="277"/>
      <c r="N49" s="277"/>
      <c r="O49" s="277">
        <f t="shared" si="2"/>
        <v>0</v>
      </c>
      <c r="P49" s="277"/>
      <c r="Q49" s="276"/>
      <c r="R49" s="272"/>
      <c r="S49" s="272"/>
      <c r="T49" s="272"/>
      <c r="U49" s="272"/>
      <c r="V49" s="272"/>
    </row>
    <row r="50" spans="1:22" ht="15.75">
      <c r="A50" s="280" t="s">
        <v>182</v>
      </c>
      <c r="B50" s="277"/>
      <c r="C50" s="277"/>
      <c r="D50" s="277"/>
      <c r="E50" s="277"/>
      <c r="F50" s="272"/>
      <c r="G50" s="277"/>
      <c r="H50" s="277"/>
      <c r="I50" s="277"/>
      <c r="J50" s="277"/>
      <c r="K50" s="277"/>
      <c r="L50" s="277"/>
      <c r="M50" s="277"/>
      <c r="N50" s="277"/>
      <c r="O50" s="277">
        <f t="shared" si="2"/>
        <v>0</v>
      </c>
      <c r="P50" s="277"/>
      <c r="Q50" s="276"/>
      <c r="R50" s="272"/>
      <c r="S50" s="272"/>
      <c r="T50" s="272"/>
      <c r="U50" s="272"/>
      <c r="V50" s="272"/>
    </row>
    <row r="51" spans="1:22" ht="15.75">
      <c r="A51" s="280" t="s">
        <v>183</v>
      </c>
      <c r="B51" s="277"/>
      <c r="C51" s="277"/>
      <c r="D51" s="277"/>
      <c r="E51" s="277"/>
      <c r="F51" s="272"/>
      <c r="G51" s="277"/>
      <c r="H51" s="277"/>
      <c r="I51" s="277"/>
      <c r="J51" s="277"/>
      <c r="K51" s="277"/>
      <c r="L51" s="277"/>
      <c r="M51" s="277"/>
      <c r="N51" s="277"/>
      <c r="O51" s="277">
        <f t="shared" si="2"/>
        <v>0</v>
      </c>
      <c r="P51" s="277"/>
      <c r="Q51" s="276"/>
      <c r="R51" s="272"/>
      <c r="S51" s="272"/>
      <c r="T51" s="272"/>
      <c r="U51" s="272"/>
      <c r="V51" s="272"/>
    </row>
    <row r="52" spans="1:22" ht="15.75">
      <c r="A52" s="280" t="s">
        <v>184</v>
      </c>
      <c r="B52" s="277"/>
      <c r="C52" s="277"/>
      <c r="D52" s="277"/>
      <c r="E52" s="277"/>
      <c r="F52" s="272"/>
      <c r="G52" s="277"/>
      <c r="H52" s="277"/>
      <c r="I52" s="277"/>
      <c r="J52" s="277"/>
      <c r="K52" s="277"/>
      <c r="L52" s="277"/>
      <c r="M52" s="277"/>
      <c r="N52" s="277"/>
      <c r="O52" s="277">
        <f t="shared" si="2"/>
        <v>0</v>
      </c>
      <c r="P52" s="277"/>
      <c r="Q52" s="276"/>
      <c r="R52" s="272"/>
      <c r="S52" s="272"/>
      <c r="T52" s="272"/>
      <c r="U52" s="272"/>
      <c r="V52" s="272"/>
    </row>
    <row r="53" spans="1:22" ht="15.75">
      <c r="A53" s="280" t="s">
        <v>486</v>
      </c>
      <c r="B53" s="277"/>
      <c r="C53" s="277"/>
      <c r="D53" s="277"/>
      <c r="E53" s="277"/>
      <c r="F53" s="272"/>
      <c r="G53" s="277"/>
      <c r="H53" s="277"/>
      <c r="I53" s="277"/>
      <c r="J53" s="277"/>
      <c r="K53" s="277"/>
      <c r="L53" s="277"/>
      <c r="M53" s="277"/>
      <c r="N53" s="277"/>
      <c r="O53" s="277">
        <f t="shared" si="2"/>
        <v>0</v>
      </c>
      <c r="P53" s="277"/>
      <c r="Q53" s="276"/>
      <c r="R53" s="272"/>
      <c r="S53" s="272"/>
      <c r="T53" s="272"/>
      <c r="U53" s="272"/>
      <c r="V53" s="272"/>
    </row>
    <row r="54" spans="1:22" ht="15.75">
      <c r="A54" s="280" t="s">
        <v>185</v>
      </c>
      <c r="B54" s="277"/>
      <c r="C54" s="277"/>
      <c r="D54" s="277"/>
      <c r="E54" s="277"/>
      <c r="F54" s="272"/>
      <c r="G54" s="277"/>
      <c r="H54" s="277"/>
      <c r="I54" s="277"/>
      <c r="J54" s="277">
        <f>+'Restating Entries Explanation'!G51</f>
        <v>-6592.0400000000081</v>
      </c>
      <c r="K54" s="277"/>
      <c r="L54" s="277"/>
      <c r="M54" s="277"/>
      <c r="N54" s="277"/>
      <c r="O54" s="277">
        <f t="shared" si="2"/>
        <v>-6592.0400000000081</v>
      </c>
      <c r="P54" s="277"/>
      <c r="Q54" s="276"/>
      <c r="R54" s="272"/>
      <c r="S54" s="272"/>
      <c r="T54" s="272"/>
      <c r="U54" s="272"/>
      <c r="V54" s="272"/>
    </row>
    <row r="55" spans="1:22" ht="15.75">
      <c r="A55" s="280" t="s">
        <v>186</v>
      </c>
      <c r="B55" s="277"/>
      <c r="C55" s="277"/>
      <c r="D55" s="457">
        <f>+'Restating Entries Explanation'!G16</f>
        <v>59695.323071430146</v>
      </c>
      <c r="E55" s="277"/>
      <c r="F55" s="272"/>
      <c r="G55" s="277"/>
      <c r="H55" s="277"/>
      <c r="I55" s="277"/>
      <c r="J55" s="277"/>
      <c r="K55" s="277"/>
      <c r="L55" s="277"/>
      <c r="M55" s="277"/>
      <c r="N55" s="277"/>
      <c r="O55" s="277">
        <f t="shared" si="2"/>
        <v>59695.323071430146</v>
      </c>
      <c r="P55" s="277"/>
      <c r="Q55" s="276"/>
      <c r="R55" s="272"/>
      <c r="S55" s="272"/>
      <c r="T55" s="272"/>
      <c r="U55" s="272"/>
      <c r="V55" s="272"/>
    </row>
    <row r="56" spans="1:22" ht="15.75">
      <c r="A56" s="280" t="s">
        <v>187</v>
      </c>
      <c r="B56" s="277"/>
      <c r="C56" s="277"/>
      <c r="D56" s="277"/>
      <c r="E56" s="277">
        <f>+'Restating Entries Explanation'!G18</f>
        <v>-5173</v>
      </c>
      <c r="F56" s="272"/>
      <c r="G56" s="277"/>
      <c r="H56" s="277"/>
      <c r="I56" s="277"/>
      <c r="J56" s="277"/>
      <c r="K56" s="277"/>
      <c r="L56" s="277"/>
      <c r="M56" s="277"/>
      <c r="N56" s="277"/>
      <c r="O56" s="277">
        <f t="shared" si="2"/>
        <v>-5173</v>
      </c>
      <c r="P56" s="277"/>
      <c r="Q56" s="276"/>
      <c r="R56" s="272"/>
      <c r="S56" s="272"/>
      <c r="T56" s="272"/>
      <c r="U56" s="272"/>
      <c r="V56" s="272"/>
    </row>
    <row r="57" spans="1:22" ht="15.75">
      <c r="A57" s="280" t="s">
        <v>188</v>
      </c>
      <c r="B57" s="277"/>
      <c r="C57" s="277"/>
      <c r="D57" s="277"/>
      <c r="E57" s="277"/>
      <c r="F57" s="272"/>
      <c r="G57" s="277">
        <f>+'Restating Entries Explanation'!G34</f>
        <v>-1825996</v>
      </c>
      <c r="H57" s="277"/>
      <c r="I57" s="277"/>
      <c r="J57" s="277"/>
      <c r="K57" s="277"/>
      <c r="L57" s="277"/>
      <c r="M57" s="277"/>
      <c r="N57" s="277"/>
      <c r="O57" s="277">
        <f t="shared" si="2"/>
        <v>-1825996</v>
      </c>
      <c r="P57" s="277"/>
      <c r="Q57" s="276"/>
      <c r="R57" s="272"/>
      <c r="S57" s="272"/>
      <c r="T57" s="272"/>
      <c r="U57" s="272"/>
      <c r="V57" s="272"/>
    </row>
    <row r="58" spans="1:22" ht="15.75">
      <c r="A58" s="280" t="s">
        <v>190</v>
      </c>
      <c r="B58" s="277"/>
      <c r="C58" s="277"/>
      <c r="D58" s="277"/>
      <c r="E58" s="277"/>
      <c r="F58" s="272"/>
      <c r="G58" s="277"/>
      <c r="H58" s="277"/>
      <c r="I58" s="277"/>
      <c r="J58" s="277"/>
      <c r="K58" s="277"/>
      <c r="L58" s="277"/>
      <c r="M58" s="277"/>
      <c r="N58" s="277"/>
      <c r="O58" s="277">
        <f t="shared" si="2"/>
        <v>0</v>
      </c>
      <c r="P58" s="277"/>
      <c r="Q58" s="276"/>
      <c r="R58" s="272"/>
      <c r="S58" s="272"/>
      <c r="T58" s="272"/>
      <c r="U58" s="272"/>
      <c r="V58" s="272"/>
    </row>
    <row r="59" spans="1:22" ht="15.75">
      <c r="A59" s="280" t="s">
        <v>192</v>
      </c>
      <c r="B59" s="277"/>
      <c r="C59" s="277"/>
      <c r="D59" s="277"/>
      <c r="E59" s="277"/>
      <c r="F59" s="272"/>
      <c r="G59" s="277"/>
      <c r="H59" s="277"/>
      <c r="I59" s="277"/>
      <c r="J59" s="277"/>
      <c r="K59" s="277"/>
      <c r="L59" s="277"/>
      <c r="M59" s="277"/>
      <c r="N59" s="277"/>
      <c r="O59" s="277">
        <f t="shared" si="2"/>
        <v>0</v>
      </c>
      <c r="P59" s="277"/>
      <c r="Q59" s="276"/>
      <c r="R59" s="272"/>
      <c r="S59" s="272"/>
      <c r="T59" s="272"/>
      <c r="U59" s="272"/>
      <c r="V59" s="272"/>
    </row>
    <row r="60" spans="1:22" ht="15.75">
      <c r="A60" s="280" t="s">
        <v>193</v>
      </c>
      <c r="B60" s="277"/>
      <c r="C60" s="277"/>
      <c r="D60" s="277"/>
      <c r="E60" s="277"/>
      <c r="F60" s="272"/>
      <c r="G60" s="277"/>
      <c r="H60" s="277"/>
      <c r="I60" s="277"/>
      <c r="J60" s="277"/>
      <c r="K60" s="277"/>
      <c r="L60" s="277"/>
      <c r="M60" s="277"/>
      <c r="N60" s="277"/>
      <c r="O60" s="277">
        <f t="shared" si="2"/>
        <v>0</v>
      </c>
      <c r="P60" s="277"/>
      <c r="Q60" s="276"/>
      <c r="R60" s="272"/>
      <c r="S60" s="272"/>
      <c r="T60" s="272"/>
      <c r="U60" s="272"/>
      <c r="V60" s="272"/>
    </row>
    <row r="61" spans="1:22" ht="15.75">
      <c r="A61" s="280" t="s">
        <v>194</v>
      </c>
      <c r="B61" s="277"/>
      <c r="C61" s="277"/>
      <c r="D61" s="277"/>
      <c r="E61" s="277"/>
      <c r="F61" s="272"/>
      <c r="G61" s="277"/>
      <c r="H61" s="277"/>
      <c r="I61" s="277"/>
      <c r="J61" s="277"/>
      <c r="K61" s="277"/>
      <c r="L61" s="277"/>
      <c r="M61" s="277"/>
      <c r="N61" s="277"/>
      <c r="O61" s="277">
        <f t="shared" si="2"/>
        <v>0</v>
      </c>
      <c r="P61" s="277"/>
      <c r="Q61" s="276"/>
      <c r="R61" s="272"/>
      <c r="S61" s="272"/>
      <c r="T61" s="272"/>
      <c r="U61" s="272"/>
      <c r="V61" s="272"/>
    </row>
    <row r="62" spans="1:22" ht="15.75">
      <c r="A62" s="280" t="s">
        <v>195</v>
      </c>
      <c r="B62" s="277"/>
      <c r="C62" s="277"/>
      <c r="D62" s="277"/>
      <c r="E62" s="277"/>
      <c r="F62" s="272"/>
      <c r="G62" s="277"/>
      <c r="H62" s="277"/>
      <c r="I62" s="277"/>
      <c r="J62" s="277"/>
      <c r="K62" s="277"/>
      <c r="L62" s="277">
        <f>+'Restating Entries Explanation'!G59</f>
        <v>10798.829730000027</v>
      </c>
      <c r="M62" s="277"/>
      <c r="N62" s="277"/>
      <c r="O62" s="277">
        <f t="shared" si="2"/>
        <v>10798.829730000027</v>
      </c>
      <c r="P62" s="277"/>
      <c r="Q62" s="276"/>
      <c r="R62" s="272"/>
      <c r="S62" s="272"/>
      <c r="T62" s="272"/>
      <c r="U62" s="272"/>
      <c r="V62" s="272"/>
    </row>
    <row r="63" spans="1:22" ht="15.75">
      <c r="A63" s="280" t="s">
        <v>196</v>
      </c>
      <c r="B63" s="281"/>
      <c r="C63" s="281"/>
      <c r="D63" s="281"/>
      <c r="E63" s="281"/>
      <c r="F63" s="281"/>
      <c r="G63" s="281"/>
      <c r="H63" s="281"/>
      <c r="I63" s="281"/>
      <c r="J63" s="281"/>
      <c r="K63" s="281"/>
      <c r="L63" s="281"/>
      <c r="M63" s="281"/>
      <c r="N63" s="281"/>
      <c r="O63" s="277">
        <f t="shared" si="2"/>
        <v>0</v>
      </c>
      <c r="P63" s="281"/>
      <c r="Q63" s="276"/>
      <c r="R63" s="272"/>
      <c r="S63" s="272"/>
      <c r="T63" s="272"/>
      <c r="U63" s="272"/>
      <c r="V63" s="272"/>
    </row>
    <row r="64" spans="1:22" ht="15.75">
      <c r="A64" s="280" t="s">
        <v>197</v>
      </c>
      <c r="B64" s="454">
        <f t="shared" ref="B64:M64" si="3">SUM(B23:B63)</f>
        <v>0</v>
      </c>
      <c r="C64" s="454">
        <f t="shared" si="3"/>
        <v>0</v>
      </c>
      <c r="D64" s="454">
        <f t="shared" si="3"/>
        <v>59695.323071430146</v>
      </c>
      <c r="E64" s="454">
        <f t="shared" si="3"/>
        <v>-5173</v>
      </c>
      <c r="F64" s="454">
        <f t="shared" si="3"/>
        <v>-3852.7864</v>
      </c>
      <c r="G64" s="454">
        <f t="shared" si="3"/>
        <v>-1825996</v>
      </c>
      <c r="H64" s="454">
        <f t="shared" si="3"/>
        <v>-8400</v>
      </c>
      <c r="I64" s="454">
        <f t="shared" si="3"/>
        <v>-32066.32</v>
      </c>
      <c r="J64" s="454">
        <f t="shared" si="3"/>
        <v>-6592.0400000000081</v>
      </c>
      <c r="K64" s="454">
        <f t="shared" si="3"/>
        <v>-7974.3060000000405</v>
      </c>
      <c r="L64" s="454">
        <f t="shared" si="3"/>
        <v>10798.829730000027</v>
      </c>
      <c r="M64" s="454">
        <f t="shared" si="3"/>
        <v>12084.01999999996</v>
      </c>
      <c r="N64" s="542"/>
      <c r="O64" s="454">
        <f>SUM(O23:O63)</f>
        <v>-1807476.2795985697</v>
      </c>
      <c r="P64" s="282"/>
      <c r="Q64" s="276"/>
      <c r="R64" s="272"/>
      <c r="S64" s="272"/>
      <c r="T64" s="272"/>
      <c r="U64" s="272"/>
      <c r="V64" s="272"/>
    </row>
    <row r="65" spans="1:22" ht="15.75">
      <c r="A65" s="280" t="s">
        <v>34</v>
      </c>
      <c r="B65" s="277">
        <f>+B21-B64</f>
        <v>0</v>
      </c>
      <c r="C65" s="277">
        <f t="shared" ref="C65:O65" si="4">+C21-C64</f>
        <v>0</v>
      </c>
      <c r="D65" s="277">
        <f t="shared" si="4"/>
        <v>-59695.323071430146</v>
      </c>
      <c r="E65" s="277">
        <f t="shared" si="4"/>
        <v>5173</v>
      </c>
      <c r="F65" s="277">
        <f t="shared" si="4"/>
        <v>3852.7864</v>
      </c>
      <c r="G65" s="277">
        <f t="shared" si="4"/>
        <v>0</v>
      </c>
      <c r="H65" s="277">
        <f t="shared" si="4"/>
        <v>8400</v>
      </c>
      <c r="I65" s="277">
        <f t="shared" si="4"/>
        <v>32066.32</v>
      </c>
      <c r="J65" s="277">
        <f t="shared" si="4"/>
        <v>6592.0400000000081</v>
      </c>
      <c r="K65" s="277">
        <f t="shared" si="4"/>
        <v>7974.3060000000405</v>
      </c>
      <c r="L65" s="277">
        <f t="shared" si="4"/>
        <v>-10798.829730000027</v>
      </c>
      <c r="M65" s="277">
        <f t="shared" si="4"/>
        <v>-12084.01999999996</v>
      </c>
      <c r="N65" s="277"/>
      <c r="O65" s="277">
        <f t="shared" si="4"/>
        <v>-18519.72040143027</v>
      </c>
      <c r="P65" s="277"/>
      <c r="Q65" s="276"/>
      <c r="R65" s="272"/>
      <c r="S65" s="272"/>
      <c r="T65" s="272"/>
      <c r="U65" s="272"/>
      <c r="V65" s="272"/>
    </row>
    <row r="66" spans="1:22" ht="15.75">
      <c r="A66" s="280"/>
      <c r="B66" s="277"/>
      <c r="C66" s="277"/>
      <c r="D66" s="277"/>
      <c r="E66" s="277"/>
      <c r="F66" s="272"/>
      <c r="G66" s="277"/>
      <c r="H66" s="277"/>
      <c r="I66" s="277"/>
      <c r="J66" s="277"/>
      <c r="K66" s="277"/>
      <c r="L66" s="277"/>
      <c r="M66" s="277"/>
      <c r="N66" s="277"/>
      <c r="O66" s="277"/>
      <c r="P66" s="277"/>
      <c r="Q66" s="276"/>
      <c r="R66" s="272"/>
      <c r="S66" s="272"/>
      <c r="T66" s="272"/>
      <c r="U66" s="272"/>
      <c r="V66" s="272"/>
    </row>
    <row r="67" spans="1:22" ht="15.75">
      <c r="A67" s="280" t="s">
        <v>198</v>
      </c>
      <c r="B67" s="277"/>
      <c r="C67" s="277"/>
      <c r="D67" s="277"/>
      <c r="E67" s="277"/>
      <c r="F67" s="272"/>
      <c r="G67" s="277"/>
      <c r="H67" s="277"/>
      <c r="I67" s="277"/>
      <c r="J67" s="277"/>
      <c r="K67" s="277"/>
      <c r="L67" s="277"/>
      <c r="M67" s="277"/>
      <c r="N67" s="277"/>
      <c r="O67" s="277"/>
      <c r="P67" s="277"/>
      <c r="Q67" s="276"/>
      <c r="R67" s="272"/>
      <c r="S67" s="272"/>
      <c r="T67" s="272"/>
      <c r="U67" s="272"/>
      <c r="V67" s="272"/>
    </row>
    <row r="68" spans="1:22" ht="15.75">
      <c r="A68" s="280" t="s">
        <v>199</v>
      </c>
      <c r="B68" s="277"/>
      <c r="C68" s="277"/>
      <c r="D68" s="277"/>
      <c r="E68" s="277"/>
      <c r="F68" s="272"/>
      <c r="G68" s="277"/>
      <c r="H68" s="277"/>
      <c r="I68" s="277"/>
      <c r="J68" s="277"/>
      <c r="K68" s="277"/>
      <c r="L68" s="277"/>
      <c r="M68" s="277"/>
      <c r="N68" s="277"/>
      <c r="O68" s="277">
        <f t="shared" ref="O68:O71" si="5">SUM(B68:M68)</f>
        <v>0</v>
      </c>
      <c r="P68" s="277"/>
      <c r="Q68" s="276"/>
      <c r="R68" s="272"/>
      <c r="S68" s="272"/>
      <c r="T68" s="272"/>
      <c r="U68" s="272"/>
      <c r="V68" s="272"/>
    </row>
    <row r="69" spans="1:22" ht="15.75">
      <c r="A69" s="280" t="s">
        <v>200</v>
      </c>
      <c r="B69" s="277"/>
      <c r="C69" s="277"/>
      <c r="D69" s="277"/>
      <c r="E69" s="277"/>
      <c r="F69" s="272"/>
      <c r="G69" s="277"/>
      <c r="H69" s="277"/>
      <c r="I69" s="277"/>
      <c r="J69" s="277"/>
      <c r="K69" s="277"/>
      <c r="L69" s="277"/>
      <c r="M69" s="277"/>
      <c r="N69" s="277"/>
      <c r="O69" s="277">
        <f t="shared" si="5"/>
        <v>0</v>
      </c>
      <c r="P69" s="277"/>
      <c r="Q69" s="276"/>
      <c r="R69" s="272"/>
      <c r="S69" s="272"/>
      <c r="T69" s="272"/>
      <c r="U69" s="272"/>
      <c r="V69" s="272"/>
    </row>
    <row r="70" spans="1:22" ht="15.75">
      <c r="A70" s="280" t="s">
        <v>488</v>
      </c>
      <c r="B70" s="277"/>
      <c r="C70" s="277"/>
      <c r="D70" s="277"/>
      <c r="E70" s="277"/>
      <c r="F70" s="272"/>
      <c r="G70" s="277"/>
      <c r="H70" s="277">
        <f>+'Restating Entries Explanation'!G39</f>
        <v>-8400</v>
      </c>
      <c r="I70" s="277"/>
      <c r="J70" s="277"/>
      <c r="K70" s="277"/>
      <c r="L70" s="277"/>
      <c r="M70" s="277"/>
      <c r="N70" s="277"/>
      <c r="O70" s="277">
        <f t="shared" si="5"/>
        <v>-8400</v>
      </c>
      <c r="P70" s="277"/>
      <c r="Q70" s="276"/>
      <c r="R70" s="272"/>
      <c r="S70" s="272"/>
      <c r="T70" s="272"/>
      <c r="U70" s="272"/>
      <c r="V70" s="272"/>
    </row>
    <row r="71" spans="1:22" ht="15.75">
      <c r="A71" s="280" t="s">
        <v>201</v>
      </c>
      <c r="B71" s="277"/>
      <c r="C71" s="277"/>
      <c r="D71" s="277"/>
      <c r="E71" s="277"/>
      <c r="F71" s="272"/>
      <c r="G71" s="277"/>
      <c r="H71" s="277"/>
      <c r="I71" s="277"/>
      <c r="J71" s="277"/>
      <c r="K71" s="277"/>
      <c r="L71" s="277"/>
      <c r="M71" s="277"/>
      <c r="N71" s="277"/>
      <c r="O71" s="277">
        <f t="shared" si="5"/>
        <v>0</v>
      </c>
      <c r="P71" s="277"/>
      <c r="Q71" s="276"/>
      <c r="R71" s="272"/>
      <c r="S71" s="272"/>
      <c r="T71" s="272"/>
      <c r="U71" s="272"/>
      <c r="V71" s="272"/>
    </row>
    <row r="72" spans="1:22" ht="15.75">
      <c r="A72" s="280" t="s">
        <v>35</v>
      </c>
      <c r="B72" s="281"/>
      <c r="C72" s="281"/>
      <c r="D72" s="281"/>
      <c r="E72" s="281"/>
      <c r="F72" s="281"/>
      <c r="G72" s="281"/>
      <c r="H72" s="281"/>
      <c r="I72" s="281"/>
      <c r="J72" s="281"/>
      <c r="K72" s="281"/>
      <c r="L72" s="281"/>
      <c r="M72" s="281"/>
      <c r="N72" s="281"/>
      <c r="O72" s="281">
        <f>SUM(B72:M72)</f>
        <v>0</v>
      </c>
      <c r="P72" s="281"/>
      <c r="Q72" s="276"/>
      <c r="R72" s="272"/>
      <c r="S72" s="272"/>
      <c r="T72" s="272"/>
      <c r="U72" s="272"/>
      <c r="V72" s="272"/>
    </row>
    <row r="73" spans="1:22" ht="15.75">
      <c r="A73" s="280" t="s">
        <v>202</v>
      </c>
      <c r="B73" s="282"/>
      <c r="C73" s="282"/>
      <c r="D73" s="282"/>
      <c r="E73" s="282"/>
      <c r="F73" s="282"/>
      <c r="G73" s="282"/>
      <c r="H73" s="282"/>
      <c r="I73" s="282"/>
      <c r="J73" s="282"/>
      <c r="K73" s="282"/>
      <c r="L73" s="282"/>
      <c r="M73" s="282"/>
      <c r="N73" s="542"/>
      <c r="O73" s="282">
        <f>SUM(O68:O72)</f>
        <v>-8400</v>
      </c>
      <c r="P73" s="282"/>
      <c r="Q73" s="276"/>
      <c r="R73" s="272"/>
      <c r="S73" s="272"/>
      <c r="T73" s="272"/>
      <c r="U73" s="272"/>
      <c r="V73" s="272"/>
    </row>
    <row r="74" spans="1:22" ht="15.75">
      <c r="A74" s="280"/>
      <c r="B74" s="277"/>
      <c r="C74" s="277"/>
      <c r="D74" s="277"/>
      <c r="E74" s="277"/>
      <c r="F74" s="272"/>
      <c r="G74" s="277"/>
      <c r="H74" s="277"/>
      <c r="I74" s="277"/>
      <c r="J74" s="277"/>
      <c r="K74" s="277"/>
      <c r="L74" s="277"/>
      <c r="M74" s="277"/>
      <c r="N74" s="277"/>
      <c r="O74" s="277"/>
      <c r="P74" s="277"/>
      <c r="Q74" s="276"/>
      <c r="R74" s="272"/>
      <c r="S74" s="272"/>
      <c r="T74" s="272"/>
      <c r="U74" s="272"/>
      <c r="V74" s="272"/>
    </row>
    <row r="75" spans="1:22" ht="15.75">
      <c r="A75" s="280" t="s">
        <v>38</v>
      </c>
      <c r="B75" s="277"/>
      <c r="C75" s="277"/>
      <c r="D75" s="277"/>
      <c r="E75" s="277"/>
      <c r="F75" s="272"/>
      <c r="G75" s="277"/>
      <c r="H75" s="277"/>
      <c r="I75" s="277"/>
      <c r="J75" s="277"/>
      <c r="K75" s="277"/>
      <c r="L75" s="277"/>
      <c r="M75" s="277"/>
      <c r="N75" s="277"/>
      <c r="O75" s="277"/>
      <c r="P75" s="277"/>
      <c r="Q75" s="276"/>
      <c r="R75" s="272"/>
      <c r="S75" s="272"/>
      <c r="T75" s="272"/>
      <c r="U75" s="272"/>
      <c r="V75" s="272"/>
    </row>
    <row r="76" spans="1:22" ht="15.75">
      <c r="A76" s="280"/>
      <c r="B76" s="277"/>
      <c r="C76" s="277"/>
      <c r="D76" s="277"/>
      <c r="E76" s="277"/>
      <c r="F76" s="272"/>
      <c r="G76" s="277"/>
      <c r="H76" s="277"/>
      <c r="I76" s="277"/>
      <c r="J76" s="277"/>
      <c r="K76" s="277"/>
      <c r="L76" s="277"/>
      <c r="M76" s="277"/>
      <c r="N76" s="277"/>
      <c r="O76" s="277"/>
      <c r="P76" s="277"/>
      <c r="Q76" s="276"/>
      <c r="R76" s="272"/>
      <c r="S76" s="272"/>
      <c r="T76" s="272"/>
      <c r="U76" s="272"/>
      <c r="V76" s="272"/>
    </row>
    <row r="77" spans="1:22" ht="15.75">
      <c r="A77" s="280"/>
      <c r="B77" s="277"/>
      <c r="C77" s="277"/>
      <c r="D77" s="277"/>
      <c r="E77" s="277"/>
      <c r="F77" s="155"/>
      <c r="G77" s="277"/>
      <c r="H77" s="277"/>
      <c r="I77" s="277"/>
      <c r="J77" s="277"/>
      <c r="K77" s="277"/>
      <c r="L77" s="277"/>
      <c r="M77" s="277"/>
      <c r="N77" s="277"/>
      <c r="O77" s="277"/>
      <c r="P77" s="277"/>
      <c r="Q77" s="276"/>
      <c r="R77" s="272"/>
      <c r="S77" s="272"/>
      <c r="T77" s="272"/>
      <c r="U77" s="272"/>
      <c r="V77" s="272"/>
    </row>
    <row r="78" spans="1:22" ht="15.75">
      <c r="A78" s="280" t="s">
        <v>31</v>
      </c>
      <c r="B78" s="276"/>
      <c r="C78" s="276"/>
      <c r="D78" s="276"/>
      <c r="E78" s="276"/>
      <c r="F78" s="276"/>
      <c r="G78" s="276"/>
      <c r="H78" s="276"/>
      <c r="I78" s="276"/>
      <c r="J78" s="276"/>
      <c r="K78" s="276"/>
      <c r="L78" s="276"/>
      <c r="M78" s="276"/>
      <c r="N78" s="276"/>
      <c r="O78" s="277"/>
      <c r="P78" s="276"/>
      <c r="Q78" s="276"/>
      <c r="R78" s="272"/>
      <c r="S78" s="272"/>
      <c r="T78" s="272"/>
      <c r="U78" s="272"/>
      <c r="V78" s="272"/>
    </row>
    <row r="79" spans="1:22" ht="15.75">
      <c r="A79" s="280"/>
      <c r="B79" s="276"/>
      <c r="C79" s="276"/>
      <c r="D79" s="276"/>
      <c r="E79" s="276"/>
      <c r="F79" s="276"/>
      <c r="G79" s="276"/>
      <c r="H79" s="276"/>
      <c r="I79" s="276"/>
      <c r="J79" s="276"/>
      <c r="K79" s="276"/>
      <c r="L79" s="276"/>
      <c r="M79" s="276"/>
      <c r="N79" s="276"/>
      <c r="O79" s="277"/>
      <c r="P79" s="276"/>
      <c r="Q79" s="276"/>
      <c r="R79" s="272"/>
      <c r="S79" s="272"/>
      <c r="T79" s="272"/>
      <c r="U79" s="272"/>
      <c r="V79" s="272"/>
    </row>
    <row r="80" spans="1:22" ht="15.75">
      <c r="A80" s="280"/>
      <c r="B80" s="276"/>
      <c r="C80" s="276"/>
      <c r="D80" s="276"/>
      <c r="E80" s="276"/>
      <c r="F80" s="276"/>
      <c r="G80" s="276"/>
      <c r="H80" s="276"/>
      <c r="I80" s="276"/>
      <c r="J80" s="276"/>
      <c r="K80" s="276"/>
      <c r="L80" s="276"/>
      <c r="M80" s="276"/>
      <c r="N80" s="276"/>
      <c r="O80" s="277"/>
      <c r="P80" s="276"/>
      <c r="Q80" s="276"/>
      <c r="R80" s="272"/>
      <c r="S80" s="272"/>
      <c r="T80" s="272"/>
      <c r="U80" s="272"/>
      <c r="V80" s="272"/>
    </row>
    <row r="81" spans="1:22" ht="15.75">
      <c r="A81" s="280"/>
      <c r="B81" s="276"/>
      <c r="C81" s="276"/>
      <c r="D81" s="276"/>
      <c r="E81" s="276"/>
      <c r="F81" s="276"/>
      <c r="G81" s="276"/>
      <c r="H81" s="276"/>
      <c r="I81" s="276"/>
      <c r="J81" s="276"/>
      <c r="K81" s="276"/>
      <c r="L81" s="276"/>
      <c r="M81" s="276"/>
      <c r="N81" s="276"/>
      <c r="O81" s="277"/>
      <c r="P81" s="276"/>
      <c r="Q81" s="276"/>
      <c r="R81" s="272"/>
      <c r="S81" s="272"/>
      <c r="T81" s="272"/>
      <c r="U81" s="272"/>
      <c r="V81" s="272"/>
    </row>
    <row r="82" spans="1:22" ht="15.75">
      <c r="A82" s="280"/>
      <c r="B82" s="276"/>
      <c r="C82" s="276"/>
      <c r="D82" s="276"/>
      <c r="E82" s="276"/>
      <c r="F82" s="276"/>
      <c r="G82" s="276"/>
      <c r="H82" s="276"/>
      <c r="I82" s="276"/>
      <c r="J82" s="276"/>
      <c r="K82" s="276"/>
      <c r="L82" s="276"/>
      <c r="M82" s="276"/>
      <c r="N82" s="276"/>
      <c r="O82" s="277"/>
      <c r="P82" s="276"/>
      <c r="Q82" s="276"/>
      <c r="R82" s="272"/>
      <c r="S82" s="272"/>
      <c r="T82" s="272"/>
      <c r="U82" s="272"/>
      <c r="V82" s="272"/>
    </row>
    <row r="83" spans="1:22" ht="15.75">
      <c r="A83" s="280"/>
      <c r="B83" s="276"/>
      <c r="C83" s="276"/>
      <c r="D83" s="276"/>
      <c r="E83" s="276"/>
      <c r="F83" s="276"/>
      <c r="G83" s="276"/>
      <c r="H83" s="276"/>
      <c r="I83" s="276"/>
      <c r="J83" s="276"/>
      <c r="K83" s="276"/>
      <c r="L83" s="276"/>
      <c r="M83" s="276"/>
      <c r="N83" s="276"/>
      <c r="O83" s="277"/>
      <c r="P83" s="276"/>
      <c r="Q83" s="276"/>
      <c r="R83" s="272"/>
      <c r="S83" s="272"/>
      <c r="T83" s="272"/>
      <c r="U83" s="272"/>
      <c r="V83" s="272"/>
    </row>
    <row r="84" spans="1:22" ht="15.75">
      <c r="A84" s="280"/>
      <c r="B84" s="276"/>
      <c r="C84" s="276"/>
      <c r="D84" s="276"/>
      <c r="E84" s="276"/>
      <c r="F84" s="276"/>
      <c r="G84" s="276"/>
      <c r="H84" s="276"/>
      <c r="I84" s="276"/>
      <c r="J84" s="276"/>
      <c r="K84" s="276"/>
      <c r="L84" s="276"/>
      <c r="M84" s="276"/>
      <c r="N84" s="276"/>
      <c r="O84" s="277"/>
      <c r="P84" s="276"/>
      <c r="Q84" s="276"/>
      <c r="R84" s="272"/>
      <c r="S84" s="272"/>
      <c r="T84" s="272"/>
      <c r="U84" s="272"/>
      <c r="V84" s="272"/>
    </row>
    <row r="85" spans="1:22" ht="15.75">
      <c r="A85" s="280"/>
      <c r="B85" s="276"/>
      <c r="C85" s="276"/>
      <c r="D85" s="276"/>
      <c r="E85" s="276"/>
      <c r="F85" s="276"/>
      <c r="G85" s="276"/>
      <c r="H85" s="276"/>
      <c r="I85" s="276"/>
      <c r="J85" s="276"/>
      <c r="K85" s="276"/>
      <c r="L85" s="276"/>
      <c r="M85" s="276"/>
      <c r="N85" s="276"/>
      <c r="O85" s="277"/>
      <c r="P85" s="276"/>
      <c r="Q85" s="276"/>
      <c r="R85" s="272"/>
      <c r="S85" s="272"/>
      <c r="T85" s="272"/>
      <c r="U85" s="272"/>
      <c r="V85" s="272"/>
    </row>
    <row r="86" spans="1:22" ht="15.75">
      <c r="A86" s="280"/>
      <c r="B86" s="276"/>
      <c r="C86" s="276"/>
      <c r="D86" s="276"/>
      <c r="E86" s="276"/>
      <c r="F86" s="276"/>
      <c r="G86" s="276"/>
      <c r="H86" s="276"/>
      <c r="I86" s="276"/>
      <c r="J86" s="276"/>
      <c r="K86" s="276"/>
      <c r="L86" s="276"/>
      <c r="M86" s="276"/>
      <c r="N86" s="276"/>
      <c r="O86" s="277"/>
      <c r="P86" s="276"/>
      <c r="Q86" s="276"/>
      <c r="R86" s="272"/>
      <c r="S86" s="272"/>
      <c r="T86" s="272"/>
      <c r="U86" s="272"/>
      <c r="V86" s="272"/>
    </row>
    <row r="87" spans="1:22" ht="15.75">
      <c r="A87" s="280"/>
      <c r="B87" s="276"/>
      <c r="C87" s="276"/>
      <c r="D87" s="276"/>
      <c r="E87" s="276"/>
      <c r="F87" s="276"/>
      <c r="G87" s="276"/>
      <c r="H87" s="276"/>
      <c r="I87" s="276"/>
      <c r="J87" s="276"/>
      <c r="K87" s="276"/>
      <c r="L87" s="276"/>
      <c r="M87" s="276"/>
      <c r="N87" s="276"/>
      <c r="O87" s="277"/>
      <c r="P87" s="276"/>
      <c r="Q87" s="276"/>
      <c r="R87" s="272"/>
      <c r="S87" s="272"/>
      <c r="T87" s="272"/>
      <c r="U87" s="272"/>
      <c r="V87" s="272"/>
    </row>
    <row r="88" spans="1:22" ht="15.75">
      <c r="A88" s="280"/>
      <c r="B88" s="276"/>
      <c r="C88" s="276"/>
      <c r="D88" s="276"/>
      <c r="E88" s="276"/>
      <c r="F88" s="276"/>
      <c r="G88" s="276"/>
      <c r="H88" s="276"/>
      <c r="I88" s="276"/>
      <c r="J88" s="276"/>
      <c r="K88" s="276"/>
      <c r="L88" s="276"/>
      <c r="M88" s="276"/>
      <c r="N88" s="276"/>
      <c r="O88" s="277"/>
      <c r="P88" s="276"/>
      <c r="Q88" s="276"/>
      <c r="R88" s="272"/>
      <c r="S88" s="272"/>
      <c r="T88" s="272"/>
      <c r="U88" s="272"/>
      <c r="V88" s="272"/>
    </row>
    <row r="89" spans="1:22" ht="15.75">
      <c r="A89" s="280"/>
      <c r="B89" s="276"/>
      <c r="C89" s="276"/>
      <c r="D89" s="276"/>
      <c r="E89" s="276"/>
      <c r="F89" s="276"/>
      <c r="G89" s="276"/>
      <c r="H89" s="276"/>
      <c r="I89" s="276"/>
      <c r="J89" s="276"/>
      <c r="K89" s="276"/>
      <c r="L89" s="276"/>
      <c r="M89" s="276"/>
      <c r="N89" s="276"/>
      <c r="O89" s="277"/>
      <c r="P89" s="276"/>
      <c r="Q89" s="276"/>
      <c r="R89" s="272"/>
      <c r="S89" s="272"/>
      <c r="T89" s="272"/>
      <c r="U89" s="272"/>
      <c r="V89" s="272"/>
    </row>
    <row r="90" spans="1:22" ht="15.75">
      <c r="A90" s="280"/>
      <c r="B90" s="276"/>
      <c r="C90" s="276"/>
      <c r="D90" s="276"/>
      <c r="E90" s="276"/>
      <c r="F90" s="276"/>
      <c r="G90" s="276"/>
      <c r="H90" s="276"/>
      <c r="I90" s="276"/>
      <c r="J90" s="276"/>
      <c r="K90" s="276"/>
      <c r="L90" s="276"/>
      <c r="M90" s="276"/>
      <c r="N90" s="276"/>
      <c r="O90" s="277"/>
      <c r="P90" s="276"/>
      <c r="Q90" s="276"/>
      <c r="R90" s="272"/>
      <c r="S90" s="272"/>
      <c r="T90" s="272"/>
      <c r="U90" s="272"/>
      <c r="V90" s="272"/>
    </row>
    <row r="91" spans="1:22" ht="15.75">
      <c r="A91" s="280"/>
      <c r="B91" s="276"/>
      <c r="C91" s="276"/>
      <c r="D91" s="276"/>
      <c r="E91" s="276"/>
      <c r="F91" s="276"/>
      <c r="G91" s="276"/>
      <c r="H91" s="276"/>
      <c r="I91" s="276"/>
      <c r="J91" s="276"/>
      <c r="K91" s="276"/>
      <c r="L91" s="276"/>
      <c r="M91" s="276"/>
      <c r="N91" s="276"/>
      <c r="O91" s="277"/>
      <c r="P91" s="276"/>
      <c r="Q91" s="276"/>
      <c r="R91" s="272"/>
      <c r="S91" s="272"/>
      <c r="T91" s="272"/>
      <c r="U91" s="272"/>
      <c r="V91" s="272"/>
    </row>
    <row r="92" spans="1:22" ht="15.75">
      <c r="A92" s="280"/>
      <c r="B92" s="276"/>
      <c r="C92" s="276"/>
      <c r="D92" s="276"/>
      <c r="E92" s="276"/>
      <c r="F92" s="276"/>
      <c r="G92" s="276"/>
      <c r="H92" s="276"/>
      <c r="I92" s="276"/>
      <c r="J92" s="276"/>
      <c r="K92" s="276"/>
      <c r="L92" s="276"/>
      <c r="M92" s="276"/>
      <c r="N92" s="276"/>
      <c r="O92" s="277"/>
      <c r="P92" s="276"/>
      <c r="Q92" s="276"/>
      <c r="R92" s="272"/>
      <c r="S92" s="272"/>
      <c r="T92" s="272"/>
      <c r="U92" s="272"/>
      <c r="V92" s="272"/>
    </row>
    <row r="93" spans="1:22" ht="15.75">
      <c r="A93" s="280"/>
      <c r="B93" s="276"/>
      <c r="C93" s="276"/>
      <c r="D93" s="276"/>
      <c r="E93" s="276"/>
      <c r="F93" s="276"/>
      <c r="G93" s="276"/>
      <c r="H93" s="276"/>
      <c r="I93" s="276"/>
      <c r="J93" s="276"/>
      <c r="K93" s="276"/>
      <c r="L93" s="276"/>
      <c r="M93" s="276"/>
      <c r="N93" s="276"/>
      <c r="O93" s="277"/>
      <c r="P93" s="276"/>
      <c r="Q93" s="276"/>
      <c r="R93" s="272"/>
      <c r="S93" s="272"/>
      <c r="T93" s="272"/>
      <c r="U93" s="272"/>
      <c r="V93" s="272"/>
    </row>
    <row r="94" spans="1:22" ht="15.75">
      <c r="A94" s="280"/>
      <c r="B94" s="276"/>
      <c r="C94" s="276"/>
      <c r="D94" s="276"/>
      <c r="E94" s="276"/>
      <c r="F94" s="276"/>
      <c r="G94" s="276"/>
      <c r="H94" s="276"/>
      <c r="I94" s="276"/>
      <c r="J94" s="276"/>
      <c r="K94" s="276"/>
      <c r="L94" s="276"/>
      <c r="M94" s="276"/>
      <c r="N94" s="276"/>
      <c r="O94" s="277"/>
      <c r="P94" s="276"/>
      <c r="Q94" s="276"/>
    </row>
    <row r="95" spans="1:22" ht="15.75">
      <c r="A95" s="280"/>
      <c r="B95" s="276"/>
      <c r="C95" s="276"/>
      <c r="D95" s="276"/>
      <c r="E95" s="276"/>
      <c r="F95" s="276"/>
      <c r="G95" s="276"/>
      <c r="H95" s="276"/>
      <c r="I95" s="276"/>
      <c r="J95" s="276"/>
      <c r="K95" s="276"/>
      <c r="L95" s="276"/>
      <c r="M95" s="276"/>
      <c r="N95" s="276"/>
      <c r="O95" s="277"/>
      <c r="P95" s="276"/>
      <c r="Q95" s="276"/>
    </row>
    <row r="96" spans="1:22" ht="15.75">
      <c r="A96" s="280"/>
      <c r="B96" s="276"/>
      <c r="C96" s="276"/>
      <c r="D96" s="276"/>
      <c r="E96" s="276"/>
      <c r="F96" s="276"/>
      <c r="G96" s="276"/>
      <c r="H96" s="276"/>
      <c r="I96" s="276"/>
      <c r="J96" s="276"/>
      <c r="K96" s="276"/>
      <c r="L96" s="276"/>
      <c r="M96" s="276"/>
      <c r="N96" s="276"/>
      <c r="O96" s="277"/>
      <c r="P96" s="276"/>
      <c r="Q96" s="276"/>
    </row>
    <row r="97" spans="1:17" ht="15.75">
      <c r="A97" s="280"/>
      <c r="B97" s="276"/>
      <c r="C97" s="276"/>
      <c r="D97" s="276"/>
      <c r="E97" s="276"/>
      <c r="F97" s="276"/>
      <c r="G97" s="276"/>
      <c r="H97" s="276"/>
      <c r="I97" s="276"/>
      <c r="J97" s="276"/>
      <c r="K97" s="276"/>
      <c r="L97" s="276"/>
      <c r="M97" s="276"/>
      <c r="N97" s="276"/>
      <c r="O97" s="277"/>
      <c r="P97" s="276"/>
      <c r="Q97" s="276"/>
    </row>
    <row r="98" spans="1:17" ht="15.75">
      <c r="A98" s="280"/>
      <c r="B98" s="276"/>
      <c r="C98" s="276"/>
      <c r="D98" s="276"/>
      <c r="E98" s="276"/>
      <c r="F98" s="276"/>
      <c r="G98" s="276"/>
      <c r="H98" s="276"/>
      <c r="I98" s="276"/>
      <c r="J98" s="276"/>
      <c r="K98" s="276"/>
      <c r="L98" s="276"/>
      <c r="M98" s="276"/>
      <c r="N98" s="276"/>
      <c r="O98" s="277"/>
      <c r="P98" s="276"/>
      <c r="Q98" s="276"/>
    </row>
    <row r="99" spans="1:17" ht="15.75">
      <c r="A99" s="280"/>
      <c r="B99" s="276"/>
      <c r="C99" s="276"/>
      <c r="D99" s="276"/>
      <c r="E99" s="276"/>
      <c r="F99" s="276"/>
      <c r="G99" s="276"/>
      <c r="H99" s="276"/>
      <c r="I99" s="276"/>
      <c r="J99" s="276"/>
      <c r="K99" s="276"/>
      <c r="L99" s="276"/>
      <c r="M99" s="276"/>
      <c r="N99" s="276"/>
      <c r="O99" s="277"/>
      <c r="P99" s="276"/>
      <c r="Q99" s="276"/>
    </row>
    <row r="100" spans="1:17" ht="15.75">
      <c r="A100" s="280"/>
      <c r="B100" s="276"/>
      <c r="C100" s="276"/>
      <c r="D100" s="276"/>
      <c r="E100" s="276"/>
      <c r="F100" s="276"/>
      <c r="G100" s="276"/>
      <c r="H100" s="276"/>
      <c r="I100" s="276"/>
      <c r="J100" s="276"/>
      <c r="K100" s="276"/>
      <c r="L100" s="276"/>
      <c r="M100" s="276"/>
      <c r="N100" s="276"/>
      <c r="O100" s="277"/>
      <c r="P100" s="276"/>
      <c r="Q100" s="276"/>
    </row>
    <row r="101" spans="1:17" ht="15.75">
      <c r="A101" s="280"/>
      <c r="B101" s="276"/>
      <c r="C101" s="276"/>
      <c r="D101" s="276"/>
      <c r="E101" s="276"/>
      <c r="F101" s="276"/>
      <c r="G101" s="276"/>
      <c r="H101" s="276"/>
      <c r="I101" s="276"/>
      <c r="J101" s="276"/>
      <c r="K101" s="276"/>
      <c r="L101" s="276"/>
      <c r="M101" s="276"/>
      <c r="N101" s="276"/>
      <c r="O101" s="277"/>
      <c r="P101" s="276"/>
      <c r="Q101" s="276"/>
    </row>
    <row r="102" spans="1:17" ht="15.75">
      <c r="A102" s="280"/>
      <c r="B102" s="276"/>
      <c r="C102" s="276"/>
      <c r="D102" s="276"/>
      <c r="E102" s="276"/>
      <c r="F102" s="276"/>
      <c r="G102" s="276"/>
      <c r="H102" s="276"/>
      <c r="I102" s="276"/>
      <c r="J102" s="276"/>
      <c r="K102" s="276"/>
      <c r="L102" s="276"/>
      <c r="M102" s="276"/>
      <c r="N102" s="276"/>
      <c r="O102" s="277"/>
      <c r="P102" s="276"/>
      <c r="Q102" s="276"/>
    </row>
    <row r="103" spans="1:17" ht="15.75">
      <c r="A103" s="280"/>
      <c r="B103" s="276"/>
      <c r="C103" s="276"/>
      <c r="D103" s="276"/>
      <c r="E103" s="276"/>
      <c r="F103" s="276"/>
      <c r="G103" s="276"/>
      <c r="H103" s="276"/>
      <c r="I103" s="276"/>
      <c r="J103" s="276"/>
      <c r="K103" s="276"/>
      <c r="L103" s="276"/>
      <c r="M103" s="276"/>
      <c r="N103" s="276"/>
      <c r="O103" s="277"/>
      <c r="P103" s="276"/>
      <c r="Q103" s="276"/>
    </row>
    <row r="104" spans="1:17" ht="15.75">
      <c r="A104" s="280"/>
      <c r="B104" s="276"/>
      <c r="C104" s="276"/>
      <c r="D104" s="276"/>
      <c r="E104" s="276"/>
      <c r="F104" s="276"/>
      <c r="G104" s="276"/>
      <c r="H104" s="276"/>
      <c r="I104" s="276"/>
      <c r="J104" s="276"/>
      <c r="K104" s="276"/>
      <c r="L104" s="276"/>
      <c r="M104" s="276"/>
      <c r="N104" s="276"/>
      <c r="O104" s="277"/>
      <c r="P104" s="276"/>
      <c r="Q104" s="276"/>
    </row>
    <row r="105" spans="1:17" ht="15.75">
      <c r="A105" s="280"/>
      <c r="B105" s="276"/>
      <c r="C105" s="276"/>
      <c r="D105" s="276"/>
      <c r="E105" s="276"/>
      <c r="F105" s="276"/>
      <c r="G105" s="276"/>
      <c r="H105" s="276"/>
      <c r="I105" s="276"/>
      <c r="J105" s="276"/>
      <c r="K105" s="276"/>
      <c r="L105" s="276"/>
      <c r="M105" s="276"/>
      <c r="N105" s="276"/>
      <c r="O105" s="277"/>
      <c r="P105" s="276"/>
      <c r="Q105" s="276"/>
    </row>
    <row r="106" spans="1:17" ht="15.75">
      <c r="A106" s="280"/>
      <c r="B106" s="276"/>
      <c r="C106" s="276"/>
      <c r="D106" s="276"/>
      <c r="E106" s="276"/>
      <c r="F106" s="276"/>
      <c r="G106" s="276"/>
      <c r="H106" s="276"/>
      <c r="I106" s="276"/>
      <c r="J106" s="276"/>
      <c r="K106" s="276"/>
      <c r="L106" s="276"/>
      <c r="M106" s="276"/>
      <c r="N106" s="276"/>
      <c r="O106" s="277"/>
      <c r="P106" s="276"/>
      <c r="Q106" s="276"/>
    </row>
    <row r="107" spans="1:17" ht="15.75">
      <c r="A107" s="280"/>
      <c r="B107" s="276"/>
      <c r="C107" s="276"/>
      <c r="D107" s="276"/>
      <c r="E107" s="276"/>
      <c r="F107" s="276"/>
      <c r="G107" s="276"/>
      <c r="H107" s="276"/>
      <c r="I107" s="276"/>
      <c r="J107" s="276"/>
      <c r="K107" s="276"/>
      <c r="L107" s="276"/>
      <c r="M107" s="276"/>
      <c r="N107" s="276"/>
      <c r="O107" s="277"/>
      <c r="P107" s="276"/>
      <c r="Q107" s="276"/>
    </row>
    <row r="108" spans="1:17" ht="15.75">
      <c r="A108" s="280"/>
      <c r="B108" s="276"/>
      <c r="C108" s="276"/>
      <c r="D108" s="276"/>
      <c r="E108" s="276"/>
      <c r="F108" s="276"/>
      <c r="G108" s="276"/>
      <c r="H108" s="276"/>
      <c r="I108" s="276"/>
      <c r="J108" s="276"/>
      <c r="K108" s="276"/>
      <c r="L108" s="276"/>
      <c r="M108" s="276"/>
      <c r="N108" s="276"/>
      <c r="O108" s="277"/>
      <c r="P108" s="276"/>
      <c r="Q108" s="276"/>
    </row>
    <row r="109" spans="1:17" ht="15.75">
      <c r="A109" s="280"/>
      <c r="B109" s="276"/>
      <c r="C109" s="276"/>
      <c r="D109" s="276"/>
      <c r="E109" s="276"/>
      <c r="F109" s="276"/>
      <c r="G109" s="276"/>
      <c r="H109" s="276"/>
      <c r="I109" s="276"/>
      <c r="J109" s="276"/>
      <c r="K109" s="276"/>
      <c r="L109" s="276"/>
      <c r="M109" s="276"/>
      <c r="N109" s="276"/>
      <c r="O109" s="277"/>
      <c r="P109" s="276"/>
      <c r="Q109" s="276"/>
    </row>
    <row r="110" spans="1:17" ht="15.75">
      <c r="A110" s="280"/>
      <c r="B110" s="276"/>
      <c r="C110" s="276"/>
      <c r="D110" s="276"/>
      <c r="E110" s="276"/>
      <c r="F110" s="276"/>
      <c r="G110" s="276"/>
      <c r="H110" s="276"/>
      <c r="I110" s="276"/>
      <c r="J110" s="276"/>
      <c r="K110" s="276"/>
      <c r="L110" s="276"/>
      <c r="M110" s="276"/>
      <c r="N110" s="276"/>
      <c r="O110" s="277"/>
      <c r="P110" s="276"/>
      <c r="Q110" s="276"/>
    </row>
    <row r="111" spans="1:17" ht="15.75">
      <c r="A111" s="280"/>
      <c r="B111" s="276"/>
      <c r="C111" s="276"/>
      <c r="D111" s="276"/>
      <c r="E111" s="276"/>
      <c r="F111" s="276"/>
      <c r="G111" s="276"/>
      <c r="H111" s="276"/>
      <c r="I111" s="276"/>
      <c r="J111" s="276"/>
      <c r="K111" s="276"/>
      <c r="L111" s="276"/>
      <c r="M111" s="276"/>
      <c r="N111" s="276"/>
      <c r="O111" s="277"/>
      <c r="P111" s="276"/>
      <c r="Q111" s="276"/>
    </row>
    <row r="112" spans="1:17" ht="15.75">
      <c r="A112" s="280"/>
      <c r="B112" s="276"/>
      <c r="C112" s="276"/>
      <c r="D112" s="276"/>
      <c r="E112" s="276"/>
      <c r="F112" s="276"/>
      <c r="G112" s="276"/>
      <c r="H112" s="276"/>
      <c r="I112" s="276"/>
      <c r="J112" s="276"/>
      <c r="K112" s="276"/>
      <c r="L112" s="276"/>
      <c r="M112" s="276"/>
      <c r="N112" s="276"/>
      <c r="O112" s="277"/>
      <c r="P112" s="276"/>
      <c r="Q112" s="276"/>
    </row>
    <row r="113" spans="1:17" ht="15.75">
      <c r="A113" s="280"/>
      <c r="B113" s="276"/>
      <c r="C113" s="276"/>
      <c r="D113" s="276"/>
      <c r="E113" s="276"/>
      <c r="F113" s="276"/>
      <c r="G113" s="276"/>
      <c r="H113" s="276"/>
      <c r="I113" s="276"/>
      <c r="J113" s="276"/>
      <c r="K113" s="276"/>
      <c r="L113" s="276"/>
      <c r="M113" s="276"/>
      <c r="N113" s="276"/>
      <c r="O113" s="277"/>
      <c r="P113" s="276"/>
      <c r="Q113" s="276"/>
    </row>
    <row r="114" spans="1:17" ht="15.75">
      <c r="A114" s="280"/>
      <c r="B114" s="276"/>
      <c r="C114" s="276"/>
      <c r="D114" s="276"/>
      <c r="E114" s="276"/>
      <c r="F114" s="276"/>
      <c r="G114" s="276"/>
      <c r="H114" s="276"/>
      <c r="I114" s="276"/>
      <c r="J114" s="276"/>
      <c r="K114" s="276"/>
      <c r="L114" s="276"/>
      <c r="M114" s="276"/>
      <c r="N114" s="276"/>
      <c r="O114" s="277"/>
      <c r="P114" s="276"/>
      <c r="Q114" s="276"/>
    </row>
    <row r="115" spans="1:17" ht="15.75">
      <c r="A115" s="280"/>
      <c r="B115" s="276"/>
      <c r="C115" s="276"/>
      <c r="D115" s="276"/>
      <c r="E115" s="276"/>
      <c r="F115" s="276"/>
      <c r="G115" s="276"/>
      <c r="H115" s="276"/>
      <c r="I115" s="276"/>
      <c r="J115" s="276"/>
      <c r="K115" s="276"/>
      <c r="L115" s="276"/>
      <c r="M115" s="276"/>
      <c r="N115" s="276"/>
      <c r="O115" s="277"/>
      <c r="P115" s="276"/>
      <c r="Q115" s="276"/>
    </row>
    <row r="116" spans="1:17" ht="15.75">
      <c r="A116" s="280"/>
      <c r="B116" s="276"/>
      <c r="C116" s="276"/>
      <c r="D116" s="276"/>
      <c r="E116" s="276"/>
      <c r="F116" s="276"/>
      <c r="G116" s="276"/>
      <c r="H116" s="276"/>
      <c r="I116" s="276"/>
      <c r="J116" s="276"/>
      <c r="K116" s="276"/>
      <c r="L116" s="276"/>
      <c r="M116" s="276"/>
      <c r="N116" s="276"/>
      <c r="O116" s="277"/>
      <c r="P116" s="276"/>
      <c r="Q116" s="276"/>
    </row>
    <row r="117" spans="1:17" ht="15.75">
      <c r="A117" s="280"/>
      <c r="B117" s="276"/>
      <c r="C117" s="276"/>
      <c r="D117" s="276"/>
      <c r="E117" s="276"/>
      <c r="F117" s="276"/>
      <c r="G117" s="276"/>
      <c r="H117" s="276"/>
      <c r="I117" s="276"/>
      <c r="J117" s="276"/>
      <c r="K117" s="276"/>
      <c r="L117" s="276"/>
      <c r="M117" s="276"/>
      <c r="N117" s="276"/>
      <c r="O117" s="277"/>
      <c r="P117" s="276"/>
      <c r="Q117" s="276"/>
    </row>
    <row r="118" spans="1:17" ht="15.75">
      <c r="A118" s="280"/>
      <c r="B118" s="276"/>
      <c r="C118" s="276"/>
      <c r="D118" s="276"/>
      <c r="E118" s="276"/>
      <c r="F118" s="276"/>
      <c r="G118" s="276"/>
      <c r="H118" s="276"/>
      <c r="I118" s="276"/>
      <c r="J118" s="276"/>
      <c r="K118" s="276"/>
      <c r="L118" s="276"/>
      <c r="M118" s="276"/>
      <c r="N118" s="276"/>
      <c r="O118" s="277"/>
      <c r="P118" s="276"/>
      <c r="Q118" s="276"/>
    </row>
    <row r="119" spans="1:17" ht="15.75">
      <c r="A119" s="280"/>
      <c r="B119" s="276"/>
      <c r="C119" s="276"/>
      <c r="D119" s="276"/>
      <c r="E119" s="276"/>
      <c r="F119" s="276"/>
      <c r="G119" s="276"/>
      <c r="H119" s="276"/>
      <c r="I119" s="276"/>
      <c r="J119" s="276"/>
      <c r="K119" s="276"/>
      <c r="L119" s="276"/>
      <c r="M119" s="276"/>
      <c r="N119" s="276"/>
      <c r="O119" s="277"/>
      <c r="P119" s="276"/>
      <c r="Q119" s="276"/>
    </row>
    <row r="120" spans="1:17" ht="15.75">
      <c r="A120" s="280"/>
      <c r="B120" s="276"/>
      <c r="C120" s="276"/>
      <c r="D120" s="276"/>
      <c r="E120" s="276"/>
      <c r="F120" s="276"/>
      <c r="G120" s="276"/>
      <c r="H120" s="276"/>
      <c r="I120" s="276"/>
      <c r="J120" s="276"/>
      <c r="K120" s="276"/>
      <c r="L120" s="276"/>
      <c r="M120" s="276"/>
      <c r="N120" s="276"/>
      <c r="O120" s="277"/>
      <c r="P120" s="276"/>
      <c r="Q120" s="276"/>
    </row>
    <row r="121" spans="1:17" ht="15.75">
      <c r="A121" s="280"/>
      <c r="B121" s="276"/>
      <c r="C121" s="276"/>
      <c r="D121" s="276"/>
      <c r="E121" s="276"/>
      <c r="F121" s="276"/>
      <c r="G121" s="276"/>
      <c r="H121" s="276"/>
      <c r="I121" s="276"/>
      <c r="J121" s="276"/>
      <c r="K121" s="276"/>
      <c r="L121" s="276"/>
      <c r="M121" s="276"/>
      <c r="N121" s="276"/>
      <c r="O121" s="277"/>
      <c r="P121" s="276"/>
      <c r="Q121" s="276"/>
    </row>
    <row r="122" spans="1:17" ht="15.75">
      <c r="A122" s="280"/>
      <c r="B122" s="276"/>
      <c r="C122" s="276"/>
      <c r="D122" s="276"/>
      <c r="E122" s="276"/>
      <c r="F122" s="276"/>
      <c r="G122" s="276"/>
      <c r="H122" s="276"/>
      <c r="I122" s="276"/>
      <c r="J122" s="276"/>
      <c r="K122" s="276"/>
      <c r="L122" s="276"/>
      <c r="M122" s="276"/>
      <c r="N122" s="276"/>
      <c r="O122" s="277"/>
      <c r="P122" s="276"/>
      <c r="Q122" s="276"/>
    </row>
    <row r="123" spans="1:17" ht="15.75">
      <c r="A123" s="280"/>
      <c r="B123" s="276"/>
      <c r="C123" s="276"/>
      <c r="D123" s="276"/>
      <c r="E123" s="276"/>
      <c r="F123" s="276"/>
      <c r="G123" s="276"/>
      <c r="H123" s="276"/>
      <c r="I123" s="276"/>
      <c r="J123" s="276"/>
      <c r="K123" s="276"/>
      <c r="L123" s="276"/>
      <c r="M123" s="276"/>
      <c r="N123" s="276"/>
      <c r="O123" s="277"/>
      <c r="P123" s="276"/>
      <c r="Q123" s="276"/>
    </row>
    <row r="124" spans="1:17" ht="15.75">
      <c r="A124" s="280"/>
      <c r="B124" s="276"/>
      <c r="C124" s="276"/>
      <c r="D124" s="276"/>
      <c r="E124" s="276"/>
      <c r="F124" s="276"/>
      <c r="G124" s="276"/>
      <c r="H124" s="276"/>
      <c r="I124" s="276"/>
      <c r="J124" s="276"/>
      <c r="K124" s="276"/>
      <c r="L124" s="276"/>
      <c r="M124" s="276"/>
      <c r="N124" s="276"/>
      <c r="O124" s="277"/>
      <c r="P124" s="276"/>
      <c r="Q124" s="276"/>
    </row>
    <row r="125" spans="1:17" ht="15.75">
      <c r="A125" s="280"/>
      <c r="B125" s="276"/>
      <c r="C125" s="276"/>
      <c r="D125" s="276"/>
      <c r="E125" s="276"/>
      <c r="F125" s="276"/>
      <c r="G125" s="276"/>
      <c r="H125" s="276"/>
      <c r="I125" s="276"/>
      <c r="J125" s="276"/>
      <c r="K125" s="276"/>
      <c r="L125" s="276"/>
      <c r="M125" s="276"/>
      <c r="N125" s="276"/>
      <c r="O125" s="277"/>
      <c r="P125" s="276"/>
      <c r="Q125" s="276"/>
    </row>
    <row r="126" spans="1:17" ht="15.75">
      <c r="A126" s="280"/>
      <c r="B126" s="276"/>
      <c r="C126" s="276"/>
      <c r="D126" s="276"/>
      <c r="E126" s="276"/>
      <c r="F126" s="276"/>
      <c r="G126" s="276"/>
      <c r="H126" s="276"/>
      <c r="I126" s="276"/>
      <c r="J126" s="276"/>
      <c r="K126" s="276"/>
      <c r="L126" s="276"/>
      <c r="M126" s="276"/>
      <c r="N126" s="276"/>
      <c r="O126" s="277"/>
      <c r="P126" s="276"/>
      <c r="Q126" s="276"/>
    </row>
    <row r="127" spans="1:17" ht="15.75">
      <c r="A127" s="280"/>
      <c r="B127" s="276"/>
      <c r="C127" s="276"/>
      <c r="D127" s="276"/>
      <c r="E127" s="276"/>
      <c r="F127" s="276"/>
      <c r="G127" s="276"/>
      <c r="H127" s="276"/>
      <c r="I127" s="276"/>
      <c r="J127" s="276"/>
      <c r="K127" s="276"/>
      <c r="L127" s="276"/>
      <c r="M127" s="276"/>
      <c r="N127" s="276"/>
      <c r="O127" s="277"/>
      <c r="P127" s="276"/>
      <c r="Q127" s="276"/>
    </row>
    <row r="128" spans="1:17" ht="15.75">
      <c r="A128" s="280"/>
      <c r="B128" s="276"/>
      <c r="C128" s="276"/>
      <c r="D128" s="276"/>
      <c r="E128" s="276"/>
      <c r="F128" s="276"/>
      <c r="G128" s="276"/>
      <c r="H128" s="276"/>
      <c r="I128" s="276"/>
      <c r="J128" s="276"/>
      <c r="K128" s="276"/>
      <c r="L128" s="276"/>
      <c r="M128" s="276"/>
      <c r="N128" s="276"/>
      <c r="O128" s="277"/>
      <c r="P128" s="276"/>
      <c r="Q128" s="276"/>
    </row>
    <row r="129" spans="1:17" ht="15.75">
      <c r="A129" s="280"/>
      <c r="B129" s="276"/>
      <c r="C129" s="276"/>
      <c r="D129" s="276"/>
      <c r="E129" s="276"/>
      <c r="F129" s="276"/>
      <c r="G129" s="276"/>
      <c r="H129" s="276"/>
      <c r="I129" s="276"/>
      <c r="J129" s="276"/>
      <c r="K129" s="276"/>
      <c r="L129" s="276"/>
      <c r="M129" s="276"/>
      <c r="N129" s="276"/>
      <c r="O129" s="277"/>
      <c r="P129" s="276"/>
      <c r="Q129" s="276"/>
    </row>
    <row r="130" spans="1:17" ht="15.75">
      <c r="A130" s="280"/>
      <c r="B130" s="276"/>
      <c r="C130" s="276"/>
      <c r="D130" s="276"/>
      <c r="E130" s="276"/>
      <c r="F130" s="276"/>
      <c r="G130" s="276"/>
      <c r="H130" s="276"/>
      <c r="I130" s="276"/>
      <c r="J130" s="276"/>
      <c r="K130" s="276"/>
      <c r="L130" s="276"/>
      <c r="M130" s="276"/>
      <c r="N130" s="276"/>
      <c r="O130" s="277"/>
      <c r="P130" s="276"/>
      <c r="Q130" s="276"/>
    </row>
    <row r="131" spans="1:17" ht="15.75">
      <c r="A131" s="280"/>
      <c r="B131" s="276"/>
      <c r="C131" s="276"/>
      <c r="D131" s="276"/>
      <c r="E131" s="276"/>
      <c r="F131" s="276"/>
      <c r="G131" s="276"/>
      <c r="H131" s="276"/>
      <c r="I131" s="276"/>
      <c r="J131" s="276"/>
      <c r="K131" s="276"/>
      <c r="L131" s="276"/>
      <c r="M131" s="276"/>
      <c r="N131" s="276"/>
      <c r="O131" s="277"/>
      <c r="P131" s="276"/>
      <c r="Q131" s="276"/>
    </row>
    <row r="132" spans="1:17" ht="15.75">
      <c r="A132" s="280"/>
      <c r="B132" s="276"/>
      <c r="C132" s="276"/>
      <c r="D132" s="276"/>
      <c r="E132" s="276"/>
      <c r="F132" s="276"/>
      <c r="G132" s="276"/>
      <c r="H132" s="276"/>
      <c r="I132" s="276"/>
      <c r="J132" s="276"/>
      <c r="K132" s="276"/>
      <c r="L132" s="276"/>
      <c r="M132" s="276"/>
      <c r="N132" s="276"/>
      <c r="O132" s="277"/>
      <c r="P132" s="276"/>
      <c r="Q132" s="276"/>
    </row>
    <row r="133" spans="1:17" ht="15.75">
      <c r="A133" s="280"/>
      <c r="B133" s="276"/>
      <c r="C133" s="276"/>
      <c r="D133" s="276"/>
      <c r="E133" s="276"/>
      <c r="F133" s="276"/>
      <c r="G133" s="276"/>
      <c r="H133" s="276"/>
      <c r="I133" s="276"/>
      <c r="J133" s="276"/>
      <c r="K133" s="276"/>
      <c r="L133" s="276"/>
      <c r="M133" s="276"/>
      <c r="N133" s="276"/>
      <c r="O133" s="277"/>
      <c r="P133" s="276"/>
      <c r="Q133" s="276"/>
    </row>
    <row r="134" spans="1:17" ht="15.75">
      <c r="A134" s="280"/>
      <c r="B134" s="276"/>
      <c r="C134" s="276"/>
      <c r="D134" s="276"/>
      <c r="E134" s="276"/>
      <c r="F134" s="276"/>
      <c r="G134" s="276"/>
      <c r="H134" s="276"/>
      <c r="I134" s="276"/>
      <c r="J134" s="276"/>
      <c r="K134" s="276"/>
      <c r="L134" s="276"/>
      <c r="M134" s="276"/>
      <c r="N134" s="276"/>
      <c r="O134" s="277"/>
      <c r="P134" s="276"/>
      <c r="Q134" s="276"/>
    </row>
    <row r="135" spans="1:17" ht="15.75">
      <c r="A135" s="280"/>
      <c r="B135" s="276"/>
      <c r="C135" s="276"/>
      <c r="D135" s="276"/>
      <c r="E135" s="276"/>
      <c r="F135" s="276"/>
      <c r="G135" s="276"/>
      <c r="H135" s="276"/>
      <c r="I135" s="276"/>
      <c r="J135" s="276"/>
      <c r="K135" s="276"/>
      <c r="L135" s="276"/>
      <c r="M135" s="276"/>
      <c r="N135" s="276"/>
      <c r="O135" s="277"/>
      <c r="P135" s="276"/>
      <c r="Q135" s="276"/>
    </row>
    <row r="136" spans="1:17" ht="15.75">
      <c r="A136" s="280"/>
      <c r="B136" s="276"/>
      <c r="C136" s="276"/>
      <c r="D136" s="276"/>
      <c r="E136" s="276"/>
      <c r="F136" s="276"/>
      <c r="G136" s="276"/>
      <c r="H136" s="276"/>
      <c r="I136" s="276"/>
      <c r="J136" s="276"/>
      <c r="K136" s="276"/>
      <c r="L136" s="276"/>
      <c r="M136" s="276"/>
      <c r="N136" s="276"/>
      <c r="O136" s="277"/>
      <c r="P136" s="276"/>
      <c r="Q136" s="276"/>
    </row>
    <row r="137" spans="1:17" ht="15.75">
      <c r="A137" s="280"/>
      <c r="B137" s="276"/>
      <c r="C137" s="276"/>
      <c r="D137" s="276"/>
      <c r="E137" s="276"/>
      <c r="F137" s="276"/>
      <c r="G137" s="276"/>
      <c r="H137" s="276"/>
      <c r="I137" s="276"/>
      <c r="J137" s="276"/>
      <c r="K137" s="276"/>
      <c r="L137" s="276"/>
      <c r="M137" s="276"/>
      <c r="N137" s="276"/>
      <c r="O137" s="277"/>
      <c r="P137" s="276"/>
      <c r="Q137" s="276"/>
    </row>
    <row r="138" spans="1:17" ht="15.75">
      <c r="A138" s="280"/>
      <c r="B138" s="276"/>
      <c r="C138" s="276"/>
      <c r="D138" s="276"/>
      <c r="E138" s="276"/>
      <c r="F138" s="276"/>
      <c r="G138" s="276"/>
      <c r="H138" s="276"/>
      <c r="I138" s="276"/>
      <c r="J138" s="276"/>
      <c r="K138" s="276"/>
      <c r="L138" s="276"/>
      <c r="M138" s="276"/>
      <c r="N138" s="276"/>
      <c r="O138" s="277"/>
      <c r="P138" s="276"/>
      <c r="Q138" s="276"/>
    </row>
    <row r="139" spans="1:17" ht="15.75">
      <c r="A139" s="280"/>
      <c r="B139" s="276"/>
      <c r="C139" s="276"/>
      <c r="D139" s="276"/>
      <c r="E139" s="276"/>
      <c r="F139" s="276"/>
      <c r="G139" s="276"/>
      <c r="H139" s="276"/>
      <c r="I139" s="276"/>
      <c r="J139" s="276"/>
      <c r="K139" s="276"/>
      <c r="L139" s="276"/>
      <c r="M139" s="276"/>
      <c r="N139" s="276"/>
      <c r="O139" s="277"/>
      <c r="P139" s="276"/>
      <c r="Q139" s="276"/>
    </row>
    <row r="140" spans="1:17" ht="15.75">
      <c r="A140" s="280"/>
      <c r="B140" s="276"/>
      <c r="C140" s="276"/>
      <c r="D140" s="276"/>
      <c r="E140" s="276"/>
      <c r="F140" s="276"/>
      <c r="G140" s="276"/>
      <c r="H140" s="276"/>
      <c r="I140" s="276"/>
      <c r="J140" s="276"/>
      <c r="K140" s="276"/>
      <c r="L140" s="276"/>
      <c r="M140" s="276"/>
      <c r="N140" s="276"/>
      <c r="O140" s="277"/>
      <c r="P140" s="276"/>
      <c r="Q140" s="276"/>
    </row>
    <row r="141" spans="1:17" ht="15.75">
      <c r="A141" s="276"/>
      <c r="B141" s="276"/>
      <c r="C141" s="276"/>
      <c r="D141" s="276"/>
      <c r="E141" s="276"/>
      <c r="F141" s="276"/>
      <c r="G141" s="276"/>
      <c r="H141" s="276"/>
      <c r="I141" s="276"/>
      <c r="J141" s="276"/>
      <c r="K141" s="276"/>
      <c r="L141" s="276"/>
      <c r="M141" s="276"/>
      <c r="N141" s="276"/>
      <c r="O141" s="277"/>
      <c r="P141" s="276"/>
      <c r="Q141" s="276"/>
    </row>
    <row r="142" spans="1:17" ht="15.75">
      <c r="A142" s="276"/>
      <c r="B142" s="276"/>
      <c r="C142" s="276"/>
      <c r="D142" s="276"/>
      <c r="E142" s="276"/>
      <c r="F142" s="276"/>
      <c r="G142" s="276"/>
      <c r="H142" s="276"/>
      <c r="I142" s="276"/>
      <c r="J142" s="276"/>
      <c r="K142" s="276"/>
      <c r="L142" s="276"/>
      <c r="M142" s="276"/>
      <c r="N142" s="276"/>
      <c r="O142" s="276"/>
      <c r="P142" s="276"/>
      <c r="Q142" s="27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DDBE0-6DB3-4702-9D51-6172CD1C045A}">
  <sheetPr codeName="Sheet9"/>
  <dimension ref="A1:T180"/>
  <sheetViews>
    <sheetView topLeftCell="A47" zoomScaleNormal="100" workbookViewId="0">
      <selection activeCell="G60" sqref="G60"/>
    </sheetView>
  </sheetViews>
  <sheetFormatPr defaultRowHeight="15"/>
  <cols>
    <col min="7" max="7" width="10.6640625" bestFit="1" customWidth="1"/>
  </cols>
  <sheetData>
    <row r="1" spans="1:20" ht="15.75">
      <c r="A1" s="276" t="str">
        <f>+'Restating Entries'!A1</f>
        <v>Rubatino Refuse Removal, Inc.</v>
      </c>
      <c r="B1" s="276"/>
      <c r="C1" s="276"/>
      <c r="D1" s="276"/>
      <c r="E1" s="276"/>
      <c r="F1" s="276"/>
      <c r="G1" s="459"/>
      <c r="H1" s="276"/>
      <c r="I1" s="276"/>
      <c r="J1" s="276"/>
      <c r="K1" s="276"/>
      <c r="L1" s="276"/>
      <c r="M1" s="276"/>
      <c r="N1" s="276"/>
      <c r="O1" s="276"/>
      <c r="P1" s="276"/>
      <c r="Q1" s="276"/>
      <c r="R1" s="276"/>
      <c r="S1" s="276"/>
      <c r="T1" s="66"/>
    </row>
    <row r="2" spans="1:20" ht="15.75">
      <c r="A2" s="276" t="str">
        <f>+'Restating Entries'!A2</f>
        <v>Restating Entries</v>
      </c>
      <c r="B2" s="276"/>
      <c r="C2" s="276"/>
      <c r="D2" s="276"/>
      <c r="E2" s="276"/>
      <c r="F2" s="276"/>
      <c r="G2" s="459"/>
      <c r="H2" s="276"/>
      <c r="I2" s="276"/>
      <c r="J2" s="276"/>
      <c r="K2" s="276"/>
      <c r="L2" s="276"/>
      <c r="M2" s="276"/>
      <c r="N2" s="276"/>
      <c r="O2" s="276"/>
      <c r="P2" s="276"/>
      <c r="Q2" s="276"/>
      <c r="R2" s="276"/>
      <c r="S2" s="276"/>
      <c r="T2" s="66"/>
    </row>
    <row r="3" spans="1:20" ht="15.75">
      <c r="A3" s="276" t="str">
        <f>+'Restating Entries'!A3</f>
        <v>For the period April 1, 2020 through March 31, 2021</v>
      </c>
      <c r="B3" s="276"/>
      <c r="C3" s="276"/>
      <c r="D3" s="276"/>
      <c r="E3" s="276"/>
      <c r="F3" s="276"/>
      <c r="G3" s="459"/>
      <c r="H3" s="276"/>
      <c r="I3" s="276"/>
      <c r="J3" s="276"/>
      <c r="K3" s="276"/>
      <c r="L3" s="276"/>
      <c r="M3" s="276"/>
      <c r="N3" s="276"/>
      <c r="O3" s="276"/>
      <c r="P3" s="276"/>
      <c r="Q3" s="276"/>
      <c r="R3" s="276"/>
      <c r="S3" s="276"/>
      <c r="T3" s="66"/>
    </row>
    <row r="4" spans="1:20" ht="15.75">
      <c r="A4" s="276"/>
      <c r="B4" s="276"/>
      <c r="C4" s="276"/>
      <c r="D4" s="276"/>
      <c r="E4" s="276"/>
      <c r="F4" s="276"/>
      <c r="G4" s="459"/>
      <c r="H4" s="276"/>
      <c r="I4" s="276"/>
      <c r="J4" s="276"/>
      <c r="K4" s="276"/>
      <c r="L4" s="276"/>
      <c r="M4" s="276"/>
      <c r="N4" s="276"/>
      <c r="O4" s="276"/>
      <c r="P4" s="276"/>
      <c r="Q4" s="276"/>
      <c r="R4" s="276"/>
      <c r="S4" s="276"/>
      <c r="T4" s="66"/>
    </row>
    <row r="5" spans="1:20" ht="15.75">
      <c r="A5" s="276"/>
      <c r="B5" s="276"/>
      <c r="C5" s="276"/>
      <c r="D5" s="276"/>
      <c r="E5" s="276"/>
      <c r="F5" s="276"/>
      <c r="G5" s="459"/>
      <c r="H5" s="276"/>
      <c r="I5" s="276"/>
      <c r="J5" s="276"/>
      <c r="K5" s="276"/>
      <c r="L5" s="276"/>
      <c r="M5" s="276"/>
      <c r="N5" s="276"/>
      <c r="O5" s="276"/>
      <c r="P5" s="276"/>
      <c r="Q5" s="276"/>
      <c r="R5" s="276"/>
      <c r="S5" s="276"/>
      <c r="T5" s="66"/>
    </row>
    <row r="6" spans="1:20" ht="15.75">
      <c r="A6" s="279" t="s">
        <v>1042</v>
      </c>
      <c r="B6" s="279"/>
      <c r="C6" s="279"/>
      <c r="D6" s="279"/>
      <c r="E6" s="279"/>
      <c r="F6" s="279"/>
      <c r="G6" s="459"/>
      <c r="H6" s="276"/>
      <c r="I6" s="276"/>
      <c r="J6" s="276"/>
      <c r="K6" s="276"/>
      <c r="L6" s="276"/>
      <c r="M6" s="276"/>
      <c r="N6" s="276"/>
      <c r="O6" s="276"/>
      <c r="P6" s="276"/>
      <c r="Q6" s="276"/>
      <c r="R6" s="276"/>
      <c r="S6" s="276"/>
      <c r="T6" s="66"/>
    </row>
    <row r="7" spans="1:20" ht="15.75">
      <c r="A7" s="276" t="str">
        <f>+'Restating Entries'!A9</f>
        <v>Regulated Drop Box</v>
      </c>
      <c r="B7" s="276"/>
      <c r="C7" s="276"/>
      <c r="D7" s="276"/>
      <c r="E7" s="276"/>
      <c r="F7" s="276"/>
      <c r="G7" s="459">
        <f>-'Disposal Cost'!J159</f>
        <v>-3340241.42</v>
      </c>
      <c r="H7" s="276"/>
      <c r="I7" s="276"/>
      <c r="J7" s="276"/>
      <c r="K7" s="276"/>
      <c r="L7" s="276"/>
      <c r="M7" s="276"/>
      <c r="N7" s="276"/>
      <c r="O7" s="276"/>
      <c r="P7" s="276"/>
      <c r="Q7" s="276"/>
      <c r="R7" s="276"/>
      <c r="S7" s="276"/>
      <c r="T7" s="66"/>
    </row>
    <row r="8" spans="1:20" ht="15.75">
      <c r="A8" s="276" t="str">
        <f>+'Restating Entries'!A10</f>
        <v>Regulated Drop Box Pass-Thru</v>
      </c>
      <c r="B8" s="276"/>
      <c r="C8" s="276"/>
      <c r="D8" s="276"/>
      <c r="E8" s="276"/>
      <c r="F8" s="276"/>
      <c r="G8" s="459">
        <f>+'Disposal Cost'!J159</f>
        <v>3340241.42</v>
      </c>
      <c r="H8" s="276"/>
      <c r="I8" s="276"/>
      <c r="J8" s="276"/>
      <c r="K8" s="276"/>
      <c r="L8" s="276"/>
      <c r="M8" s="276"/>
      <c r="N8" s="276"/>
      <c r="O8" s="276"/>
      <c r="P8" s="276"/>
      <c r="Q8" s="276"/>
      <c r="R8" s="276"/>
      <c r="S8" s="276"/>
      <c r="T8" s="66"/>
    </row>
    <row r="9" spans="1:20" ht="15.75">
      <c r="A9" s="276" t="s">
        <v>1041</v>
      </c>
      <c r="B9" s="276"/>
      <c r="C9" s="276"/>
      <c r="D9" s="276"/>
      <c r="E9" s="276"/>
      <c r="F9" s="276"/>
      <c r="G9" s="459"/>
      <c r="H9" s="276"/>
      <c r="I9" s="276"/>
      <c r="J9" s="276"/>
      <c r="K9" s="276"/>
      <c r="L9" s="276"/>
      <c r="M9" s="276"/>
      <c r="N9" s="276"/>
      <c r="O9" s="276"/>
      <c r="P9" s="276"/>
      <c r="Q9" s="276"/>
      <c r="R9" s="276"/>
      <c r="S9" s="276"/>
      <c r="T9" s="66"/>
    </row>
    <row r="10" spans="1:20" ht="15.75">
      <c r="A10" s="279" t="s">
        <v>1043</v>
      </c>
      <c r="B10" s="279"/>
      <c r="C10" s="279"/>
      <c r="D10" s="279"/>
      <c r="E10" s="279"/>
      <c r="F10" s="279"/>
      <c r="G10" s="459"/>
      <c r="H10" s="276"/>
      <c r="I10" s="276"/>
      <c r="J10" s="276"/>
      <c r="K10" s="276"/>
      <c r="L10" s="276"/>
      <c r="M10" s="276"/>
      <c r="N10" s="276"/>
      <c r="O10" s="276"/>
      <c r="P10" s="276"/>
      <c r="Q10" s="276"/>
      <c r="R10" s="276"/>
      <c r="S10" s="276"/>
      <c r="T10" s="66"/>
    </row>
    <row r="11" spans="1:20" ht="15.75">
      <c r="A11" s="280" t="s">
        <v>162</v>
      </c>
      <c r="B11" s="280"/>
      <c r="C11" s="280"/>
      <c r="D11" s="280"/>
      <c r="E11" s="280"/>
      <c r="F11" s="280"/>
      <c r="G11" s="459">
        <v>21476</v>
      </c>
      <c r="H11" s="276"/>
      <c r="I11" s="276"/>
      <c r="J11" s="276"/>
      <c r="K11" s="276"/>
      <c r="L11" s="276"/>
      <c r="M11" s="276"/>
      <c r="N11" s="276"/>
      <c r="O11" s="276"/>
      <c r="P11" s="276"/>
      <c r="Q11" s="276"/>
      <c r="R11" s="276"/>
      <c r="S11" s="276"/>
      <c r="T11" s="66"/>
    </row>
    <row r="12" spans="1:20" ht="15.75">
      <c r="A12" s="280" t="s">
        <v>164</v>
      </c>
      <c r="B12" s="280"/>
      <c r="C12" s="280"/>
      <c r="D12" s="280"/>
      <c r="E12" s="280"/>
      <c r="F12" s="280"/>
      <c r="G12" s="459">
        <v>-21476</v>
      </c>
      <c r="H12" s="276"/>
      <c r="I12" s="276"/>
      <c r="J12" s="276"/>
      <c r="K12" s="276"/>
      <c r="L12" s="276"/>
      <c r="M12" s="276"/>
      <c r="N12" s="276"/>
      <c r="O12" s="276"/>
      <c r="P12" s="276"/>
      <c r="Q12" s="276"/>
      <c r="R12" s="276"/>
      <c r="S12" s="276"/>
      <c r="T12" s="66"/>
    </row>
    <row r="13" spans="1:20" ht="15.75">
      <c r="A13" s="276" t="s">
        <v>1472</v>
      </c>
      <c r="B13" s="276"/>
      <c r="C13" s="276"/>
      <c r="D13" s="276"/>
      <c r="E13" s="276"/>
      <c r="F13" s="276"/>
      <c r="G13" s="459"/>
      <c r="H13" s="276"/>
      <c r="I13" s="276"/>
      <c r="J13" s="276"/>
      <c r="K13" s="276"/>
      <c r="L13" s="276"/>
      <c r="M13" s="276"/>
      <c r="N13" s="276"/>
      <c r="O13" s="276"/>
      <c r="P13" s="276"/>
      <c r="Q13" s="276"/>
      <c r="R13" s="276"/>
      <c r="S13" s="276"/>
      <c r="T13" s="66"/>
    </row>
    <row r="14" spans="1:20" ht="15.75">
      <c r="A14" s="436" t="s">
        <v>1291</v>
      </c>
      <c r="B14" s="436"/>
      <c r="C14" s="436"/>
      <c r="D14" s="436"/>
      <c r="E14" s="436"/>
      <c r="F14" s="436"/>
      <c r="G14" s="459"/>
      <c r="H14" s="276"/>
      <c r="I14" s="276"/>
      <c r="J14" s="276"/>
      <c r="K14" s="276"/>
      <c r="L14" s="276"/>
      <c r="M14" s="276"/>
      <c r="N14" s="276"/>
      <c r="O14" s="276"/>
      <c r="P14" s="276"/>
      <c r="Q14" s="276"/>
      <c r="R14" s="276"/>
      <c r="S14" s="276"/>
      <c r="T14" s="66"/>
    </row>
    <row r="15" spans="1:20" ht="15.75">
      <c r="A15" s="276" t="s">
        <v>186</v>
      </c>
      <c r="B15" s="276"/>
      <c r="C15" s="276"/>
      <c r="D15" s="276"/>
      <c r="E15" s="276"/>
      <c r="F15" s="276"/>
      <c r="G15" s="459"/>
      <c r="H15" s="276"/>
      <c r="I15" s="276"/>
      <c r="J15" s="276"/>
      <c r="K15" s="276"/>
      <c r="L15" s="276"/>
      <c r="M15" s="276"/>
      <c r="N15" s="276"/>
      <c r="O15" s="276"/>
      <c r="P15" s="276"/>
      <c r="Q15" s="276"/>
      <c r="R15" s="276"/>
      <c r="S15" s="276"/>
      <c r="T15" s="66"/>
    </row>
    <row r="16" spans="1:20" ht="15.75">
      <c r="A16" s="276" t="s">
        <v>1290</v>
      </c>
      <c r="B16" s="276"/>
      <c r="C16" s="276"/>
      <c r="D16" s="276"/>
      <c r="E16" s="276"/>
      <c r="F16" s="276"/>
      <c r="G16" s="459">
        <f>+'Regulatory Depreciation'!M177-'12 Month P&amp;L'!P256</f>
        <v>59695.323071430146</v>
      </c>
      <c r="H16" s="276"/>
      <c r="I16" s="276"/>
      <c r="J16" s="276"/>
      <c r="K16" s="276"/>
      <c r="L16" s="276"/>
      <c r="M16" s="276"/>
      <c r="N16" s="276"/>
      <c r="O16" s="276"/>
      <c r="P16" s="276"/>
      <c r="Q16" s="276"/>
      <c r="R16" s="276"/>
      <c r="S16" s="276"/>
      <c r="T16" s="66"/>
    </row>
    <row r="17" spans="1:20" ht="15.75">
      <c r="A17" s="436" t="s">
        <v>1293</v>
      </c>
      <c r="B17" s="436"/>
      <c r="C17" s="436"/>
      <c r="D17" s="436"/>
      <c r="E17" s="436"/>
      <c r="F17" s="436"/>
      <c r="G17" s="459"/>
      <c r="H17" s="276"/>
      <c r="I17" s="276"/>
      <c r="J17" s="276"/>
      <c r="K17" s="276"/>
      <c r="L17" s="276"/>
      <c r="M17" s="276"/>
      <c r="N17" s="276"/>
      <c r="O17" s="276"/>
      <c r="P17" s="276"/>
      <c r="Q17" s="276"/>
      <c r="R17" s="276"/>
      <c r="S17" s="276"/>
      <c r="T17" s="66"/>
    </row>
    <row r="18" spans="1:20" ht="15.75">
      <c r="A18" s="276" t="s">
        <v>187</v>
      </c>
      <c r="B18" s="276"/>
      <c r="C18" s="276"/>
      <c r="D18" s="276"/>
      <c r="E18" s="276"/>
      <c r="F18" s="276"/>
      <c r="G18" s="459">
        <v>-5173</v>
      </c>
      <c r="H18" s="276"/>
      <c r="I18" s="276"/>
      <c r="J18" s="276"/>
      <c r="K18" s="276"/>
      <c r="L18" s="276"/>
      <c r="M18" s="276"/>
      <c r="N18" s="276"/>
      <c r="O18" s="276"/>
      <c r="P18" s="276"/>
      <c r="Q18" s="276"/>
      <c r="R18" s="276"/>
      <c r="S18" s="276"/>
      <c r="T18" s="66"/>
    </row>
    <row r="19" spans="1:20" ht="15.75">
      <c r="A19" s="276" t="s">
        <v>1292</v>
      </c>
      <c r="B19" s="276"/>
      <c r="C19" s="276"/>
      <c r="D19" s="276"/>
      <c r="E19" s="276"/>
      <c r="F19" s="276"/>
      <c r="G19" s="459"/>
      <c r="H19" s="276"/>
      <c r="I19" s="276"/>
      <c r="J19" s="276"/>
      <c r="K19" s="276"/>
      <c r="L19" s="276"/>
      <c r="M19" s="276"/>
      <c r="N19" s="276"/>
      <c r="O19" s="276"/>
      <c r="P19" s="276"/>
      <c r="Q19" s="276"/>
      <c r="R19" s="276"/>
      <c r="S19" s="276"/>
      <c r="T19" s="66"/>
    </row>
    <row r="20" spans="1:20" ht="15.75">
      <c r="A20" s="436" t="s">
        <v>1466</v>
      </c>
      <c r="B20" s="436"/>
      <c r="C20" s="436"/>
      <c r="D20" s="436"/>
      <c r="E20" s="436"/>
      <c r="F20" s="436"/>
      <c r="G20" s="459"/>
      <c r="H20" s="276"/>
      <c r="I20" s="276"/>
      <c r="J20" s="276"/>
      <c r="K20" s="276"/>
      <c r="L20" s="276"/>
      <c r="M20" s="276"/>
      <c r="N20" s="276"/>
      <c r="O20" s="276"/>
      <c r="P20" s="276"/>
      <c r="Q20" s="276"/>
      <c r="R20" s="276"/>
      <c r="S20" s="276"/>
      <c r="T20" s="66"/>
    </row>
    <row r="21" spans="1:20" ht="15.75">
      <c r="A21" s="276" t="s">
        <v>167</v>
      </c>
      <c r="B21" s="276"/>
      <c r="C21" s="276"/>
      <c r="D21" s="276"/>
      <c r="E21" s="276"/>
      <c r="F21" s="276"/>
      <c r="G21" s="459">
        <f>-Dues!X49</f>
        <v>-3852.7864</v>
      </c>
      <c r="H21" s="276"/>
      <c r="I21" s="276"/>
      <c r="J21" s="276"/>
      <c r="K21" s="276"/>
      <c r="L21" s="276"/>
      <c r="M21" s="276"/>
      <c r="N21" s="276"/>
      <c r="O21" s="276"/>
      <c r="P21" s="276"/>
      <c r="Q21" s="276"/>
      <c r="R21" s="276"/>
      <c r="S21" s="276"/>
      <c r="T21" s="66"/>
    </row>
    <row r="22" spans="1:20" ht="15.75">
      <c r="A22" s="276" t="s">
        <v>1296</v>
      </c>
      <c r="B22" s="276"/>
      <c r="C22" s="276"/>
      <c r="D22" s="276"/>
      <c r="E22" s="276"/>
      <c r="F22" s="276"/>
      <c r="G22" s="459"/>
      <c r="H22" s="276"/>
      <c r="I22" s="276"/>
      <c r="J22" s="276"/>
      <c r="K22" s="276"/>
      <c r="L22" s="276"/>
      <c r="M22" s="276"/>
      <c r="N22" s="276"/>
      <c r="O22" s="276"/>
      <c r="P22" s="276"/>
      <c r="Q22" s="276"/>
      <c r="R22" s="276"/>
      <c r="S22" s="276"/>
      <c r="T22" s="66"/>
    </row>
    <row r="23" spans="1:20" ht="15.75">
      <c r="A23" s="276"/>
      <c r="B23" s="276"/>
      <c r="C23" s="276"/>
      <c r="D23" s="276"/>
      <c r="E23" s="276"/>
      <c r="F23" s="276"/>
      <c r="G23" s="459"/>
      <c r="H23" s="276"/>
      <c r="I23" s="276"/>
      <c r="J23" s="276"/>
      <c r="K23" s="276"/>
      <c r="L23" s="276"/>
      <c r="M23" s="276"/>
      <c r="N23" s="276"/>
      <c r="O23" s="276"/>
      <c r="P23" s="276"/>
      <c r="Q23" s="276"/>
      <c r="R23" s="276"/>
      <c r="S23" s="276"/>
      <c r="T23" s="66"/>
    </row>
    <row r="24" spans="1:20" ht="15.75">
      <c r="A24" s="276"/>
      <c r="B24" s="276"/>
      <c r="C24" s="276"/>
      <c r="D24" s="276"/>
      <c r="E24" s="276"/>
      <c r="F24" s="276"/>
      <c r="G24" s="459"/>
      <c r="H24" s="276"/>
      <c r="I24" s="276"/>
      <c r="J24" s="276"/>
      <c r="K24" s="276"/>
      <c r="L24" s="276"/>
      <c r="M24" s="276"/>
      <c r="N24" s="276"/>
      <c r="O24" s="276"/>
      <c r="P24" s="276"/>
      <c r="Q24" s="276"/>
      <c r="R24" s="276"/>
      <c r="S24" s="276"/>
      <c r="T24" s="66"/>
    </row>
    <row r="25" spans="1:20" ht="15.75">
      <c r="A25" s="450" t="s">
        <v>1475</v>
      </c>
      <c r="B25" s="450"/>
      <c r="C25" s="450"/>
      <c r="D25" s="450"/>
      <c r="E25" s="450"/>
      <c r="F25" s="450"/>
      <c r="G25" s="459"/>
      <c r="H25" s="276"/>
      <c r="I25" s="276"/>
      <c r="J25" s="276"/>
      <c r="K25" s="276"/>
      <c r="L25" s="276"/>
      <c r="M25" s="276"/>
      <c r="N25" s="276"/>
      <c r="O25" s="276"/>
      <c r="P25" s="276"/>
      <c r="Q25" s="276"/>
      <c r="R25" s="276"/>
      <c r="S25" s="276"/>
      <c r="T25" s="66"/>
    </row>
    <row r="26" spans="1:20" ht="15.75">
      <c r="A26" s="293" t="s">
        <v>911</v>
      </c>
      <c r="B26" s="276"/>
      <c r="C26" s="276"/>
      <c r="D26" s="276"/>
      <c r="E26" s="276"/>
      <c r="F26" s="276"/>
      <c r="G26" s="459">
        <f>+'Rev Recon'!F18</f>
        <v>-537188.53482677089</v>
      </c>
      <c r="H26" s="276"/>
      <c r="I26" s="276"/>
      <c r="J26" s="276"/>
      <c r="K26" s="276"/>
      <c r="L26" s="276"/>
      <c r="M26" s="276"/>
      <c r="N26" s="276"/>
      <c r="O26" s="276"/>
      <c r="P26" s="276"/>
      <c r="Q26" s="276"/>
      <c r="R26" s="276"/>
      <c r="S26" s="276"/>
      <c r="T26" s="66"/>
    </row>
    <row r="27" spans="1:20" ht="15.75">
      <c r="A27" s="293" t="s">
        <v>674</v>
      </c>
      <c r="B27" s="276"/>
      <c r="C27" s="276"/>
      <c r="D27" s="276"/>
      <c r="E27" s="276"/>
      <c r="F27" s="276"/>
      <c r="G27" s="459">
        <f>+'Rev Recon'!F19</f>
        <v>-607876.22068632673</v>
      </c>
      <c r="H27" s="276"/>
      <c r="I27" s="276"/>
      <c r="J27" s="276"/>
      <c r="K27" s="276"/>
      <c r="L27" s="276"/>
      <c r="M27" s="276"/>
      <c r="N27" s="276"/>
      <c r="O27" s="276"/>
      <c r="P27" s="276"/>
      <c r="Q27" s="276"/>
      <c r="R27" s="276"/>
      <c r="S27" s="276"/>
      <c r="T27" s="66"/>
    </row>
    <row r="28" spans="1:20" ht="15.75">
      <c r="A28" s="293" t="s">
        <v>1254</v>
      </c>
      <c r="B28" s="276"/>
      <c r="C28" s="276"/>
      <c r="D28" s="276"/>
      <c r="E28" s="276"/>
      <c r="F28" s="276"/>
      <c r="G28" s="459">
        <f>+'Rev Recon'!F20</f>
        <v>-497884.99464610667</v>
      </c>
      <c r="H28" s="276"/>
      <c r="I28" s="276"/>
      <c r="J28" s="276"/>
      <c r="K28" s="276"/>
      <c r="L28" s="276"/>
      <c r="M28" s="276"/>
      <c r="N28" s="276"/>
      <c r="O28" s="276"/>
      <c r="P28" s="276"/>
      <c r="Q28" s="276"/>
      <c r="R28" s="276"/>
      <c r="S28" s="276"/>
      <c r="T28" s="66"/>
    </row>
    <row r="29" spans="1:20" ht="15.75">
      <c r="A29" s="293" t="s">
        <v>933</v>
      </c>
      <c r="B29" s="276"/>
      <c r="C29" s="276"/>
      <c r="D29" s="276"/>
      <c r="E29" s="276"/>
      <c r="F29" s="276"/>
      <c r="G29" s="459">
        <f>+'Rev Recon'!F21</f>
        <v>-7790.0024747630023</v>
      </c>
      <c r="H29" s="276"/>
      <c r="I29" s="276"/>
      <c r="J29" s="276"/>
      <c r="K29" s="276"/>
      <c r="L29" s="276"/>
      <c r="M29" s="276"/>
      <c r="N29" s="276"/>
      <c r="O29" s="276"/>
      <c r="P29" s="276"/>
      <c r="Q29" s="276"/>
      <c r="R29" s="276"/>
      <c r="S29" s="276"/>
      <c r="T29" s="66"/>
    </row>
    <row r="30" spans="1:20" ht="15.75">
      <c r="A30" s="293" t="s">
        <v>1075</v>
      </c>
      <c r="B30" s="276"/>
      <c r="C30" s="276"/>
      <c r="D30" s="276"/>
      <c r="E30" s="276"/>
      <c r="F30" s="276"/>
      <c r="G30" s="459">
        <f>+'Rev Recon'!F22</f>
        <v>-46562.230834674425</v>
      </c>
      <c r="H30" s="276"/>
      <c r="I30" s="276"/>
      <c r="J30" s="276"/>
      <c r="K30" s="276"/>
      <c r="L30" s="276"/>
      <c r="M30" s="276"/>
      <c r="N30" s="276"/>
      <c r="O30" s="276"/>
      <c r="P30" s="276"/>
      <c r="Q30" s="276"/>
      <c r="R30" s="276"/>
      <c r="S30" s="276"/>
      <c r="T30" s="66"/>
    </row>
    <row r="31" spans="1:20" ht="15.75">
      <c r="A31" s="293" t="s">
        <v>1261</v>
      </c>
      <c r="B31" s="276"/>
      <c r="C31" s="276"/>
      <c r="D31" s="276"/>
      <c r="E31" s="276"/>
      <c r="F31" s="276"/>
      <c r="G31" s="459">
        <f>+'Rev Recon'!F23</f>
        <v>-124637.10485274324</v>
      </c>
      <c r="H31" s="276"/>
      <c r="I31" s="276"/>
      <c r="J31" s="276"/>
      <c r="K31" s="276"/>
      <c r="L31" s="276"/>
      <c r="M31" s="276"/>
      <c r="N31" s="276"/>
      <c r="O31" s="276"/>
      <c r="P31" s="276"/>
      <c r="Q31" s="276"/>
      <c r="R31" s="276"/>
      <c r="S31" s="276"/>
      <c r="T31" s="66"/>
    </row>
    <row r="32" spans="1:20" ht="15.75">
      <c r="A32" s="293" t="s">
        <v>1262</v>
      </c>
      <c r="B32" s="276"/>
      <c r="C32" s="276"/>
      <c r="D32" s="276"/>
      <c r="E32" s="276"/>
      <c r="F32" s="276"/>
      <c r="G32" s="459">
        <f>+'Rev Recon'!F24</f>
        <v>-3160.1481967190753</v>
      </c>
      <c r="H32" s="276"/>
      <c r="I32" s="276"/>
      <c r="J32" s="276"/>
      <c r="K32" s="276"/>
      <c r="L32" s="276"/>
      <c r="M32" s="276"/>
      <c r="N32" s="276"/>
      <c r="O32" s="276"/>
      <c r="P32" s="276"/>
      <c r="Q32" s="276"/>
      <c r="R32" s="276"/>
      <c r="S32" s="276"/>
      <c r="T32" s="66"/>
    </row>
    <row r="33" spans="1:20" ht="15.75">
      <c r="A33" s="293" t="s">
        <v>1263</v>
      </c>
      <c r="B33" s="276"/>
      <c r="C33" s="276"/>
      <c r="D33" s="276"/>
      <c r="E33" s="276"/>
      <c r="F33" s="276"/>
      <c r="G33" s="459">
        <f>+'Rev Recon'!F25</f>
        <v>-896.76348189605255</v>
      </c>
      <c r="H33" s="276"/>
      <c r="I33" s="276"/>
      <c r="J33" s="276"/>
      <c r="K33" s="276"/>
      <c r="L33" s="276"/>
      <c r="M33" s="276"/>
      <c r="N33" s="276"/>
      <c r="O33" s="276"/>
      <c r="P33" s="276"/>
      <c r="Q33" s="276"/>
      <c r="R33" s="276"/>
      <c r="S33" s="276"/>
      <c r="T33" s="66"/>
    </row>
    <row r="34" spans="1:20" ht="15.75">
      <c r="A34" s="276" t="s">
        <v>1473</v>
      </c>
      <c r="B34" s="276"/>
      <c r="C34" s="276"/>
      <c r="D34" s="276"/>
      <c r="E34" s="276"/>
      <c r="F34" s="276"/>
      <c r="G34" s="459">
        <f>SUM(G26:G33)</f>
        <v>-1825996</v>
      </c>
      <c r="H34" s="276"/>
      <c r="I34" s="276"/>
      <c r="J34" s="276"/>
      <c r="K34" s="276"/>
      <c r="L34" s="276"/>
      <c r="M34" s="276"/>
      <c r="N34" s="276"/>
      <c r="O34" s="276"/>
      <c r="P34" s="276"/>
      <c r="Q34" s="276"/>
      <c r="R34" s="276"/>
      <c r="S34" s="276"/>
      <c r="T34" s="66"/>
    </row>
    <row r="35" spans="1:20" ht="15.75">
      <c r="A35" s="276"/>
      <c r="B35" s="276"/>
      <c r="C35" s="276"/>
      <c r="D35" s="276"/>
      <c r="E35" s="276"/>
      <c r="F35" s="276"/>
      <c r="G35" s="459"/>
      <c r="H35" s="276"/>
      <c r="I35" s="276"/>
      <c r="J35" s="276"/>
      <c r="K35" s="276"/>
      <c r="L35" s="276"/>
      <c r="M35" s="276"/>
      <c r="N35" s="276"/>
      <c r="O35" s="276"/>
      <c r="P35" s="276"/>
      <c r="Q35" s="276"/>
      <c r="R35" s="276"/>
      <c r="S35" s="276"/>
      <c r="T35" s="66"/>
    </row>
    <row r="36" spans="1:20" ht="15.75">
      <c r="A36" s="276" t="s">
        <v>1474</v>
      </c>
      <c r="B36" s="276"/>
      <c r="C36" s="276"/>
      <c r="D36" s="276"/>
      <c r="E36" s="276"/>
      <c r="F36" s="276"/>
      <c r="G36" s="459"/>
      <c r="H36" s="276"/>
      <c r="I36" s="276"/>
      <c r="J36" s="276"/>
      <c r="K36" s="276"/>
      <c r="L36" s="276"/>
      <c r="M36" s="276"/>
      <c r="N36" s="276"/>
      <c r="O36" s="276"/>
      <c r="P36" s="276"/>
      <c r="Q36" s="276"/>
      <c r="R36" s="276"/>
      <c r="S36" s="276"/>
      <c r="T36" s="66"/>
    </row>
    <row r="37" spans="1:20" ht="15.75">
      <c r="A37" s="276"/>
      <c r="B37" s="276"/>
      <c r="C37" s="276"/>
      <c r="D37" s="276"/>
      <c r="E37" s="276"/>
      <c r="F37" s="276"/>
      <c r="G37" s="459"/>
      <c r="H37" s="276"/>
      <c r="I37" s="276"/>
      <c r="J37" s="276"/>
      <c r="K37" s="276"/>
      <c r="L37" s="276"/>
      <c r="M37" s="276"/>
      <c r="N37" s="276"/>
      <c r="O37" s="276"/>
      <c r="P37" s="276"/>
      <c r="Q37" s="276"/>
      <c r="R37" s="276"/>
      <c r="S37" s="276"/>
      <c r="T37" s="66"/>
    </row>
    <row r="38" spans="1:20" ht="15.75">
      <c r="A38" s="450" t="s">
        <v>1476</v>
      </c>
      <c r="B38" s="450"/>
      <c r="C38" s="450"/>
      <c r="D38" s="450"/>
      <c r="E38" s="450"/>
      <c r="F38" s="450"/>
      <c r="G38" s="459"/>
      <c r="H38" s="276"/>
      <c r="I38" s="276"/>
      <c r="J38" s="276"/>
      <c r="K38" s="276"/>
      <c r="L38" s="276"/>
      <c r="M38" s="276"/>
      <c r="N38" s="276"/>
      <c r="O38" s="276"/>
      <c r="P38" s="276"/>
      <c r="Q38" s="276"/>
      <c r="R38" s="276"/>
      <c r="S38" s="276"/>
      <c r="T38" s="66"/>
    </row>
    <row r="39" spans="1:20" ht="15.75">
      <c r="A39" s="276" t="s">
        <v>1477</v>
      </c>
      <c r="B39" s="276"/>
      <c r="C39" s="276"/>
      <c r="D39" s="276"/>
      <c r="E39" s="276"/>
      <c r="F39" s="276"/>
      <c r="G39" s="459">
        <v>-8400</v>
      </c>
      <c r="H39" s="276"/>
      <c r="I39" s="276"/>
      <c r="J39" s="276"/>
      <c r="K39" s="276"/>
      <c r="L39" s="276"/>
      <c r="M39" s="276"/>
      <c r="N39" s="276"/>
      <c r="O39" s="276"/>
      <c r="P39" s="276"/>
      <c r="Q39" s="276"/>
      <c r="R39" s="276"/>
      <c r="S39" s="276"/>
      <c r="T39" s="66"/>
    </row>
    <row r="40" spans="1:20" ht="15.75">
      <c r="A40" s="276" t="s">
        <v>1478</v>
      </c>
      <c r="B40" s="276"/>
      <c r="C40" s="276"/>
      <c r="D40" s="276"/>
      <c r="E40" s="276"/>
      <c r="F40" s="276"/>
      <c r="G40" s="459">
        <v>-8400</v>
      </c>
      <c r="H40" s="276"/>
      <c r="I40" s="276"/>
      <c r="J40" s="276"/>
      <c r="K40" s="276"/>
      <c r="L40" s="276"/>
      <c r="M40" s="276"/>
      <c r="N40" s="276"/>
      <c r="O40" s="276"/>
      <c r="P40" s="276"/>
      <c r="Q40" s="276"/>
      <c r="R40" s="276"/>
      <c r="S40" s="276"/>
      <c r="T40" s="66"/>
    </row>
    <row r="41" spans="1:20" ht="15.75">
      <c r="A41" s="276" t="s">
        <v>1479</v>
      </c>
      <c r="B41" s="276"/>
      <c r="C41" s="276"/>
      <c r="D41" s="276"/>
      <c r="E41" s="276"/>
      <c r="F41" s="276"/>
      <c r="G41" s="459"/>
      <c r="H41" s="276"/>
      <c r="I41" s="276"/>
      <c r="J41" s="276"/>
      <c r="K41" s="276"/>
      <c r="L41" s="276"/>
      <c r="M41" s="276"/>
      <c r="N41" s="276"/>
      <c r="O41" s="276"/>
      <c r="P41" s="276"/>
      <c r="Q41" s="276"/>
      <c r="R41" s="276"/>
      <c r="S41" s="276"/>
      <c r="T41" s="66"/>
    </row>
    <row r="42" spans="1:20" ht="15.75">
      <c r="A42" s="276"/>
      <c r="B42" s="276"/>
      <c r="C42" s="276"/>
      <c r="D42" s="276"/>
      <c r="E42" s="276"/>
      <c r="F42" s="276"/>
      <c r="G42" s="459"/>
      <c r="H42" s="276"/>
      <c r="I42" s="276"/>
      <c r="J42" s="276"/>
      <c r="K42" s="276"/>
      <c r="L42" s="276"/>
      <c r="M42" s="276"/>
      <c r="N42" s="276"/>
      <c r="O42" s="276"/>
      <c r="P42" s="276"/>
      <c r="Q42" s="276"/>
      <c r="R42" s="276"/>
      <c r="S42" s="276"/>
      <c r="T42" s="66"/>
    </row>
    <row r="43" spans="1:20" ht="15.75">
      <c r="A43" s="450" t="s">
        <v>1481</v>
      </c>
      <c r="B43" s="450"/>
      <c r="C43" s="450"/>
      <c r="D43" s="450"/>
      <c r="E43" s="450"/>
      <c r="F43" s="450"/>
      <c r="G43" s="459"/>
      <c r="H43" s="276"/>
      <c r="I43" s="276"/>
      <c r="J43" s="276"/>
      <c r="K43" s="276"/>
      <c r="L43" s="276"/>
      <c r="M43" s="276"/>
      <c r="N43" s="276"/>
      <c r="O43" s="276"/>
      <c r="P43" s="276"/>
      <c r="Q43" s="276"/>
      <c r="R43" s="276"/>
      <c r="S43" s="276"/>
      <c r="T43" s="66"/>
    </row>
    <row r="44" spans="1:20" ht="15.75">
      <c r="A44" s="455" t="s">
        <v>1482</v>
      </c>
      <c r="B44" s="276"/>
      <c r="C44" s="276"/>
      <c r="D44" s="276"/>
      <c r="E44" s="276"/>
      <c r="F44" s="276"/>
      <c r="G44" s="459">
        <f>-'Pro Forma'!C35</f>
        <v>-2264.81</v>
      </c>
      <c r="H44" s="276"/>
      <c r="I44" s="276"/>
      <c r="J44" s="276"/>
      <c r="K44" s="276"/>
      <c r="L44" s="276"/>
      <c r="M44" s="276"/>
      <c r="N44" s="276"/>
      <c r="O44" s="276"/>
      <c r="P44" s="276"/>
      <c r="Q44" s="276"/>
      <c r="R44" s="276"/>
      <c r="S44" s="276"/>
      <c r="T44" s="66"/>
    </row>
    <row r="45" spans="1:20" ht="15.75">
      <c r="A45" s="455" t="s">
        <v>1483</v>
      </c>
      <c r="B45" s="276"/>
      <c r="C45" s="276"/>
      <c r="D45" s="276"/>
      <c r="E45" s="276"/>
      <c r="F45" s="276"/>
      <c r="G45" s="459">
        <f>-'Pro Forma'!C36</f>
        <v>-2980.53</v>
      </c>
      <c r="H45" s="276"/>
      <c r="I45" s="276"/>
      <c r="J45" s="276"/>
      <c r="K45" s="276"/>
      <c r="L45" s="276"/>
      <c r="M45" s="276"/>
      <c r="N45" s="276"/>
      <c r="O45" s="276"/>
      <c r="P45" s="276"/>
      <c r="Q45" s="276"/>
      <c r="R45" s="276"/>
      <c r="S45" s="276"/>
      <c r="T45" s="66"/>
    </row>
    <row r="46" spans="1:20" ht="15.75">
      <c r="A46" s="280" t="s">
        <v>179</v>
      </c>
      <c r="B46" s="276"/>
      <c r="C46" s="276"/>
      <c r="D46" s="276"/>
      <c r="E46" s="276"/>
      <c r="F46" s="276"/>
      <c r="G46" s="459">
        <f>-'Pro Forma'!C46</f>
        <v>-9309</v>
      </c>
      <c r="H46" s="276"/>
      <c r="I46" s="276"/>
      <c r="J46" s="276"/>
      <c r="K46" s="276"/>
      <c r="L46" s="276"/>
      <c r="M46" s="276"/>
      <c r="N46" s="276"/>
      <c r="O46" s="276"/>
      <c r="P46" s="276"/>
      <c r="Q46" s="276"/>
      <c r="R46" s="276"/>
      <c r="S46" s="276"/>
      <c r="T46" s="66"/>
    </row>
    <row r="47" spans="1:20" ht="15.75">
      <c r="A47" s="276" t="str">
        <f>+'Pro Forma'!A45</f>
        <v>Public Relations</v>
      </c>
      <c r="B47" s="276"/>
      <c r="C47" s="276"/>
      <c r="D47" s="276"/>
      <c r="E47" s="276"/>
      <c r="F47" s="276"/>
      <c r="G47" s="459">
        <f>-'Pro Forma'!C45</f>
        <v>-17511.98</v>
      </c>
      <c r="H47" s="276"/>
      <c r="I47" s="276"/>
      <c r="J47" s="276"/>
      <c r="K47" s="276"/>
      <c r="L47" s="276"/>
      <c r="M47" s="276"/>
      <c r="N47" s="276"/>
      <c r="O47" s="276"/>
      <c r="P47" s="276"/>
      <c r="Q47" s="276"/>
      <c r="R47" s="276"/>
      <c r="S47" s="276"/>
      <c r="T47" s="66"/>
    </row>
    <row r="48" spans="1:20" ht="15.75">
      <c r="A48" s="276" t="s">
        <v>1485</v>
      </c>
      <c r="B48" s="276"/>
      <c r="C48" s="276"/>
      <c r="D48" s="276"/>
      <c r="E48" s="276"/>
      <c r="F48" s="276"/>
      <c r="G48" s="459"/>
      <c r="H48" s="276"/>
      <c r="I48" s="276"/>
      <c r="J48" s="276"/>
      <c r="K48" s="276"/>
      <c r="L48" s="276"/>
      <c r="M48" s="276"/>
      <c r="N48" s="276"/>
      <c r="O48" s="276"/>
      <c r="P48" s="276"/>
      <c r="Q48" s="276"/>
      <c r="R48" s="276"/>
      <c r="S48" s="276"/>
      <c r="T48" s="66"/>
    </row>
    <row r="49" spans="1:20" ht="15.75">
      <c r="A49" s="276"/>
      <c r="B49" s="276"/>
      <c r="C49" s="276"/>
      <c r="D49" s="276"/>
      <c r="E49" s="276"/>
      <c r="F49" s="276"/>
      <c r="G49" s="459"/>
      <c r="H49" s="276"/>
      <c r="I49" s="276"/>
      <c r="J49" s="276"/>
      <c r="K49" s="276"/>
      <c r="L49" s="276"/>
      <c r="M49" s="276"/>
      <c r="N49" s="276"/>
      <c r="O49" s="276"/>
      <c r="P49" s="276"/>
      <c r="Q49" s="276"/>
      <c r="R49" s="276"/>
      <c r="S49" s="276"/>
      <c r="T49" s="66"/>
    </row>
    <row r="50" spans="1:20" ht="15.75">
      <c r="A50" s="450" t="s">
        <v>1487</v>
      </c>
      <c r="B50" s="450"/>
      <c r="C50" s="450"/>
      <c r="D50" s="450"/>
      <c r="E50" s="450"/>
      <c r="F50" s="450"/>
      <c r="G50" s="459"/>
      <c r="H50" s="276"/>
      <c r="I50" s="276"/>
      <c r="J50" s="276"/>
      <c r="K50" s="276"/>
      <c r="L50" s="276"/>
      <c r="M50" s="276"/>
      <c r="N50" s="276"/>
      <c r="O50" s="276"/>
      <c r="P50" s="276"/>
      <c r="Q50" s="276"/>
      <c r="R50" s="276"/>
      <c r="S50" s="276"/>
      <c r="T50" s="66"/>
    </row>
    <row r="51" spans="1:20" ht="15.75">
      <c r="A51" s="276" t="str">
        <f>+'Pro Forma'!A54</f>
        <v>Regulatory Expense - WUTC Fee</v>
      </c>
      <c r="B51" s="276"/>
      <c r="C51" s="276"/>
      <c r="D51" s="276"/>
      <c r="E51" s="276"/>
      <c r="F51" s="276"/>
      <c r="G51" s="459">
        <f>+'Regulatory Fees'!W36</f>
        <v>-6592.0400000000081</v>
      </c>
      <c r="H51" s="276"/>
      <c r="I51" s="276"/>
      <c r="J51" s="276"/>
      <c r="K51" s="276"/>
      <c r="L51" s="276"/>
      <c r="M51" s="276"/>
      <c r="N51" s="276"/>
      <c r="O51" s="276"/>
      <c r="P51" s="276"/>
      <c r="Q51" s="276"/>
      <c r="R51" s="276"/>
      <c r="S51" s="276"/>
      <c r="T51" s="66"/>
    </row>
    <row r="52" spans="1:20" ht="15.75">
      <c r="A52" s="276" t="s">
        <v>1488</v>
      </c>
      <c r="B52" s="276"/>
      <c r="C52" s="276"/>
      <c r="D52" s="276"/>
      <c r="E52" s="276"/>
      <c r="F52" s="276"/>
      <c r="G52" s="459"/>
      <c r="H52" s="276"/>
      <c r="I52" s="276"/>
      <c r="J52" s="276"/>
      <c r="K52" s="276"/>
      <c r="L52" s="276"/>
      <c r="M52" s="276"/>
      <c r="N52" s="276"/>
      <c r="O52" s="276"/>
      <c r="P52" s="276"/>
      <c r="Q52" s="276"/>
      <c r="R52" s="276"/>
      <c r="S52" s="276"/>
      <c r="T52" s="66"/>
    </row>
    <row r="53" spans="1:20" ht="15.75">
      <c r="A53" s="276"/>
      <c r="B53" s="276"/>
      <c r="C53" s="276"/>
      <c r="D53" s="276"/>
      <c r="E53" s="276"/>
      <c r="F53" s="276"/>
      <c r="G53" s="459"/>
      <c r="H53" s="276"/>
      <c r="I53" s="276"/>
      <c r="J53" s="276"/>
      <c r="K53" s="276"/>
      <c r="L53" s="276"/>
      <c r="M53" s="276"/>
      <c r="N53" s="276"/>
      <c r="O53" s="276"/>
      <c r="P53" s="276"/>
      <c r="Q53" s="276"/>
      <c r="R53" s="276"/>
      <c r="S53" s="276"/>
      <c r="T53" s="66"/>
    </row>
    <row r="54" spans="1:20" ht="15.75">
      <c r="A54" s="450" t="s">
        <v>1493</v>
      </c>
      <c r="B54" s="450"/>
      <c r="C54" s="450"/>
      <c r="D54" s="450"/>
      <c r="E54" s="450"/>
      <c r="F54" s="450"/>
      <c r="G54" s="459"/>
      <c r="H54" s="276"/>
      <c r="I54" s="276"/>
      <c r="J54" s="276"/>
      <c r="K54" s="276"/>
      <c r="L54" s="276"/>
      <c r="M54" s="276"/>
      <c r="N54" s="276"/>
      <c r="O54" s="276"/>
      <c r="P54" s="276"/>
      <c r="Q54" s="276"/>
      <c r="R54" s="276"/>
      <c r="S54" s="276"/>
      <c r="T54" s="66"/>
    </row>
    <row r="55" spans="1:20" ht="15.75">
      <c r="A55" s="276" t="s">
        <v>1494</v>
      </c>
      <c r="B55" s="276"/>
      <c r="C55" s="276"/>
      <c r="D55" s="276"/>
      <c r="E55" s="276"/>
      <c r="F55" s="276"/>
      <c r="G55" s="459">
        <f>+Insurnance!G34</f>
        <v>-7974.3060000000405</v>
      </c>
      <c r="H55" s="276"/>
      <c r="I55" s="276"/>
      <c r="J55" s="276"/>
      <c r="K55" s="276"/>
      <c r="L55" s="276"/>
      <c r="M55" s="276"/>
      <c r="N55" s="276"/>
      <c r="O55" s="276"/>
      <c r="P55" s="276"/>
      <c r="Q55" s="276"/>
      <c r="R55" s="276"/>
      <c r="S55" s="276"/>
      <c r="T55" s="66"/>
    </row>
    <row r="56" spans="1:20" ht="15.75">
      <c r="A56" s="276" t="s">
        <v>1495</v>
      </c>
      <c r="B56" s="276"/>
      <c r="C56" s="276"/>
      <c r="D56" s="276"/>
      <c r="E56" s="276"/>
      <c r="F56" s="276"/>
      <c r="G56" s="459"/>
      <c r="H56" s="276"/>
      <c r="I56" s="276"/>
      <c r="J56" s="276"/>
      <c r="K56" s="276"/>
      <c r="L56" s="276"/>
      <c r="M56" s="276"/>
      <c r="N56" s="276"/>
      <c r="O56" s="276"/>
      <c r="P56" s="276"/>
      <c r="Q56" s="276"/>
      <c r="R56" s="276"/>
      <c r="S56" s="276"/>
      <c r="T56" s="66"/>
    </row>
    <row r="57" spans="1:20" ht="15.75">
      <c r="A57" s="276"/>
      <c r="B57" s="276"/>
      <c r="C57" s="276"/>
      <c r="D57" s="276"/>
      <c r="E57" s="276"/>
      <c r="F57" s="276"/>
      <c r="G57" s="459"/>
      <c r="H57" s="276"/>
      <c r="I57" s="276"/>
      <c r="J57" s="276"/>
      <c r="K57" s="276"/>
      <c r="L57" s="276"/>
      <c r="M57" s="276"/>
      <c r="N57" s="276"/>
      <c r="O57" s="276"/>
      <c r="P57" s="276"/>
      <c r="Q57" s="276"/>
      <c r="R57" s="276"/>
      <c r="S57" s="276"/>
      <c r="T57" s="66"/>
    </row>
    <row r="58" spans="1:20" ht="15.75">
      <c r="A58" s="450" t="s">
        <v>1497</v>
      </c>
      <c r="B58" s="450"/>
      <c r="C58" s="450"/>
      <c r="D58" s="450"/>
      <c r="E58" s="450"/>
      <c r="F58" s="450"/>
      <c r="G58" s="459"/>
      <c r="H58" s="276"/>
      <c r="I58" s="276"/>
      <c r="J58" s="276"/>
      <c r="K58" s="276"/>
      <c r="L58" s="276"/>
      <c r="M58" s="276"/>
      <c r="N58" s="276"/>
      <c r="O58" s="276"/>
      <c r="P58" s="276"/>
      <c r="Q58" s="276"/>
      <c r="R58" s="276"/>
      <c r="S58" s="276"/>
      <c r="T58" s="66"/>
    </row>
    <row r="59" spans="1:20" ht="15.75">
      <c r="A59" s="276" t="s">
        <v>1498</v>
      </c>
      <c r="B59" s="276"/>
      <c r="C59" s="276"/>
      <c r="D59" s="276"/>
      <c r="E59" s="276"/>
      <c r="F59" s="276"/>
      <c r="G59" s="459">
        <f>+'All Payroll'!D124</f>
        <v>10798.829730000027</v>
      </c>
      <c r="H59" s="276"/>
      <c r="I59" s="276"/>
      <c r="J59" s="276"/>
      <c r="K59" s="276"/>
      <c r="L59" s="276"/>
      <c r="M59" s="276"/>
      <c r="N59" s="276"/>
      <c r="O59" s="276"/>
      <c r="P59" s="276"/>
      <c r="Q59" s="276"/>
      <c r="R59" s="276"/>
      <c r="S59" s="276"/>
      <c r="T59" s="66"/>
    </row>
    <row r="60" spans="1:20" ht="15.75">
      <c r="A60" s="276" t="s">
        <v>1499</v>
      </c>
      <c r="B60" s="276"/>
      <c r="C60" s="276"/>
      <c r="D60" s="276"/>
      <c r="E60" s="276"/>
      <c r="F60" s="276"/>
      <c r="G60" s="459"/>
      <c r="H60" s="276"/>
      <c r="I60" s="276"/>
      <c r="J60" s="276"/>
      <c r="K60" s="276"/>
      <c r="L60" s="276"/>
      <c r="M60" s="276"/>
      <c r="N60" s="276"/>
      <c r="O60" s="276"/>
      <c r="P60" s="276"/>
      <c r="Q60" s="276"/>
      <c r="R60" s="276"/>
      <c r="S60" s="276"/>
      <c r="T60" s="66"/>
    </row>
    <row r="61" spans="1:20" ht="15.75">
      <c r="A61" s="276"/>
      <c r="B61" s="276"/>
      <c r="C61" s="276"/>
      <c r="D61" s="276"/>
      <c r="E61" s="276"/>
      <c r="F61" s="276"/>
      <c r="G61" s="459"/>
      <c r="H61" s="276"/>
      <c r="I61" s="276"/>
      <c r="J61" s="276"/>
      <c r="K61" s="276"/>
      <c r="L61" s="276"/>
      <c r="M61" s="276"/>
      <c r="N61" s="276"/>
      <c r="O61" s="276"/>
      <c r="P61" s="276"/>
      <c r="Q61" s="276"/>
      <c r="R61" s="276"/>
      <c r="S61" s="276"/>
      <c r="T61" s="66"/>
    </row>
    <row r="62" spans="1:20" ht="15.75">
      <c r="A62" s="450" t="s">
        <v>1551</v>
      </c>
      <c r="B62" s="450"/>
      <c r="C62" s="450"/>
      <c r="D62" s="450"/>
      <c r="E62" s="450"/>
      <c r="F62" s="450"/>
      <c r="G62" s="459"/>
      <c r="H62" s="276"/>
      <c r="I62" s="276"/>
      <c r="J62" s="276"/>
      <c r="K62" s="276"/>
      <c r="L62" s="276"/>
      <c r="M62" s="276"/>
      <c r="N62" s="276"/>
      <c r="O62" s="276"/>
      <c r="P62" s="276"/>
      <c r="Q62" s="276"/>
      <c r="R62" s="276"/>
      <c r="S62" s="276"/>
      <c r="T62" s="66"/>
    </row>
    <row r="63" spans="1:20" ht="15.75">
      <c r="A63" s="276" t="s">
        <v>1539</v>
      </c>
      <c r="B63" s="276"/>
      <c r="C63" s="276"/>
      <c r="D63" s="276"/>
      <c r="E63" s="276"/>
      <c r="F63" s="276"/>
      <c r="G63" s="459">
        <f>+Fuel!K193</f>
        <v>12084.01999999996</v>
      </c>
      <c r="H63" s="276"/>
      <c r="I63" s="276"/>
      <c r="J63" s="276"/>
      <c r="K63" s="276"/>
      <c r="L63" s="276"/>
      <c r="M63" s="276"/>
      <c r="N63" s="276"/>
      <c r="O63" s="276"/>
      <c r="P63" s="276"/>
      <c r="Q63" s="276"/>
      <c r="R63" s="276"/>
      <c r="S63" s="276"/>
      <c r="T63" s="66"/>
    </row>
    <row r="64" spans="1:20" ht="15.75">
      <c r="A64" s="276" t="s">
        <v>1552</v>
      </c>
      <c r="B64" s="276"/>
      <c r="C64" s="276"/>
      <c r="D64" s="276"/>
      <c r="E64" s="276"/>
      <c r="F64" s="276"/>
      <c r="G64" s="459"/>
      <c r="H64" s="276"/>
      <c r="I64" s="276"/>
      <c r="J64" s="276"/>
      <c r="K64" s="276"/>
      <c r="L64" s="276"/>
      <c r="M64" s="276"/>
      <c r="N64" s="276"/>
      <c r="O64" s="276"/>
      <c r="P64" s="276"/>
      <c r="Q64" s="276"/>
      <c r="R64" s="276"/>
      <c r="S64" s="276"/>
      <c r="T64" s="66"/>
    </row>
    <row r="65" spans="1:20" ht="15.75">
      <c r="A65" s="276"/>
      <c r="B65" s="276"/>
      <c r="C65" s="276"/>
      <c r="D65" s="276"/>
      <c r="E65" s="276"/>
      <c r="F65" s="276"/>
      <c r="G65" s="459"/>
      <c r="H65" s="276"/>
      <c r="I65" s="276"/>
      <c r="J65" s="276"/>
      <c r="K65" s="276"/>
      <c r="L65" s="276"/>
      <c r="M65" s="276"/>
      <c r="N65" s="276"/>
      <c r="O65" s="276"/>
      <c r="P65" s="276"/>
      <c r="Q65" s="276"/>
      <c r="R65" s="276"/>
      <c r="S65" s="276"/>
      <c r="T65" s="66"/>
    </row>
    <row r="66" spans="1:20" ht="15.75">
      <c r="A66" s="450" t="s">
        <v>1564</v>
      </c>
      <c r="B66" s="450"/>
      <c r="C66" s="450"/>
      <c r="D66" s="450"/>
      <c r="E66" s="450"/>
      <c r="F66" s="450"/>
      <c r="G66" s="459"/>
      <c r="H66" s="276"/>
      <c r="I66" s="276"/>
      <c r="J66" s="276"/>
      <c r="K66" s="276"/>
      <c r="L66" s="276"/>
      <c r="M66" s="276"/>
      <c r="N66" s="276"/>
      <c r="O66" s="276"/>
      <c r="P66" s="276"/>
      <c r="Q66" s="276"/>
      <c r="R66" s="276"/>
      <c r="S66" s="276"/>
      <c r="T66" s="66"/>
    </row>
    <row r="67" spans="1:20" ht="15.75">
      <c r="A67" s="541" t="s">
        <v>139</v>
      </c>
      <c r="B67" s="276"/>
      <c r="C67" s="276"/>
      <c r="D67" s="276"/>
      <c r="E67" s="276"/>
      <c r="F67" s="276"/>
      <c r="G67" s="459">
        <v>-604119</v>
      </c>
      <c r="H67" s="276"/>
      <c r="I67" s="276"/>
      <c r="J67" s="276"/>
      <c r="K67" s="276"/>
      <c r="L67" s="276"/>
      <c r="M67" s="276"/>
      <c r="N67" s="276"/>
      <c r="O67" s="276"/>
      <c r="P67" s="276"/>
      <c r="Q67" s="276"/>
      <c r="R67" s="276"/>
      <c r="S67" s="276"/>
      <c r="T67" s="66"/>
    </row>
    <row r="68" spans="1:20" ht="15.75">
      <c r="A68" s="541" t="s">
        <v>140</v>
      </c>
      <c r="B68" s="276"/>
      <c r="C68" s="276"/>
      <c r="D68" s="276"/>
      <c r="E68" s="276"/>
      <c r="F68" s="276"/>
      <c r="G68" s="459">
        <v>-1286534</v>
      </c>
      <c r="H68" s="276"/>
      <c r="I68" s="276"/>
      <c r="J68" s="276"/>
      <c r="K68" s="276"/>
      <c r="L68" s="276"/>
      <c r="M68" s="276"/>
      <c r="N68" s="276"/>
      <c r="O68" s="276"/>
      <c r="P68" s="276"/>
      <c r="Q68" s="276"/>
      <c r="R68" s="276"/>
      <c r="S68" s="276"/>
      <c r="T68" s="66"/>
    </row>
    <row r="69" spans="1:20" ht="15.75">
      <c r="A69" s="541" t="s">
        <v>141</v>
      </c>
      <c r="B69" s="276"/>
      <c r="C69" s="276"/>
      <c r="D69" s="276"/>
      <c r="E69" s="276"/>
      <c r="F69" s="276"/>
      <c r="G69" s="459">
        <v>-3033</v>
      </c>
      <c r="H69" s="276"/>
      <c r="I69" s="276"/>
      <c r="J69" s="276"/>
      <c r="K69" s="276"/>
      <c r="L69" s="276"/>
      <c r="M69" s="276"/>
      <c r="N69" s="276"/>
      <c r="O69" s="276"/>
      <c r="P69" s="276"/>
      <c r="Q69" s="276"/>
      <c r="R69" s="276"/>
      <c r="S69" s="276"/>
      <c r="T69" s="66"/>
    </row>
    <row r="70" spans="1:20" ht="15.75">
      <c r="A70" s="541" t="s">
        <v>142</v>
      </c>
      <c r="B70" s="276"/>
      <c r="C70" s="276"/>
      <c r="D70" s="276"/>
      <c r="E70" s="276"/>
      <c r="F70" s="276"/>
      <c r="G70" s="459"/>
      <c r="H70" s="276"/>
      <c r="I70" s="276"/>
      <c r="J70" s="276"/>
      <c r="K70" s="276"/>
      <c r="L70" s="276"/>
      <c r="M70" s="276"/>
      <c r="N70" s="276"/>
      <c r="O70" s="276"/>
      <c r="P70" s="276"/>
      <c r="Q70" s="276"/>
      <c r="R70" s="276"/>
      <c r="S70" s="276"/>
      <c r="T70" s="66"/>
    </row>
    <row r="71" spans="1:20" ht="15.75">
      <c r="A71" s="541" t="s">
        <v>143</v>
      </c>
      <c r="B71" s="276"/>
      <c r="C71" s="276"/>
      <c r="D71" s="276"/>
      <c r="E71" s="276"/>
      <c r="F71" s="276"/>
      <c r="G71" s="459">
        <v>934524</v>
      </c>
      <c r="H71" s="276"/>
      <c r="I71" s="276"/>
      <c r="J71" s="276"/>
      <c r="K71" s="276"/>
      <c r="L71" s="276"/>
      <c r="M71" s="276"/>
      <c r="N71" s="276"/>
      <c r="O71" s="276"/>
      <c r="P71" s="276"/>
      <c r="Q71" s="276"/>
      <c r="R71" s="276"/>
      <c r="S71" s="276"/>
      <c r="T71" s="66"/>
    </row>
    <row r="72" spans="1:20" ht="15.75">
      <c r="A72" s="541" t="s">
        <v>145</v>
      </c>
      <c r="B72" s="276"/>
      <c r="C72" s="276"/>
      <c r="D72" s="276"/>
      <c r="E72" s="276"/>
      <c r="F72" s="276"/>
      <c r="G72" s="459">
        <v>826826</v>
      </c>
      <c r="H72" s="276"/>
      <c r="I72" s="276"/>
      <c r="J72" s="276"/>
      <c r="K72" s="276"/>
      <c r="L72" s="276"/>
      <c r="M72" s="276"/>
      <c r="N72" s="276"/>
      <c r="O72" s="276"/>
      <c r="P72" s="276"/>
      <c r="Q72" s="276"/>
      <c r="R72" s="276"/>
      <c r="S72" s="276"/>
      <c r="T72" s="66"/>
    </row>
    <row r="73" spans="1:20" ht="15.75">
      <c r="A73" s="541" t="s">
        <v>146</v>
      </c>
      <c r="B73" s="276"/>
      <c r="C73" s="276"/>
      <c r="D73" s="276"/>
      <c r="E73" s="276"/>
      <c r="F73" s="276"/>
      <c r="G73" s="459">
        <v>132336</v>
      </c>
      <c r="H73" s="276"/>
      <c r="I73" s="276"/>
      <c r="J73" s="276"/>
      <c r="K73" s="276"/>
      <c r="L73" s="276"/>
      <c r="M73" s="276"/>
      <c r="N73" s="276"/>
      <c r="O73" s="276"/>
      <c r="P73" s="276"/>
      <c r="Q73" s="276"/>
      <c r="R73" s="276"/>
      <c r="S73" s="276"/>
      <c r="T73" s="66"/>
    </row>
    <row r="74" spans="1:20" ht="15.75">
      <c r="A74" s="276" t="s">
        <v>1565</v>
      </c>
      <c r="B74" s="276"/>
      <c r="C74" s="276"/>
      <c r="D74" s="276"/>
      <c r="E74" s="276"/>
      <c r="F74" s="276"/>
      <c r="G74" s="459"/>
      <c r="H74" s="276"/>
      <c r="I74" s="276"/>
      <c r="J74" s="276"/>
      <c r="K74" s="276"/>
      <c r="L74" s="276"/>
      <c r="M74" s="276"/>
      <c r="N74" s="276"/>
      <c r="O74" s="276"/>
      <c r="P74" s="276"/>
      <c r="Q74" s="276"/>
      <c r="R74" s="276"/>
      <c r="S74" s="276"/>
      <c r="T74" s="66"/>
    </row>
    <row r="75" spans="1:20" ht="15.75">
      <c r="A75" s="276"/>
      <c r="B75" s="276"/>
      <c r="C75" s="276"/>
      <c r="D75" s="276"/>
      <c r="E75" s="276"/>
      <c r="F75" s="276"/>
      <c r="G75" s="459"/>
      <c r="H75" s="276"/>
      <c r="I75" s="276"/>
      <c r="J75" s="276"/>
      <c r="K75" s="276"/>
      <c r="L75" s="276"/>
      <c r="M75" s="276"/>
      <c r="N75" s="276"/>
      <c r="O75" s="276"/>
      <c r="P75" s="276"/>
      <c r="Q75" s="276"/>
      <c r="R75" s="276"/>
      <c r="S75" s="276"/>
      <c r="T75" s="66"/>
    </row>
    <row r="76" spans="1:20" ht="15.75">
      <c r="A76" s="276"/>
      <c r="B76" s="276"/>
      <c r="C76" s="276"/>
      <c r="D76" s="276"/>
      <c r="E76" s="276"/>
      <c r="F76" s="276"/>
      <c r="G76" s="459"/>
      <c r="H76" s="276"/>
      <c r="I76" s="276"/>
      <c r="J76" s="276"/>
      <c r="K76" s="276"/>
      <c r="L76" s="276"/>
      <c r="M76" s="276"/>
      <c r="N76" s="276"/>
      <c r="O76" s="276"/>
      <c r="P76" s="276"/>
      <c r="Q76" s="276"/>
      <c r="R76" s="276"/>
      <c r="S76" s="276"/>
      <c r="T76" s="66"/>
    </row>
    <row r="77" spans="1:20" ht="15.75">
      <c r="A77" s="276"/>
      <c r="B77" s="276"/>
      <c r="C77" s="276"/>
      <c r="D77" s="276"/>
      <c r="E77" s="276"/>
      <c r="F77" s="276"/>
      <c r="G77" s="459"/>
      <c r="H77" s="276"/>
      <c r="I77" s="276"/>
      <c r="J77" s="276"/>
      <c r="K77" s="276"/>
      <c r="L77" s="276"/>
      <c r="M77" s="276"/>
      <c r="N77" s="276"/>
      <c r="O77" s="276"/>
      <c r="P77" s="276"/>
      <c r="Q77" s="276"/>
      <c r="R77" s="276"/>
      <c r="S77" s="276"/>
      <c r="T77" s="66"/>
    </row>
    <row r="78" spans="1:20" ht="15.75">
      <c r="A78" s="276"/>
      <c r="B78" s="276"/>
      <c r="C78" s="276"/>
      <c r="D78" s="276"/>
      <c r="E78" s="276"/>
      <c r="F78" s="276"/>
      <c r="G78" s="459"/>
      <c r="H78" s="276"/>
      <c r="I78" s="276"/>
      <c r="J78" s="276"/>
      <c r="K78" s="276"/>
      <c r="L78" s="276"/>
      <c r="M78" s="276"/>
      <c r="N78" s="276"/>
      <c r="O78" s="276"/>
      <c r="P78" s="276"/>
      <c r="Q78" s="276"/>
      <c r="R78" s="276"/>
      <c r="S78" s="276"/>
      <c r="T78" s="66"/>
    </row>
    <row r="79" spans="1:20" ht="15.75">
      <c r="A79" s="276"/>
      <c r="B79" s="276"/>
      <c r="C79" s="276"/>
      <c r="D79" s="276"/>
      <c r="E79" s="276"/>
      <c r="F79" s="276"/>
      <c r="G79" s="459"/>
      <c r="H79" s="276"/>
      <c r="I79" s="276"/>
      <c r="J79" s="276"/>
      <c r="K79" s="276"/>
      <c r="L79" s="276"/>
      <c r="M79" s="276"/>
      <c r="N79" s="276"/>
      <c r="O79" s="276"/>
      <c r="P79" s="276"/>
      <c r="Q79" s="276"/>
      <c r="R79" s="276"/>
      <c r="S79" s="276"/>
      <c r="T79" s="66"/>
    </row>
    <row r="80" spans="1:20" ht="15.75">
      <c r="A80" s="276"/>
      <c r="B80" s="276"/>
      <c r="C80" s="276"/>
      <c r="D80" s="276"/>
      <c r="E80" s="276"/>
      <c r="F80" s="276"/>
      <c r="G80" s="459"/>
      <c r="H80" s="276"/>
      <c r="I80" s="276"/>
      <c r="J80" s="276"/>
      <c r="K80" s="276"/>
      <c r="L80" s="276"/>
      <c r="M80" s="276"/>
      <c r="N80" s="276"/>
      <c r="O80" s="276"/>
      <c r="P80" s="276"/>
      <c r="Q80" s="276"/>
      <c r="R80" s="276"/>
      <c r="S80" s="276"/>
      <c r="T80" s="66"/>
    </row>
    <row r="81" spans="1:20" ht="15.75">
      <c r="A81" s="276"/>
      <c r="B81" s="276"/>
      <c r="C81" s="276"/>
      <c r="D81" s="276"/>
      <c r="E81" s="276"/>
      <c r="F81" s="276"/>
      <c r="G81" s="459"/>
      <c r="H81" s="276"/>
      <c r="I81" s="276"/>
      <c r="J81" s="276"/>
      <c r="K81" s="276"/>
      <c r="L81" s="276"/>
      <c r="M81" s="276"/>
      <c r="N81" s="276"/>
      <c r="O81" s="276"/>
      <c r="P81" s="276"/>
      <c r="Q81" s="276"/>
      <c r="R81" s="276"/>
      <c r="S81" s="276"/>
      <c r="T81" s="66"/>
    </row>
    <row r="82" spans="1:20" ht="15.75">
      <c r="A82" s="276"/>
      <c r="B82" s="276"/>
      <c r="C82" s="276"/>
      <c r="D82" s="276"/>
      <c r="E82" s="276"/>
      <c r="F82" s="276"/>
      <c r="G82" s="459"/>
      <c r="H82" s="276"/>
      <c r="I82" s="276"/>
      <c r="J82" s="276"/>
      <c r="K82" s="276"/>
      <c r="L82" s="276"/>
      <c r="M82" s="276"/>
      <c r="N82" s="276"/>
      <c r="O82" s="276"/>
      <c r="P82" s="276"/>
      <c r="Q82" s="276"/>
      <c r="R82" s="276"/>
      <c r="S82" s="276"/>
      <c r="T82" s="66"/>
    </row>
    <row r="83" spans="1:20" ht="15.75">
      <c r="A83" s="276"/>
      <c r="B83" s="276"/>
      <c r="C83" s="276"/>
      <c r="D83" s="276"/>
      <c r="E83" s="276"/>
      <c r="F83" s="276"/>
      <c r="G83" s="459"/>
      <c r="H83" s="276"/>
      <c r="I83" s="276"/>
      <c r="J83" s="276"/>
      <c r="K83" s="276"/>
      <c r="L83" s="276"/>
      <c r="M83" s="276"/>
      <c r="N83" s="276"/>
      <c r="O83" s="276"/>
      <c r="P83" s="276"/>
      <c r="Q83" s="276"/>
      <c r="R83" s="276"/>
      <c r="S83" s="276"/>
      <c r="T83" s="66"/>
    </row>
    <row r="84" spans="1:20" ht="15.75">
      <c r="A84" s="276"/>
      <c r="B84" s="276"/>
      <c r="C84" s="276"/>
      <c r="D84" s="276"/>
      <c r="E84" s="276"/>
      <c r="F84" s="276"/>
      <c r="G84" s="277"/>
      <c r="H84" s="276"/>
      <c r="I84" s="276"/>
      <c r="J84" s="276"/>
      <c r="K84" s="276"/>
      <c r="L84" s="276"/>
      <c r="M84" s="276"/>
      <c r="N84" s="276"/>
      <c r="O84" s="276"/>
      <c r="P84" s="276"/>
      <c r="Q84" s="276"/>
      <c r="R84" s="276"/>
      <c r="S84" s="276"/>
      <c r="T84" s="66"/>
    </row>
    <row r="85" spans="1:20" ht="15.75">
      <c r="A85" s="276"/>
      <c r="B85" s="276"/>
      <c r="C85" s="276"/>
      <c r="D85" s="276"/>
      <c r="E85" s="276"/>
      <c r="F85" s="276"/>
      <c r="G85" s="276"/>
      <c r="H85" s="276"/>
      <c r="I85" s="276"/>
      <c r="J85" s="276"/>
      <c r="K85" s="276"/>
      <c r="L85" s="276"/>
      <c r="M85" s="276"/>
      <c r="N85" s="276"/>
      <c r="O85" s="276"/>
      <c r="P85" s="276"/>
      <c r="Q85" s="276"/>
      <c r="R85" s="276"/>
      <c r="S85" s="276"/>
      <c r="T85" s="66"/>
    </row>
    <row r="86" spans="1:20" ht="15.75">
      <c r="A86" s="276"/>
      <c r="B86" s="276"/>
      <c r="C86" s="276"/>
      <c r="D86" s="276"/>
      <c r="E86" s="276"/>
      <c r="F86" s="276"/>
      <c r="G86" s="276"/>
      <c r="H86" s="276"/>
      <c r="I86" s="276"/>
      <c r="J86" s="276"/>
      <c r="K86" s="276"/>
      <c r="L86" s="276"/>
      <c r="M86" s="276"/>
      <c r="N86" s="276"/>
      <c r="O86" s="276"/>
      <c r="P86" s="276"/>
      <c r="Q86" s="276"/>
      <c r="R86" s="276"/>
      <c r="S86" s="276"/>
      <c r="T86" s="66"/>
    </row>
    <row r="87" spans="1:20" ht="15.75">
      <c r="A87" s="276"/>
      <c r="B87" s="276"/>
      <c r="C87" s="276"/>
      <c r="D87" s="276"/>
      <c r="E87" s="276"/>
      <c r="F87" s="276"/>
      <c r="G87" s="276"/>
      <c r="H87" s="276"/>
      <c r="I87" s="276"/>
      <c r="J87" s="276"/>
      <c r="K87" s="276"/>
      <c r="L87" s="276"/>
      <c r="M87" s="276"/>
      <c r="N87" s="276"/>
      <c r="O87" s="276"/>
      <c r="P87" s="276"/>
      <c r="Q87" s="276"/>
      <c r="R87" s="276"/>
      <c r="S87" s="276"/>
      <c r="T87" s="66"/>
    </row>
    <row r="88" spans="1:20" ht="15.75">
      <c r="A88" s="276"/>
      <c r="B88" s="276"/>
      <c r="C88" s="276"/>
      <c r="D88" s="276"/>
      <c r="E88" s="276"/>
      <c r="F88" s="276"/>
      <c r="G88" s="276"/>
      <c r="H88" s="276"/>
      <c r="I88" s="276"/>
      <c r="J88" s="276"/>
      <c r="K88" s="276"/>
      <c r="L88" s="276"/>
      <c r="M88" s="276"/>
      <c r="N88" s="276"/>
      <c r="O88" s="276"/>
      <c r="P88" s="276"/>
      <c r="Q88" s="276"/>
      <c r="R88" s="276"/>
      <c r="S88" s="276"/>
      <c r="T88" s="66"/>
    </row>
    <row r="89" spans="1:20" ht="15.75">
      <c r="A89" s="276"/>
      <c r="B89" s="276"/>
      <c r="C89" s="276"/>
      <c r="D89" s="276"/>
      <c r="E89" s="276"/>
      <c r="F89" s="276"/>
      <c r="G89" s="276"/>
      <c r="H89" s="276"/>
      <c r="I89" s="276"/>
      <c r="J89" s="276"/>
      <c r="K89" s="276"/>
      <c r="L89" s="276"/>
      <c r="M89" s="276"/>
      <c r="N89" s="276"/>
      <c r="O89" s="276"/>
      <c r="P89" s="276"/>
      <c r="Q89" s="276"/>
      <c r="R89" s="276"/>
      <c r="S89" s="276"/>
      <c r="T89" s="66"/>
    </row>
    <row r="90" spans="1:20" ht="15.75">
      <c r="A90" s="276"/>
      <c r="B90" s="276"/>
      <c r="C90" s="276"/>
      <c r="D90" s="276"/>
      <c r="E90" s="276"/>
      <c r="F90" s="276"/>
      <c r="G90" s="276"/>
      <c r="H90" s="276"/>
      <c r="I90" s="276"/>
      <c r="J90" s="276"/>
      <c r="K90" s="276"/>
      <c r="L90" s="276"/>
      <c r="M90" s="276"/>
      <c r="N90" s="276"/>
      <c r="O90" s="276"/>
      <c r="P90" s="276"/>
      <c r="Q90" s="276"/>
      <c r="R90" s="276"/>
      <c r="S90" s="276"/>
      <c r="T90" s="66"/>
    </row>
    <row r="91" spans="1:20" ht="15.75">
      <c r="A91" s="276"/>
      <c r="B91" s="276"/>
      <c r="C91" s="276"/>
      <c r="D91" s="276"/>
      <c r="E91" s="276"/>
      <c r="F91" s="276"/>
      <c r="G91" s="276"/>
      <c r="H91" s="276"/>
      <c r="I91" s="276"/>
      <c r="J91" s="276"/>
      <c r="K91" s="276"/>
      <c r="L91" s="276"/>
      <c r="M91" s="276"/>
      <c r="N91" s="276"/>
      <c r="O91" s="276"/>
      <c r="P91" s="276"/>
      <c r="Q91" s="276"/>
      <c r="R91" s="276"/>
      <c r="S91" s="276"/>
      <c r="T91" s="66"/>
    </row>
    <row r="92" spans="1:20" ht="15.75">
      <c r="A92" s="276"/>
      <c r="B92" s="276"/>
      <c r="C92" s="276"/>
      <c r="D92" s="276"/>
      <c r="E92" s="276"/>
      <c r="F92" s="276"/>
      <c r="G92" s="276"/>
      <c r="H92" s="276"/>
      <c r="I92" s="276"/>
      <c r="J92" s="276"/>
      <c r="K92" s="276"/>
      <c r="L92" s="276"/>
      <c r="M92" s="276"/>
      <c r="N92" s="276"/>
      <c r="O92" s="276"/>
      <c r="P92" s="276"/>
      <c r="Q92" s="276"/>
      <c r="R92" s="276"/>
      <c r="S92" s="276"/>
      <c r="T92" s="66"/>
    </row>
    <row r="93" spans="1:20" ht="15.75">
      <c r="A93" s="276"/>
      <c r="B93" s="276"/>
      <c r="C93" s="276"/>
      <c r="D93" s="276"/>
      <c r="E93" s="276"/>
      <c r="F93" s="276"/>
      <c r="G93" s="276"/>
      <c r="H93" s="276"/>
      <c r="I93" s="276"/>
      <c r="J93" s="276"/>
      <c r="K93" s="276"/>
      <c r="L93" s="276"/>
      <c r="M93" s="276"/>
      <c r="N93" s="276"/>
      <c r="O93" s="276"/>
      <c r="P93" s="276"/>
      <c r="Q93" s="276"/>
      <c r="R93" s="276"/>
      <c r="S93" s="276"/>
      <c r="T93" s="66"/>
    </row>
    <row r="94" spans="1:20" ht="15.75">
      <c r="A94" s="276"/>
      <c r="B94" s="276"/>
      <c r="C94" s="276"/>
      <c r="D94" s="276"/>
      <c r="E94" s="276"/>
      <c r="F94" s="276"/>
      <c r="G94" s="276"/>
      <c r="H94" s="276"/>
      <c r="I94" s="276"/>
      <c r="J94" s="276"/>
      <c r="K94" s="276"/>
      <c r="L94" s="276"/>
      <c r="M94" s="276"/>
      <c r="N94" s="276"/>
      <c r="O94" s="276"/>
      <c r="P94" s="276"/>
      <c r="Q94" s="276"/>
      <c r="R94" s="276"/>
      <c r="S94" s="276"/>
      <c r="T94" s="66"/>
    </row>
    <row r="95" spans="1:20" ht="15.75">
      <c r="A95" s="276"/>
      <c r="B95" s="276"/>
      <c r="C95" s="276"/>
      <c r="D95" s="276"/>
      <c r="E95" s="276"/>
      <c r="F95" s="276"/>
      <c r="G95" s="276"/>
      <c r="H95" s="276"/>
      <c r="I95" s="276"/>
      <c r="J95" s="276"/>
      <c r="K95" s="276"/>
      <c r="L95" s="276"/>
      <c r="M95" s="276"/>
      <c r="N95" s="276"/>
      <c r="O95" s="276"/>
      <c r="P95" s="276"/>
      <c r="Q95" s="276"/>
      <c r="R95" s="276"/>
      <c r="S95" s="276"/>
      <c r="T95" s="66"/>
    </row>
    <row r="96" spans="1:20" ht="15.75">
      <c r="A96" s="276"/>
      <c r="B96" s="276"/>
      <c r="C96" s="276"/>
      <c r="D96" s="276"/>
      <c r="E96" s="276"/>
      <c r="F96" s="276"/>
      <c r="G96" s="276"/>
      <c r="H96" s="276"/>
      <c r="I96" s="276"/>
      <c r="J96" s="276"/>
      <c r="K96" s="276"/>
      <c r="L96" s="276"/>
      <c r="M96" s="276"/>
      <c r="N96" s="276"/>
      <c r="O96" s="276"/>
      <c r="P96" s="276"/>
      <c r="Q96" s="276"/>
      <c r="R96" s="276"/>
      <c r="S96" s="276"/>
      <c r="T96" s="66"/>
    </row>
    <row r="97" spans="1:20" ht="15.75">
      <c r="A97" s="276"/>
      <c r="B97" s="276"/>
      <c r="C97" s="276"/>
      <c r="D97" s="276"/>
      <c r="E97" s="276"/>
      <c r="F97" s="276"/>
      <c r="G97" s="276"/>
      <c r="H97" s="276"/>
      <c r="I97" s="276"/>
      <c r="J97" s="276"/>
      <c r="K97" s="276"/>
      <c r="L97" s="276"/>
      <c r="M97" s="276"/>
      <c r="N97" s="276"/>
      <c r="O97" s="276"/>
      <c r="P97" s="276"/>
      <c r="Q97" s="276"/>
      <c r="R97" s="276"/>
      <c r="S97" s="276"/>
      <c r="T97" s="66"/>
    </row>
    <row r="98" spans="1:20" ht="15.75">
      <c r="A98" s="276"/>
      <c r="B98" s="276"/>
      <c r="C98" s="276"/>
      <c r="D98" s="276"/>
      <c r="E98" s="276"/>
      <c r="F98" s="276"/>
      <c r="G98" s="276"/>
      <c r="H98" s="276"/>
      <c r="I98" s="276"/>
      <c r="J98" s="276"/>
      <c r="K98" s="276"/>
      <c r="L98" s="276"/>
      <c r="M98" s="276"/>
      <c r="N98" s="276"/>
      <c r="O98" s="276"/>
      <c r="P98" s="276"/>
      <c r="Q98" s="276"/>
      <c r="R98" s="276"/>
      <c r="S98" s="276"/>
      <c r="T98" s="66"/>
    </row>
    <row r="99" spans="1:20" ht="15.75">
      <c r="A99" s="276"/>
      <c r="B99" s="276"/>
      <c r="C99" s="276"/>
      <c r="D99" s="276"/>
      <c r="E99" s="276"/>
      <c r="F99" s="276"/>
      <c r="G99" s="276"/>
      <c r="H99" s="276"/>
      <c r="I99" s="276"/>
      <c r="J99" s="276"/>
      <c r="K99" s="276"/>
      <c r="L99" s="276"/>
      <c r="M99" s="276"/>
      <c r="N99" s="276"/>
      <c r="O99" s="276"/>
      <c r="P99" s="276"/>
      <c r="Q99" s="276"/>
      <c r="R99" s="276"/>
      <c r="S99" s="276"/>
      <c r="T99" s="66"/>
    </row>
    <row r="100" spans="1:20" ht="15.75">
      <c r="A100" s="276"/>
      <c r="B100" s="276"/>
      <c r="C100" s="276"/>
      <c r="D100" s="276"/>
      <c r="E100" s="276"/>
      <c r="F100" s="276"/>
      <c r="G100" s="276"/>
      <c r="H100" s="276"/>
      <c r="I100" s="276"/>
      <c r="J100" s="276"/>
      <c r="K100" s="276"/>
      <c r="L100" s="276"/>
      <c r="M100" s="276"/>
      <c r="N100" s="276"/>
      <c r="O100" s="276"/>
      <c r="P100" s="276"/>
      <c r="Q100" s="276"/>
      <c r="R100" s="276"/>
      <c r="S100" s="276"/>
      <c r="T100" s="66"/>
    </row>
    <row r="101" spans="1:20" ht="15.75">
      <c r="A101" s="276"/>
      <c r="B101" s="276"/>
      <c r="C101" s="276"/>
      <c r="D101" s="276"/>
      <c r="E101" s="276"/>
      <c r="F101" s="276"/>
      <c r="G101" s="276"/>
      <c r="H101" s="276"/>
      <c r="I101" s="276"/>
      <c r="J101" s="276"/>
      <c r="K101" s="276"/>
      <c r="L101" s="276"/>
      <c r="M101" s="276"/>
      <c r="N101" s="276"/>
      <c r="O101" s="276"/>
      <c r="P101" s="276"/>
      <c r="Q101" s="276"/>
      <c r="R101" s="276"/>
      <c r="S101" s="276"/>
      <c r="T101" s="66"/>
    </row>
    <row r="102" spans="1:20" ht="15.75">
      <c r="A102" s="276"/>
      <c r="B102" s="276"/>
      <c r="C102" s="276"/>
      <c r="D102" s="276"/>
      <c r="E102" s="276"/>
      <c r="F102" s="276"/>
      <c r="G102" s="276"/>
      <c r="H102" s="276"/>
      <c r="I102" s="276"/>
      <c r="J102" s="276"/>
      <c r="K102" s="276"/>
      <c r="L102" s="276"/>
      <c r="M102" s="276"/>
      <c r="N102" s="276"/>
      <c r="O102" s="276"/>
      <c r="P102" s="276"/>
      <c r="Q102" s="276"/>
      <c r="R102" s="276"/>
      <c r="S102" s="276"/>
      <c r="T102" s="66"/>
    </row>
    <row r="103" spans="1:20" ht="15.75">
      <c r="A103" s="276"/>
      <c r="B103" s="276"/>
      <c r="C103" s="276"/>
      <c r="D103" s="276"/>
      <c r="E103" s="276"/>
      <c r="F103" s="276"/>
      <c r="G103" s="276"/>
      <c r="H103" s="276"/>
      <c r="I103" s="276"/>
      <c r="J103" s="276"/>
      <c r="K103" s="276"/>
      <c r="L103" s="276"/>
      <c r="M103" s="276"/>
      <c r="N103" s="276"/>
      <c r="O103" s="276"/>
      <c r="P103" s="276"/>
      <c r="Q103" s="276"/>
      <c r="R103" s="276"/>
      <c r="S103" s="276"/>
      <c r="T103" s="66"/>
    </row>
    <row r="104" spans="1:20" ht="15.75">
      <c r="A104" s="276"/>
      <c r="B104" s="276"/>
      <c r="C104" s="276"/>
      <c r="D104" s="276"/>
      <c r="E104" s="276"/>
      <c r="F104" s="276"/>
      <c r="G104" s="276"/>
      <c r="H104" s="276"/>
      <c r="I104" s="276"/>
      <c r="J104" s="276"/>
      <c r="K104" s="276"/>
      <c r="L104" s="276"/>
      <c r="M104" s="276"/>
      <c r="N104" s="276"/>
      <c r="O104" s="276"/>
      <c r="P104" s="276"/>
      <c r="Q104" s="276"/>
      <c r="R104" s="276"/>
      <c r="S104" s="276"/>
      <c r="T104" s="66"/>
    </row>
    <row r="105" spans="1:20" ht="15.75">
      <c r="A105" s="276"/>
      <c r="B105" s="276"/>
      <c r="C105" s="276"/>
      <c r="D105" s="276"/>
      <c r="E105" s="276"/>
      <c r="F105" s="276"/>
      <c r="G105" s="276"/>
      <c r="H105" s="276"/>
      <c r="I105" s="276"/>
      <c r="J105" s="276"/>
      <c r="K105" s="276"/>
      <c r="L105" s="276"/>
      <c r="M105" s="276"/>
      <c r="N105" s="276"/>
      <c r="O105" s="276"/>
      <c r="P105" s="276"/>
      <c r="Q105" s="276"/>
      <c r="R105" s="276"/>
      <c r="S105" s="276"/>
      <c r="T105" s="66"/>
    </row>
    <row r="106" spans="1:20" ht="15.75">
      <c r="A106" s="276"/>
      <c r="B106" s="276"/>
      <c r="C106" s="276"/>
      <c r="D106" s="276"/>
      <c r="E106" s="276"/>
      <c r="F106" s="276"/>
      <c r="G106" s="276"/>
      <c r="H106" s="276"/>
      <c r="I106" s="276"/>
      <c r="J106" s="276"/>
      <c r="K106" s="276"/>
      <c r="L106" s="276"/>
      <c r="M106" s="276"/>
      <c r="N106" s="276"/>
      <c r="O106" s="276"/>
      <c r="P106" s="276"/>
      <c r="Q106" s="276"/>
      <c r="R106" s="276"/>
      <c r="S106" s="276"/>
      <c r="T106" s="66"/>
    </row>
    <row r="107" spans="1:20" ht="15.75">
      <c r="A107" s="276"/>
      <c r="B107" s="276"/>
      <c r="C107" s="276"/>
      <c r="D107" s="276"/>
      <c r="E107" s="276"/>
      <c r="F107" s="276"/>
      <c r="G107" s="276"/>
      <c r="H107" s="276"/>
      <c r="I107" s="276"/>
      <c r="J107" s="276"/>
      <c r="K107" s="276"/>
      <c r="L107" s="276"/>
      <c r="M107" s="276"/>
      <c r="N107" s="276"/>
      <c r="O107" s="276"/>
      <c r="P107" s="276"/>
      <c r="Q107" s="276"/>
      <c r="R107" s="276"/>
      <c r="S107" s="276"/>
      <c r="T107" s="66"/>
    </row>
    <row r="108" spans="1:20" ht="15.75">
      <c r="A108" s="276"/>
      <c r="B108" s="276"/>
      <c r="C108" s="276"/>
      <c r="D108" s="276"/>
      <c r="E108" s="276"/>
      <c r="F108" s="276"/>
      <c r="G108" s="276"/>
      <c r="H108" s="276"/>
      <c r="I108" s="276"/>
      <c r="J108" s="276"/>
      <c r="K108" s="276"/>
      <c r="L108" s="276"/>
      <c r="M108" s="276"/>
      <c r="N108" s="276"/>
      <c r="O108" s="276"/>
      <c r="P108" s="276"/>
      <c r="Q108" s="276"/>
      <c r="R108" s="276"/>
      <c r="S108" s="276"/>
      <c r="T108" s="66"/>
    </row>
    <row r="109" spans="1:20" ht="15.75">
      <c r="A109" s="276"/>
      <c r="B109" s="276"/>
      <c r="C109" s="276"/>
      <c r="D109" s="276"/>
      <c r="E109" s="276"/>
      <c r="F109" s="276"/>
      <c r="G109" s="276"/>
      <c r="H109" s="276"/>
      <c r="I109" s="276"/>
      <c r="J109" s="276"/>
      <c r="K109" s="276"/>
      <c r="L109" s="276"/>
      <c r="M109" s="276"/>
      <c r="N109" s="276"/>
      <c r="O109" s="276"/>
      <c r="P109" s="276"/>
      <c r="Q109" s="276"/>
      <c r="R109" s="276"/>
      <c r="S109" s="276"/>
      <c r="T109" s="66"/>
    </row>
    <row r="110" spans="1:20" ht="15.75">
      <c r="A110" s="276"/>
      <c r="B110" s="276"/>
      <c r="C110" s="276"/>
      <c r="D110" s="276"/>
      <c r="E110" s="276"/>
      <c r="F110" s="276"/>
      <c r="G110" s="276"/>
      <c r="H110" s="276"/>
      <c r="I110" s="276"/>
      <c r="J110" s="276"/>
      <c r="K110" s="276"/>
      <c r="L110" s="276"/>
      <c r="M110" s="276"/>
      <c r="N110" s="276"/>
      <c r="O110" s="276"/>
      <c r="P110" s="276"/>
      <c r="Q110" s="276"/>
      <c r="R110" s="276"/>
      <c r="S110" s="276"/>
      <c r="T110" s="66"/>
    </row>
    <row r="111" spans="1:20" ht="15.75">
      <c r="A111" s="276"/>
      <c r="B111" s="276"/>
      <c r="C111" s="276"/>
      <c r="D111" s="276"/>
      <c r="E111" s="276"/>
      <c r="F111" s="276"/>
      <c r="G111" s="276"/>
      <c r="H111" s="276"/>
      <c r="I111" s="276"/>
      <c r="J111" s="276"/>
      <c r="K111" s="276"/>
      <c r="L111" s="276"/>
      <c r="M111" s="276"/>
      <c r="N111" s="276"/>
      <c r="O111" s="276"/>
      <c r="P111" s="276"/>
      <c r="Q111" s="276"/>
      <c r="R111" s="276"/>
      <c r="S111" s="276"/>
      <c r="T111" s="66"/>
    </row>
    <row r="112" spans="1:20" ht="15.75">
      <c r="A112" s="276"/>
      <c r="B112" s="276"/>
      <c r="C112" s="276"/>
      <c r="D112" s="276"/>
      <c r="E112" s="276"/>
      <c r="F112" s="276"/>
      <c r="G112" s="276"/>
      <c r="H112" s="276"/>
      <c r="I112" s="276"/>
      <c r="J112" s="276"/>
      <c r="K112" s="276"/>
      <c r="L112" s="276"/>
      <c r="M112" s="276"/>
      <c r="N112" s="276"/>
      <c r="O112" s="276"/>
      <c r="P112" s="276"/>
      <c r="Q112" s="276"/>
      <c r="R112" s="276"/>
      <c r="S112" s="276"/>
      <c r="T112" s="66"/>
    </row>
    <row r="113" spans="1:20" ht="15.75">
      <c r="A113" s="276"/>
      <c r="B113" s="276"/>
      <c r="C113" s="276"/>
      <c r="D113" s="276"/>
      <c r="E113" s="276"/>
      <c r="F113" s="276"/>
      <c r="G113" s="276"/>
      <c r="H113" s="276"/>
      <c r="I113" s="276"/>
      <c r="J113" s="276"/>
      <c r="K113" s="276"/>
      <c r="L113" s="276"/>
      <c r="M113" s="276"/>
      <c r="N113" s="276"/>
      <c r="O113" s="276"/>
      <c r="P113" s="276"/>
      <c r="Q113" s="276"/>
      <c r="R113" s="276"/>
      <c r="S113" s="276"/>
      <c r="T113" s="66"/>
    </row>
    <row r="114" spans="1:20" ht="15.75">
      <c r="A114" s="276"/>
      <c r="B114" s="276"/>
      <c r="C114" s="276"/>
      <c r="D114" s="276"/>
      <c r="E114" s="276"/>
      <c r="F114" s="276"/>
      <c r="G114" s="276"/>
      <c r="H114" s="276"/>
      <c r="I114" s="276"/>
      <c r="J114" s="276"/>
      <c r="K114" s="276"/>
      <c r="L114" s="276"/>
      <c r="M114" s="276"/>
      <c r="N114" s="276"/>
      <c r="O114" s="276"/>
      <c r="P114" s="276"/>
      <c r="Q114" s="276"/>
      <c r="R114" s="276"/>
      <c r="S114" s="276"/>
      <c r="T114" s="66"/>
    </row>
    <row r="115" spans="1:20" ht="15.75">
      <c r="A115" s="276"/>
      <c r="B115" s="276"/>
      <c r="C115" s="276"/>
      <c r="D115" s="276"/>
      <c r="E115" s="276"/>
      <c r="F115" s="276"/>
      <c r="G115" s="276"/>
      <c r="H115" s="276"/>
      <c r="I115" s="276"/>
      <c r="J115" s="276"/>
      <c r="K115" s="276"/>
      <c r="L115" s="276"/>
      <c r="M115" s="276"/>
      <c r="N115" s="276"/>
      <c r="O115" s="276"/>
      <c r="P115" s="276"/>
      <c r="Q115" s="276"/>
      <c r="R115" s="276"/>
      <c r="S115" s="276"/>
      <c r="T115" s="66"/>
    </row>
    <row r="116" spans="1:20" ht="15.75">
      <c r="A116" s="276"/>
      <c r="B116" s="276"/>
      <c r="C116" s="276"/>
      <c r="D116" s="276"/>
      <c r="E116" s="276"/>
      <c r="F116" s="276"/>
      <c r="G116" s="276"/>
      <c r="H116" s="276"/>
      <c r="I116" s="276"/>
      <c r="J116" s="276"/>
      <c r="K116" s="276"/>
      <c r="L116" s="276"/>
      <c r="M116" s="276"/>
      <c r="N116" s="276"/>
      <c r="O116" s="276"/>
      <c r="P116" s="276"/>
      <c r="Q116" s="276"/>
      <c r="R116" s="276"/>
      <c r="S116" s="276"/>
      <c r="T116" s="66"/>
    </row>
    <row r="117" spans="1:20" ht="15.75">
      <c r="A117" s="276"/>
      <c r="B117" s="276"/>
      <c r="C117" s="276"/>
      <c r="D117" s="276"/>
      <c r="E117" s="276"/>
      <c r="F117" s="276"/>
      <c r="G117" s="276"/>
      <c r="H117" s="276"/>
      <c r="I117" s="276"/>
      <c r="J117" s="276"/>
      <c r="K117" s="276"/>
      <c r="L117" s="276"/>
      <c r="M117" s="276"/>
      <c r="N117" s="276"/>
      <c r="O117" s="276"/>
      <c r="P117" s="276"/>
      <c r="Q117" s="276"/>
      <c r="R117" s="276"/>
      <c r="S117" s="276"/>
      <c r="T117" s="66"/>
    </row>
    <row r="118" spans="1:20" ht="15.75">
      <c r="A118" s="276"/>
      <c r="B118" s="276"/>
      <c r="C118" s="276"/>
      <c r="D118" s="276"/>
      <c r="E118" s="276"/>
      <c r="F118" s="276"/>
      <c r="G118" s="276"/>
      <c r="H118" s="276"/>
      <c r="I118" s="276"/>
      <c r="J118" s="276"/>
      <c r="K118" s="276"/>
      <c r="L118" s="276"/>
      <c r="M118" s="276"/>
      <c r="N118" s="276"/>
      <c r="O118" s="276"/>
      <c r="P118" s="276"/>
      <c r="Q118" s="276"/>
      <c r="R118" s="276"/>
      <c r="S118" s="276"/>
      <c r="T118" s="66"/>
    </row>
    <row r="119" spans="1:20" ht="15.75">
      <c r="A119" s="276"/>
      <c r="B119" s="276"/>
      <c r="C119" s="276"/>
      <c r="D119" s="276"/>
      <c r="E119" s="276"/>
      <c r="F119" s="276"/>
      <c r="G119" s="276"/>
      <c r="H119" s="276"/>
      <c r="I119" s="276"/>
      <c r="J119" s="276"/>
      <c r="K119" s="276"/>
      <c r="L119" s="276"/>
      <c r="M119" s="276"/>
      <c r="N119" s="276"/>
      <c r="O119" s="276"/>
      <c r="P119" s="276"/>
      <c r="Q119" s="276"/>
      <c r="R119" s="276"/>
      <c r="S119" s="276"/>
      <c r="T119" s="66"/>
    </row>
    <row r="120" spans="1:20" ht="15.75">
      <c r="A120" s="276"/>
      <c r="B120" s="276"/>
      <c r="C120" s="276"/>
      <c r="D120" s="276"/>
      <c r="E120" s="276"/>
      <c r="F120" s="276"/>
      <c r="G120" s="276"/>
      <c r="H120" s="276"/>
      <c r="I120" s="276"/>
      <c r="J120" s="276"/>
      <c r="K120" s="276"/>
      <c r="L120" s="276"/>
      <c r="M120" s="276"/>
      <c r="N120" s="276"/>
      <c r="O120" s="276"/>
      <c r="P120" s="276"/>
      <c r="Q120" s="276"/>
      <c r="R120" s="276"/>
      <c r="S120" s="276"/>
      <c r="T120" s="66"/>
    </row>
    <row r="121" spans="1:20" ht="15.75">
      <c r="A121" s="276"/>
      <c r="B121" s="276"/>
      <c r="C121" s="276"/>
      <c r="D121" s="276"/>
      <c r="E121" s="276"/>
      <c r="F121" s="276"/>
      <c r="G121" s="276"/>
      <c r="H121" s="276"/>
      <c r="I121" s="276"/>
      <c r="J121" s="276"/>
      <c r="K121" s="276"/>
      <c r="L121" s="276"/>
      <c r="M121" s="276"/>
      <c r="N121" s="276"/>
      <c r="O121" s="276"/>
      <c r="P121" s="276"/>
      <c r="Q121" s="276"/>
      <c r="R121" s="276"/>
      <c r="S121" s="276"/>
      <c r="T121" s="66"/>
    </row>
    <row r="122" spans="1:20" ht="15.75">
      <c r="A122" s="276"/>
      <c r="B122" s="276"/>
      <c r="C122" s="276"/>
      <c r="D122" s="276"/>
      <c r="E122" s="276"/>
      <c r="F122" s="276"/>
      <c r="G122" s="276"/>
      <c r="H122" s="276"/>
      <c r="I122" s="276"/>
      <c r="J122" s="276"/>
      <c r="K122" s="276"/>
      <c r="L122" s="276"/>
      <c r="M122" s="276"/>
      <c r="N122" s="276"/>
      <c r="O122" s="276"/>
      <c r="P122" s="276"/>
      <c r="Q122" s="276"/>
      <c r="R122" s="276"/>
      <c r="S122" s="276"/>
      <c r="T122" s="66"/>
    </row>
    <row r="123" spans="1:20" ht="15.75">
      <c r="A123" s="276"/>
      <c r="B123" s="276"/>
      <c r="C123" s="276"/>
      <c r="D123" s="276"/>
      <c r="E123" s="276"/>
      <c r="F123" s="276"/>
      <c r="G123" s="276"/>
      <c r="H123" s="276"/>
      <c r="I123" s="276"/>
      <c r="J123" s="276"/>
      <c r="K123" s="276"/>
      <c r="L123" s="276"/>
      <c r="M123" s="276"/>
      <c r="N123" s="276"/>
      <c r="O123" s="276"/>
      <c r="P123" s="276"/>
      <c r="Q123" s="276"/>
      <c r="R123" s="276"/>
      <c r="S123" s="276"/>
      <c r="T123" s="66"/>
    </row>
    <row r="124" spans="1:20" ht="15.75">
      <c r="A124" s="276"/>
      <c r="B124" s="276"/>
      <c r="C124" s="276"/>
      <c r="D124" s="276"/>
      <c r="E124" s="276"/>
      <c r="F124" s="276"/>
      <c r="G124" s="276"/>
      <c r="H124" s="276"/>
      <c r="I124" s="276"/>
      <c r="J124" s="276"/>
      <c r="K124" s="276"/>
      <c r="L124" s="276"/>
      <c r="M124" s="276"/>
      <c r="N124" s="276"/>
      <c r="O124" s="276"/>
      <c r="P124" s="276"/>
      <c r="Q124" s="276"/>
      <c r="R124" s="276"/>
      <c r="S124" s="276"/>
      <c r="T124" s="66"/>
    </row>
    <row r="125" spans="1:20" ht="15.75">
      <c r="A125" s="276"/>
      <c r="B125" s="276"/>
      <c r="C125" s="276"/>
      <c r="D125" s="276"/>
      <c r="E125" s="276"/>
      <c r="F125" s="276"/>
      <c r="G125" s="276"/>
      <c r="H125" s="276"/>
      <c r="I125" s="276"/>
      <c r="J125" s="276"/>
      <c r="K125" s="276"/>
      <c r="L125" s="276"/>
      <c r="M125" s="276"/>
      <c r="N125" s="276"/>
      <c r="O125" s="276"/>
      <c r="P125" s="276"/>
      <c r="Q125" s="276"/>
      <c r="R125" s="276"/>
      <c r="S125" s="276"/>
      <c r="T125" s="66"/>
    </row>
    <row r="126" spans="1:20" ht="15.75">
      <c r="A126" s="276"/>
      <c r="B126" s="276"/>
      <c r="C126" s="276"/>
      <c r="D126" s="276"/>
      <c r="E126" s="276"/>
      <c r="F126" s="276"/>
      <c r="G126" s="276"/>
      <c r="H126" s="276"/>
      <c r="I126" s="276"/>
      <c r="J126" s="276"/>
      <c r="K126" s="276"/>
      <c r="L126" s="276"/>
      <c r="M126" s="276"/>
      <c r="N126" s="276"/>
      <c r="O126" s="276"/>
      <c r="P126" s="276"/>
      <c r="Q126" s="276"/>
      <c r="R126" s="276"/>
      <c r="S126" s="276"/>
      <c r="T126" s="66"/>
    </row>
    <row r="127" spans="1:20" ht="15.75">
      <c r="A127" s="276"/>
      <c r="B127" s="276"/>
      <c r="C127" s="276"/>
      <c r="D127" s="276"/>
      <c r="E127" s="276"/>
      <c r="F127" s="276"/>
      <c r="G127" s="276"/>
      <c r="H127" s="276"/>
      <c r="I127" s="276"/>
      <c r="J127" s="276"/>
      <c r="K127" s="276"/>
      <c r="L127" s="276"/>
      <c r="M127" s="276"/>
      <c r="N127" s="276"/>
      <c r="O127" s="276"/>
      <c r="P127" s="276"/>
      <c r="Q127" s="276"/>
      <c r="R127" s="276"/>
      <c r="S127" s="276"/>
      <c r="T127" s="66"/>
    </row>
    <row r="128" spans="1:20" ht="15.75">
      <c r="A128" s="276"/>
      <c r="B128" s="276"/>
      <c r="C128" s="276"/>
      <c r="D128" s="276"/>
      <c r="E128" s="276"/>
      <c r="F128" s="276"/>
      <c r="G128" s="276"/>
      <c r="H128" s="276"/>
      <c r="I128" s="276"/>
      <c r="J128" s="276"/>
      <c r="K128" s="276"/>
      <c r="L128" s="276"/>
      <c r="M128" s="276"/>
      <c r="N128" s="276"/>
      <c r="O128" s="276"/>
      <c r="P128" s="276"/>
      <c r="Q128" s="276"/>
      <c r="R128" s="276"/>
      <c r="S128" s="276"/>
      <c r="T128" s="66"/>
    </row>
    <row r="129" spans="1:20" ht="15.75">
      <c r="A129" s="276"/>
      <c r="B129" s="276"/>
      <c r="C129" s="276"/>
      <c r="D129" s="276"/>
      <c r="E129" s="276"/>
      <c r="F129" s="276"/>
      <c r="G129" s="276"/>
      <c r="H129" s="276"/>
      <c r="I129" s="276"/>
      <c r="J129" s="276"/>
      <c r="K129" s="276"/>
      <c r="L129" s="276"/>
      <c r="M129" s="276"/>
      <c r="N129" s="276"/>
      <c r="O129" s="276"/>
      <c r="P129" s="276"/>
      <c r="Q129" s="276"/>
      <c r="R129" s="276"/>
      <c r="S129" s="276"/>
      <c r="T129" s="66"/>
    </row>
    <row r="130" spans="1:20" ht="15.75">
      <c r="A130" s="276"/>
      <c r="B130" s="276"/>
      <c r="C130" s="276"/>
      <c r="D130" s="276"/>
      <c r="E130" s="276"/>
      <c r="F130" s="276"/>
      <c r="G130" s="276"/>
      <c r="H130" s="276"/>
      <c r="I130" s="276"/>
      <c r="J130" s="276"/>
      <c r="K130" s="276"/>
      <c r="L130" s="276"/>
      <c r="M130" s="276"/>
      <c r="N130" s="276"/>
      <c r="O130" s="276"/>
      <c r="P130" s="276"/>
      <c r="Q130" s="276"/>
      <c r="R130" s="276"/>
      <c r="S130" s="276"/>
      <c r="T130" s="66"/>
    </row>
    <row r="131" spans="1:20" ht="15.75">
      <c r="A131" s="276"/>
      <c r="B131" s="276"/>
      <c r="C131" s="276"/>
      <c r="D131" s="276"/>
      <c r="E131" s="276"/>
      <c r="F131" s="276"/>
      <c r="G131" s="276"/>
      <c r="H131" s="276"/>
      <c r="I131" s="276"/>
      <c r="J131" s="276"/>
      <c r="K131" s="276"/>
      <c r="L131" s="276"/>
      <c r="M131" s="276"/>
      <c r="N131" s="276"/>
      <c r="O131" s="276"/>
      <c r="P131" s="276"/>
      <c r="Q131" s="276"/>
      <c r="R131" s="276"/>
      <c r="S131" s="276"/>
      <c r="T131" s="66"/>
    </row>
    <row r="132" spans="1:20" ht="15.75">
      <c r="A132" s="276"/>
      <c r="B132" s="276"/>
      <c r="C132" s="276"/>
      <c r="D132" s="276"/>
      <c r="E132" s="276"/>
      <c r="F132" s="276"/>
      <c r="G132" s="276"/>
      <c r="H132" s="276"/>
      <c r="I132" s="276"/>
      <c r="J132" s="276"/>
      <c r="K132" s="276"/>
      <c r="L132" s="276"/>
      <c r="M132" s="276"/>
      <c r="N132" s="276"/>
      <c r="O132" s="276"/>
      <c r="P132" s="276"/>
      <c r="Q132" s="276"/>
      <c r="R132" s="276"/>
      <c r="S132" s="276"/>
      <c r="T132" s="66"/>
    </row>
    <row r="133" spans="1:20" ht="15.75">
      <c r="A133" s="276"/>
      <c r="B133" s="276"/>
      <c r="C133" s="276"/>
      <c r="D133" s="276"/>
      <c r="E133" s="276"/>
      <c r="F133" s="276"/>
      <c r="G133" s="276"/>
      <c r="H133" s="276"/>
      <c r="I133" s="276"/>
      <c r="J133" s="276"/>
      <c r="K133" s="276"/>
      <c r="L133" s="276"/>
      <c r="M133" s="276"/>
      <c r="N133" s="276"/>
      <c r="O133" s="276"/>
      <c r="P133" s="276"/>
      <c r="Q133" s="276"/>
      <c r="R133" s="276"/>
      <c r="S133" s="276"/>
      <c r="T133" s="66"/>
    </row>
    <row r="134" spans="1:20" ht="15.75">
      <c r="A134" s="276"/>
      <c r="B134" s="276"/>
      <c r="C134" s="276"/>
      <c r="D134" s="276"/>
      <c r="E134" s="276"/>
      <c r="F134" s="276"/>
      <c r="G134" s="276"/>
      <c r="H134" s="276"/>
      <c r="I134" s="276"/>
      <c r="J134" s="276"/>
      <c r="K134" s="276"/>
      <c r="L134" s="276"/>
      <c r="M134" s="276"/>
      <c r="N134" s="276"/>
      <c r="O134" s="276"/>
      <c r="P134" s="276"/>
      <c r="Q134" s="276"/>
      <c r="R134" s="276"/>
      <c r="S134" s="276"/>
      <c r="T134" s="66"/>
    </row>
    <row r="135" spans="1:20" ht="15.75">
      <c r="A135" s="276"/>
      <c r="B135" s="276"/>
      <c r="C135" s="276"/>
      <c r="D135" s="276"/>
      <c r="E135" s="276"/>
      <c r="F135" s="276"/>
      <c r="G135" s="276"/>
      <c r="H135" s="276"/>
      <c r="I135" s="276"/>
      <c r="J135" s="276"/>
      <c r="K135" s="276"/>
      <c r="L135" s="276"/>
      <c r="M135" s="276"/>
      <c r="N135" s="276"/>
      <c r="O135" s="276"/>
      <c r="P135" s="276"/>
      <c r="Q135" s="276"/>
      <c r="R135" s="276"/>
      <c r="S135" s="276"/>
      <c r="T135" s="66"/>
    </row>
    <row r="136" spans="1:20" ht="15.75">
      <c r="A136" s="276"/>
      <c r="B136" s="276"/>
      <c r="C136" s="276"/>
      <c r="D136" s="276"/>
      <c r="E136" s="276"/>
      <c r="F136" s="276"/>
      <c r="G136" s="276"/>
      <c r="H136" s="276"/>
      <c r="I136" s="276"/>
      <c r="J136" s="276"/>
      <c r="K136" s="276"/>
      <c r="L136" s="276"/>
      <c r="M136" s="276"/>
      <c r="N136" s="276"/>
      <c r="O136" s="276"/>
      <c r="P136" s="276"/>
      <c r="Q136" s="276"/>
      <c r="R136" s="276"/>
      <c r="S136" s="276"/>
      <c r="T136" s="66"/>
    </row>
    <row r="137" spans="1:20" ht="15.75">
      <c r="A137" s="276"/>
      <c r="B137" s="276"/>
      <c r="C137" s="276"/>
      <c r="D137" s="276"/>
      <c r="E137" s="276"/>
      <c r="F137" s="276"/>
      <c r="G137" s="276"/>
      <c r="H137" s="276"/>
      <c r="I137" s="276"/>
      <c r="J137" s="276"/>
      <c r="K137" s="276"/>
      <c r="L137" s="276"/>
      <c r="M137" s="276"/>
      <c r="N137" s="276"/>
      <c r="O137" s="276"/>
      <c r="P137" s="276"/>
      <c r="Q137" s="276"/>
      <c r="R137" s="276"/>
      <c r="S137" s="276"/>
      <c r="T137" s="66"/>
    </row>
    <row r="138" spans="1:20" ht="15.75">
      <c r="A138" s="276"/>
      <c r="B138" s="276"/>
      <c r="C138" s="276"/>
      <c r="D138" s="276"/>
      <c r="E138" s="276"/>
      <c r="F138" s="276"/>
      <c r="G138" s="276"/>
      <c r="H138" s="276"/>
      <c r="I138" s="276"/>
      <c r="J138" s="276"/>
      <c r="K138" s="276"/>
      <c r="L138" s="276"/>
      <c r="M138" s="276"/>
      <c r="N138" s="276"/>
      <c r="O138" s="276"/>
      <c r="P138" s="276"/>
      <c r="Q138" s="276"/>
      <c r="R138" s="276"/>
      <c r="S138" s="276"/>
      <c r="T138" s="66"/>
    </row>
    <row r="139" spans="1:20" ht="15.75">
      <c r="A139" s="276"/>
      <c r="B139" s="276"/>
      <c r="C139" s="276"/>
      <c r="D139" s="276"/>
      <c r="E139" s="276"/>
      <c r="F139" s="276"/>
      <c r="G139" s="276"/>
      <c r="H139" s="276"/>
      <c r="I139" s="276"/>
      <c r="J139" s="276"/>
      <c r="K139" s="276"/>
      <c r="L139" s="276"/>
      <c r="M139" s="276"/>
      <c r="N139" s="276"/>
      <c r="O139" s="276"/>
      <c r="P139" s="276"/>
      <c r="Q139" s="276"/>
      <c r="R139" s="276"/>
      <c r="S139" s="276"/>
      <c r="T139" s="66"/>
    </row>
    <row r="140" spans="1:20" ht="15.75">
      <c r="A140" s="276"/>
      <c r="B140" s="276"/>
      <c r="C140" s="276"/>
      <c r="D140" s="276"/>
      <c r="E140" s="276"/>
      <c r="F140" s="276"/>
      <c r="G140" s="276"/>
      <c r="H140" s="276"/>
      <c r="I140" s="276"/>
      <c r="J140" s="276"/>
      <c r="K140" s="276"/>
      <c r="L140" s="276"/>
      <c r="M140" s="276"/>
      <c r="N140" s="276"/>
      <c r="O140" s="276"/>
      <c r="P140" s="276"/>
      <c r="Q140" s="276"/>
      <c r="R140" s="276"/>
      <c r="S140" s="276"/>
      <c r="T140" s="66"/>
    </row>
    <row r="141" spans="1:20" ht="15.75">
      <c r="A141" s="276"/>
      <c r="B141" s="276"/>
      <c r="C141" s="276"/>
      <c r="D141" s="276"/>
      <c r="E141" s="276"/>
      <c r="F141" s="276"/>
      <c r="G141" s="276"/>
      <c r="H141" s="276"/>
      <c r="I141" s="276"/>
      <c r="J141" s="276"/>
      <c r="K141" s="276"/>
      <c r="L141" s="276"/>
      <c r="M141" s="276"/>
      <c r="N141" s="276"/>
      <c r="O141" s="276"/>
      <c r="P141" s="276"/>
      <c r="Q141" s="276"/>
      <c r="R141" s="276"/>
      <c r="S141" s="276"/>
      <c r="T141" s="66"/>
    </row>
    <row r="142" spans="1:20" ht="15.75">
      <c r="A142" s="276"/>
      <c r="B142" s="276"/>
      <c r="C142" s="276"/>
      <c r="D142" s="276"/>
      <c r="E142" s="276"/>
      <c r="F142" s="276"/>
      <c r="G142" s="276"/>
      <c r="H142" s="276"/>
      <c r="I142" s="276"/>
      <c r="J142" s="276"/>
      <c r="K142" s="276"/>
      <c r="L142" s="276"/>
      <c r="M142" s="276"/>
      <c r="N142" s="276"/>
      <c r="O142" s="276"/>
      <c r="P142" s="276"/>
      <c r="Q142" s="276"/>
      <c r="R142" s="276"/>
      <c r="S142" s="276"/>
      <c r="T142" s="66"/>
    </row>
    <row r="143" spans="1:20" ht="15.75">
      <c r="A143" s="276"/>
      <c r="B143" s="276"/>
      <c r="C143" s="276"/>
      <c r="D143" s="276"/>
      <c r="E143" s="276"/>
      <c r="F143" s="276"/>
      <c r="G143" s="276"/>
      <c r="H143" s="276"/>
      <c r="I143" s="276"/>
      <c r="J143" s="276"/>
      <c r="K143" s="276"/>
      <c r="L143" s="276"/>
      <c r="M143" s="276"/>
      <c r="N143" s="276"/>
      <c r="O143" s="276"/>
      <c r="P143" s="276"/>
      <c r="Q143" s="276"/>
      <c r="R143" s="276"/>
      <c r="S143" s="276"/>
      <c r="T143" s="66"/>
    </row>
    <row r="144" spans="1:20" ht="15.75">
      <c r="A144" s="276"/>
      <c r="B144" s="276"/>
      <c r="C144" s="276"/>
      <c r="D144" s="276"/>
      <c r="E144" s="276"/>
      <c r="F144" s="276"/>
      <c r="G144" s="276"/>
      <c r="H144" s="276"/>
      <c r="I144" s="276"/>
      <c r="J144" s="276"/>
      <c r="K144" s="276"/>
      <c r="L144" s="276"/>
      <c r="M144" s="276"/>
      <c r="N144" s="276"/>
      <c r="O144" s="276"/>
      <c r="P144" s="276"/>
      <c r="Q144" s="276"/>
      <c r="R144" s="276"/>
      <c r="S144" s="276"/>
      <c r="T144" s="66"/>
    </row>
    <row r="145" spans="1:20" ht="15.75">
      <c r="A145" s="276"/>
      <c r="B145" s="276"/>
      <c r="C145" s="276"/>
      <c r="D145" s="276"/>
      <c r="E145" s="276"/>
      <c r="F145" s="276"/>
      <c r="G145" s="276"/>
      <c r="H145" s="276"/>
      <c r="I145" s="276"/>
      <c r="J145" s="276"/>
      <c r="K145" s="276"/>
      <c r="L145" s="276"/>
      <c r="M145" s="276"/>
      <c r="N145" s="276"/>
      <c r="O145" s="276"/>
      <c r="P145" s="276"/>
      <c r="Q145" s="276"/>
      <c r="R145" s="276"/>
      <c r="S145" s="276"/>
      <c r="T145" s="66"/>
    </row>
    <row r="146" spans="1:20" ht="15.75">
      <c r="A146" s="276"/>
      <c r="B146" s="276"/>
      <c r="C146" s="276"/>
      <c r="D146" s="276"/>
      <c r="E146" s="276"/>
      <c r="F146" s="276"/>
      <c r="G146" s="276"/>
      <c r="H146" s="276"/>
      <c r="I146" s="276"/>
      <c r="J146" s="276"/>
      <c r="K146" s="276"/>
      <c r="L146" s="276"/>
      <c r="M146" s="276"/>
      <c r="N146" s="276"/>
      <c r="O146" s="276"/>
      <c r="P146" s="276"/>
      <c r="Q146" s="276"/>
      <c r="R146" s="276"/>
      <c r="S146" s="276"/>
      <c r="T146" s="66"/>
    </row>
    <row r="147" spans="1:20" ht="15.75">
      <c r="A147" s="276"/>
      <c r="B147" s="276"/>
      <c r="C147" s="276"/>
      <c r="D147" s="276"/>
      <c r="E147" s="276"/>
      <c r="F147" s="276"/>
      <c r="G147" s="276"/>
      <c r="H147" s="276"/>
      <c r="I147" s="276"/>
      <c r="J147" s="276"/>
      <c r="K147" s="276"/>
      <c r="L147" s="276"/>
      <c r="M147" s="276"/>
      <c r="N147" s="276"/>
      <c r="O147" s="276"/>
      <c r="P147" s="276"/>
      <c r="Q147" s="276"/>
      <c r="R147" s="276"/>
      <c r="S147" s="276"/>
      <c r="T147" s="66"/>
    </row>
    <row r="148" spans="1:20" ht="15.75">
      <c r="A148" s="276"/>
      <c r="B148" s="276"/>
      <c r="C148" s="276"/>
      <c r="D148" s="276"/>
      <c r="E148" s="276"/>
      <c r="F148" s="276"/>
      <c r="G148" s="276"/>
      <c r="H148" s="276"/>
      <c r="I148" s="276"/>
      <c r="J148" s="276"/>
      <c r="K148" s="276"/>
      <c r="L148" s="276"/>
      <c r="M148" s="276"/>
      <c r="N148" s="276"/>
      <c r="O148" s="276"/>
      <c r="P148" s="276"/>
      <c r="Q148" s="276"/>
      <c r="R148" s="276"/>
      <c r="S148" s="276"/>
      <c r="T148" s="66"/>
    </row>
    <row r="149" spans="1:20" ht="15.75">
      <c r="A149" s="276"/>
      <c r="B149" s="276"/>
      <c r="C149" s="276"/>
      <c r="D149" s="276"/>
      <c r="E149" s="276"/>
      <c r="F149" s="276"/>
      <c r="G149" s="276"/>
      <c r="H149" s="276"/>
      <c r="I149" s="276"/>
      <c r="J149" s="276"/>
      <c r="K149" s="276"/>
      <c r="L149" s="276"/>
      <c r="M149" s="276"/>
      <c r="N149" s="276"/>
      <c r="O149" s="276"/>
      <c r="P149" s="276"/>
      <c r="Q149" s="276"/>
      <c r="R149" s="276"/>
      <c r="S149" s="276"/>
      <c r="T149" s="66"/>
    </row>
    <row r="150" spans="1:20" ht="15.75">
      <c r="A150" s="276"/>
      <c r="B150" s="276"/>
      <c r="C150" s="276"/>
      <c r="D150" s="276"/>
      <c r="E150" s="276"/>
      <c r="F150" s="276"/>
      <c r="G150" s="276"/>
      <c r="H150" s="276"/>
      <c r="I150" s="276"/>
      <c r="J150" s="276"/>
      <c r="K150" s="276"/>
      <c r="L150" s="276"/>
      <c r="M150" s="276"/>
      <c r="N150" s="276"/>
      <c r="O150" s="276"/>
      <c r="P150" s="276"/>
      <c r="Q150" s="276"/>
      <c r="R150" s="276"/>
      <c r="S150" s="276"/>
      <c r="T150" s="66"/>
    </row>
    <row r="151" spans="1:20" ht="15.75">
      <c r="A151" s="276"/>
      <c r="B151" s="276"/>
      <c r="C151" s="276"/>
      <c r="D151" s="276"/>
      <c r="E151" s="276"/>
      <c r="F151" s="276"/>
      <c r="G151" s="276"/>
      <c r="H151" s="276"/>
      <c r="I151" s="276"/>
      <c r="J151" s="276"/>
      <c r="K151" s="276"/>
      <c r="L151" s="276"/>
      <c r="M151" s="276"/>
      <c r="N151" s="276"/>
      <c r="O151" s="276"/>
      <c r="P151" s="276"/>
      <c r="Q151" s="276"/>
      <c r="R151" s="276"/>
      <c r="S151" s="276"/>
      <c r="T151" s="66"/>
    </row>
    <row r="152" spans="1:20" ht="15.75">
      <c r="A152" s="276"/>
      <c r="B152" s="276"/>
      <c r="C152" s="276"/>
      <c r="D152" s="276"/>
      <c r="E152" s="276"/>
      <c r="F152" s="276"/>
      <c r="G152" s="276"/>
      <c r="H152" s="276"/>
      <c r="I152" s="276"/>
      <c r="J152" s="276"/>
      <c r="K152" s="276"/>
      <c r="L152" s="276"/>
      <c r="M152" s="276"/>
      <c r="N152" s="276"/>
      <c r="O152" s="276"/>
      <c r="P152" s="276"/>
      <c r="Q152" s="276"/>
      <c r="R152" s="276"/>
      <c r="S152" s="276"/>
      <c r="T152" s="66"/>
    </row>
    <row r="153" spans="1:20" ht="15.75">
      <c r="A153" s="276"/>
      <c r="B153" s="276"/>
      <c r="C153" s="276"/>
      <c r="D153" s="276"/>
      <c r="E153" s="276"/>
      <c r="F153" s="276"/>
      <c r="G153" s="276"/>
      <c r="H153" s="276"/>
      <c r="I153" s="276"/>
      <c r="J153" s="276"/>
      <c r="K153" s="276"/>
      <c r="L153" s="276"/>
      <c r="M153" s="276"/>
      <c r="N153" s="276"/>
      <c r="O153" s="276"/>
      <c r="P153" s="276"/>
      <c r="Q153" s="276"/>
      <c r="R153" s="276"/>
      <c r="S153" s="276"/>
      <c r="T153" s="66"/>
    </row>
    <row r="154" spans="1:20" ht="15.75">
      <c r="A154" s="276"/>
      <c r="B154" s="276"/>
      <c r="C154" s="276"/>
      <c r="D154" s="276"/>
      <c r="E154" s="276"/>
      <c r="F154" s="276"/>
      <c r="G154" s="276"/>
      <c r="H154" s="276"/>
      <c r="I154" s="276"/>
      <c r="J154" s="276"/>
      <c r="K154" s="276"/>
      <c r="L154" s="276"/>
      <c r="M154" s="276"/>
      <c r="N154" s="276"/>
      <c r="O154" s="276"/>
      <c r="P154" s="276"/>
      <c r="Q154" s="276"/>
      <c r="R154" s="276"/>
      <c r="S154" s="276"/>
      <c r="T154" s="66"/>
    </row>
    <row r="155" spans="1:20" ht="15.75">
      <c r="A155" s="276"/>
      <c r="B155" s="276"/>
      <c r="C155" s="276"/>
      <c r="D155" s="276"/>
      <c r="E155" s="276"/>
      <c r="F155" s="276"/>
      <c r="G155" s="276"/>
      <c r="H155" s="276"/>
      <c r="I155" s="276"/>
      <c r="J155" s="276"/>
      <c r="K155" s="276"/>
      <c r="L155" s="276"/>
      <c r="M155" s="276"/>
      <c r="N155" s="276"/>
      <c r="O155" s="276"/>
      <c r="P155" s="276"/>
      <c r="Q155" s="276"/>
      <c r="R155" s="276"/>
      <c r="S155" s="276"/>
      <c r="T155" s="66"/>
    </row>
    <row r="156" spans="1:20" ht="15.75">
      <c r="A156" s="276"/>
      <c r="B156" s="276"/>
      <c r="C156" s="276"/>
      <c r="D156" s="276"/>
      <c r="E156" s="276"/>
      <c r="F156" s="276"/>
      <c r="G156" s="276"/>
      <c r="H156" s="276"/>
      <c r="I156" s="276"/>
      <c r="J156" s="276"/>
      <c r="K156" s="276"/>
      <c r="L156" s="276"/>
      <c r="M156" s="276"/>
      <c r="N156" s="276"/>
      <c r="O156" s="276"/>
      <c r="P156" s="276"/>
      <c r="Q156" s="276"/>
      <c r="R156" s="276"/>
      <c r="S156" s="276"/>
      <c r="T156" s="66"/>
    </row>
    <row r="157" spans="1:20" ht="15.75">
      <c r="A157" s="276"/>
      <c r="B157" s="276"/>
      <c r="C157" s="276"/>
      <c r="D157" s="276"/>
      <c r="E157" s="276"/>
      <c r="F157" s="276"/>
      <c r="G157" s="276"/>
      <c r="H157" s="276"/>
      <c r="I157" s="276"/>
      <c r="J157" s="276"/>
      <c r="K157" s="276"/>
      <c r="L157" s="276"/>
      <c r="M157" s="276"/>
      <c r="N157" s="276"/>
      <c r="O157" s="276"/>
      <c r="P157" s="276"/>
      <c r="Q157" s="276"/>
      <c r="R157" s="276"/>
      <c r="S157" s="276"/>
      <c r="T157" s="66"/>
    </row>
    <row r="158" spans="1:20" ht="15.75">
      <c r="A158" s="276"/>
      <c r="B158" s="276"/>
      <c r="C158" s="276"/>
      <c r="D158" s="276"/>
      <c r="E158" s="276"/>
      <c r="F158" s="276"/>
      <c r="G158" s="276"/>
      <c r="H158" s="276"/>
      <c r="I158" s="276"/>
      <c r="J158" s="276"/>
      <c r="K158" s="276"/>
      <c r="L158" s="276"/>
      <c r="M158" s="276"/>
      <c r="N158" s="276"/>
      <c r="O158" s="276"/>
      <c r="P158" s="276"/>
      <c r="Q158" s="276"/>
      <c r="R158" s="276"/>
      <c r="S158" s="276"/>
      <c r="T158" s="66"/>
    </row>
    <row r="159" spans="1:20" ht="15.75">
      <c r="A159" s="276"/>
      <c r="B159" s="276"/>
      <c r="C159" s="276"/>
      <c r="D159" s="276"/>
      <c r="E159" s="276"/>
      <c r="F159" s="276"/>
      <c r="G159" s="276"/>
      <c r="H159" s="276"/>
      <c r="I159" s="276"/>
      <c r="J159" s="276"/>
      <c r="K159" s="276"/>
      <c r="L159" s="276"/>
      <c r="M159" s="276"/>
      <c r="N159" s="276"/>
      <c r="O159" s="276"/>
      <c r="P159" s="276"/>
      <c r="Q159" s="276"/>
      <c r="R159" s="276"/>
      <c r="S159" s="276"/>
      <c r="T159" s="66"/>
    </row>
    <row r="160" spans="1:20" ht="15.75">
      <c r="A160" s="276"/>
      <c r="B160" s="276"/>
      <c r="C160" s="276"/>
      <c r="D160" s="276"/>
      <c r="E160" s="276"/>
      <c r="F160" s="276"/>
      <c r="G160" s="276"/>
      <c r="H160" s="276"/>
      <c r="I160" s="276"/>
      <c r="J160" s="276"/>
      <c r="K160" s="276"/>
      <c r="L160" s="276"/>
      <c r="M160" s="276"/>
      <c r="N160" s="276"/>
      <c r="O160" s="276"/>
      <c r="P160" s="276"/>
      <c r="Q160" s="276"/>
      <c r="R160" s="276"/>
      <c r="S160" s="276"/>
      <c r="T160" s="66"/>
    </row>
    <row r="161" spans="1:20" ht="15.75">
      <c r="A161" s="276"/>
      <c r="B161" s="276"/>
      <c r="C161" s="276"/>
      <c r="D161" s="276"/>
      <c r="E161" s="276"/>
      <c r="F161" s="276"/>
      <c r="G161" s="276"/>
      <c r="H161" s="276"/>
      <c r="I161" s="276"/>
      <c r="J161" s="276"/>
      <c r="K161" s="276"/>
      <c r="L161" s="276"/>
      <c r="M161" s="276"/>
      <c r="N161" s="276"/>
      <c r="O161" s="276"/>
      <c r="P161" s="276"/>
      <c r="Q161" s="276"/>
      <c r="R161" s="276"/>
      <c r="S161" s="276"/>
      <c r="T161" s="66"/>
    </row>
    <row r="162" spans="1:20" ht="15.75">
      <c r="A162" s="276"/>
      <c r="B162" s="276"/>
      <c r="C162" s="276"/>
      <c r="D162" s="276"/>
      <c r="E162" s="276"/>
      <c r="F162" s="276"/>
      <c r="G162" s="276"/>
      <c r="H162" s="276"/>
      <c r="I162" s="276"/>
      <c r="J162" s="276"/>
      <c r="K162" s="276"/>
      <c r="L162" s="276"/>
      <c r="M162" s="276"/>
      <c r="N162" s="276"/>
      <c r="O162" s="276"/>
      <c r="P162" s="276"/>
      <c r="Q162" s="276"/>
      <c r="R162" s="276"/>
      <c r="S162" s="276"/>
      <c r="T162" s="66"/>
    </row>
    <row r="163" spans="1:20" ht="15.75">
      <c r="A163" s="276"/>
      <c r="B163" s="276"/>
      <c r="C163" s="276"/>
      <c r="D163" s="276"/>
      <c r="E163" s="276"/>
      <c r="F163" s="276"/>
      <c r="G163" s="276"/>
      <c r="H163" s="276"/>
      <c r="I163" s="276"/>
      <c r="J163" s="276"/>
      <c r="K163" s="276"/>
      <c r="L163" s="276"/>
      <c r="M163" s="276"/>
      <c r="N163" s="276"/>
      <c r="O163" s="276"/>
      <c r="P163" s="276"/>
      <c r="Q163" s="276"/>
      <c r="R163" s="276"/>
      <c r="S163" s="276"/>
      <c r="T163" s="66"/>
    </row>
    <row r="164" spans="1:20" ht="15.75">
      <c r="A164" s="276"/>
      <c r="B164" s="276"/>
      <c r="C164" s="276"/>
      <c r="D164" s="276"/>
      <c r="E164" s="276"/>
      <c r="F164" s="276"/>
      <c r="G164" s="276"/>
      <c r="H164" s="276"/>
      <c r="I164" s="276"/>
      <c r="J164" s="276"/>
      <c r="K164" s="276"/>
      <c r="L164" s="276"/>
      <c r="M164" s="276"/>
      <c r="N164" s="276"/>
      <c r="O164" s="276"/>
      <c r="P164" s="276"/>
      <c r="Q164" s="276"/>
      <c r="R164" s="276"/>
      <c r="S164" s="276"/>
      <c r="T164" s="66"/>
    </row>
    <row r="165" spans="1:20" ht="15.75">
      <c r="A165" s="276"/>
      <c r="B165" s="276"/>
      <c r="C165" s="276"/>
      <c r="D165" s="276"/>
      <c r="E165" s="276"/>
      <c r="F165" s="276"/>
      <c r="G165" s="276"/>
      <c r="H165" s="276"/>
      <c r="I165" s="276"/>
      <c r="J165" s="276"/>
      <c r="K165" s="276"/>
      <c r="L165" s="276"/>
      <c r="M165" s="276"/>
      <c r="N165" s="276"/>
      <c r="O165" s="276"/>
      <c r="P165" s="276"/>
      <c r="Q165" s="276"/>
      <c r="R165" s="276"/>
      <c r="S165" s="276"/>
      <c r="T165" s="66"/>
    </row>
    <row r="166" spans="1:20" ht="15.75">
      <c r="A166" s="276"/>
      <c r="B166" s="276"/>
      <c r="C166" s="276"/>
      <c r="D166" s="276"/>
      <c r="E166" s="276"/>
      <c r="F166" s="276"/>
      <c r="G166" s="276"/>
      <c r="H166" s="276"/>
      <c r="I166" s="276"/>
      <c r="J166" s="276"/>
      <c r="K166" s="276"/>
      <c r="L166" s="276"/>
      <c r="M166" s="276"/>
      <c r="N166" s="276"/>
      <c r="O166" s="276"/>
      <c r="P166" s="276"/>
      <c r="Q166" s="276"/>
      <c r="R166" s="276"/>
      <c r="S166" s="276"/>
      <c r="T166" s="66"/>
    </row>
    <row r="167" spans="1:20" ht="15.75">
      <c r="A167" s="276"/>
      <c r="B167" s="276"/>
      <c r="C167" s="276"/>
      <c r="D167" s="276"/>
      <c r="E167" s="276"/>
      <c r="F167" s="276"/>
      <c r="G167" s="276"/>
      <c r="H167" s="276"/>
      <c r="I167" s="276"/>
      <c r="J167" s="276"/>
      <c r="K167" s="276"/>
      <c r="L167" s="276"/>
      <c r="M167" s="276"/>
      <c r="N167" s="276"/>
      <c r="O167" s="276"/>
      <c r="P167" s="276"/>
      <c r="Q167" s="276"/>
      <c r="R167" s="276"/>
      <c r="S167" s="276"/>
      <c r="T167" s="66"/>
    </row>
    <row r="168" spans="1:20" ht="15.75">
      <c r="A168" s="276"/>
      <c r="B168" s="276"/>
      <c r="C168" s="276"/>
      <c r="D168" s="276"/>
      <c r="E168" s="276"/>
      <c r="F168" s="276"/>
      <c r="G168" s="276"/>
      <c r="H168" s="276"/>
      <c r="I168" s="276"/>
      <c r="J168" s="276"/>
      <c r="K168" s="276"/>
      <c r="L168" s="276"/>
      <c r="M168" s="276"/>
      <c r="N168" s="276"/>
      <c r="O168" s="276"/>
      <c r="P168" s="276"/>
      <c r="Q168" s="276"/>
      <c r="R168" s="276"/>
      <c r="S168" s="276"/>
      <c r="T168" s="66"/>
    </row>
    <row r="169" spans="1:20" ht="15.75">
      <c r="A169" s="276"/>
      <c r="B169" s="276"/>
      <c r="C169" s="276"/>
      <c r="D169" s="276"/>
      <c r="E169" s="276"/>
      <c r="F169" s="276"/>
      <c r="G169" s="276"/>
      <c r="H169" s="276"/>
      <c r="I169" s="276"/>
      <c r="J169" s="276"/>
      <c r="K169" s="276"/>
      <c r="L169" s="276"/>
      <c r="M169" s="276"/>
      <c r="N169" s="276"/>
      <c r="O169" s="276"/>
      <c r="P169" s="276"/>
      <c r="Q169" s="276"/>
      <c r="R169" s="276"/>
      <c r="S169" s="276"/>
      <c r="T169" s="66"/>
    </row>
    <row r="170" spans="1:20" ht="15.75">
      <c r="A170" s="276"/>
      <c r="B170" s="276"/>
      <c r="C170" s="276"/>
      <c r="D170" s="276"/>
      <c r="E170" s="276"/>
      <c r="F170" s="276"/>
      <c r="G170" s="276"/>
      <c r="H170" s="276"/>
      <c r="I170" s="276"/>
      <c r="J170" s="276"/>
      <c r="K170" s="276"/>
      <c r="L170" s="276"/>
      <c r="M170" s="276"/>
      <c r="N170" s="276"/>
      <c r="O170" s="276"/>
      <c r="P170" s="276"/>
      <c r="Q170" s="276"/>
      <c r="R170" s="276"/>
      <c r="S170" s="276"/>
      <c r="T170" s="66"/>
    </row>
    <row r="171" spans="1:20" ht="15.75">
      <c r="A171" s="276"/>
      <c r="B171" s="276"/>
      <c r="C171" s="276"/>
      <c r="D171" s="276"/>
      <c r="E171" s="276"/>
      <c r="F171" s="276"/>
      <c r="G171" s="276"/>
      <c r="H171" s="276"/>
      <c r="I171" s="276"/>
      <c r="J171" s="276"/>
      <c r="K171" s="276"/>
      <c r="L171" s="276"/>
      <c r="M171" s="276"/>
      <c r="N171" s="276"/>
      <c r="O171" s="276"/>
      <c r="P171" s="276"/>
      <c r="Q171" s="276"/>
      <c r="R171" s="276"/>
      <c r="S171" s="276"/>
      <c r="T171" s="66"/>
    </row>
    <row r="172" spans="1:20" ht="15.75">
      <c r="A172" s="276"/>
      <c r="B172" s="276"/>
      <c r="C172" s="276"/>
      <c r="D172" s="276"/>
      <c r="E172" s="276"/>
      <c r="F172" s="276"/>
      <c r="G172" s="276"/>
      <c r="H172" s="276"/>
      <c r="I172" s="276"/>
      <c r="J172" s="276"/>
      <c r="K172" s="276"/>
      <c r="L172" s="276"/>
      <c r="M172" s="276"/>
      <c r="N172" s="276"/>
      <c r="O172" s="276"/>
      <c r="P172" s="276"/>
      <c r="Q172" s="276"/>
      <c r="R172" s="276"/>
      <c r="S172" s="276"/>
      <c r="T172" s="66"/>
    </row>
    <row r="173" spans="1:20" ht="15.75">
      <c r="A173" s="276"/>
      <c r="B173" s="276"/>
      <c r="C173" s="276"/>
      <c r="D173" s="276"/>
      <c r="E173" s="276"/>
      <c r="F173" s="276"/>
      <c r="G173" s="276"/>
      <c r="H173" s="276"/>
      <c r="I173" s="276"/>
      <c r="J173" s="276"/>
      <c r="K173" s="276"/>
      <c r="L173" s="276"/>
      <c r="M173" s="276"/>
      <c r="N173" s="276"/>
      <c r="O173" s="276"/>
      <c r="P173" s="276"/>
      <c r="Q173" s="276"/>
      <c r="R173" s="276"/>
      <c r="S173" s="276"/>
      <c r="T173" s="66"/>
    </row>
    <row r="174" spans="1:20" ht="15.75">
      <c r="A174" s="276"/>
      <c r="B174" s="276"/>
      <c r="C174" s="276"/>
      <c r="D174" s="276"/>
      <c r="E174" s="276"/>
      <c r="F174" s="276"/>
      <c r="G174" s="276"/>
      <c r="H174" s="276"/>
      <c r="I174" s="276"/>
      <c r="J174" s="276"/>
      <c r="K174" s="276"/>
      <c r="L174" s="276"/>
      <c r="M174" s="276"/>
      <c r="N174" s="276"/>
      <c r="O174" s="276"/>
      <c r="P174" s="276"/>
      <c r="Q174" s="276"/>
      <c r="R174" s="276"/>
      <c r="S174" s="276"/>
      <c r="T174" s="66"/>
    </row>
    <row r="175" spans="1:20" ht="15.75">
      <c r="A175" s="276"/>
      <c r="B175" s="276"/>
      <c r="C175" s="276"/>
      <c r="D175" s="276"/>
      <c r="E175" s="276"/>
      <c r="F175" s="276"/>
      <c r="G175" s="276"/>
      <c r="H175" s="276"/>
      <c r="I175" s="276"/>
      <c r="J175" s="276"/>
      <c r="K175" s="276"/>
      <c r="L175" s="276"/>
      <c r="M175" s="276"/>
      <c r="N175" s="276"/>
      <c r="O175" s="276"/>
      <c r="P175" s="276"/>
      <c r="Q175" s="276"/>
      <c r="R175" s="276"/>
      <c r="S175" s="276"/>
      <c r="T175" s="66"/>
    </row>
    <row r="176" spans="1:20" ht="15.75">
      <c r="A176" s="276"/>
      <c r="B176" s="276"/>
      <c r="C176" s="276"/>
      <c r="D176" s="276"/>
      <c r="E176" s="276"/>
      <c r="F176" s="276"/>
      <c r="G176" s="276"/>
      <c r="H176" s="276"/>
      <c r="I176" s="276"/>
      <c r="J176" s="276"/>
      <c r="K176" s="276"/>
      <c r="L176" s="276"/>
      <c r="M176" s="276"/>
      <c r="N176" s="276"/>
      <c r="O176" s="276"/>
      <c r="P176" s="276"/>
      <c r="Q176" s="276"/>
      <c r="R176" s="276"/>
      <c r="S176" s="276"/>
      <c r="T176" s="66"/>
    </row>
    <row r="177" spans="1:20" ht="15.75">
      <c r="A177" s="276"/>
      <c r="B177" s="276"/>
      <c r="C177" s="276"/>
      <c r="D177" s="276"/>
      <c r="E177" s="276"/>
      <c r="F177" s="276"/>
      <c r="G177" s="276"/>
      <c r="H177" s="276"/>
      <c r="I177" s="276"/>
      <c r="J177" s="276"/>
      <c r="K177" s="276"/>
      <c r="L177" s="276"/>
      <c r="M177" s="276"/>
      <c r="N177" s="276"/>
      <c r="O177" s="276"/>
      <c r="P177" s="276"/>
      <c r="Q177" s="276"/>
      <c r="R177" s="276"/>
      <c r="S177" s="276"/>
      <c r="T177" s="66"/>
    </row>
    <row r="178" spans="1:20" ht="15.75">
      <c r="A178" s="276"/>
      <c r="B178" s="276"/>
      <c r="C178" s="276"/>
      <c r="D178" s="276"/>
      <c r="E178" s="276"/>
      <c r="F178" s="276"/>
      <c r="G178" s="276"/>
      <c r="H178" s="276"/>
      <c r="I178" s="276"/>
      <c r="J178" s="276"/>
      <c r="K178" s="276"/>
      <c r="L178" s="276"/>
      <c r="M178" s="276"/>
      <c r="N178" s="276"/>
      <c r="O178" s="276"/>
      <c r="P178" s="276"/>
      <c r="Q178" s="276"/>
      <c r="R178" s="276"/>
      <c r="S178" s="276"/>
      <c r="T178" s="66"/>
    </row>
    <row r="179" spans="1:20" ht="15.75">
      <c r="A179" s="276"/>
      <c r="B179" s="276"/>
      <c r="C179" s="276"/>
      <c r="D179" s="276"/>
      <c r="E179" s="276"/>
      <c r="F179" s="276"/>
      <c r="G179" s="276"/>
      <c r="H179" s="276"/>
      <c r="I179" s="276"/>
      <c r="J179" s="276"/>
      <c r="K179" s="276"/>
      <c r="L179" s="276"/>
      <c r="M179" s="276"/>
      <c r="N179" s="276"/>
      <c r="O179" s="276"/>
      <c r="P179" s="276"/>
      <c r="Q179" s="276"/>
      <c r="R179" s="276"/>
      <c r="S179" s="276"/>
      <c r="T179" s="66"/>
    </row>
    <row r="180" spans="1:20">
      <c r="A180" s="66"/>
      <c r="B180" s="66"/>
      <c r="C180" s="66"/>
      <c r="D180" s="66"/>
      <c r="E180" s="66"/>
      <c r="F180" s="66"/>
      <c r="G180" s="66"/>
      <c r="H180" s="66"/>
      <c r="I180" s="66"/>
      <c r="J180" s="66"/>
      <c r="K180" s="66"/>
      <c r="L180" s="66"/>
      <c r="M180" s="66"/>
      <c r="N180" s="66"/>
      <c r="O180" s="66"/>
      <c r="P180" s="66"/>
      <c r="Q180" s="66"/>
      <c r="R180" s="66"/>
      <c r="S180" s="66"/>
      <c r="T180" s="66"/>
    </row>
  </sheetData>
  <pageMargins left="0.7" right="0.7" top="0.75" bottom="0.75" header="0.3" footer="0.3"/>
  <pageSetup orientation="portrait" r:id="rId1"/>
  <rowBreaks count="1" manualBreakCount="1">
    <brk id="41"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F7308CACE90D94BB24F0060012C480B" ma:contentTypeVersion="44" ma:contentTypeDescription="" ma:contentTypeScope="" ma:versionID="598123c17becaa1711d6d6d02123a12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2021-08-16T07:00:00+00:00</OpenedDate>
    <SignificantOrder xmlns="dc463f71-b30c-4ab2-9473-d307f9d35888">false</SignificantOrder>
    <Date1 xmlns="dc463f71-b30c-4ab2-9473-d307f9d35888">2021-08-16T07:00:00+00:00</Date1>
    <IsDocumentOrder xmlns="dc463f71-b30c-4ab2-9473-d307f9d35888">false</IsDocumentOrder>
    <IsHighlyConfidential xmlns="dc463f71-b30c-4ab2-9473-d307f9d35888">false</IsHighlyConfidential>
    <CaseCompanyNames xmlns="dc463f71-b30c-4ab2-9473-d307f9d35888">Rubatino Refuse Removal Inc.  </CaseCompanyNames>
    <Nickname xmlns="http://schemas.microsoft.com/sharepoint/v3" xsi:nil="true"/>
    <DocketNumber xmlns="dc463f71-b30c-4ab2-9473-d307f9d35888">210647</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FA53F965-F9DF-441D-9A5A-BC83D0FDF870}"/>
</file>

<file path=customXml/itemProps2.xml><?xml version="1.0" encoding="utf-8"?>
<ds:datastoreItem xmlns:ds="http://schemas.openxmlformats.org/officeDocument/2006/customXml" ds:itemID="{A42A39CC-6F5D-4FA8-A287-326EC7D294DC}">
  <ds:schemaRefs>
    <ds:schemaRef ds:uri="http://schemas.microsoft.com/sharepoint/v3/contenttype/forms"/>
  </ds:schemaRefs>
</ds:datastoreItem>
</file>

<file path=customXml/itemProps3.xml><?xml version="1.0" encoding="utf-8"?>
<ds:datastoreItem xmlns:ds="http://schemas.openxmlformats.org/officeDocument/2006/customXml" ds:itemID="{4CDE0132-705A-45A7-9C83-6D371D4D45DE}">
  <ds:schemaRefs>
    <ds:schemaRef ds:uri="http://purl.org/dc/terms/"/>
    <ds:schemaRef ds:uri="94ccb0f8-418e-41dd-ac47-c8b0a5d07e75"/>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54E9D834-C416-4BE0-AE79-0B6896E220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81</vt:i4>
      </vt:variant>
    </vt:vector>
  </HeadingPairs>
  <TitlesOfParts>
    <vt:vector size="120" baseType="lpstr">
      <vt:lpstr>LG Nonpublic Consolidated</vt:lpstr>
      <vt:lpstr>LG Nonpublic Refuse</vt:lpstr>
      <vt:lpstr>LG Nonpublic Recycling</vt:lpstr>
      <vt:lpstr>LG Nonpublic Yardwaste</vt:lpstr>
      <vt:lpstr>Balance Sheet</vt:lpstr>
      <vt:lpstr>12 Month P&amp;L</vt:lpstr>
      <vt:lpstr>Pro Forma</vt:lpstr>
      <vt:lpstr>Restating Entries</vt:lpstr>
      <vt:lpstr>Restating Entries Explanation</vt:lpstr>
      <vt:lpstr>Pro Forma Entries</vt:lpstr>
      <vt:lpstr>Pro Forma Entries Explanation</vt:lpstr>
      <vt:lpstr>Allocations</vt:lpstr>
      <vt:lpstr>Customers</vt:lpstr>
      <vt:lpstr>Regulatory Depreciation</vt:lpstr>
      <vt:lpstr>Disposal Cost</vt:lpstr>
      <vt:lpstr>All Payroll</vt:lpstr>
      <vt:lpstr>Health &amp; Welfare</vt:lpstr>
      <vt:lpstr>Pension Recycle</vt:lpstr>
      <vt:lpstr>Pension Garbage </vt:lpstr>
      <vt:lpstr>Pension Admin</vt:lpstr>
      <vt:lpstr>Rents</vt:lpstr>
      <vt:lpstr>Dues</vt:lpstr>
      <vt:lpstr>Public Relations</vt:lpstr>
      <vt:lpstr>Truck Miles</vt:lpstr>
      <vt:lpstr>Fuel</vt:lpstr>
      <vt:lpstr>Regulatory Fees</vt:lpstr>
      <vt:lpstr>City of Everett </vt:lpstr>
      <vt:lpstr>Washington B&amp;O</vt:lpstr>
      <vt:lpstr>Res Cust Count</vt:lpstr>
      <vt:lpstr>Comm Cust Count</vt:lpstr>
      <vt:lpstr>M-F Cust Count</vt:lpstr>
      <vt:lpstr>Comm Rec Customer</vt:lpstr>
      <vt:lpstr>Rev Recon</vt:lpstr>
      <vt:lpstr>Insurnance</vt:lpstr>
      <vt:lpstr>Legal &amp; accounting </vt:lpstr>
      <vt:lpstr>Rate Case Costs</vt:lpstr>
      <vt:lpstr>Affiliated TruckCare Historical</vt:lpstr>
      <vt:lpstr>Affiliated TruckCare Current</vt:lpstr>
      <vt:lpstr>Affiliated Reclamation, Inc. </vt:lpstr>
      <vt:lpstr>'LG Nonpublic Consolidated'!Debt_Rate</vt:lpstr>
      <vt:lpstr>'LG Nonpublic Recycling'!Debt_Rate</vt:lpstr>
      <vt:lpstr>'LG Nonpublic Refuse'!Debt_Rate</vt:lpstr>
      <vt:lpstr>'LG Nonpublic Yardwaste'!Debt_Rate</vt:lpstr>
      <vt:lpstr>'LG Nonpublic Consolidated'!debtP</vt:lpstr>
      <vt:lpstr>'LG Nonpublic Recycling'!debtP</vt:lpstr>
      <vt:lpstr>'LG Nonpublic Refuse'!debtP</vt:lpstr>
      <vt:lpstr>'LG Nonpublic Yardwaste'!debtP</vt:lpstr>
      <vt:lpstr>'LG Nonpublic Consolidated'!Equity_percent</vt:lpstr>
      <vt:lpstr>'LG Nonpublic Recycling'!Equity_percent</vt:lpstr>
      <vt:lpstr>'LG Nonpublic Refuse'!Equity_percent</vt:lpstr>
      <vt:lpstr>'LG Nonpublic Yardwaste'!Equity_percent</vt:lpstr>
      <vt:lpstr>'LG Nonpublic Consolidated'!equityP</vt:lpstr>
      <vt:lpstr>'LG Nonpublic Recycling'!equityP</vt:lpstr>
      <vt:lpstr>'LG Nonpublic Refuse'!equityP</vt:lpstr>
      <vt:lpstr>'LG Nonpublic Yardwaste'!equityP</vt:lpstr>
      <vt:lpstr>'LG Nonpublic Consolidated'!expenses</vt:lpstr>
      <vt:lpstr>'LG Nonpublic Recycling'!expenses</vt:lpstr>
      <vt:lpstr>'LG Nonpublic Refuse'!expenses</vt:lpstr>
      <vt:lpstr>'LG Nonpublic Yardwaste'!expenses</vt:lpstr>
      <vt:lpstr>'LG Nonpublic Consolidated'!Investment</vt:lpstr>
      <vt:lpstr>'LG Nonpublic Recycling'!Investment</vt:lpstr>
      <vt:lpstr>'LG Nonpublic Refuse'!Investment</vt:lpstr>
      <vt:lpstr>'LG Nonpublic Yardwaste'!Investment</vt:lpstr>
      <vt:lpstr>'LG Nonpublic Consolidated'!Pfd_weighted</vt:lpstr>
      <vt:lpstr>'LG Nonpublic Recycling'!Pfd_weighted</vt:lpstr>
      <vt:lpstr>'LG Nonpublic Refuse'!Pfd_weighted</vt:lpstr>
      <vt:lpstr>'LG Nonpublic Yardwaste'!Pfd_weighted</vt:lpstr>
      <vt:lpstr>'12 Month P&amp;L'!Print_Area</vt:lpstr>
      <vt:lpstr>'Affiliated TruckCare Historical'!Print_Area</vt:lpstr>
      <vt:lpstr>'All Payroll'!Print_Area</vt:lpstr>
      <vt:lpstr>Allocations!Print_Area</vt:lpstr>
      <vt:lpstr>'LG Nonpublic Consolidated'!Print_Area</vt:lpstr>
      <vt:lpstr>'LG Nonpublic Recycling'!Print_Area</vt:lpstr>
      <vt:lpstr>'LG Nonpublic Refuse'!Print_Area</vt:lpstr>
      <vt:lpstr>'LG Nonpublic Yardwaste'!Print_Area</vt:lpstr>
      <vt:lpstr>'Pro Forma'!Print_Area</vt:lpstr>
      <vt:lpstr>'Public Relations'!Print_Area</vt:lpstr>
      <vt:lpstr>'Regulatory Depreciation'!Print_Area</vt:lpstr>
      <vt:lpstr>'Restating Entries Explanation'!Print_Area</vt:lpstr>
      <vt:lpstr>'Rev Recon'!Print_Area</vt:lpstr>
      <vt:lpstr>'12 Month P&amp;L'!Print_Titles</vt:lpstr>
      <vt:lpstr>'All Payroll'!Print_Titles</vt:lpstr>
      <vt:lpstr>Allocations!Print_Titles</vt:lpstr>
      <vt:lpstr>'Balance Sheet'!Print_Titles</vt:lpstr>
      <vt:lpstr>'Pro Forma'!Print_Titles</vt:lpstr>
      <vt:lpstr>'Public Relations'!Print_Titles</vt:lpstr>
      <vt:lpstr>'Regulatory Depreciation'!Print_Titles</vt:lpstr>
      <vt:lpstr>'Restating Entries Explanation'!Print_Titles</vt:lpstr>
      <vt:lpstr>'LG Nonpublic Consolidated'!regDebt_weighted</vt:lpstr>
      <vt:lpstr>'LG Nonpublic Recycling'!regDebt_weighted</vt:lpstr>
      <vt:lpstr>'LG Nonpublic Refuse'!regDebt_weighted</vt:lpstr>
      <vt:lpstr>'LG Nonpublic Yardwaste'!regDebt_weighted</vt:lpstr>
      <vt:lpstr>'LG Nonpublic Consolidated'!Revenue</vt:lpstr>
      <vt:lpstr>'LG Nonpublic Recycling'!Revenue</vt:lpstr>
      <vt:lpstr>'LG Nonpublic Refuse'!Revenue</vt:lpstr>
      <vt:lpstr>'LG Nonpublic Yardwaste'!Revenue</vt:lpstr>
      <vt:lpstr>'LG Nonpublic Consolidated'!slope</vt:lpstr>
      <vt:lpstr>'LG Nonpublic Recycling'!slope</vt:lpstr>
      <vt:lpstr>'LG Nonpublic Refuse'!slope</vt:lpstr>
      <vt:lpstr>'LG Nonpublic Yardwaste'!slope</vt:lpstr>
      <vt:lpstr>'LG Nonpublic Consolidated'!taxrate</vt:lpstr>
      <vt:lpstr>'LG Nonpublic Recycling'!taxrate</vt:lpstr>
      <vt:lpstr>'LG Nonpublic Refuse'!taxrate</vt:lpstr>
      <vt:lpstr>'LG Nonpublic Yardwaste'!taxrate</vt:lpstr>
      <vt:lpstr>'LG Nonpublic Consolidated'!y_inter1</vt:lpstr>
      <vt:lpstr>'LG Nonpublic Recycling'!y_inter1</vt:lpstr>
      <vt:lpstr>'LG Nonpublic Refuse'!y_inter1</vt:lpstr>
      <vt:lpstr>'LG Nonpublic Yardwaste'!y_inter1</vt:lpstr>
      <vt:lpstr>'LG Nonpublic Consolidated'!y_inter2</vt:lpstr>
      <vt:lpstr>'LG Nonpublic Recycling'!y_inter2</vt:lpstr>
      <vt:lpstr>'LG Nonpublic Refuse'!y_inter2</vt:lpstr>
      <vt:lpstr>'LG Nonpublic Yardwaste'!y_inter2</vt:lpstr>
      <vt:lpstr>'LG Nonpublic Consolidated'!y_inter3</vt:lpstr>
      <vt:lpstr>'LG Nonpublic Recycling'!y_inter3</vt:lpstr>
      <vt:lpstr>'LG Nonpublic Refuse'!y_inter3</vt:lpstr>
      <vt:lpstr>'LG Nonpublic Yardwaste'!y_inter3</vt:lpstr>
      <vt:lpstr>'LG Nonpublic Consolidated'!y_inter4</vt:lpstr>
      <vt:lpstr>'LG Nonpublic Recycling'!y_inter4</vt:lpstr>
      <vt:lpstr>'LG Nonpublic Refuse'!y_inter4</vt:lpstr>
      <vt:lpstr>'LG Nonpublic Yardwaste'!y_inter4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SolidWaste-NonPublic Lurito Gallagher</dc:title>
  <dc:subject/>
  <dc:creator>Information Services</dc:creator>
  <cp:keywords/>
  <dc:description/>
  <cp:lastModifiedBy>Weldon Burton</cp:lastModifiedBy>
  <cp:lastPrinted>2021-08-16T20:38:08Z</cp:lastPrinted>
  <dcterms:created xsi:type="dcterms:W3CDTF">2016-10-12T18:11:03Z</dcterms:created>
  <dcterms:modified xsi:type="dcterms:W3CDTF">2021-08-16T22:21:08Z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0x0101006E56B4D1795A2E4DB2F0B01679ED314A004F7308CACE90D94BB24F0060012C480B</vt:lpwstr>
  </property>
  <property fmtid="{D5CDD505-2E9C-101B-9397-08002B2CF9AE}" pid="3" name="_docset_NoMedatataSyncRequired">
    <vt:lpwstr>False</vt:lpwstr>
  </property>
  <property fmtid="{D5CDD505-2E9C-101B-9397-08002B2CF9AE}" pid="4" name="IsEFSEC">
    <vt:bool>false</vt:bool>
  </property>
</Properties>
</file>