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5486B732-8353-46D5-888F-ECB04D3A001F}" xr6:coauthVersionLast="45" xr6:coauthVersionMax="45" xr10:uidLastSave="{00000000-0000-0000-0000-000000000000}"/>
  <bookViews>
    <workbookView xWindow="29880" yWindow="1605" windowWidth="18120" windowHeight="14205" xr2:uid="{00000000-000D-0000-FFFF-FFFF00000000}"/>
  </bookViews>
  <sheets>
    <sheet name="4 12 21 Forecast Usage by Sched" sheetId="13" r:id="rId1"/>
    <sheet name="Nat Gas 2021 Rate Calc" sheetId="7" r:id="rId2"/>
    <sheet name="Prior Year Amortization" sheetId="14" r:id="rId3"/>
    <sheet name="Earnings Test and 3% Test" sheetId="6" r:id="rId4"/>
    <sheet name="Conversion Factors" sheetId="2" r:id="rId5"/>
    <sheet name="Bill Impact" sheetId="15" r:id="rId6"/>
  </sheets>
  <definedNames>
    <definedName name="_xlnm.Print_Area" localSheetId="4">'Conversion Factors'!$A$1:$F$116</definedName>
    <definedName name="_xlnm.Print_Area" localSheetId="3">'Earnings Test and 3% Test'!$A$1:$G$68</definedName>
    <definedName name="_xlnm.Print_Area" localSheetId="1">'Nat Gas 2021 Rate Calc'!$A$1:$L$88</definedName>
    <definedName name="_xlnm.Print_Area" localSheetId="2">'Prior Year Amortization'!$A$1:$H$37</definedName>
    <definedName name="_xlnm.Print_Titles" localSheetId="3">'Earnings Test and 3% Test'!$1:$4</definedName>
    <definedName name="Z_5C6B1FA1_B621_4699_B8F7_5011E8FF1BCD_.wvu.PrintArea" localSheetId="4" hidden="1">'Conversion Factors'!$A$1:$F$114</definedName>
    <definedName name="Z_5C6B1FA1_B621_4699_B8F7_5011E8FF1BCD_.wvu.PrintArea" localSheetId="3" hidden="1">'Earnings Test and 3% Test'!$B$1:$G$65</definedName>
    <definedName name="Z_5C6B1FA1_B621_4699_B8F7_5011E8FF1BCD_.wvu.PrintArea" localSheetId="1" hidden="1">'Nat Gas 2021 Rate Calc'!$B$1:$K$68</definedName>
    <definedName name="Z_5C6B1FA1_B621_4699_B8F7_5011E8FF1BCD_.wvu.PrintTitles" localSheetId="3" hidden="1">'Earnings Test and 3% Test'!$1:$4</definedName>
    <definedName name="Z_5C6B1FA1_B621_4699_B8F7_5011E8FF1BCD_.wvu.Rows" localSheetId="4" hidden="1">'Conversion Factors'!$1:$88</definedName>
    <definedName name="Z_6A207E9B_31ED_4215_AD4F_ABB2957B65E4_.wvu.PrintArea" localSheetId="4" hidden="1">'Conversion Factors'!$A$1:$F$114</definedName>
    <definedName name="Z_6A207E9B_31ED_4215_AD4F_ABB2957B65E4_.wvu.PrintArea" localSheetId="3" hidden="1">'Earnings Test and 3% Test'!$I$6:$S$48</definedName>
    <definedName name="Z_6A207E9B_31ED_4215_AD4F_ABB2957B65E4_.wvu.PrintArea" localSheetId="1" hidden="1">'Nat Gas 2021 Rate Calc'!$B$1:$K$68</definedName>
    <definedName name="Z_6A207E9B_31ED_4215_AD4F_ABB2957B65E4_.wvu.PrintTitles" localSheetId="3" hidden="1">'Earnings Test and 3% Test'!$1:$4</definedName>
    <definedName name="Z_6A207E9B_31ED_4215_AD4F_ABB2957B65E4_.wvu.Rows" localSheetId="4" hidden="1">'Conversion Factors'!$1:$88</definedName>
  </definedNames>
  <calcPr calcId="191029"/>
  <customWorkbookViews>
    <customWorkbookView name="Earnings Test" guid="{5C6B1FA1-B621-4699-B8F7-5011E8FF1BCD}" maximized="1" xWindow="-9" yWindow="-9" windowWidth="1938" windowHeight="1050" activeSheetId="6"/>
    <customWorkbookView name="Provision Analysis" guid="{6A207E9B-31ED-4215-AD4F-ABB2957B65E4}" maximized="1" xWindow="-9" yWindow="-9" windowWidth="1938" windowHeight="105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6" l="1"/>
  <c r="E58" i="6"/>
  <c r="E20" i="14"/>
  <c r="E19" i="14"/>
  <c r="E18" i="14"/>
  <c r="E14" i="6" l="1"/>
  <c r="C24" i="14" l="1"/>
  <c r="C7" i="14"/>
  <c r="E28" i="6"/>
  <c r="E26" i="6"/>
  <c r="L13" i="15"/>
  <c r="L22" i="15" l="1"/>
  <c r="F22" i="15"/>
  <c r="D22" i="15"/>
  <c r="C26" i="14" l="1"/>
  <c r="G16" i="14" l="1"/>
  <c r="G15" i="14"/>
  <c r="C9" i="14"/>
  <c r="B20" i="14"/>
  <c r="B19" i="14"/>
  <c r="B18" i="14"/>
  <c r="N5" i="13" l="1"/>
  <c r="M5" i="13"/>
  <c r="M6" i="13"/>
  <c r="N6" i="13"/>
  <c r="M7" i="13"/>
  <c r="N7" i="13"/>
  <c r="M8" i="13"/>
  <c r="N8" i="13"/>
  <c r="M9" i="13"/>
  <c r="N9" i="13"/>
  <c r="M10" i="13"/>
  <c r="N10" i="13"/>
  <c r="M11" i="13"/>
  <c r="N11" i="13"/>
  <c r="H24" i="14" l="1"/>
  <c r="G34" i="14"/>
  <c r="G33" i="14"/>
  <c r="G32" i="14"/>
  <c r="J26" i="15"/>
  <c r="D13" i="15" l="1"/>
  <c r="D11" i="15"/>
  <c r="H3" i="7" l="1"/>
  <c r="G18" i="14" l="1"/>
  <c r="E106" i="2" l="1"/>
  <c r="H36" i="14" l="1"/>
  <c r="H37" i="14"/>
  <c r="K9" i="7"/>
  <c r="K10" i="7"/>
  <c r="K11" i="7"/>
  <c r="K12" i="7"/>
  <c r="N12" i="13"/>
  <c r="K13" i="7" s="1"/>
  <c r="N13" i="13"/>
  <c r="K14" i="7" s="1"/>
  <c r="N14" i="13"/>
  <c r="K15" i="7" s="1"/>
  <c r="N15" i="13"/>
  <c r="K16" i="7" s="1"/>
  <c r="N16" i="13"/>
  <c r="K17" i="7" s="1"/>
  <c r="N17" i="13"/>
  <c r="K18" i="7" s="1"/>
  <c r="N18" i="13"/>
  <c r="K19" i="7" s="1"/>
  <c r="N19" i="13"/>
  <c r="K20" i="7" s="1"/>
  <c r="H35" i="14"/>
  <c r="K22" i="7" l="1"/>
  <c r="G28" i="14" l="1"/>
  <c r="G31" i="14"/>
  <c r="G26" i="14"/>
  <c r="D9" i="14"/>
  <c r="B26" i="14"/>
  <c r="B10" i="14"/>
  <c r="B27" i="14" s="1"/>
  <c r="B49" i="7"/>
  <c r="B50" i="7" s="1"/>
  <c r="B51" i="7" s="1"/>
  <c r="B52" i="7" s="1"/>
  <c r="B53" i="7" s="1"/>
  <c r="B54" i="7" s="1"/>
  <c r="B55" i="7" s="1"/>
  <c r="F53" i="7"/>
  <c r="L53" i="7" s="1"/>
  <c r="L52" i="7"/>
  <c r="L49" i="7"/>
  <c r="F50" i="7"/>
  <c r="L50" i="7" s="1"/>
  <c r="B9" i="7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57" i="7" l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F54" i="7"/>
  <c r="F51" i="7"/>
  <c r="L51" i="7" s="1"/>
  <c r="B11" i="14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L54" i="7" l="1"/>
  <c r="F55" i="7"/>
  <c r="B12" i="14"/>
  <c r="B28" i="14"/>
  <c r="J27" i="15"/>
  <c r="J25" i="15"/>
  <c r="M17" i="15"/>
  <c r="M16" i="15"/>
  <c r="F15" i="15"/>
  <c r="F13" i="15"/>
  <c r="F11" i="15"/>
  <c r="F57" i="7" l="1"/>
  <c r="L55" i="7"/>
  <c r="J28" i="15"/>
  <c r="D20" i="15"/>
  <c r="B13" i="14"/>
  <c r="B29" i="14"/>
  <c r="L20" i="15"/>
  <c r="F20" i="15"/>
  <c r="D7" i="7" l="1"/>
  <c r="L57" i="7"/>
  <c r="F58" i="7"/>
  <c r="B14" i="14"/>
  <c r="B30" i="14"/>
  <c r="B15" i="14" l="1"/>
  <c r="F59" i="7"/>
  <c r="L58" i="7"/>
  <c r="B31" i="14"/>
  <c r="B32" i="14" l="1"/>
  <c r="B16" i="14"/>
  <c r="F60" i="7"/>
  <c r="L59" i="7"/>
  <c r="F61" i="7"/>
  <c r="L60" i="7"/>
  <c r="B33" i="14" l="1"/>
  <c r="B17" i="14"/>
  <c r="B34" i="14" s="1"/>
  <c r="L61" i="7"/>
  <c r="F62" i="7"/>
  <c r="J7" i="7"/>
  <c r="F63" i="7" l="1"/>
  <c r="L62" i="7"/>
  <c r="H47" i="7"/>
  <c r="H48" i="7"/>
  <c r="H49" i="7"/>
  <c r="H50" i="7"/>
  <c r="H51" i="7"/>
  <c r="H52" i="7"/>
  <c r="H53" i="7"/>
  <c r="H54" i="7"/>
  <c r="H55" i="7"/>
  <c r="H57" i="7"/>
  <c r="H58" i="7"/>
  <c r="H59" i="7"/>
  <c r="H60" i="7"/>
  <c r="H61" i="7"/>
  <c r="H62" i="7"/>
  <c r="H63" i="7"/>
  <c r="H64" i="7"/>
  <c r="H65" i="7"/>
  <c r="H66" i="7"/>
  <c r="H67" i="7"/>
  <c r="H68" i="7"/>
  <c r="H46" i="7"/>
  <c r="B35" i="14" l="1"/>
  <c r="F64" i="7"/>
  <c r="L63" i="7"/>
  <c r="H43" i="7"/>
  <c r="B37" i="14" l="1"/>
  <c r="B36" i="14"/>
  <c r="F65" i="7"/>
  <c r="L64" i="7"/>
  <c r="D26" i="14"/>
  <c r="F26" i="14" s="1"/>
  <c r="G35" i="14"/>
  <c r="G12" i="14"/>
  <c r="G10" i="14"/>
  <c r="G27" i="14" s="1"/>
  <c r="F9" i="14"/>
  <c r="C10" i="14" s="1"/>
  <c r="H9" i="7"/>
  <c r="H10" i="7"/>
  <c r="H11" i="7"/>
  <c r="H12" i="7"/>
  <c r="H13" i="7"/>
  <c r="H14" i="7"/>
  <c r="H15" i="7"/>
  <c r="H16" i="7"/>
  <c r="H17" i="7"/>
  <c r="H18" i="7"/>
  <c r="H19" i="7"/>
  <c r="H20" i="7"/>
  <c r="H8" i="7"/>
  <c r="E12" i="7"/>
  <c r="C27" i="14" l="1"/>
  <c r="D10" i="14"/>
  <c r="F10" i="14" s="1"/>
  <c r="C11" i="14" s="1"/>
  <c r="G13" i="14"/>
  <c r="G30" i="14" s="1"/>
  <c r="G29" i="14"/>
  <c r="G19" i="14"/>
  <c r="L65" i="7"/>
  <c r="F66" i="7"/>
  <c r="F67" i="7" s="1"/>
  <c r="D27" i="14"/>
  <c r="F27" i="14" s="1"/>
  <c r="C28" i="14" l="1"/>
  <c r="D28" i="14" s="1"/>
  <c r="F28" i="14" s="1"/>
  <c r="G20" i="14"/>
  <c r="G37" i="14" s="1"/>
  <c r="G36" i="14"/>
  <c r="L66" i="7"/>
  <c r="D11" i="14"/>
  <c r="F11" i="14" s="1"/>
  <c r="C12" i="14" s="1"/>
  <c r="C29" i="14" l="1"/>
  <c r="D12" i="14"/>
  <c r="F12" i="14" s="1"/>
  <c r="C13" i="14" s="1"/>
  <c r="D29" i="14"/>
  <c r="F29" i="14" s="1"/>
  <c r="C30" i="14" l="1"/>
  <c r="D30" i="14"/>
  <c r="F30" i="14" s="1"/>
  <c r="D13" i="14"/>
  <c r="F13" i="14" s="1"/>
  <c r="C14" i="14" s="1"/>
  <c r="C31" i="14" l="1"/>
  <c r="D14" i="14"/>
  <c r="F14" i="14" s="1"/>
  <c r="D31" i="14"/>
  <c r="F31" i="14" s="1"/>
  <c r="C32" i="14" l="1"/>
  <c r="D32" i="14" s="1"/>
  <c r="F32" i="14" s="1"/>
  <c r="C33" i="14" s="1"/>
  <c r="D33" i="14" s="1"/>
  <c r="F33" i="14" s="1"/>
  <c r="C34" i="14" s="1"/>
  <c r="D34" i="14" s="1"/>
  <c r="F34" i="14" s="1"/>
  <c r="C35" i="14" s="1"/>
  <c r="C15" i="14"/>
  <c r="D15" i="14" s="1"/>
  <c r="F15" i="14" s="1"/>
  <c r="C16" i="14" s="1"/>
  <c r="D16" i="14" s="1"/>
  <c r="F16" i="14" s="1"/>
  <c r="C17" i="14" s="1"/>
  <c r="D17" i="14" s="1"/>
  <c r="F17" i="14" s="1"/>
  <c r="C18" i="14" s="1"/>
  <c r="F68" i="7"/>
  <c r="L67" i="7"/>
  <c r="L68" i="7" l="1"/>
  <c r="F40" i="6" l="1"/>
  <c r="E40" i="6"/>
  <c r="I73" i="7" l="1"/>
  <c r="C73" i="7"/>
  <c r="M19" i="13" l="1"/>
  <c r="E20" i="7" s="1"/>
  <c r="M18" i="13"/>
  <c r="E19" i="7" s="1"/>
  <c r="M17" i="13"/>
  <c r="E18" i="7" s="1"/>
  <c r="M16" i="13"/>
  <c r="E17" i="7" s="1"/>
  <c r="M15" i="13"/>
  <c r="E16" i="7" s="1"/>
  <c r="M14" i="13"/>
  <c r="E15" i="7" s="1"/>
  <c r="M13" i="13"/>
  <c r="E14" i="7" s="1"/>
  <c r="M12" i="13"/>
  <c r="E13" i="7" s="1"/>
  <c r="E11" i="7"/>
  <c r="E10" i="7"/>
  <c r="E9" i="7"/>
  <c r="H20" i="14"/>
  <c r="H18" i="14"/>
  <c r="H19" i="14" l="1"/>
  <c r="H42" i="7" l="1"/>
  <c r="B42" i="7"/>
  <c r="E22" i="7"/>
  <c r="E42" i="6" s="1"/>
  <c r="E30" i="6"/>
  <c r="F42" i="6" l="1"/>
  <c r="F28" i="6"/>
  <c r="F26" i="6"/>
  <c r="F30" i="6" l="1"/>
  <c r="E13" i="6" l="1"/>
  <c r="E15" i="6" s="1"/>
  <c r="E17" i="6" l="1"/>
  <c r="E108" i="2" l="1"/>
  <c r="E110" i="2" s="1"/>
  <c r="E114" i="2" l="1"/>
  <c r="E112" i="2"/>
  <c r="E18" i="6" s="1"/>
  <c r="E19" i="6" s="1"/>
  <c r="E21" i="6" s="1"/>
  <c r="E37" i="14" l="1"/>
  <c r="E36" i="14"/>
  <c r="D18" i="14"/>
  <c r="F18" i="14" s="1"/>
  <c r="C19" i="14" s="1"/>
  <c r="D19" i="14" s="1"/>
  <c r="F19" i="14" s="1"/>
  <c r="C20" i="14" s="1"/>
  <c r="E35" i="14"/>
  <c r="D35" i="14" s="1"/>
  <c r="F35" i="14" s="1"/>
  <c r="C36" i="14" s="1"/>
  <c r="E34" i="6"/>
  <c r="F34" i="6" s="1"/>
  <c r="E35" i="6"/>
  <c r="D27" i="7"/>
  <c r="J27" i="7" s="1"/>
  <c r="D20" i="14" l="1"/>
  <c r="F20" i="14" s="1"/>
  <c r="D36" i="14"/>
  <c r="F36" i="14" s="1"/>
  <c r="C37" i="14" s="1"/>
  <c r="F35" i="6"/>
  <c r="I47" i="7" s="1"/>
  <c r="E36" i="6"/>
  <c r="C56" i="7" l="1"/>
  <c r="C75" i="7" s="1"/>
  <c r="F7" i="14"/>
  <c r="D37" i="14"/>
  <c r="F37" i="14" s="1"/>
  <c r="I74" i="7"/>
  <c r="I48" i="7"/>
  <c r="J49" i="7" s="1"/>
  <c r="I49" i="7" s="1"/>
  <c r="J50" i="7" s="1"/>
  <c r="F36" i="6"/>
  <c r="C47" i="7"/>
  <c r="I56" i="7" l="1"/>
  <c r="I75" i="7" s="1"/>
  <c r="F24" i="14"/>
  <c r="I50" i="7"/>
  <c r="J51" i="7" s="1"/>
  <c r="C74" i="7"/>
  <c r="C48" i="7"/>
  <c r="D49" i="7" s="1"/>
  <c r="I51" i="7" l="1"/>
  <c r="J52" i="7" s="1"/>
  <c r="C49" i="7"/>
  <c r="D50" i="7" s="1"/>
  <c r="I52" i="7" l="1"/>
  <c r="J53" i="7" s="1"/>
  <c r="C50" i="7"/>
  <c r="D51" i="7" l="1"/>
  <c r="C51" i="7" s="1"/>
  <c r="D52" i="7" s="1"/>
  <c r="I53" i="7"/>
  <c r="J54" i="7" s="1"/>
  <c r="C52" i="7" l="1"/>
  <c r="D53" i="7" s="1"/>
  <c r="I54" i="7"/>
  <c r="J55" i="7" s="1"/>
  <c r="C53" i="7" l="1"/>
  <c r="I55" i="7"/>
  <c r="I8" i="7" s="1"/>
  <c r="D54" i="7" l="1"/>
  <c r="C54" i="7" s="1"/>
  <c r="D55" i="7" l="1"/>
  <c r="C55" i="7" s="1"/>
  <c r="C8" i="7" s="1"/>
  <c r="E77" i="2" l="1"/>
  <c r="E79" i="2" s="1"/>
  <c r="E87" i="2" s="1"/>
  <c r="E81" i="2" l="1"/>
  <c r="E83" i="2" s="1"/>
  <c r="E49" i="2" l="1"/>
  <c r="E51" i="2" s="1"/>
  <c r="E59" i="2" s="1"/>
  <c r="E53" i="2" l="1"/>
  <c r="E55" i="2" s="1"/>
  <c r="E18" i="2" l="1"/>
  <c r="E20" i="2" s="1"/>
  <c r="E28" i="2" s="1"/>
  <c r="E22" i="2" l="1"/>
  <c r="E24" i="2" s="1"/>
  <c r="C7" i="7"/>
  <c r="D25" i="7" s="1"/>
  <c r="B35" i="7" s="1"/>
  <c r="D9" i="7" l="1"/>
  <c r="C9" i="7" l="1"/>
  <c r="D10" i="7" l="1"/>
  <c r="C10" i="7" l="1"/>
  <c r="D11" i="7" s="1"/>
  <c r="C11" i="7" s="1"/>
  <c r="D12" i="7" l="1"/>
  <c r="C12" i="7" s="1"/>
  <c r="D13" i="7" l="1"/>
  <c r="C13" i="7" l="1"/>
  <c r="D14" i="7" s="1"/>
  <c r="C14" i="7" l="1"/>
  <c r="D15" i="7" s="1"/>
  <c r="C15" i="7" s="1"/>
  <c r="D16" i="7" l="1"/>
  <c r="C16" i="7" s="1"/>
  <c r="D17" i="7" l="1"/>
  <c r="C17" i="7" s="1"/>
  <c r="D18" i="7" l="1"/>
  <c r="C18" i="7" s="1"/>
  <c r="D19" i="7" l="1"/>
  <c r="C19" i="7" s="1"/>
  <c r="D20" i="7" l="1"/>
  <c r="D22" i="7" s="1"/>
  <c r="D24" i="7" s="1"/>
  <c r="D26" i="7" s="1"/>
  <c r="D28" i="7" s="1"/>
  <c r="C20" i="7" l="1"/>
  <c r="E44" i="6"/>
  <c r="E48" i="6" l="1"/>
  <c r="E50" i="6" s="1"/>
  <c r="E52" i="6" l="1"/>
  <c r="E54" i="6" s="1"/>
  <c r="E56" i="6" s="1"/>
  <c r="D29" i="7" s="1"/>
  <c r="D30" i="7" s="1"/>
  <c r="E62" i="6" l="1"/>
  <c r="C79" i="7"/>
  <c r="E30" i="7"/>
  <c r="D31" i="7"/>
  <c r="I11" i="15"/>
  <c r="E67" i="7" l="1"/>
  <c r="E68" i="7"/>
  <c r="E65" i="7"/>
  <c r="E60" i="7"/>
  <c r="E61" i="7"/>
  <c r="E63" i="7"/>
  <c r="E64" i="7"/>
  <c r="E59" i="7"/>
  <c r="E58" i="7"/>
  <c r="E66" i="7"/>
  <c r="E62" i="7"/>
  <c r="E57" i="7"/>
  <c r="D57" i="7" s="1"/>
  <c r="C57" i="7" s="1"/>
  <c r="J11" i="15"/>
  <c r="I29" i="15" s="1"/>
  <c r="J29" i="15" s="1"/>
  <c r="H11" i="15"/>
  <c r="D58" i="7" l="1"/>
  <c r="C58" i="7" s="1"/>
  <c r="J30" i="15"/>
  <c r="J31" i="15"/>
  <c r="G11" i="15"/>
  <c r="M11" i="15" s="1"/>
  <c r="E70" i="7"/>
  <c r="D59" i="7" l="1"/>
  <c r="C59" i="7" s="1"/>
  <c r="D60" i="7" s="1"/>
  <c r="C60" i="7" s="1"/>
  <c r="D61" i="7" s="1"/>
  <c r="C61" i="7" s="1"/>
  <c r="D62" i="7" s="1"/>
  <c r="C62" i="7" s="1"/>
  <c r="D63" i="7" s="1"/>
  <c r="C63" i="7" s="1"/>
  <c r="D64" i="7" s="1"/>
  <c r="C64" i="7" s="1"/>
  <c r="D65" i="7" s="1"/>
  <c r="C65" i="7" s="1"/>
  <c r="D66" i="7" s="1"/>
  <c r="C66" i="7" s="1"/>
  <c r="D67" i="7" s="1"/>
  <c r="C67" i="7" s="1"/>
  <c r="D68" i="7" s="1"/>
  <c r="C68" i="7" s="1"/>
  <c r="D32" i="7" s="1"/>
  <c r="D70" i="7" l="1"/>
  <c r="C76" i="7" s="1"/>
  <c r="C77" i="7" l="1"/>
  <c r="C78" i="7" s="1"/>
  <c r="C80" i="7" s="1"/>
  <c r="I7" i="7"/>
  <c r="J9" i="7" s="1"/>
  <c r="I9" i="7" l="1"/>
  <c r="J25" i="7"/>
  <c r="H35" i="7" s="1"/>
  <c r="J10" i="7" l="1"/>
  <c r="I10" i="7" l="1"/>
  <c r="J11" i="7" s="1"/>
  <c r="I11" i="7" s="1"/>
  <c r="J12" i="7" l="1"/>
  <c r="I12" i="7" s="1"/>
  <c r="J13" i="7" l="1"/>
  <c r="I13" i="7" s="1"/>
  <c r="J14" i="7" l="1"/>
  <c r="I14" i="7" s="1"/>
  <c r="J15" i="7" l="1"/>
  <c r="I15" i="7" s="1"/>
  <c r="J16" i="7" l="1"/>
  <c r="I16" i="7" s="1"/>
  <c r="J17" i="7" l="1"/>
  <c r="I17" i="7" s="1"/>
  <c r="J18" i="7" l="1"/>
  <c r="I18" i="7" s="1"/>
  <c r="J19" i="7" l="1"/>
  <c r="I19" i="7" s="1"/>
  <c r="J20" i="7" l="1"/>
  <c r="I20" i="7" l="1"/>
  <c r="J22" i="7"/>
  <c r="J24" i="7" s="1"/>
  <c r="J26" i="7" s="1"/>
  <c r="J28" i="7" s="1"/>
  <c r="F44" i="6" l="1"/>
  <c r="F48" i="6" l="1"/>
  <c r="F50" i="6" s="1"/>
  <c r="F52" i="6" s="1"/>
  <c r="F54" i="6" s="1"/>
  <c r="F56" i="6" s="1"/>
  <c r="J29" i="7" s="1"/>
  <c r="J32" i="7" l="1"/>
  <c r="J30" i="7"/>
  <c r="F58" i="6"/>
  <c r="F60" i="6" s="1"/>
  <c r="F62" i="6" s="1"/>
  <c r="J31" i="7" l="1"/>
  <c r="K30" i="7"/>
  <c r="I79" i="7"/>
  <c r="I13" i="15"/>
  <c r="K59" i="7" l="1"/>
  <c r="K67" i="7"/>
  <c r="K61" i="7"/>
  <c r="K62" i="7"/>
  <c r="K63" i="7"/>
  <c r="K64" i="7"/>
  <c r="K65" i="7"/>
  <c r="K66" i="7"/>
  <c r="K60" i="7"/>
  <c r="K68" i="7"/>
  <c r="K58" i="7"/>
  <c r="K57" i="7"/>
  <c r="J57" i="7" s="1"/>
  <c r="I57" i="7" s="1"/>
  <c r="H13" i="15"/>
  <c r="I15" i="15"/>
  <c r="J13" i="15"/>
  <c r="J58" i="7" l="1"/>
  <c r="I58" i="7" s="1"/>
  <c r="J59" i="7" s="1"/>
  <c r="I59" i="7" s="1"/>
  <c r="J60" i="7" s="1"/>
  <c r="I60" i="7" s="1"/>
  <c r="J61" i="7" s="1"/>
  <c r="I61" i="7" s="1"/>
  <c r="J62" i="7" s="1"/>
  <c r="I62" i="7" s="1"/>
  <c r="J15" i="15"/>
  <c r="H15" i="15"/>
  <c r="G15" i="15" s="1"/>
  <c r="G13" i="15"/>
  <c r="K70" i="7"/>
  <c r="G22" i="15" l="1"/>
  <c r="H22" i="15"/>
  <c r="J63" i="7"/>
  <c r="I63" i="7" s="1"/>
  <c r="J64" i="7" s="1"/>
  <c r="H20" i="15"/>
  <c r="M13" i="15"/>
  <c r="G20" i="15"/>
  <c r="M20" i="15" s="1"/>
  <c r="M22" i="15"/>
  <c r="I64" i="7" l="1"/>
  <c r="J65" i="7" s="1"/>
  <c r="I65" i="7" s="1"/>
  <c r="J66" i="7" s="1"/>
  <c r="I66" i="7" s="1"/>
  <c r="J67" i="7" s="1"/>
  <c r="I67" i="7" s="1"/>
  <c r="J68" i="7" s="1"/>
  <c r="I68" i="7" s="1"/>
  <c r="I77" i="7" s="1"/>
  <c r="J70" i="7" l="1"/>
  <c r="I76" i="7" s="1"/>
  <c r="I78" i="7" s="1"/>
  <c r="I8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therms
</t>
        </r>
      </text>
    </comment>
    <comment ref="L8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
2020 normalized billing determinants at present billing rates effective 4/1/2021</t>
        </r>
      </text>
    </comment>
  </commentList>
</comments>
</file>

<file path=xl/sharedStrings.xml><?xml version="1.0" encoding="utf-8"?>
<sst xmlns="http://schemas.openxmlformats.org/spreadsheetml/2006/main" count="318" uniqueCount="193">
  <si>
    <t>Avista Utilities</t>
  </si>
  <si>
    <t>Calculation of Decoupling Mechanism Surcharge or Rebate Amortization Rates</t>
  </si>
  <si>
    <t>Date</t>
  </si>
  <si>
    <t>Interest</t>
  </si>
  <si>
    <t>Residential Natural Gas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</si>
  <si>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</si>
  <si>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</si>
  <si>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</si>
  <si>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</si>
  <si>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</si>
  <si>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</si>
  <si>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</si>
  <si>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</si>
  <si>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</si>
  <si>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Non-Residential Natural Gas</t>
  </si>
  <si>
    <t>AVISTA UTILITIES</t>
  </si>
  <si>
    <t>Revenue Conversion Factor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</si>
  <si>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</si>
  <si>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</si>
  <si>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</si>
  <si>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</si>
  <si>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</si>
  <si>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</si>
  <si>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</si>
  <si>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</si>
  <si>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</si>
  <si>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</si>
  <si>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</si>
  <si>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</si>
  <si>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</si>
  <si>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</si>
  <si>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Washington -Natural Gas System</t>
  </si>
  <si>
    <t>UG-140189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</si>
  <si>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</si>
  <si>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</si>
  <si>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</si>
  <si>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</si>
  <si>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Utilized in Decoupling Journal Calculations</t>
  </si>
  <si>
    <t>Twelve Months Ended September 30, 2015</t>
  </si>
  <si>
    <t>UG-160229 current GRC</t>
  </si>
  <si>
    <t>Washington - Gas System</t>
  </si>
  <si>
    <t xml:space="preserve">  Uncollectibles  </t>
  </si>
  <si>
    <t xml:space="preserve">  Commission Fees </t>
  </si>
  <si>
    <t xml:space="preserve">  Washington Excise Tax  </t>
  </si>
  <si>
    <t>Gross Up Factor</t>
  </si>
  <si>
    <t>Decoupling Mechanism Earnings Test and 3% Test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</si>
  <si>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</si>
  <si>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</si>
  <si>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</si>
  <si>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</si>
  <si>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</si>
  <si>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</si>
  <si>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</si>
  <si>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</si>
  <si>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</si>
  <si>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</si>
  <si>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</si>
  <si>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</si>
  <si>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</si>
  <si>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</si>
  <si>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</si>
  <si>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</si>
  <si>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</si>
  <si>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</si>
  <si>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</si>
  <si>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</si>
  <si>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</si>
  <si>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</si>
  <si>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</si>
  <si>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</si>
  <si>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</si>
  <si>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</si>
  <si>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</si>
  <si>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Estimated Carryover Balance (5)</t>
  </si>
  <si>
    <t>Notes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</si>
  <si>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</si>
  <si>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</si>
  <si>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</si>
  <si>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</si>
  <si>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</si>
  <si>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Earnings Sharing Adjustment</t>
  </si>
  <si>
    <t>Adjusted December Balance</t>
  </si>
  <si>
    <t xml:space="preserve">  Non-Residential</t>
  </si>
  <si>
    <t>WA101</t>
  </si>
  <si>
    <t>WA111</t>
  </si>
  <si>
    <t>WA121</t>
  </si>
  <si>
    <t>WA132</t>
  </si>
  <si>
    <t>WA146</t>
  </si>
  <si>
    <t>WA148</t>
  </si>
  <si>
    <t>Bill Determinants Tab</t>
  </si>
  <si>
    <t>Total Loads by Rate Sched:</t>
  </si>
  <si>
    <t>RES</t>
  </si>
  <si>
    <t>Non-RES</t>
  </si>
  <si>
    <t>Washington Natural Gas</t>
  </si>
  <si>
    <t>Line No.</t>
  </si>
  <si>
    <t xml:space="preserve">Total </t>
  </si>
  <si>
    <t>Less Earnings Sharing</t>
  </si>
  <si>
    <t>Customer Surcharge Revenue</t>
  </si>
  <si>
    <t>Carryover Deferred Revenue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</si>
  <si>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</si>
  <si>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</si>
  <si>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</si>
  <si>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</si>
  <si>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</si>
  <si>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</si>
  <si>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</si>
  <si>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See page 2 of Attachment A for estimated carryover balance calculations.</t>
  </si>
  <si>
    <t>Forecast Usage</t>
  </si>
  <si>
    <t xml:space="preserve">     Total Requested Recovery</t>
  </si>
  <si>
    <t>Add Revenue Related Expense Adj.</t>
  </si>
  <si>
    <t>See page 4 of Attachment A for estimated carryover balance calculations.</t>
  </si>
  <si>
    <t>Gross Revenue Adjustment</t>
  </si>
  <si>
    <t>Net of Revenue Related Expenses</t>
  </si>
  <si>
    <t>Residential</t>
  </si>
  <si>
    <t>Non-Residential</t>
  </si>
  <si>
    <t>See pages 6 and 7 of Attachment A for earnings test and 3% test adjustment calculations.</t>
  </si>
  <si>
    <t>Decoupling Mechanism Prior Surcharge or Rebate Amortization</t>
  </si>
  <si>
    <t>Interest Rate</t>
  </si>
  <si>
    <t>Non-Residential Natural Gas Surcharge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</si>
  <si>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</si>
  <si>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</si>
  <si>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</si>
  <si>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</si>
  <si>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</si>
  <si>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</si>
  <si>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</si>
  <si>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</si>
  <si>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</si>
  <si>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</si>
  <si>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</si>
  <si>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</si>
  <si>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</si>
  <si>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</si>
  <si>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</si>
  <si>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</si>
  <si>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</si>
  <si>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</si>
  <si>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</si>
  <si>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</si>
  <si>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</si>
  <si>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</si>
  <si>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</si>
  <si>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</si>
  <si>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</si>
  <si>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</si>
  <si>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General Service</t>
  </si>
  <si>
    <t>101/102</t>
  </si>
  <si>
    <t>Large General Service</t>
  </si>
  <si>
    <t>N/A</t>
  </si>
  <si>
    <t>Interruptible Service</t>
  </si>
  <si>
    <t>Transportation Service</t>
  </si>
  <si>
    <t>Special Contract Transportation Service</t>
  </si>
  <si>
    <t>Non-Residential Group Subtotal</t>
  </si>
  <si>
    <t xml:space="preserve">Average Residential Bill </t>
  </si>
  <si>
    <t>Basic Charge</t>
  </si>
  <si>
    <t>First 70 therms</t>
  </si>
  <si>
    <t>Next 70 therms</t>
  </si>
  <si>
    <t>Proposed rate change</t>
  </si>
  <si>
    <t>Residential Bill at Proposed rates</t>
  </si>
  <si>
    <t>WA112</t>
  </si>
  <si>
    <t>Incr/(Decr)</t>
  </si>
  <si>
    <t xml:space="preserve">  Federal Income Tax @ 21%</t>
  </si>
  <si>
    <t>Proposed Percent Increase</t>
  </si>
  <si>
    <t>111/112/116</t>
  </si>
  <si>
    <t>Effective August 1, 2020 - July 31, 2021</t>
  </si>
  <si>
    <t>Prior Year Carryover Balance</t>
  </si>
  <si>
    <t>Add Prior Year Carryover Balance</t>
  </si>
  <si>
    <t>2019 Total Earnings Test Sharing</t>
  </si>
  <si>
    <t>2021 Decoupling Schedule 175 Filing</t>
  </si>
  <si>
    <t xml:space="preserve"> @67 therms</t>
  </si>
  <si>
    <t>Residential Bill at 4/1/2021 rates</t>
  </si>
  <si>
    <t>TWELVE MONTHS ENDED December 31, 2020</t>
  </si>
  <si>
    <t>2020 Commission Basis Conversion Factor</t>
  </si>
  <si>
    <t>2020 Washington Natural Gas Deferrals</t>
  </si>
  <si>
    <t>(1)  Revenue from 2020 normalized loads and customers at present billing rates effective since April 1, 2021.</t>
  </si>
  <si>
    <t>August 2021 - July 2022 Usage</t>
  </si>
  <si>
    <t>May - July Forecast Usage</t>
  </si>
  <si>
    <t>Effective August 1, 2021 - July 31, 2022</t>
  </si>
  <si>
    <t>Calculate Estimated Monthly Balances through July 2022</t>
  </si>
  <si>
    <t>2020 Deferred Revenue</t>
  </si>
  <si>
    <t>Add Interest through 07/31/2022</t>
  </si>
  <si>
    <t>GSFM Apr MidMonth_(04 12 21 pricing) - v2</t>
  </si>
  <si>
    <t>Residential Natural Gas Rebate</t>
  </si>
  <si>
    <t>Docket No. UG-200499</t>
  </si>
  <si>
    <t>Revenue From 2020 Normalized Loads and Customers at Present Billing Rates (Note 1)</t>
  </si>
  <si>
    <t>Revenue From 2020 Normalized Loads and Customers at Present Billing Rates</t>
  </si>
  <si>
    <t>2020 Commission Basis Earnings Test for Decoupling</t>
  </si>
  <si>
    <t>2020 Commission Basis conversion factor, see page 8 of  Attachment A.</t>
  </si>
  <si>
    <t>Pro-rated</t>
  </si>
  <si>
    <t>(3)  The carryover balances will differ from the 3% adjustment amounts due to the revenue related expense gross up partially offset by additional interest on the outstanding balance during the amortization period.</t>
  </si>
  <si>
    <t>3% Test Adjustment (3)</t>
  </si>
  <si>
    <t>Present Decoupling Surcharge Recovery Rates (2)</t>
  </si>
  <si>
    <t>(2)  As stated on tariff Sheet 175E, the reversal of a rebate rate is not included in the 3% incremental surcharge test. Therefore the Residential Group rebate of -$0.00685 is $0.00000 in this incremental rate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</si>
</sst>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indexed="12"/>
      <name val="Times New Roman"/>
      <family val="1"/>
    </font>
    <font>
      <sz val="12"/>
      <color indexed="48"/>
      <name val="Times New Roman"/>
      <family val="1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3" fontId="25" fillId="0" borderId="0"/>
  </cellStyleXfs>
  <cellXfs count="18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166" fontId="5" fillId="0" borderId="0" xfId="0" applyNumberFormat="1" applyFont="1"/>
    <xf numFmtId="166" fontId="2" fillId="0" borderId="0" xfId="0" applyNumberFormat="1" applyFont="1"/>
    <xf numFmtId="166" fontId="4" fillId="0" borderId="0" xfId="0" applyNumberFormat="1" applyFont="1"/>
    <xf numFmtId="166" fontId="5" fillId="0" borderId="2" xfId="0" applyNumberFormat="1" applyFont="1" applyBorder="1"/>
    <xf numFmtId="166" fontId="5" fillId="0" borderId="0" xfId="0" applyNumberFormat="1" applyFont="1" applyBorder="1"/>
    <xf numFmtId="10" fontId="6" fillId="0" borderId="0" xfId="0" applyNumberFormat="1" applyFont="1"/>
    <xf numFmtId="166" fontId="5" fillId="0" borderId="1" xfId="0" applyNumberFormat="1" applyFont="1" applyBorder="1"/>
    <xf numFmtId="0" fontId="1" fillId="0" borderId="0" xfId="3"/>
    <xf numFmtId="167" fontId="5" fillId="0" borderId="3" xfId="0" applyNumberFormat="1" applyFont="1" applyBorder="1"/>
    <xf numFmtId="166" fontId="3" fillId="2" borderId="4" xfId="0" applyNumberFormat="1" applyFont="1" applyFill="1" applyBorder="1"/>
    <xf numFmtId="0" fontId="2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166" fontId="5" fillId="3" borderId="3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164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0" fillId="0" borderId="0" xfId="2" applyNumberFormat="1" applyFont="1" applyBorder="1"/>
    <xf numFmtId="9" fontId="0" fillId="0" borderId="0" xfId="0" applyNumberFormat="1"/>
    <xf numFmtId="169" fontId="9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9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9" fillId="0" borderId="0" xfId="2" applyNumberFormat="1" applyFont="1"/>
    <xf numFmtId="169" fontId="9" fillId="0" borderId="0" xfId="0" applyNumberFormat="1" applyFont="1" applyBorder="1"/>
    <xf numFmtId="164" fontId="0" fillId="0" borderId="0" xfId="0" applyNumberFormat="1"/>
    <xf numFmtId="17" fontId="0" fillId="0" borderId="0" xfId="0" applyNumberFormat="1" applyBorder="1"/>
    <xf numFmtId="0" fontId="0" fillId="0" borderId="0" xfId="0" applyFill="1" applyBorder="1"/>
    <xf numFmtId="17" fontId="9" fillId="0" borderId="0" xfId="0" applyNumberFormat="1" applyFont="1" applyBorder="1"/>
    <xf numFmtId="5" fontId="9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0" fillId="0" borderId="0" xfId="0" applyAlignment="1">
      <alignment horizontal="center"/>
    </xf>
    <xf numFmtId="171" fontId="0" fillId="0" borderId="0" xfId="0" applyNumberFormat="1"/>
    <xf numFmtId="0" fontId="12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14" fillId="0" borderId="0" xfId="1" applyNumberFormat="1" applyFont="1"/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5" fontId="0" fillId="0" borderId="0" xfId="0" applyNumberFormat="1" applyBorder="1"/>
    <xf numFmtId="0" fontId="0" fillId="0" borderId="0" xfId="0" applyAlignment="1">
      <alignment horizontal="center"/>
    </xf>
    <xf numFmtId="10" fontId="0" fillId="0" borderId="0" xfId="0" applyNumberFormat="1"/>
    <xf numFmtId="169" fontId="0" fillId="0" borderId="0" xfId="0" applyNumberFormat="1"/>
    <xf numFmtId="5" fontId="0" fillId="0" borderId="0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top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7" fontId="0" fillId="0" borderId="0" xfId="0" applyNumberFormat="1" applyBorder="1"/>
    <xf numFmtId="44" fontId="0" fillId="0" borderId="0" xfId="0" applyNumberFormat="1"/>
    <xf numFmtId="44" fontId="0" fillId="0" borderId="0" xfId="5" applyNumberFormat="1" applyFont="1" applyFill="1"/>
    <xf numFmtId="44" fontId="9" fillId="0" borderId="0" xfId="0" applyNumberFormat="1" applyFont="1"/>
    <xf numFmtId="17" fontId="9" fillId="0" borderId="0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37" fontId="0" fillId="0" borderId="0" xfId="0" applyNumberFormat="1"/>
    <xf numFmtId="172" fontId="0" fillId="0" borderId="0" xfId="5" applyNumberFormat="1" applyFont="1"/>
    <xf numFmtId="172" fontId="12" fillId="0" borderId="0" xfId="5" applyNumberFormat="1" applyFont="1"/>
    <xf numFmtId="172" fontId="0" fillId="0" borderId="0" xfId="0" applyNumberFormat="1"/>
    <xf numFmtId="0" fontId="8" fillId="0" borderId="0" xfId="0" quotePrefix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37" fontId="0" fillId="0" borderId="0" xfId="0" applyNumberFormat="1" applyAlignment="1">
      <alignment vertical="center"/>
    </xf>
    <xf numFmtId="0" fontId="8" fillId="0" borderId="0" xfId="0" applyFont="1" applyAlignment="1">
      <alignment horizontal="left" indent="3"/>
    </xf>
    <xf numFmtId="169" fontId="0" fillId="0" borderId="0" xfId="0" applyNumberFormat="1" applyFill="1"/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10" fontId="0" fillId="0" borderId="0" xfId="0" applyNumberFormat="1" applyBorder="1"/>
    <xf numFmtId="0" fontId="0" fillId="0" borderId="0" xfId="0" applyFill="1" applyBorder="1" applyAlignment="1">
      <alignment horizontal="center" wrapText="1"/>
    </xf>
    <xf numFmtId="10" fontId="18" fillId="0" borderId="0" xfId="0" applyNumberFormat="1" applyFont="1"/>
    <xf numFmtId="7" fontId="0" fillId="0" borderId="0" xfId="5" applyNumberFormat="1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37" fontId="9" fillId="0" borderId="0" xfId="0" applyNumberFormat="1" applyFont="1"/>
    <xf numFmtId="169" fontId="9" fillId="0" borderId="0" xfId="5" applyNumberFormat="1" applyFont="1"/>
    <xf numFmtId="169" fontId="9" fillId="0" borderId="0" xfId="0" applyNumberFormat="1" applyFont="1"/>
    <xf numFmtId="172" fontId="9" fillId="0" borderId="0" xfId="0" applyNumberFormat="1" applyFont="1"/>
    <xf numFmtId="0" fontId="9" fillId="0" borderId="0" xfId="0" applyFont="1" applyAlignment="1">
      <alignment horizontal="center"/>
    </xf>
    <xf numFmtId="43" fontId="0" fillId="0" borderId="0" xfId="1" applyFont="1"/>
    <xf numFmtId="44" fontId="14" fillId="0" borderId="0" xfId="5" applyNumberFormat="1" applyFont="1" applyFill="1"/>
    <xf numFmtId="16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0" fontId="14" fillId="0" borderId="0" xfId="0" applyNumberFormat="1" applyFont="1" applyFill="1" applyBorder="1"/>
    <xf numFmtId="5" fontId="14" fillId="0" borderId="0" xfId="0" applyNumberFormat="1" applyFont="1" applyFill="1" applyBorder="1"/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166" fontId="21" fillId="0" borderId="0" xfId="0" applyNumberFormat="1" applyFont="1"/>
    <xf numFmtId="166" fontId="20" fillId="0" borderId="0" xfId="0" applyNumberFormat="1" applyFont="1"/>
    <xf numFmtId="0" fontId="22" fillId="0" borderId="0" xfId="0" applyFont="1"/>
    <xf numFmtId="0" fontId="21" fillId="0" borderId="0" xfId="0" applyFont="1" applyAlignment="1">
      <alignment horizontal="center"/>
    </xf>
    <xf numFmtId="166" fontId="23" fillId="0" borderId="0" xfId="0" applyNumberFormat="1" applyFont="1"/>
    <xf numFmtId="166" fontId="20" fillId="0" borderId="2" xfId="0" applyNumberFormat="1" applyFont="1" applyBorder="1"/>
    <xf numFmtId="10" fontId="24" fillId="0" borderId="0" xfId="0" applyNumberFormat="1" applyFont="1"/>
    <xf numFmtId="166" fontId="20" fillId="0" borderId="5" xfId="0" applyNumberFormat="1" applyFont="1" applyBorder="1"/>
    <xf numFmtId="10" fontId="14" fillId="0" borderId="0" xfId="0" applyNumberFormat="1" applyFont="1" applyFill="1"/>
    <xf numFmtId="10" fontId="0" fillId="0" borderId="0" xfId="0" applyNumberFormat="1" applyFill="1"/>
    <xf numFmtId="166" fontId="20" fillId="0" borderId="0" xfId="4" applyNumberFormat="1" applyFont="1" applyFill="1"/>
    <xf numFmtId="170" fontId="0" fillId="0" borderId="0" xfId="0" applyNumberFormat="1" applyFill="1"/>
    <xf numFmtId="172" fontId="12" fillId="0" borderId="0" xfId="5" applyNumberFormat="1" applyFont="1" applyFill="1"/>
    <xf numFmtId="172" fontId="8" fillId="0" borderId="0" xfId="5" applyNumberFormat="1" applyFont="1" applyFill="1"/>
    <xf numFmtId="169" fontId="9" fillId="0" borderId="0" xfId="5" applyNumberFormat="1" applyFont="1" applyFill="1"/>
    <xf numFmtId="0" fontId="0" fillId="0" borderId="0" xfId="0" applyFill="1" applyAlignment="1">
      <alignment horizontal="center" wrapText="1"/>
    </xf>
    <xf numFmtId="164" fontId="0" fillId="0" borderId="0" xfId="0" applyNumberFormat="1" applyBorder="1" applyAlignment="1">
      <alignment vertical="top"/>
    </xf>
    <xf numFmtId="0" fontId="11" fillId="0" borderId="0" xfId="6" quotePrefix="1" applyBorder="1" applyAlignment="1">
      <alignment horizontal="left" vertical="top"/>
    </xf>
    <xf numFmtId="0" fontId="0" fillId="0" borderId="0" xfId="0" quotePrefix="1" applyBorder="1" applyAlignment="1">
      <alignment horizontal="left" vertical="top" wrapText="1"/>
    </xf>
    <xf numFmtId="0" fontId="0" fillId="0" borderId="0" xfId="0" applyAlignment="1">
      <alignment vertical="top"/>
    </xf>
    <xf numFmtId="0" fontId="1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left" vertical="top" wrapText="1"/>
    </xf>
    <xf numFmtId="0" fontId="17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justify"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1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quotePrefix="1" applyAlignment="1">
      <alignment horizontal="justify" wrapText="1"/>
    </xf>
    <xf numFmtId="0" fontId="0" fillId="0" borderId="0" xfId="0" quotePrefix="1" applyAlignment="1">
      <alignment horizontal="justify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quotePrefix="1" applyFill="1" applyAlignment="1">
      <alignment horizontal="justify" vertical="top" wrapText="1"/>
    </xf>
    <xf numFmtId="0" fontId="2" fillId="0" borderId="0" xfId="0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2" fillId="0" borderId="0" xfId="3" applyFont="1" applyAlignment="1">
      <alignment horizontal="center"/>
    </xf>
  </cellXfs>
  <cellStyles count="8">
    <cellStyle name="Comma" xfId="1" builtinId="3"/>
    <cellStyle name="Currency" xfId="5" builtinId="4"/>
    <cellStyle name="Hyperlink" xfId="6" builtinId="8"/>
    <cellStyle name="Normal" xfId="0" builtinId="0"/>
    <cellStyle name="Normal 10" xfId="3" xr:uid="{00000000-0005-0000-0000-000004000000}"/>
    <cellStyle name="Normal 2" xfId="7" xr:uid="{FA2A7790-EE9E-45E5-9138-BABE26B38026}"/>
    <cellStyle name="Normal 2 2" xfId="4" xr:uid="{00000000-0005-0000-0000-000005000000}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workbookViewId="0">
      <selection activeCell="G23" sqref="G23"/>
    </sheetView>
  </sheetViews>
  <sheetFormatPr defaultRowHeight="15" outlineLevelCol="1" x14ac:dyDescent="0.25"/>
  <cols>
    <col min="2" max="2" width="3.7109375" customWidth="1"/>
    <col min="3" max="3" width="26.42578125" bestFit="1" customWidth="1" outlineLevel="1"/>
    <col min="4" max="4" width="12.5703125" customWidth="1" outlineLevel="1"/>
    <col min="5" max="5" width="12.5703125" style="79" customWidth="1" outlineLevel="1"/>
    <col min="6" max="7" width="11.140625" customWidth="1" outlineLevel="1"/>
    <col min="8" max="9" width="12.5703125" customWidth="1" outlineLevel="1"/>
    <col min="10" max="10" width="2.140625" customWidth="1"/>
    <col min="12" max="12" width="2.140625" customWidth="1"/>
    <col min="13" max="13" width="12.7109375" customWidth="1"/>
    <col min="14" max="14" width="11.42578125" customWidth="1"/>
  </cols>
  <sheetData>
    <row r="1" spans="1:15" x14ac:dyDescent="0.25">
      <c r="A1" s="166"/>
      <c r="B1" s="63" t="s">
        <v>181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x14ac:dyDescent="0.25">
      <c r="A2" s="166"/>
      <c r="B2" t="s">
        <v>89</v>
      </c>
    </row>
    <row r="3" spans="1:15" x14ac:dyDescent="0.25">
      <c r="A3" s="61"/>
      <c r="B3" s="61"/>
      <c r="C3" s="61" t="s">
        <v>90</v>
      </c>
      <c r="K3" s="167"/>
      <c r="L3" s="68"/>
      <c r="M3" s="168" t="s">
        <v>93</v>
      </c>
      <c r="N3" s="169"/>
    </row>
    <row r="4" spans="1:15" x14ac:dyDescent="0.25">
      <c r="C4" s="66" t="s">
        <v>83</v>
      </c>
      <c r="D4" s="66" t="s">
        <v>84</v>
      </c>
      <c r="E4" s="101" t="s">
        <v>159</v>
      </c>
      <c r="F4" s="66" t="s">
        <v>85</v>
      </c>
      <c r="G4" s="66" t="s">
        <v>86</v>
      </c>
      <c r="H4" s="66" t="s">
        <v>87</v>
      </c>
      <c r="I4" s="66" t="s">
        <v>88</v>
      </c>
      <c r="K4" s="167"/>
      <c r="L4" s="68"/>
      <c r="M4" s="64" t="s">
        <v>91</v>
      </c>
      <c r="N4" s="65" t="s">
        <v>92</v>
      </c>
    </row>
    <row r="5" spans="1:15" x14ac:dyDescent="0.25">
      <c r="A5" s="60">
        <v>44317</v>
      </c>
      <c r="C5" s="49">
        <v>4778460.6639780533</v>
      </c>
      <c r="D5" s="49">
        <v>2458285.1320020552</v>
      </c>
      <c r="E5" s="49">
        <v>54397.389476074495</v>
      </c>
      <c r="F5" s="49">
        <v>0</v>
      </c>
      <c r="G5" s="49">
        <v>49497.689372558605</v>
      </c>
      <c r="H5" s="49">
        <v>2789672</v>
      </c>
      <c r="I5" s="49">
        <v>4109221</v>
      </c>
      <c r="K5" s="69"/>
      <c r="L5" s="49"/>
      <c r="M5" s="53">
        <f t="shared" ref="M5:M19" si="0">C5</f>
        <v>4778460.6639780533</v>
      </c>
      <c r="N5" s="53">
        <f>D5+E5+F5-K5</f>
        <v>2512682.5214781296</v>
      </c>
    </row>
    <row r="6" spans="1:15" x14ac:dyDescent="0.25">
      <c r="A6" s="60">
        <f>A5+31</f>
        <v>44348</v>
      </c>
      <c r="C6" s="49">
        <v>2683387.0746667213</v>
      </c>
      <c r="D6" s="49">
        <v>1972939.4613307409</v>
      </c>
      <c r="E6" s="49">
        <v>44433.181150749624</v>
      </c>
      <c r="F6" s="49">
        <v>0</v>
      </c>
      <c r="G6" s="49">
        <v>43463.430736199851</v>
      </c>
      <c r="H6" s="49">
        <v>2460277</v>
      </c>
      <c r="I6" s="49">
        <v>3783298</v>
      </c>
      <c r="K6" s="69"/>
      <c r="L6" s="49"/>
      <c r="M6" s="53">
        <f t="shared" si="0"/>
        <v>2683387.0746667213</v>
      </c>
      <c r="N6" s="53">
        <f t="shared" ref="N6:N19" si="1">D6+E6+F6-K6</f>
        <v>2017372.6424814905</v>
      </c>
    </row>
    <row r="7" spans="1:15" x14ac:dyDescent="0.25">
      <c r="A7" s="60">
        <f t="shared" ref="A7:A19" si="2">A6+31</f>
        <v>44379</v>
      </c>
      <c r="C7" s="49">
        <v>2253256.6206556447</v>
      </c>
      <c r="D7" s="49">
        <v>1778126.2263672245</v>
      </c>
      <c r="E7" s="49">
        <v>47993.423192289541</v>
      </c>
      <c r="F7" s="49">
        <v>0</v>
      </c>
      <c r="G7" s="49">
        <v>43400.48504715701</v>
      </c>
      <c r="H7" s="49">
        <v>2211049</v>
      </c>
      <c r="I7" s="49">
        <v>3551191</v>
      </c>
      <c r="K7" s="69"/>
      <c r="L7" s="49"/>
      <c r="M7" s="53">
        <f t="shared" si="0"/>
        <v>2253256.6206556447</v>
      </c>
      <c r="N7" s="53">
        <f t="shared" si="1"/>
        <v>1826119.6495595141</v>
      </c>
    </row>
    <row r="8" spans="1:15" x14ac:dyDescent="0.25">
      <c r="A8" s="60">
        <f t="shared" si="2"/>
        <v>44410</v>
      </c>
      <c r="C8" s="49">
        <v>1855184.4731362388</v>
      </c>
      <c r="D8" s="49">
        <v>2160268.081069666</v>
      </c>
      <c r="E8" s="49">
        <v>53612.322879944673</v>
      </c>
      <c r="F8" s="49">
        <v>0</v>
      </c>
      <c r="G8" s="49">
        <v>43725.266530593683</v>
      </c>
      <c r="H8" s="49">
        <v>2058994</v>
      </c>
      <c r="I8" s="49">
        <v>3350315</v>
      </c>
      <c r="K8" s="69"/>
      <c r="L8" s="49"/>
      <c r="M8" s="53">
        <f t="shared" si="0"/>
        <v>1855184.4731362388</v>
      </c>
      <c r="N8" s="53">
        <f t="shared" si="1"/>
        <v>2213880.4039496104</v>
      </c>
    </row>
    <row r="9" spans="1:15" x14ac:dyDescent="0.25">
      <c r="A9" s="60">
        <f t="shared" si="2"/>
        <v>44441</v>
      </c>
      <c r="C9" s="49">
        <v>2632711.6213310342</v>
      </c>
      <c r="D9" s="49">
        <v>2676968.7901416724</v>
      </c>
      <c r="E9" s="49">
        <v>64347.670996618654</v>
      </c>
      <c r="F9" s="49">
        <v>0</v>
      </c>
      <c r="G9" s="49">
        <v>48166.995586084682</v>
      </c>
      <c r="H9" s="49">
        <v>2112395</v>
      </c>
      <c r="I9" s="49">
        <v>3489463</v>
      </c>
      <c r="K9" s="69"/>
      <c r="L9" s="49"/>
      <c r="M9" s="53">
        <f t="shared" si="0"/>
        <v>2632711.6213310342</v>
      </c>
      <c r="N9" s="53">
        <f t="shared" si="1"/>
        <v>2741316.4611382908</v>
      </c>
    </row>
    <row r="10" spans="1:15" x14ac:dyDescent="0.25">
      <c r="A10" s="60">
        <f t="shared" si="2"/>
        <v>44472</v>
      </c>
      <c r="C10" s="49">
        <v>9560241.9021836668</v>
      </c>
      <c r="D10" s="49">
        <v>5106120.523922299</v>
      </c>
      <c r="E10" s="49">
        <v>100504.70411618927</v>
      </c>
      <c r="F10" s="49">
        <v>0</v>
      </c>
      <c r="G10" s="49">
        <v>90787.000314818462</v>
      </c>
      <c r="H10" s="49">
        <v>2157007</v>
      </c>
      <c r="I10" s="49">
        <v>3624959</v>
      </c>
      <c r="K10" s="69"/>
      <c r="L10" s="49"/>
      <c r="M10" s="53">
        <f t="shared" si="0"/>
        <v>9560241.9021836668</v>
      </c>
      <c r="N10" s="53">
        <f t="shared" si="1"/>
        <v>5206625.228038488</v>
      </c>
    </row>
    <row r="11" spans="1:15" x14ac:dyDescent="0.25">
      <c r="A11" s="60">
        <f t="shared" si="2"/>
        <v>44503</v>
      </c>
      <c r="C11" s="49">
        <v>17506959.286541212</v>
      </c>
      <c r="D11" s="49">
        <v>7548633.4238028238</v>
      </c>
      <c r="E11" s="49">
        <v>132812.66850607135</v>
      </c>
      <c r="F11" s="49">
        <v>0</v>
      </c>
      <c r="G11" s="49">
        <v>120364.93839192386</v>
      </c>
      <c r="H11" s="49">
        <v>2926767</v>
      </c>
      <c r="I11" s="49">
        <v>4202153</v>
      </c>
      <c r="K11" s="69"/>
      <c r="L11" s="49"/>
      <c r="M11" s="53">
        <f t="shared" si="0"/>
        <v>17506959.286541212</v>
      </c>
      <c r="N11" s="53">
        <f t="shared" si="1"/>
        <v>7681446.0923088947</v>
      </c>
    </row>
    <row r="12" spans="1:15" x14ac:dyDescent="0.25">
      <c r="A12" s="60">
        <f t="shared" si="2"/>
        <v>44534</v>
      </c>
      <c r="C12" s="49">
        <v>23935507.717804227</v>
      </c>
      <c r="D12" s="49">
        <v>8740463.3009383157</v>
      </c>
      <c r="E12" s="49">
        <v>136023.427722919</v>
      </c>
      <c r="F12" s="49">
        <v>0</v>
      </c>
      <c r="G12" s="49">
        <v>129662.94112678978</v>
      </c>
      <c r="H12" s="49">
        <v>3312517</v>
      </c>
      <c r="I12" s="49">
        <v>4631599</v>
      </c>
      <c r="K12" s="69"/>
      <c r="L12" s="49"/>
      <c r="M12" s="53">
        <f t="shared" si="0"/>
        <v>23935507.717804227</v>
      </c>
      <c r="N12" s="53">
        <f t="shared" si="1"/>
        <v>8876486.7286612354</v>
      </c>
    </row>
    <row r="13" spans="1:15" x14ac:dyDescent="0.25">
      <c r="A13" s="60">
        <f t="shared" si="2"/>
        <v>44565</v>
      </c>
      <c r="C13" s="49">
        <v>23965256.448700149</v>
      </c>
      <c r="D13" s="49">
        <v>8842740.220279349</v>
      </c>
      <c r="E13" s="49">
        <v>146257.35906065744</v>
      </c>
      <c r="F13" s="49">
        <v>0</v>
      </c>
      <c r="G13" s="49">
        <v>130816.8346799695</v>
      </c>
      <c r="H13" s="49">
        <v>3703143</v>
      </c>
      <c r="I13" s="49">
        <v>5031495</v>
      </c>
      <c r="K13" s="69"/>
      <c r="L13" s="49"/>
      <c r="M13" s="53">
        <f t="shared" si="0"/>
        <v>23965256.448700149</v>
      </c>
      <c r="N13" s="53">
        <f t="shared" si="1"/>
        <v>8988997.5793400072</v>
      </c>
    </row>
    <row r="14" spans="1:15" x14ac:dyDescent="0.25">
      <c r="A14" s="60">
        <f t="shared" si="2"/>
        <v>44596</v>
      </c>
      <c r="C14" s="49">
        <v>20399863.801270857</v>
      </c>
      <c r="D14" s="49">
        <v>7499036.0940641798</v>
      </c>
      <c r="E14" s="49">
        <v>128321.78511466304</v>
      </c>
      <c r="F14" s="49">
        <v>0</v>
      </c>
      <c r="G14" s="49">
        <v>116659.02085720467</v>
      </c>
      <c r="H14" s="49">
        <v>3830075</v>
      </c>
      <c r="I14" s="49">
        <v>5060676</v>
      </c>
      <c r="K14" s="69"/>
      <c r="L14" s="49"/>
      <c r="M14" s="53">
        <f t="shared" si="0"/>
        <v>20399863.801270857</v>
      </c>
      <c r="N14" s="53">
        <f t="shared" si="1"/>
        <v>7627357.8791788425</v>
      </c>
    </row>
    <row r="15" spans="1:15" x14ac:dyDescent="0.25">
      <c r="A15" s="60">
        <f t="shared" si="2"/>
        <v>44627</v>
      </c>
      <c r="C15" s="49">
        <v>16133733.942852391</v>
      </c>
      <c r="D15" s="49">
        <v>6430441.8493583407</v>
      </c>
      <c r="E15" s="49">
        <v>109592.87699410346</v>
      </c>
      <c r="F15" s="49">
        <v>0</v>
      </c>
      <c r="G15" s="49">
        <v>98207.553715881862</v>
      </c>
      <c r="H15" s="49">
        <v>3375184</v>
      </c>
      <c r="I15" s="49">
        <v>4539873</v>
      </c>
      <c r="K15" s="69"/>
      <c r="L15" s="49"/>
      <c r="M15" s="53">
        <f t="shared" si="0"/>
        <v>16133733.942852391</v>
      </c>
      <c r="N15" s="53">
        <f t="shared" si="1"/>
        <v>6540034.7263524439</v>
      </c>
    </row>
    <row r="16" spans="1:15" x14ac:dyDescent="0.25">
      <c r="A16" s="60">
        <f t="shared" si="2"/>
        <v>44658</v>
      </c>
      <c r="C16" s="49">
        <v>10096249.715833068</v>
      </c>
      <c r="D16" s="49">
        <v>4429430.7798592513</v>
      </c>
      <c r="E16" s="49">
        <v>84541.644929118731</v>
      </c>
      <c r="F16" s="49">
        <v>0</v>
      </c>
      <c r="G16" s="49">
        <v>74514.858259340108</v>
      </c>
      <c r="H16" s="49">
        <v>3297310</v>
      </c>
      <c r="I16" s="49">
        <v>4540014</v>
      </c>
      <c r="K16" s="69"/>
      <c r="L16" s="49"/>
      <c r="M16" s="53">
        <f t="shared" si="0"/>
        <v>10096249.715833068</v>
      </c>
      <c r="N16" s="53">
        <f t="shared" si="1"/>
        <v>4513972.4247883698</v>
      </c>
    </row>
    <row r="17" spans="1:15" x14ac:dyDescent="0.25">
      <c r="A17" s="60">
        <f t="shared" si="2"/>
        <v>44689</v>
      </c>
      <c r="C17" s="49">
        <v>4784513.1663995478</v>
      </c>
      <c r="D17" s="49">
        <v>2517473.5620496604</v>
      </c>
      <c r="E17" s="49">
        <v>53663.442795794668</v>
      </c>
      <c r="F17" s="49">
        <v>0</v>
      </c>
      <c r="G17" s="49">
        <v>49976.877447957493</v>
      </c>
      <c r="H17" s="49">
        <v>2845912</v>
      </c>
      <c r="I17" s="49">
        <v>4131889</v>
      </c>
      <c r="K17" s="69"/>
      <c r="L17" s="49"/>
      <c r="M17" s="53">
        <f t="shared" si="0"/>
        <v>4784513.1663995478</v>
      </c>
      <c r="N17" s="53">
        <f t="shared" si="1"/>
        <v>2571137.0048454548</v>
      </c>
    </row>
    <row r="18" spans="1:15" x14ac:dyDescent="0.25">
      <c r="A18" s="60">
        <f t="shared" si="2"/>
        <v>44720</v>
      </c>
      <c r="C18" s="49">
        <v>2831493.1823833641</v>
      </c>
      <c r="D18" s="49">
        <v>1875175.4107781008</v>
      </c>
      <c r="E18" s="49">
        <v>41015.603770848415</v>
      </c>
      <c r="F18" s="49">
        <v>0</v>
      </c>
      <c r="G18" s="49">
        <v>40126.060309256092</v>
      </c>
      <c r="H18" s="49">
        <v>2548537</v>
      </c>
      <c r="I18" s="49">
        <v>3824382</v>
      </c>
      <c r="K18" s="69"/>
      <c r="L18" s="49"/>
      <c r="M18" s="53">
        <f t="shared" si="0"/>
        <v>2831493.1823833641</v>
      </c>
      <c r="N18" s="53">
        <f t="shared" si="1"/>
        <v>1916191.0145489492</v>
      </c>
    </row>
    <row r="19" spans="1:15" x14ac:dyDescent="0.25">
      <c r="A19" s="60">
        <f t="shared" si="2"/>
        <v>44751</v>
      </c>
      <c r="C19" s="49">
        <v>2123790.0605017045</v>
      </c>
      <c r="D19" s="49">
        <v>1941251.2676655753</v>
      </c>
      <c r="E19" s="49">
        <v>51356.511064370075</v>
      </c>
      <c r="F19" s="49">
        <v>0</v>
      </c>
      <c r="G19" s="49">
        <v>44903.524669780265</v>
      </c>
      <c r="H19" s="49">
        <v>2377549</v>
      </c>
      <c r="I19" s="49">
        <v>3652746</v>
      </c>
      <c r="K19" s="69"/>
      <c r="L19" s="49"/>
      <c r="M19" s="53">
        <f t="shared" si="0"/>
        <v>2123790.0605017045</v>
      </c>
      <c r="N19" s="53">
        <f t="shared" si="1"/>
        <v>1992607.7787299454</v>
      </c>
    </row>
    <row r="20" spans="1:15" x14ac:dyDescent="0.25">
      <c r="A20" s="60"/>
      <c r="C20" s="49"/>
      <c r="D20" s="49"/>
      <c r="E20" s="49"/>
      <c r="F20" s="49"/>
      <c r="G20" s="49"/>
      <c r="H20" s="49"/>
      <c r="I20" s="49"/>
      <c r="K20" s="69"/>
      <c r="L20" s="49"/>
      <c r="M20" s="53"/>
      <c r="N20" s="53"/>
    </row>
    <row r="21" spans="1:15" x14ac:dyDescent="0.25">
      <c r="A21" s="60"/>
      <c r="C21" s="49"/>
      <c r="D21" s="49"/>
      <c r="E21" s="49"/>
      <c r="F21" s="49"/>
      <c r="G21" s="49"/>
      <c r="H21" s="49"/>
      <c r="I21" s="49"/>
      <c r="K21" s="69"/>
      <c r="L21" s="49"/>
      <c r="M21" s="53"/>
      <c r="N21" s="53"/>
    </row>
    <row r="22" spans="1:15" x14ac:dyDescent="0.25">
      <c r="A22" s="60"/>
      <c r="C22" s="49"/>
      <c r="D22" s="49"/>
      <c r="E22" s="49"/>
      <c r="F22" s="49"/>
      <c r="G22" s="49"/>
      <c r="H22" s="49"/>
      <c r="I22" s="49"/>
      <c r="K22" s="69"/>
      <c r="L22" s="49"/>
      <c r="M22" s="53"/>
      <c r="N22" s="53"/>
    </row>
    <row r="23" spans="1:15" x14ac:dyDescent="0.25">
      <c r="A23" s="60"/>
      <c r="C23" s="49"/>
      <c r="D23" s="49"/>
      <c r="E23" s="49"/>
      <c r="F23" s="49"/>
      <c r="G23" s="49"/>
      <c r="H23" s="49"/>
      <c r="I23" s="49"/>
      <c r="K23" s="69"/>
      <c r="L23" s="49"/>
      <c r="M23" s="53"/>
      <c r="N23" s="53"/>
    </row>
    <row r="24" spans="1:15" x14ac:dyDescent="0.25">
      <c r="A24" s="60"/>
      <c r="C24" s="49"/>
      <c r="D24" s="49"/>
      <c r="E24" s="49"/>
      <c r="F24" s="49"/>
      <c r="G24" s="49"/>
      <c r="H24" s="49"/>
      <c r="I24" s="49"/>
      <c r="K24" s="69"/>
      <c r="L24" s="49"/>
      <c r="M24" s="53"/>
      <c r="N24" s="53"/>
    </row>
    <row r="25" spans="1:15" x14ac:dyDescent="0.25">
      <c r="A25" s="60"/>
      <c r="C25" s="49"/>
      <c r="D25" s="49"/>
      <c r="E25" s="49"/>
      <c r="F25" s="49"/>
      <c r="G25" s="49"/>
      <c r="H25" s="49"/>
      <c r="I25" s="49"/>
      <c r="K25" s="69"/>
      <c r="L25" s="49"/>
      <c r="M25" s="53"/>
      <c r="N25" s="53"/>
    </row>
    <row r="26" spans="1:15" x14ac:dyDescent="0.25">
      <c r="A26" s="60"/>
      <c r="C26" s="49"/>
      <c r="D26" s="49"/>
      <c r="E26" s="49"/>
      <c r="F26" s="49"/>
      <c r="G26" s="49"/>
      <c r="H26" s="49"/>
      <c r="I26" s="49"/>
      <c r="K26" s="69"/>
      <c r="L26" s="49"/>
      <c r="M26" s="53"/>
      <c r="N26" s="53"/>
    </row>
    <row r="27" spans="1:15" x14ac:dyDescent="0.25">
      <c r="A27" s="60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1:15" x14ac:dyDescent="0.25">
      <c r="A28" s="60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pans="1:15" x14ac:dyDescent="0.25">
      <c r="A29" s="60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</row>
    <row r="30" spans="1:15" x14ac:dyDescent="0.25">
      <c r="A30" s="60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</row>
    <row r="31" spans="1:15" x14ac:dyDescent="0.25">
      <c r="A31" s="60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x14ac:dyDescent="0.25">
      <c r="A32" s="60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x14ac:dyDescent="0.25">
      <c r="A33" s="60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x14ac:dyDescent="0.25">
      <c r="A34" s="60"/>
      <c r="C34" s="49"/>
      <c r="D34" s="49"/>
      <c r="E34" s="49"/>
      <c r="F34" s="49"/>
      <c r="G34" s="49"/>
      <c r="H34" s="49"/>
      <c r="I34" s="49"/>
      <c r="K34" s="69"/>
      <c r="L34" s="49"/>
      <c r="M34" s="53"/>
      <c r="N34" s="53"/>
    </row>
    <row r="35" spans="1:15" x14ac:dyDescent="0.25">
      <c r="A35" s="60"/>
      <c r="C35" s="49"/>
      <c r="D35" s="49"/>
      <c r="E35" s="49"/>
      <c r="F35" s="49"/>
      <c r="G35" s="49"/>
      <c r="H35" s="49"/>
      <c r="I35" s="49"/>
      <c r="K35" s="69"/>
      <c r="L35" s="49"/>
      <c r="M35" s="53"/>
      <c r="N35" s="53"/>
    </row>
    <row r="36" spans="1:15" x14ac:dyDescent="0.25">
      <c r="A36" s="60"/>
      <c r="C36" s="49"/>
      <c r="D36" s="49"/>
      <c r="E36" s="49"/>
      <c r="F36" s="49"/>
      <c r="G36" s="49"/>
      <c r="H36" s="49"/>
      <c r="I36" s="49"/>
      <c r="K36" s="69"/>
      <c r="L36" s="49"/>
      <c r="M36" s="53"/>
      <c r="N36" s="53"/>
    </row>
    <row r="37" spans="1:15" x14ac:dyDescent="0.25">
      <c r="A37" s="60"/>
      <c r="C37" s="49"/>
      <c r="D37" s="49"/>
      <c r="E37" s="49"/>
      <c r="F37" s="49"/>
      <c r="G37" s="49"/>
      <c r="H37" s="49"/>
      <c r="I37" s="49"/>
      <c r="K37" s="69"/>
      <c r="L37" s="49"/>
      <c r="M37" s="53"/>
      <c r="N37" s="53"/>
    </row>
    <row r="38" spans="1:15" x14ac:dyDescent="0.25">
      <c r="A38" s="60"/>
      <c r="C38" s="49"/>
      <c r="D38" s="49"/>
      <c r="E38" s="49"/>
      <c r="F38" s="49"/>
      <c r="G38" s="49"/>
      <c r="H38" s="49"/>
      <c r="I38" s="49"/>
      <c r="K38" s="69"/>
      <c r="L38" s="49"/>
      <c r="M38" s="53"/>
      <c r="N38" s="53"/>
    </row>
    <row r="39" spans="1:15" x14ac:dyDescent="0.25">
      <c r="A39" s="60"/>
      <c r="C39" s="49"/>
      <c r="D39" s="49"/>
      <c r="E39" s="49"/>
      <c r="F39" s="49"/>
      <c r="G39" s="49"/>
      <c r="H39" s="49"/>
      <c r="I39" s="49"/>
      <c r="K39" s="69"/>
      <c r="L39" s="49"/>
      <c r="M39" s="53"/>
      <c r="N39" s="53"/>
    </row>
    <row r="40" spans="1:15" x14ac:dyDescent="0.25">
      <c r="A40" s="60"/>
      <c r="C40" s="49"/>
      <c r="D40" s="49"/>
      <c r="E40" s="49"/>
      <c r="F40" s="49"/>
      <c r="G40" s="49"/>
      <c r="H40" s="49"/>
      <c r="I40" s="49"/>
      <c r="K40" s="69"/>
      <c r="L40" s="49"/>
      <c r="M40" s="53"/>
      <c r="N40" s="53"/>
    </row>
    <row r="41" spans="1:15" x14ac:dyDescent="0.25">
      <c r="A41" s="60"/>
      <c r="C41" s="49"/>
      <c r="D41" s="49"/>
      <c r="E41" s="49"/>
      <c r="F41" s="49"/>
      <c r="G41" s="49"/>
      <c r="H41" s="49"/>
      <c r="I41" s="49"/>
      <c r="K41" s="69"/>
      <c r="L41" s="49"/>
      <c r="M41" s="53"/>
      <c r="N41" s="53"/>
    </row>
    <row r="42" spans="1:15" x14ac:dyDescent="0.25">
      <c r="A42" s="60"/>
      <c r="C42" s="49"/>
      <c r="D42" s="49"/>
      <c r="E42" s="49"/>
      <c r="F42" s="49"/>
      <c r="G42" s="49"/>
      <c r="H42" s="49"/>
      <c r="I42" s="49"/>
      <c r="K42" s="69"/>
      <c r="L42" s="49"/>
      <c r="M42" s="53"/>
      <c r="N42" s="53"/>
    </row>
    <row r="43" spans="1:15" x14ac:dyDescent="0.25">
      <c r="A43" s="60"/>
      <c r="C43" s="49"/>
      <c r="D43" s="49"/>
      <c r="E43" s="49"/>
      <c r="F43" s="49"/>
      <c r="G43" s="49"/>
      <c r="H43" s="49"/>
      <c r="I43" s="49"/>
      <c r="K43" s="69"/>
      <c r="L43" s="49"/>
      <c r="M43" s="53"/>
      <c r="N43" s="53"/>
    </row>
    <row r="44" spans="1:15" x14ac:dyDescent="0.25">
      <c r="A44" s="60"/>
      <c r="C44" s="49"/>
      <c r="D44" s="49"/>
      <c r="E44" s="49"/>
      <c r="F44" s="49"/>
      <c r="G44" s="49"/>
      <c r="H44" s="49"/>
      <c r="I44" s="49"/>
      <c r="K44" s="69"/>
      <c r="L44" s="49"/>
      <c r="M44" s="53"/>
      <c r="N44" s="53"/>
    </row>
    <row r="45" spans="1:15" x14ac:dyDescent="0.25">
      <c r="A45" s="60"/>
      <c r="C45" s="49"/>
      <c r="D45" s="49"/>
      <c r="E45" s="49"/>
      <c r="F45" s="49"/>
      <c r="G45" s="49"/>
      <c r="H45" s="49"/>
      <c r="I45" s="49"/>
      <c r="K45" s="69"/>
      <c r="L45" s="49"/>
      <c r="M45" s="53"/>
      <c r="N45" s="53"/>
    </row>
    <row r="46" spans="1:15" x14ac:dyDescent="0.25">
      <c r="A46" s="60"/>
      <c r="C46" s="49"/>
      <c r="D46" s="49"/>
      <c r="E46" s="49"/>
      <c r="F46" s="49"/>
      <c r="G46" s="49"/>
      <c r="H46" s="49"/>
      <c r="I46" s="49"/>
      <c r="K46" s="69"/>
      <c r="L46" s="49"/>
      <c r="M46" s="53"/>
      <c r="N46" s="53"/>
    </row>
    <row r="47" spans="1:15" x14ac:dyDescent="0.25">
      <c r="A47" s="60"/>
      <c r="C47" s="49"/>
      <c r="D47" s="49"/>
      <c r="E47" s="49"/>
      <c r="F47" s="49"/>
      <c r="G47" s="49"/>
      <c r="H47" s="49"/>
      <c r="I47" s="49"/>
      <c r="K47" s="69"/>
      <c r="M47" s="53"/>
      <c r="N47" s="53"/>
    </row>
    <row r="48" spans="1:15" x14ac:dyDescent="0.25">
      <c r="A48" s="60"/>
      <c r="C48" s="49"/>
      <c r="D48" s="49"/>
      <c r="E48" s="49"/>
      <c r="F48" s="49"/>
      <c r="G48" s="49"/>
      <c r="H48" s="49"/>
      <c r="I48" s="49"/>
      <c r="K48" s="69"/>
      <c r="M48" s="53"/>
      <c r="N48" s="53"/>
    </row>
    <row r="49" spans="1:14" x14ac:dyDescent="0.25">
      <c r="A49" s="60"/>
      <c r="C49" s="49"/>
      <c r="D49" s="49"/>
      <c r="E49" s="49"/>
      <c r="F49" s="49"/>
      <c r="G49" s="49"/>
      <c r="H49" s="49"/>
      <c r="I49" s="49"/>
      <c r="K49" s="69"/>
      <c r="M49" s="53"/>
      <c r="N49" s="53"/>
    </row>
    <row r="50" spans="1:14" x14ac:dyDescent="0.25">
      <c r="A50" s="60"/>
      <c r="C50" s="49"/>
      <c r="D50" s="49"/>
      <c r="E50" s="49"/>
      <c r="F50" s="49"/>
      <c r="G50" s="49"/>
      <c r="H50" s="49"/>
      <c r="I50" s="49"/>
      <c r="K50" s="69"/>
      <c r="M50" s="53"/>
      <c r="N50" s="53"/>
    </row>
    <row r="51" spans="1:14" x14ac:dyDescent="0.25">
      <c r="A51" s="60"/>
      <c r="C51" s="49"/>
      <c r="D51" s="49"/>
      <c r="E51" s="49"/>
      <c r="F51" s="49"/>
      <c r="G51" s="49"/>
      <c r="H51" s="49"/>
      <c r="I51" s="49"/>
      <c r="K51" s="69"/>
      <c r="M51" s="53"/>
      <c r="N51" s="53"/>
    </row>
    <row r="52" spans="1:14" x14ac:dyDescent="0.25">
      <c r="A52" s="60"/>
      <c r="C52" s="49"/>
      <c r="D52" s="49"/>
      <c r="E52" s="49"/>
      <c r="F52" s="49"/>
      <c r="G52" s="49"/>
      <c r="H52" s="49"/>
      <c r="I52" s="49"/>
      <c r="K52" s="69"/>
      <c r="M52" s="53"/>
      <c r="N52" s="53"/>
    </row>
    <row r="53" spans="1:14" x14ac:dyDescent="0.25">
      <c r="A53" s="60"/>
      <c r="C53" s="49"/>
      <c r="D53" s="49"/>
      <c r="E53" s="49"/>
      <c r="F53" s="49"/>
      <c r="G53" s="49"/>
      <c r="H53" s="49"/>
      <c r="I53" s="49"/>
      <c r="K53" s="69"/>
      <c r="M53" s="53"/>
      <c r="N53" s="53"/>
    </row>
    <row r="54" spans="1:14" x14ac:dyDescent="0.25">
      <c r="A54" s="60"/>
      <c r="C54" s="49"/>
      <c r="D54" s="49"/>
      <c r="E54" s="49"/>
      <c r="F54" s="49"/>
      <c r="G54" s="49"/>
      <c r="H54" s="49"/>
      <c r="I54" s="49"/>
      <c r="K54" s="69"/>
      <c r="M54" s="53"/>
      <c r="N54" s="53"/>
    </row>
    <row r="55" spans="1:14" x14ac:dyDescent="0.25">
      <c r="A55" s="60"/>
      <c r="C55" s="49"/>
      <c r="D55" s="49"/>
      <c r="E55" s="49"/>
      <c r="F55" s="49"/>
      <c r="G55" s="49"/>
      <c r="H55" s="49"/>
      <c r="I55" s="49"/>
      <c r="K55" s="69"/>
      <c r="M55" s="53"/>
      <c r="N55" s="53"/>
    </row>
    <row r="56" spans="1:14" x14ac:dyDescent="0.25">
      <c r="A56" s="60"/>
      <c r="C56" s="49"/>
      <c r="D56" s="49"/>
      <c r="E56" s="49"/>
      <c r="F56" s="49"/>
      <c r="G56" s="49"/>
      <c r="H56" s="49"/>
      <c r="I56" s="49"/>
      <c r="K56" s="69"/>
      <c r="M56" s="53"/>
      <c r="N56" s="53"/>
    </row>
    <row r="57" spans="1:14" x14ac:dyDescent="0.25">
      <c r="A57" s="60"/>
      <c r="C57" s="49"/>
      <c r="D57" s="49"/>
      <c r="E57" s="49"/>
      <c r="F57" s="49"/>
      <c r="G57" s="49"/>
      <c r="H57" s="49"/>
      <c r="I57" s="49"/>
      <c r="K57" s="69"/>
      <c r="M57" s="53"/>
      <c r="N57" s="53"/>
    </row>
    <row r="58" spans="1:14" x14ac:dyDescent="0.25">
      <c r="A58" s="60"/>
      <c r="C58" s="49"/>
      <c r="D58" s="49"/>
      <c r="E58" s="49"/>
      <c r="F58" s="49"/>
      <c r="G58" s="49"/>
      <c r="H58" s="49"/>
      <c r="I58" s="49"/>
      <c r="K58" s="69"/>
      <c r="M58" s="53"/>
      <c r="N58" s="53"/>
    </row>
    <row r="59" spans="1:14" x14ac:dyDescent="0.25">
      <c r="A59" s="60"/>
      <c r="C59" s="49"/>
      <c r="D59" s="49"/>
      <c r="E59" s="49"/>
      <c r="F59" s="49"/>
      <c r="G59" s="49"/>
      <c r="H59" s="49"/>
      <c r="I59" s="49"/>
      <c r="K59" s="69"/>
      <c r="M59" s="53"/>
      <c r="N59" s="53"/>
    </row>
    <row r="60" spans="1:14" x14ac:dyDescent="0.25">
      <c r="A60" s="60"/>
      <c r="C60" s="49"/>
      <c r="D60" s="49"/>
      <c r="E60" s="49"/>
      <c r="F60" s="49"/>
      <c r="G60" s="49"/>
      <c r="H60" s="49"/>
      <c r="I60" s="49"/>
      <c r="K60" s="69"/>
      <c r="M60" s="53"/>
      <c r="N60" s="53"/>
    </row>
    <row r="61" spans="1:14" x14ac:dyDescent="0.25">
      <c r="A61" s="60"/>
      <c r="C61" s="49"/>
      <c r="D61" s="49"/>
      <c r="E61" s="49"/>
      <c r="F61" s="49"/>
      <c r="G61" s="49"/>
      <c r="H61" s="49"/>
      <c r="I61" s="49"/>
      <c r="K61" s="69"/>
      <c r="M61" s="53"/>
      <c r="N61" s="53"/>
    </row>
    <row r="62" spans="1:14" x14ac:dyDescent="0.25">
      <c r="A62" s="60"/>
      <c r="C62" s="49"/>
      <c r="D62" s="49"/>
      <c r="E62" s="49"/>
      <c r="F62" s="49"/>
      <c r="G62" s="49"/>
      <c r="H62" s="49"/>
      <c r="I62" s="49"/>
      <c r="K62" s="69"/>
      <c r="M62" s="53"/>
      <c r="N62" s="53"/>
    </row>
    <row r="63" spans="1:14" x14ac:dyDescent="0.25">
      <c r="A63" s="60"/>
      <c r="C63" s="49"/>
      <c r="D63" s="49"/>
      <c r="E63" s="49"/>
      <c r="F63" s="49"/>
      <c r="G63" s="49"/>
      <c r="H63" s="49"/>
      <c r="I63" s="49"/>
      <c r="K63" s="69"/>
      <c r="M63" s="53"/>
      <c r="N63" s="53"/>
    </row>
    <row r="64" spans="1:14" x14ac:dyDescent="0.25">
      <c r="A64" s="60"/>
      <c r="C64" s="49"/>
      <c r="D64" s="49"/>
      <c r="E64" s="49"/>
      <c r="F64" s="49"/>
      <c r="G64" s="49"/>
      <c r="H64" s="49"/>
      <c r="I64" s="49"/>
      <c r="K64" s="69"/>
      <c r="M64" s="53"/>
      <c r="N64" s="53"/>
    </row>
    <row r="65" spans="1:14" x14ac:dyDescent="0.25">
      <c r="A65" s="60"/>
      <c r="C65" s="49"/>
      <c r="D65" s="49"/>
      <c r="E65" s="49"/>
      <c r="F65" s="49"/>
      <c r="G65" s="49"/>
      <c r="H65" s="49"/>
      <c r="I65" s="49"/>
      <c r="K65" s="69"/>
      <c r="M65" s="53"/>
      <c r="N65" s="53"/>
    </row>
    <row r="66" spans="1:14" x14ac:dyDescent="0.25">
      <c r="A66" s="60"/>
      <c r="C66" s="49"/>
      <c r="D66" s="49"/>
      <c r="E66" s="49"/>
      <c r="F66" s="49"/>
      <c r="G66" s="49"/>
      <c r="H66" s="49"/>
      <c r="I66" s="49"/>
      <c r="K66" s="69"/>
      <c r="M66" s="53"/>
      <c r="N66" s="53"/>
    </row>
    <row r="67" spans="1:14" x14ac:dyDescent="0.25">
      <c r="A67" s="60"/>
      <c r="C67" s="49"/>
      <c r="D67" s="49"/>
      <c r="E67" s="49"/>
      <c r="F67" s="49"/>
      <c r="G67" s="49"/>
      <c r="H67" s="49"/>
      <c r="I67" s="49"/>
      <c r="K67" s="69"/>
      <c r="M67" s="53"/>
      <c r="N67" s="53"/>
    </row>
    <row r="68" spans="1:14" x14ac:dyDescent="0.25">
      <c r="A68" s="60"/>
      <c r="C68" s="49"/>
      <c r="D68" s="49"/>
      <c r="E68" s="49"/>
      <c r="F68" s="49"/>
      <c r="G68" s="49"/>
      <c r="H68" s="49"/>
      <c r="I68" s="49"/>
      <c r="K68" s="69"/>
      <c r="M68" s="53"/>
      <c r="N68" s="53"/>
    </row>
    <row r="69" spans="1:14" x14ac:dyDescent="0.25">
      <c r="A69" s="60"/>
      <c r="C69" s="49"/>
      <c r="D69" s="49"/>
      <c r="E69" s="49"/>
      <c r="F69" s="49"/>
      <c r="G69" s="49"/>
      <c r="H69" s="49"/>
      <c r="I69" s="49"/>
      <c r="K69" s="69"/>
      <c r="M69" s="53"/>
      <c r="N69" s="53"/>
    </row>
    <row r="70" spans="1:14" x14ac:dyDescent="0.25">
      <c r="A70" s="60"/>
      <c r="C70" s="49"/>
      <c r="D70" s="49"/>
      <c r="E70" s="49"/>
      <c r="F70" s="49"/>
      <c r="G70" s="49"/>
      <c r="H70" s="49"/>
      <c r="I70" s="49"/>
      <c r="K70" s="69"/>
      <c r="M70" s="53"/>
      <c r="N70" s="53"/>
    </row>
  </sheetData>
  <mergeCells count="3">
    <mergeCell ref="A1:A2"/>
    <mergeCell ref="K3:K4"/>
    <mergeCell ref="M3:N3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0"/>
  <sheetViews>
    <sheetView topLeftCell="A61" zoomScaleNormal="100" workbookViewId="0">
      <selection activeCell="G23" sqref="G23"/>
    </sheetView>
  </sheetViews>
  <sheetFormatPr defaultRowHeight="15" x14ac:dyDescent="0.25"/>
  <cols>
    <col min="1" max="1" width="5.28515625" customWidth="1"/>
    <col min="2" max="2" width="31.7109375" customWidth="1"/>
    <col min="3" max="3" width="15" customWidth="1"/>
    <col min="4" max="4" width="14.28515625" customWidth="1"/>
    <col min="5" max="5" width="19.85546875" customWidth="1"/>
    <col min="6" max="6" width="8.140625" customWidth="1"/>
    <col min="7" max="7" width="5.28515625" customWidth="1"/>
    <col min="8" max="8" width="31.7109375" customWidth="1"/>
    <col min="9" max="9" width="14" customWidth="1"/>
    <col min="10" max="10" width="15.28515625" customWidth="1"/>
    <col min="11" max="11" width="19.140625" customWidth="1"/>
    <col min="12" max="12" width="8.28515625" customWidth="1"/>
    <col min="13" max="13" width="12.5703125" bestFit="1" customWidth="1"/>
    <col min="14" max="14" width="11.140625" bestFit="1" customWidth="1"/>
    <col min="15" max="15" width="10" customWidth="1"/>
  </cols>
  <sheetData>
    <row r="1" spans="1:15" x14ac:dyDescent="0.25">
      <c r="B1" s="177" t="s">
        <v>0</v>
      </c>
      <c r="C1" s="177"/>
      <c r="D1" s="177"/>
      <c r="E1" s="177"/>
      <c r="F1" s="135"/>
      <c r="G1" s="72"/>
      <c r="H1" s="177" t="s">
        <v>0</v>
      </c>
      <c r="I1" s="177"/>
      <c r="J1" s="177"/>
      <c r="K1" s="177"/>
    </row>
    <row r="2" spans="1:15" x14ac:dyDescent="0.25">
      <c r="B2" s="177" t="s">
        <v>1</v>
      </c>
      <c r="C2" s="177"/>
      <c r="D2" s="177"/>
      <c r="E2" s="177"/>
      <c r="F2" s="135"/>
      <c r="G2" s="72"/>
      <c r="H2" s="177" t="s">
        <v>1</v>
      </c>
      <c r="I2" s="177"/>
      <c r="J2" s="177"/>
      <c r="K2" s="177"/>
    </row>
    <row r="3" spans="1:15" x14ac:dyDescent="0.25">
      <c r="B3" s="177" t="s">
        <v>177</v>
      </c>
      <c r="C3" s="177"/>
      <c r="D3" s="177"/>
      <c r="E3" s="177"/>
      <c r="F3" s="135"/>
      <c r="G3" s="72"/>
      <c r="H3" s="177" t="str">
        <f>B3</f>
        <v>Effective August 1, 2021 - July 31, 2022</v>
      </c>
      <c r="I3" s="177"/>
      <c r="J3" s="177"/>
      <c r="K3" s="177"/>
    </row>
    <row r="4" spans="1:15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5" ht="18.75" x14ac:dyDescent="0.3">
      <c r="B5" s="176" t="s">
        <v>4</v>
      </c>
      <c r="C5" s="176"/>
      <c r="D5" s="176"/>
      <c r="E5" s="176"/>
      <c r="F5" s="36"/>
      <c r="G5" s="30"/>
      <c r="H5" s="176" t="s">
        <v>14</v>
      </c>
      <c r="I5" s="176"/>
      <c r="J5" s="176"/>
      <c r="K5" s="176"/>
    </row>
    <row r="6" spans="1:15" ht="30" customHeight="1" x14ac:dyDescent="0.25">
      <c r="A6" s="77" t="s">
        <v>94</v>
      </c>
      <c r="B6" s="27" t="s">
        <v>2</v>
      </c>
      <c r="C6" s="27" t="s">
        <v>6</v>
      </c>
      <c r="D6" s="27" t="s">
        <v>7</v>
      </c>
      <c r="E6" s="27" t="s">
        <v>107</v>
      </c>
      <c r="F6" s="27"/>
      <c r="G6" s="77" t="s">
        <v>94</v>
      </c>
      <c r="H6" s="27" t="s">
        <v>2</v>
      </c>
      <c r="I6" s="27" t="s">
        <v>6</v>
      </c>
      <c r="J6" s="27" t="s">
        <v>7</v>
      </c>
      <c r="K6" s="67" t="s">
        <v>107</v>
      </c>
    </row>
    <row r="7" spans="1:15" x14ac:dyDescent="0.25">
      <c r="A7" s="78">
        <v>1</v>
      </c>
      <c r="B7" s="27"/>
      <c r="C7" s="27">
        <f>ROUND(C8/E22,5)</f>
        <v>8.7100000000000007E-3</v>
      </c>
      <c r="D7" s="28">
        <f>F57</f>
        <v>3.2500000000000001E-2</v>
      </c>
      <c r="E7" s="27"/>
      <c r="F7" s="27"/>
      <c r="G7" s="78">
        <v>1</v>
      </c>
      <c r="H7" s="27"/>
      <c r="I7" s="27">
        <f>ROUND(I8/K22,5)</f>
        <v>7.6600000000000001E-3</v>
      </c>
      <c r="J7" s="28">
        <f>D7</f>
        <v>3.2500000000000001E-2</v>
      </c>
      <c r="K7" s="27"/>
      <c r="O7" s="59"/>
    </row>
    <row r="8" spans="1:15" x14ac:dyDescent="0.25">
      <c r="A8" s="78">
        <v>2</v>
      </c>
      <c r="B8" s="54">
        <v>44378</v>
      </c>
      <c r="C8" s="29">
        <f>C55+C56</f>
        <v>1183668.8246440841</v>
      </c>
      <c r="D8" s="29"/>
      <c r="E8" s="30"/>
      <c r="F8" s="30"/>
      <c r="G8" s="78">
        <v>2</v>
      </c>
      <c r="H8" s="54">
        <f>B8</f>
        <v>44378</v>
      </c>
      <c r="I8" s="29">
        <f>I55+I56</f>
        <v>466251.43742130295</v>
      </c>
      <c r="J8" s="29"/>
      <c r="K8" s="30"/>
    </row>
    <row r="9" spans="1:15" x14ac:dyDescent="0.25">
      <c r="A9" s="78">
        <v>3</v>
      </c>
      <c r="B9" s="54">
        <f>B8+31</f>
        <v>44409</v>
      </c>
      <c r="C9" s="80">
        <f>C8+D9-$C$7*E9</f>
        <v>1170694.0561021145</v>
      </c>
      <c r="D9" s="80">
        <f>(C8-$C$7*E9/2)*($D$7/12)</f>
        <v>3183.8882190471845</v>
      </c>
      <c r="E9" s="33">
        <f>'4 12 21 Forecast Usage by Sched'!M8</f>
        <v>1855184.4731362388</v>
      </c>
      <c r="F9" s="33"/>
      <c r="G9" s="78">
        <v>3</v>
      </c>
      <c r="H9" s="54">
        <f t="shared" ref="H9:H20" si="0">B9</f>
        <v>44409</v>
      </c>
      <c r="I9" s="84">
        <f>I8+J9-K9*$I$7</f>
        <v>450532.91343979153</v>
      </c>
      <c r="J9" s="84">
        <f>(I8-$I$7*K9/2)*$J$7/12</f>
        <v>1239.7999127425599</v>
      </c>
      <c r="K9" s="33">
        <f>'4 12 21 Forecast Usage by Sched'!N8</f>
        <v>2213880.4039496104</v>
      </c>
      <c r="M9" s="49"/>
      <c r="N9" s="49"/>
      <c r="O9" s="49"/>
    </row>
    <row r="10" spans="1:15" x14ac:dyDescent="0.25">
      <c r="A10" s="78">
        <v>4</v>
      </c>
      <c r="B10" s="54">
        <f t="shared" ref="B10:B20" si="1">B9+31</f>
        <v>44440</v>
      </c>
      <c r="C10" s="80">
        <f t="shared" ref="C10:C20" si="2">C9+D10-$C$7*E10</f>
        <v>1150902.7153305057</v>
      </c>
      <c r="D10" s="80">
        <f t="shared" ref="D10:D20" si="3">(C9-$C$7*E10/2)*($D$7/12)</f>
        <v>3139.5774501845485</v>
      </c>
      <c r="E10" s="33">
        <f>'4 12 21 Forecast Usage by Sched'!M9</f>
        <v>2632711.6213310342</v>
      </c>
      <c r="F10" s="33"/>
      <c r="G10" s="78">
        <v>4</v>
      </c>
      <c r="H10" s="54">
        <f t="shared" si="0"/>
        <v>44440</v>
      </c>
      <c r="I10" s="84">
        <f t="shared" ref="I10:I20" si="4">I9+J10-K10*$I$7</f>
        <v>430726.18720749661</v>
      </c>
      <c r="J10" s="84">
        <f t="shared" ref="J10:J20" si="5">(I9-$I$7*K10/2)*$J$7/12</f>
        <v>1191.7578600244199</v>
      </c>
      <c r="K10" s="33">
        <f>'4 12 21 Forecast Usage by Sched'!N9</f>
        <v>2741316.4611382908</v>
      </c>
      <c r="M10" s="49"/>
      <c r="N10" s="49"/>
      <c r="O10" s="49"/>
    </row>
    <row r="11" spans="1:15" x14ac:dyDescent="0.25">
      <c r="A11" s="78">
        <v>5</v>
      </c>
      <c r="B11" s="54">
        <f t="shared" si="1"/>
        <v>44471</v>
      </c>
      <c r="C11" s="80">
        <f t="shared" si="2"/>
        <v>1070637.2754883203</v>
      </c>
      <c r="D11" s="80">
        <f t="shared" si="3"/>
        <v>3004.2671258342598</v>
      </c>
      <c r="E11" s="33">
        <f>'4 12 21 Forecast Usage by Sched'!M10</f>
        <v>9560241.9021836668</v>
      </c>
      <c r="F11" s="33"/>
      <c r="G11" s="78">
        <v>5</v>
      </c>
      <c r="H11" s="54">
        <f t="shared" si="0"/>
        <v>44471</v>
      </c>
      <c r="I11" s="84">
        <f t="shared" si="4"/>
        <v>391955.98016147042</v>
      </c>
      <c r="J11" s="84">
        <f t="shared" si="5"/>
        <v>1112.5422007486291</v>
      </c>
      <c r="K11" s="33">
        <f>'4 12 21 Forecast Usage by Sched'!N10</f>
        <v>5206625.228038488</v>
      </c>
      <c r="M11" s="49"/>
      <c r="N11" s="49"/>
      <c r="O11" s="49"/>
    </row>
    <row r="12" spans="1:15" x14ac:dyDescent="0.25">
      <c r="A12" s="78">
        <v>6</v>
      </c>
      <c r="B12" s="54">
        <f t="shared" si="1"/>
        <v>44502</v>
      </c>
      <c r="C12" s="80">
        <f t="shared" si="2"/>
        <v>920844.81178615906</v>
      </c>
      <c r="D12" s="80">
        <f t="shared" si="3"/>
        <v>2693.1516836126316</v>
      </c>
      <c r="E12" s="33">
        <f>'4 12 21 Forecast Usage by Sched'!M11</f>
        <v>17506959.286541212</v>
      </c>
      <c r="F12" s="33"/>
      <c r="G12" s="78">
        <v>6</v>
      </c>
      <c r="H12" s="54">
        <f t="shared" si="0"/>
        <v>44502</v>
      </c>
      <c r="I12" s="84">
        <f t="shared" si="4"/>
        <v>334097.97154045996</v>
      </c>
      <c r="J12" s="84">
        <f t="shared" si="5"/>
        <v>981.8684460756366</v>
      </c>
      <c r="K12" s="33">
        <f>'4 12 21 Forecast Usage by Sched'!N11</f>
        <v>7681446.0923088947</v>
      </c>
      <c r="M12" s="49"/>
      <c r="N12" s="49"/>
      <c r="O12" s="49"/>
    </row>
    <row r="13" spans="1:15" x14ac:dyDescent="0.25">
      <c r="A13" s="78">
        <v>7</v>
      </c>
      <c r="B13" s="54">
        <f t="shared" si="1"/>
        <v>44533</v>
      </c>
      <c r="C13" s="80">
        <f t="shared" si="2"/>
        <v>714578.17993570433</v>
      </c>
      <c r="D13" s="80">
        <f t="shared" si="3"/>
        <v>2211.6403716201212</v>
      </c>
      <c r="E13" s="33">
        <f>'4 12 21 Forecast Usage by Sched'!M12</f>
        <v>23935507.717804227</v>
      </c>
      <c r="F13" s="33"/>
      <c r="G13" s="78">
        <v>7</v>
      </c>
      <c r="H13" s="54">
        <f t="shared" si="0"/>
        <v>44533</v>
      </c>
      <c r="I13" s="84">
        <f t="shared" si="4"/>
        <v>266916.8568147078</v>
      </c>
      <c r="J13" s="84">
        <f t="shared" si="5"/>
        <v>812.77361579290357</v>
      </c>
      <c r="K13" s="33">
        <f>'4 12 21 Forecast Usage by Sched'!N12</f>
        <v>8876486.7286612354</v>
      </c>
      <c r="M13" s="49"/>
      <c r="N13" s="49"/>
      <c r="O13" s="49"/>
    </row>
    <row r="14" spans="1:15" x14ac:dyDescent="0.25">
      <c r="A14" s="78">
        <v>8</v>
      </c>
      <c r="B14" s="54">
        <f t="shared" si="1"/>
        <v>44564</v>
      </c>
      <c r="C14" s="80">
        <f t="shared" si="2"/>
        <v>507493.44696446788</v>
      </c>
      <c r="D14" s="80">
        <f t="shared" si="3"/>
        <v>1652.6506969418747</v>
      </c>
      <c r="E14" s="33">
        <f>'4 12 21 Forecast Usage by Sched'!M13</f>
        <v>23965256.448700149</v>
      </c>
      <c r="F14" s="33"/>
      <c r="G14" s="78">
        <v>8</v>
      </c>
      <c r="H14" s="54">
        <f t="shared" si="0"/>
        <v>44564</v>
      </c>
      <c r="I14" s="84">
        <f t="shared" si="4"/>
        <v>198690.79305469579</v>
      </c>
      <c r="J14" s="84">
        <f t="shared" si="5"/>
        <v>629.65769773247132</v>
      </c>
      <c r="K14" s="33">
        <f>'4 12 21 Forecast Usage by Sched'!N13</f>
        <v>8988997.5793400072</v>
      </c>
      <c r="M14" s="49"/>
      <c r="N14" s="49"/>
      <c r="O14" s="49"/>
    </row>
    <row r="15" spans="1:15" x14ac:dyDescent="0.25">
      <c r="A15" s="78">
        <v>9</v>
      </c>
      <c r="B15" s="54">
        <f t="shared" si="1"/>
        <v>44595</v>
      </c>
      <c r="C15" s="80">
        <f t="shared" si="2"/>
        <v>330944.48253069643</v>
      </c>
      <c r="D15" s="80">
        <f t="shared" si="3"/>
        <v>1133.8492752977361</v>
      </c>
      <c r="E15" s="33">
        <f>'4 12 21 Forecast Usage by Sched'!M14</f>
        <v>20399863.801270857</v>
      </c>
      <c r="F15" s="33"/>
      <c r="G15" s="78">
        <v>9</v>
      </c>
      <c r="H15" s="54">
        <f t="shared" si="0"/>
        <v>44595</v>
      </c>
      <c r="I15" s="84">
        <f t="shared" si="4"/>
        <v>140724.23465037477</v>
      </c>
      <c r="J15" s="84">
        <f t="shared" si="5"/>
        <v>459.00295018890216</v>
      </c>
      <c r="K15" s="33">
        <f>'4 12 21 Forecast Usage by Sched'!N14</f>
        <v>7627357.8791788425</v>
      </c>
      <c r="M15" s="49"/>
      <c r="N15" s="49"/>
      <c r="O15" s="49"/>
    </row>
    <row r="16" spans="1:15" x14ac:dyDescent="0.25">
      <c r="A16" s="78">
        <v>10</v>
      </c>
      <c r="B16" s="54">
        <f t="shared" si="1"/>
        <v>44626</v>
      </c>
      <c r="C16" s="80">
        <f t="shared" si="2"/>
        <v>191125.67383131135</v>
      </c>
      <c r="D16" s="80">
        <f t="shared" si="3"/>
        <v>706.01394285926369</v>
      </c>
      <c r="E16" s="33">
        <f>'4 12 21 Forecast Usage by Sched'!M15</f>
        <v>16133733.942852391</v>
      </c>
      <c r="F16" s="33"/>
      <c r="G16" s="78">
        <v>10</v>
      </c>
      <c r="H16" s="54">
        <f t="shared" si="0"/>
        <v>44626</v>
      </c>
      <c r="I16" s="84">
        <f t="shared" si="4"/>
        <v>90940.857546812913</v>
      </c>
      <c r="J16" s="84">
        <f t="shared" si="5"/>
        <v>313.28890029787163</v>
      </c>
      <c r="K16" s="33">
        <f>'4 12 21 Forecast Usage by Sched'!N15</f>
        <v>6540034.7263524439</v>
      </c>
      <c r="M16" s="49"/>
      <c r="N16" s="49"/>
      <c r="O16" s="49"/>
    </row>
    <row r="17" spans="1:15" x14ac:dyDescent="0.25">
      <c r="A17" s="78">
        <v>11</v>
      </c>
      <c r="B17" s="54">
        <f t="shared" si="1"/>
        <v>44657</v>
      </c>
      <c r="C17" s="80">
        <f t="shared" si="2"/>
        <v>103585.88767768556</v>
      </c>
      <c r="D17" s="80">
        <f t="shared" si="3"/>
        <v>398.54887128024131</v>
      </c>
      <c r="E17" s="33">
        <f>'4 12 21 Forecast Usage by Sched'!M16</f>
        <v>10096249.715833068</v>
      </c>
      <c r="F17" s="33"/>
      <c r="G17" s="78">
        <v>11</v>
      </c>
      <c r="H17" s="54">
        <f t="shared" si="0"/>
        <v>44657</v>
      </c>
      <c r="I17" s="84">
        <f t="shared" si="4"/>
        <v>56563.303868991985</v>
      </c>
      <c r="J17" s="84">
        <f t="shared" si="5"/>
        <v>199.47509605799064</v>
      </c>
      <c r="K17" s="33">
        <f>'4 12 21 Forecast Usage by Sched'!N16</f>
        <v>4513972.4247883698</v>
      </c>
      <c r="M17" s="49"/>
      <c r="N17" s="49"/>
      <c r="O17" s="49"/>
    </row>
    <row r="18" spans="1:15" x14ac:dyDescent="0.25">
      <c r="A18" s="78">
        <v>12</v>
      </c>
      <c r="B18" s="54">
        <f t="shared" si="1"/>
        <v>44688</v>
      </c>
      <c r="C18" s="80">
        <f t="shared" si="2"/>
        <v>62136.890774781787</v>
      </c>
      <c r="D18" s="80">
        <f t="shared" si="3"/>
        <v>224.11277643629205</v>
      </c>
      <c r="E18" s="33">
        <f>'4 12 21 Forecast Usage by Sched'!M17</f>
        <v>4784513.1663995478</v>
      </c>
      <c r="F18" s="33"/>
      <c r="G18" s="78">
        <v>12</v>
      </c>
      <c r="H18" s="54">
        <f t="shared" si="0"/>
        <v>44688</v>
      </c>
      <c r="I18" s="84">
        <f t="shared" si="4"/>
        <v>36994.916503297813</v>
      </c>
      <c r="J18" s="84">
        <f t="shared" si="5"/>
        <v>126.52209142200847</v>
      </c>
      <c r="K18" s="33">
        <f>'4 12 21 Forecast Usage by Sched'!N17</f>
        <v>2571137.0048454548</v>
      </c>
      <c r="M18" s="49"/>
      <c r="N18" s="49"/>
      <c r="O18" s="49"/>
    </row>
    <row r="19" spans="1:15" x14ac:dyDescent="0.25">
      <c r="A19" s="78">
        <v>13</v>
      </c>
      <c r="B19" s="54">
        <f t="shared" si="1"/>
        <v>44719</v>
      </c>
      <c r="C19" s="80">
        <f t="shared" si="2"/>
        <v>37609.475696545924</v>
      </c>
      <c r="D19" s="80">
        <f t="shared" si="3"/>
        <v>134.89054032323523</v>
      </c>
      <c r="E19" s="33">
        <f>'4 12 21 Forecast Usage by Sched'!M18</f>
        <v>2831493.1823833641</v>
      </c>
      <c r="F19" s="33"/>
      <c r="G19" s="78">
        <v>13</v>
      </c>
      <c r="H19" s="54">
        <f t="shared" si="0"/>
        <v>44719</v>
      </c>
      <c r="I19" s="84">
        <f t="shared" si="4"/>
        <v>22397.211407671293</v>
      </c>
      <c r="J19" s="84">
        <f t="shared" si="5"/>
        <v>80.318075818433215</v>
      </c>
      <c r="K19" s="33">
        <f>'4 12 21 Forecast Usage by Sched'!N18</f>
        <v>1916191.0145489492</v>
      </c>
      <c r="M19" s="49"/>
      <c r="N19" s="49"/>
      <c r="O19" s="49"/>
    </row>
    <row r="20" spans="1:15" x14ac:dyDescent="0.25">
      <c r="A20" s="78">
        <v>14</v>
      </c>
      <c r="B20" s="54">
        <f t="shared" si="1"/>
        <v>44750</v>
      </c>
      <c r="C20" s="80">
        <f t="shared" si="2"/>
        <v>19188.073604946865</v>
      </c>
      <c r="D20" s="80">
        <f t="shared" si="3"/>
        <v>76.809335370790208</v>
      </c>
      <c r="E20" s="33">
        <f>'4 12 21 Forecast Usage by Sched'!M19</f>
        <v>2123790.0605017045</v>
      </c>
      <c r="F20" s="33"/>
      <c r="G20" s="78">
        <v>14</v>
      </c>
      <c r="H20" s="54">
        <f t="shared" si="0"/>
        <v>44750</v>
      </c>
      <c r="I20" s="84">
        <f t="shared" si="4"/>
        <v>7173.8257823909044</v>
      </c>
      <c r="J20" s="84">
        <f t="shared" si="5"/>
        <v>39.989959790992259</v>
      </c>
      <c r="K20" s="33">
        <f>'4 12 21 Forecast Usage by Sched'!N19</f>
        <v>1992607.7787299454</v>
      </c>
      <c r="M20" s="49"/>
      <c r="N20" s="49"/>
      <c r="O20" s="49"/>
    </row>
    <row r="21" spans="1:15" x14ac:dyDescent="0.25">
      <c r="B21" s="30"/>
      <c r="C21" s="30"/>
      <c r="D21" s="30"/>
      <c r="E21" s="30"/>
      <c r="F21" s="30"/>
      <c r="H21" s="30"/>
      <c r="I21" s="30"/>
      <c r="J21" s="30"/>
      <c r="K21" s="30"/>
    </row>
    <row r="22" spans="1:15" x14ac:dyDescent="0.25">
      <c r="A22" s="78">
        <v>15</v>
      </c>
      <c r="B22" s="30" t="s">
        <v>5</v>
      </c>
      <c r="C22" s="30"/>
      <c r="D22" s="29">
        <f>SUM(D9:D21)</f>
        <v>18559.400288808178</v>
      </c>
      <c r="E22" s="37">
        <f>SUM(E9:E21)</f>
        <v>135825505.31893745</v>
      </c>
      <c r="F22" s="37"/>
      <c r="G22" s="78">
        <v>15</v>
      </c>
      <c r="H22" s="30" t="s">
        <v>5</v>
      </c>
      <c r="I22" s="30"/>
      <c r="J22" s="29">
        <f>SUM(J9:J21)</f>
        <v>7186.9968066928186</v>
      </c>
      <c r="K22" s="37">
        <f>SUM(K9:K21)</f>
        <v>60870053.321880542</v>
      </c>
    </row>
    <row r="23" spans="1:15" ht="10.15" customHeight="1" x14ac:dyDescent="0.25">
      <c r="B23" s="30"/>
      <c r="C23" s="30"/>
      <c r="D23" s="29"/>
      <c r="E23" s="37"/>
      <c r="F23" s="37"/>
      <c r="H23" s="30"/>
      <c r="I23" s="30"/>
      <c r="J23" s="29"/>
      <c r="K23" s="37"/>
    </row>
    <row r="24" spans="1:15" ht="27" customHeight="1" x14ac:dyDescent="0.25">
      <c r="A24" s="78">
        <v>16</v>
      </c>
      <c r="B24" s="174" t="s">
        <v>9</v>
      </c>
      <c r="C24" s="174"/>
      <c r="D24" s="31">
        <f>ROUND(D22/E22,5)</f>
        <v>1.3999999999999999E-4</v>
      </c>
      <c r="E24" s="37"/>
      <c r="F24" s="37"/>
      <c r="G24" s="78">
        <v>16</v>
      </c>
      <c r="H24" s="174" t="s">
        <v>9</v>
      </c>
      <c r="I24" s="174"/>
      <c r="J24" s="31">
        <f>ROUND(J22/K22,5)</f>
        <v>1.2E-4</v>
      </c>
      <c r="K24" s="37"/>
    </row>
    <row r="25" spans="1:15" ht="28.15" customHeight="1" x14ac:dyDescent="0.25">
      <c r="A25" s="78">
        <v>17</v>
      </c>
      <c r="B25" s="174" t="s">
        <v>10</v>
      </c>
      <c r="C25" s="174"/>
      <c r="D25" s="31">
        <f>C7</f>
        <v>8.7100000000000007E-3</v>
      </c>
      <c r="E25" s="37"/>
      <c r="F25" s="37"/>
      <c r="G25" s="78">
        <v>17</v>
      </c>
      <c r="H25" s="174" t="s">
        <v>10</v>
      </c>
      <c r="I25" s="174"/>
      <c r="J25" s="31">
        <f>I7</f>
        <v>7.6600000000000001E-3</v>
      </c>
      <c r="K25" s="37"/>
    </row>
    <row r="26" spans="1:15" ht="28.9" customHeight="1" x14ac:dyDescent="0.25">
      <c r="A26" s="78">
        <v>18</v>
      </c>
      <c r="B26" s="174" t="s">
        <v>11</v>
      </c>
      <c r="C26" s="174"/>
      <c r="D26" s="31">
        <f>D24+D25</f>
        <v>8.8500000000000002E-3</v>
      </c>
      <c r="E26" s="38"/>
      <c r="F26" s="38"/>
      <c r="G26" s="78">
        <v>18</v>
      </c>
      <c r="H26" s="174" t="s">
        <v>11</v>
      </c>
      <c r="I26" s="174"/>
      <c r="J26" s="31">
        <f>J24+J25</f>
        <v>7.7800000000000005E-3</v>
      </c>
      <c r="K26" s="38"/>
    </row>
    <row r="27" spans="1:15" ht="28.9" customHeight="1" x14ac:dyDescent="0.25">
      <c r="A27" s="78">
        <v>19</v>
      </c>
      <c r="B27" s="175" t="s">
        <v>12</v>
      </c>
      <c r="C27" s="175"/>
      <c r="D27" s="32">
        <f>'Conversion Factors'!$E$114</f>
        <v>1.044672</v>
      </c>
      <c r="E27" s="37"/>
      <c r="F27" s="37"/>
      <c r="G27" s="78">
        <v>19</v>
      </c>
      <c r="H27" s="175" t="s">
        <v>12</v>
      </c>
      <c r="I27" s="175"/>
      <c r="J27" s="32">
        <f>D27</f>
        <v>1.044672</v>
      </c>
      <c r="K27" s="37"/>
    </row>
    <row r="28" spans="1:15" ht="27" customHeight="1" x14ac:dyDescent="0.25">
      <c r="A28" s="78">
        <v>20</v>
      </c>
      <c r="B28" s="30" t="s">
        <v>79</v>
      </c>
      <c r="C28" s="30"/>
      <c r="D28" s="31">
        <f>ROUND(D26*D27,5)</f>
        <v>9.2499999999999995E-3</v>
      </c>
      <c r="E28" s="37"/>
      <c r="F28" s="37"/>
      <c r="G28" s="78">
        <v>20</v>
      </c>
      <c r="H28" s="30" t="s">
        <v>79</v>
      </c>
      <c r="I28" s="30"/>
      <c r="J28" s="31">
        <f>ROUND(J26*J27,5)</f>
        <v>8.1300000000000001E-3</v>
      </c>
      <c r="K28" s="37"/>
    </row>
    <row r="29" spans="1:15" ht="27" customHeight="1" x14ac:dyDescent="0.25">
      <c r="A29" s="78">
        <v>21</v>
      </c>
      <c r="B29" s="30" t="s">
        <v>71</v>
      </c>
      <c r="C29" s="30"/>
      <c r="D29" s="31">
        <f>'Earnings Test and 3% Test'!E56</f>
        <v>0</v>
      </c>
      <c r="E29" s="37"/>
      <c r="F29" s="37"/>
      <c r="G29" s="78">
        <v>21</v>
      </c>
      <c r="H29" s="30" t="s">
        <v>71</v>
      </c>
      <c r="I29" s="30"/>
      <c r="J29" s="31">
        <f>'Earnings Test and 3% Test'!F56</f>
        <v>0</v>
      </c>
      <c r="K29" s="37"/>
    </row>
    <row r="30" spans="1:15" ht="27" customHeight="1" x14ac:dyDescent="0.25">
      <c r="A30" s="78">
        <v>22</v>
      </c>
      <c r="B30" s="30" t="s">
        <v>72</v>
      </c>
      <c r="C30" s="30"/>
      <c r="D30" s="31">
        <f>D28+D29</f>
        <v>9.2499999999999995E-3</v>
      </c>
      <c r="E30" s="37" t="str">
        <f>IF(D30&lt;0,"Rebate Rate","Surcharge Rate")</f>
        <v>Surcharge Rate</v>
      </c>
      <c r="F30" s="37"/>
      <c r="G30" s="78">
        <v>22</v>
      </c>
      <c r="H30" s="30" t="s">
        <v>72</v>
      </c>
      <c r="I30" s="30"/>
      <c r="J30" s="31">
        <f>J28+J29</f>
        <v>8.1300000000000001E-3</v>
      </c>
      <c r="K30" s="37" t="str">
        <f>IF(J30&lt;0,"Rebate Rate","Surcharge Rate")</f>
        <v>Surcharge Rate</v>
      </c>
    </row>
    <row r="31" spans="1:15" ht="27" customHeight="1" x14ac:dyDescent="0.25">
      <c r="A31" s="78">
        <v>23</v>
      </c>
      <c r="B31" s="30"/>
      <c r="C31" s="34" t="s">
        <v>76</v>
      </c>
      <c r="D31" s="31">
        <f>ROUND(D30*'Conversion Factors'!$E$108,5)</f>
        <v>8.8500000000000002E-3</v>
      </c>
      <c r="E31" s="37" t="s">
        <v>13</v>
      </c>
      <c r="F31" s="37"/>
      <c r="G31" s="78">
        <v>23</v>
      </c>
      <c r="H31" s="30"/>
      <c r="I31" s="34" t="s">
        <v>76</v>
      </c>
      <c r="J31" s="31">
        <f>ROUND(J30*'Conversion Factors'!$E$108,5)</f>
        <v>7.7799999999999996E-3</v>
      </c>
      <c r="K31" s="37" t="s">
        <v>13</v>
      </c>
    </row>
    <row r="32" spans="1:15" ht="27" customHeight="1" x14ac:dyDescent="0.25">
      <c r="A32" s="78">
        <v>24</v>
      </c>
      <c r="B32" s="30" t="s">
        <v>78</v>
      </c>
      <c r="C32" s="30"/>
      <c r="D32" s="80">
        <f>IF(D29=0,0,C68)</f>
        <v>0</v>
      </c>
      <c r="E32" s="37"/>
      <c r="F32" s="37"/>
      <c r="G32" s="78">
        <v>24</v>
      </c>
      <c r="H32" s="30" t="s">
        <v>73</v>
      </c>
      <c r="I32" s="30"/>
      <c r="J32" s="80">
        <f>IF(J29=0,0,I68)</f>
        <v>0</v>
      </c>
      <c r="K32" s="37"/>
    </row>
    <row r="33" spans="1:12" ht="14.65" customHeight="1" x14ac:dyDescent="0.25">
      <c r="B33" s="30"/>
      <c r="C33" s="30"/>
      <c r="D33" s="29"/>
      <c r="E33" s="37"/>
      <c r="F33" s="37"/>
      <c r="H33" s="30"/>
      <c r="I33" s="30"/>
      <c r="J33" s="29"/>
      <c r="K33" s="37"/>
    </row>
    <row r="34" spans="1:12" ht="14.65" customHeight="1" x14ac:dyDescent="0.25">
      <c r="A34" s="55" t="s">
        <v>74</v>
      </c>
      <c r="B34" s="55" t="s">
        <v>74</v>
      </c>
      <c r="C34" s="30"/>
      <c r="D34" s="29"/>
      <c r="E34" s="37"/>
      <c r="F34" s="37"/>
      <c r="G34" s="55" t="s">
        <v>74</v>
      </c>
      <c r="H34" s="55" t="s">
        <v>74</v>
      </c>
      <c r="I34" s="30"/>
      <c r="J34" s="29"/>
      <c r="K34" s="37"/>
    </row>
    <row r="35" spans="1:12" ht="49.15" customHeight="1" x14ac:dyDescent="0.25">
      <c r="A35" s="76" t="s">
        <v>100</v>
      </c>
      <c r="B35" s="173" t="str">
        <f>"Deferral balance at the end of the month, Rate of "&amp;TEXT(D25,"$0.00000")&amp;" to recover the July 2021 balance of "&amp;TEXT(C8,"$000,000")&amp;" over 12 months.  See page 2 and 5 of Attachment A for July 2021 balance calculation."</f>
        <v>Deferral balance at the end of the month, Rate of $0.00871 to recover the July 2021 balance of $1,183,669 over 12 months.  See page 2 and 5 of Attachment A for July 2021 balance calculation.</v>
      </c>
      <c r="C35" s="173"/>
      <c r="D35" s="173"/>
      <c r="E35" s="173"/>
      <c r="F35" s="162"/>
      <c r="G35" s="76" t="s">
        <v>100</v>
      </c>
      <c r="H35" s="173" t="str">
        <f>"Deferral balance at the end of the month, Rate of "&amp;TEXT(J25,"$0.00000")&amp;" to recover the July 2021 balance of "&amp;TEXT(I8,"$000,000")&amp;" over 12 months.  See page 4 and 5 of Attachment A for July 2021 balance calculation."</f>
        <v>Deferral balance at the end of the month, Rate of $0.00766 to recover the July 2021 balance of $466,251 over 12 months.  See page 4 and 5 of Attachment A for July 2021 balance calculation.</v>
      </c>
      <c r="I35" s="173"/>
      <c r="J35" s="173"/>
      <c r="K35" s="173"/>
    </row>
    <row r="36" spans="1:12" ht="32.450000000000003" customHeight="1" x14ac:dyDescent="0.25">
      <c r="A36" s="76" t="s">
        <v>101</v>
      </c>
      <c r="B36" s="173" t="s">
        <v>102</v>
      </c>
      <c r="C36" s="173"/>
      <c r="D36" s="173"/>
      <c r="E36" s="173"/>
      <c r="F36" s="162"/>
      <c r="G36" s="76" t="s">
        <v>101</v>
      </c>
      <c r="H36" s="173" t="s">
        <v>102</v>
      </c>
      <c r="I36" s="173"/>
      <c r="J36" s="173"/>
      <c r="K36" s="173"/>
    </row>
    <row r="37" spans="1:12" ht="15.6" customHeight="1" x14ac:dyDescent="0.25">
      <c r="B37" s="163" t="s">
        <v>77</v>
      </c>
      <c r="C37" s="164"/>
      <c r="D37" s="164"/>
      <c r="E37" s="164"/>
      <c r="F37" s="162"/>
      <c r="G37" s="165"/>
      <c r="H37" s="163" t="s">
        <v>77</v>
      </c>
      <c r="I37" s="164"/>
      <c r="J37" s="164"/>
      <c r="K37" s="164"/>
    </row>
    <row r="38" spans="1:12" ht="18" customHeight="1" x14ac:dyDescent="0.25">
      <c r="A38" s="76" t="s">
        <v>103</v>
      </c>
      <c r="B38" s="170" t="s">
        <v>187</v>
      </c>
      <c r="C38" s="170"/>
      <c r="D38" s="170"/>
      <c r="E38" s="170"/>
      <c r="F38" s="162"/>
      <c r="G38" s="76" t="s">
        <v>103</v>
      </c>
      <c r="H38" s="170" t="s">
        <v>187</v>
      </c>
      <c r="I38" s="170"/>
      <c r="J38" s="170"/>
      <c r="K38" s="170"/>
    </row>
    <row r="39" spans="1:12" ht="18" customHeight="1" x14ac:dyDescent="0.25">
      <c r="A39" s="76" t="s">
        <v>104</v>
      </c>
      <c r="B39" s="170" t="s">
        <v>115</v>
      </c>
      <c r="C39" s="170"/>
      <c r="D39" s="170"/>
      <c r="E39" s="170"/>
      <c r="F39" s="162"/>
      <c r="G39" s="76" t="s">
        <v>104</v>
      </c>
      <c r="H39" s="170" t="s">
        <v>115</v>
      </c>
      <c r="I39" s="170"/>
      <c r="J39" s="170"/>
      <c r="K39" s="170"/>
    </row>
    <row r="40" spans="1:12" ht="18" customHeight="1" x14ac:dyDescent="0.25">
      <c r="A40" s="76" t="s">
        <v>105</v>
      </c>
      <c r="B40" s="170" t="s">
        <v>106</v>
      </c>
      <c r="C40" s="170"/>
      <c r="D40" s="170"/>
      <c r="E40" s="170"/>
      <c r="F40" s="162"/>
      <c r="G40" s="76" t="s">
        <v>105</v>
      </c>
      <c r="H40" s="170" t="s">
        <v>110</v>
      </c>
      <c r="I40" s="170"/>
      <c r="J40" s="170"/>
      <c r="K40" s="170"/>
    </row>
    <row r="41" spans="1:12" x14ac:dyDescent="0.25">
      <c r="B41" s="30"/>
      <c r="C41" s="30"/>
      <c r="D41" s="29"/>
      <c r="E41" s="37"/>
      <c r="F41" s="37"/>
      <c r="H41" s="30"/>
      <c r="I41" s="30"/>
      <c r="J41" s="29"/>
      <c r="K41" s="37"/>
    </row>
    <row r="42" spans="1:12" ht="27.6" customHeight="1" x14ac:dyDescent="0.3">
      <c r="B42" s="171" t="str">
        <f>B5</f>
        <v>Residential Natural Gas</v>
      </c>
      <c r="C42" s="171"/>
      <c r="D42" s="171"/>
      <c r="E42" s="171"/>
      <c r="F42" s="27"/>
      <c r="H42" s="171" t="str">
        <f>H5</f>
        <v>Non-Residential Natural Gas</v>
      </c>
      <c r="I42" s="171"/>
      <c r="J42" s="171"/>
      <c r="K42" s="171"/>
    </row>
    <row r="43" spans="1:12" x14ac:dyDescent="0.25">
      <c r="A43" s="77"/>
      <c r="B43" s="172" t="s">
        <v>178</v>
      </c>
      <c r="C43" s="172"/>
      <c r="D43" s="172"/>
      <c r="E43" s="172"/>
      <c r="F43" s="30"/>
      <c r="G43" s="77"/>
      <c r="H43" s="172" t="str">
        <f>B43</f>
        <v>Calculate Estimated Monthly Balances through July 2022</v>
      </c>
      <c r="I43" s="172"/>
      <c r="J43" s="172"/>
      <c r="K43" s="172"/>
    </row>
    <row r="44" spans="1:12" ht="30" x14ac:dyDescent="0.25">
      <c r="A44" s="77" t="s">
        <v>94</v>
      </c>
      <c r="B44" s="30"/>
      <c r="C44" s="27" t="s">
        <v>8</v>
      </c>
      <c r="D44" s="27" t="s">
        <v>3</v>
      </c>
      <c r="E44" s="36" t="s">
        <v>75</v>
      </c>
      <c r="F44" s="102" t="s">
        <v>117</v>
      </c>
      <c r="G44" s="77" t="s">
        <v>94</v>
      </c>
      <c r="H44" s="30"/>
      <c r="I44" s="27" t="s">
        <v>8</v>
      </c>
      <c r="J44" s="27" t="s">
        <v>3</v>
      </c>
      <c r="K44" s="36" t="s">
        <v>75</v>
      </c>
      <c r="L44" s="126" t="s">
        <v>117</v>
      </c>
    </row>
    <row r="45" spans="1:12" x14ac:dyDescent="0.25">
      <c r="B45" s="30"/>
      <c r="C45" s="30"/>
      <c r="D45" s="58"/>
      <c r="E45" s="30"/>
      <c r="F45" s="30"/>
      <c r="H45" s="30"/>
      <c r="I45" s="30"/>
      <c r="J45" s="58"/>
      <c r="K45" s="30"/>
    </row>
    <row r="46" spans="1:12" x14ac:dyDescent="0.25">
      <c r="A46" s="78">
        <v>1</v>
      </c>
      <c r="B46" s="54">
        <v>44166</v>
      </c>
      <c r="C46" s="141">
        <v>1174438.1299999999</v>
      </c>
      <c r="D46" s="30"/>
      <c r="E46" s="30"/>
      <c r="F46" s="30"/>
      <c r="G46" s="78">
        <v>1</v>
      </c>
      <c r="H46" s="54">
        <f>B46</f>
        <v>44166</v>
      </c>
      <c r="I46" s="141">
        <v>445000.66</v>
      </c>
      <c r="J46" s="30"/>
      <c r="K46" s="30"/>
    </row>
    <row r="47" spans="1:12" x14ac:dyDescent="0.25">
      <c r="A47" s="78">
        <v>2</v>
      </c>
      <c r="B47" s="98" t="s">
        <v>80</v>
      </c>
      <c r="C47" s="29">
        <f>-'Earnings Test and 3% Test'!F34</f>
        <v>0</v>
      </c>
      <c r="D47" s="30"/>
      <c r="E47" s="30"/>
      <c r="F47" s="30"/>
      <c r="G47" s="78">
        <v>2</v>
      </c>
      <c r="H47" s="98" t="str">
        <f t="shared" ref="H47:H68" si="6">B47</f>
        <v>Earnings Sharing Adjustment</v>
      </c>
      <c r="I47" s="29">
        <f>-'Earnings Test and 3% Test'!F35</f>
        <v>0</v>
      </c>
      <c r="J47" s="30"/>
      <c r="K47" s="30"/>
    </row>
    <row r="48" spans="1:12" x14ac:dyDescent="0.25">
      <c r="A48" s="78">
        <v>3</v>
      </c>
      <c r="B48" s="98" t="s">
        <v>81</v>
      </c>
      <c r="C48" s="29">
        <f>C46+C47</f>
        <v>1174438.1299999999</v>
      </c>
      <c r="D48" s="30"/>
      <c r="E48" s="30"/>
      <c r="F48" s="30"/>
      <c r="G48" s="78">
        <v>3</v>
      </c>
      <c r="H48" s="98" t="str">
        <f t="shared" si="6"/>
        <v>Adjusted December Balance</v>
      </c>
      <c r="I48" s="29">
        <f>I46+I47</f>
        <v>445000.66</v>
      </c>
      <c r="J48" s="30"/>
      <c r="K48" s="30"/>
    </row>
    <row r="49" spans="1:12" x14ac:dyDescent="0.25">
      <c r="A49" s="78">
        <v>4</v>
      </c>
      <c r="B49" s="54">
        <f>B46+31</f>
        <v>44197</v>
      </c>
      <c r="C49" s="29">
        <f>C48+D49-E49</f>
        <v>1177618.8999354166</v>
      </c>
      <c r="D49" s="29">
        <f>(C48-E49/2)*F49/12</f>
        <v>3180.7699354166666</v>
      </c>
      <c r="E49" s="30"/>
      <c r="F49" s="140">
        <v>3.2500000000000001E-2</v>
      </c>
      <c r="G49" s="78">
        <v>4</v>
      </c>
      <c r="H49" s="54">
        <f t="shared" si="6"/>
        <v>44197</v>
      </c>
      <c r="I49" s="29">
        <f>I48+J49-K49</f>
        <v>446205.87012083328</v>
      </c>
      <c r="J49" s="29">
        <f>(I48-K49/2)*L49/12</f>
        <v>1205.2101208333333</v>
      </c>
      <c r="K49" s="30"/>
      <c r="L49" s="82">
        <f>F49</f>
        <v>3.2500000000000001E-2</v>
      </c>
    </row>
    <row r="50" spans="1:12" x14ac:dyDescent="0.25">
      <c r="A50" s="78">
        <v>5</v>
      </c>
      <c r="B50" s="54">
        <f>B49+31</f>
        <v>44228</v>
      </c>
      <c r="C50" s="29">
        <f t="shared" ref="C50:C55" si="7">C49+D50-E50</f>
        <v>1180808.2844560752</v>
      </c>
      <c r="D50" s="80">
        <f t="shared" ref="D50:D55" si="8">(C49-E50/2)*F50/12</f>
        <v>3189.3845206584206</v>
      </c>
      <c r="E50" s="30"/>
      <c r="F50" s="125">
        <f>F49</f>
        <v>3.2500000000000001E-2</v>
      </c>
      <c r="G50" s="78">
        <v>5</v>
      </c>
      <c r="H50" s="54">
        <f t="shared" si="6"/>
        <v>44228</v>
      </c>
      <c r="I50" s="29">
        <f t="shared" ref="I50:I55" si="9">I49+J50-K50</f>
        <v>447414.34435241052</v>
      </c>
      <c r="J50" s="80">
        <f t="shared" ref="J50:J55" si="10">(I49-K50/2)*L50/12</f>
        <v>1208.4742315772569</v>
      </c>
      <c r="K50" s="30"/>
      <c r="L50" s="82">
        <f t="shared" ref="L50:L68" si="11">F50</f>
        <v>3.2500000000000001E-2</v>
      </c>
    </row>
    <row r="51" spans="1:12" x14ac:dyDescent="0.25">
      <c r="A51" s="78">
        <v>6</v>
      </c>
      <c r="B51" s="54">
        <f t="shared" ref="B51:B55" si="12">B50+31</f>
        <v>44259</v>
      </c>
      <c r="C51" s="29">
        <f t="shared" si="7"/>
        <v>1184006.3068931438</v>
      </c>
      <c r="D51" s="80">
        <f t="shared" si="8"/>
        <v>3198.0224370685369</v>
      </c>
      <c r="E51" s="30"/>
      <c r="F51" s="125">
        <f t="shared" ref="F51:F68" si="13">F50</f>
        <v>3.2500000000000001E-2</v>
      </c>
      <c r="G51" s="78">
        <v>6</v>
      </c>
      <c r="H51" s="54">
        <f t="shared" si="6"/>
        <v>44259</v>
      </c>
      <c r="I51" s="29">
        <f t="shared" si="9"/>
        <v>448626.09153503162</v>
      </c>
      <c r="J51" s="80">
        <f t="shared" si="10"/>
        <v>1211.747182621112</v>
      </c>
      <c r="K51" s="30"/>
      <c r="L51" s="82">
        <f t="shared" si="11"/>
        <v>3.2500000000000001E-2</v>
      </c>
    </row>
    <row r="52" spans="1:12" x14ac:dyDescent="0.25">
      <c r="A52" s="78">
        <v>7</v>
      </c>
      <c r="B52" s="54">
        <f t="shared" si="12"/>
        <v>44290</v>
      </c>
      <c r="C52" s="29">
        <f t="shared" si="7"/>
        <v>1187212.9906409795</v>
      </c>
      <c r="D52" s="80">
        <f t="shared" si="8"/>
        <v>3206.6837478355978</v>
      </c>
      <c r="E52" s="30"/>
      <c r="F52" s="140">
        <v>3.2500000000000001E-2</v>
      </c>
      <c r="G52" s="78">
        <v>7</v>
      </c>
      <c r="H52" s="54">
        <f t="shared" si="6"/>
        <v>44290</v>
      </c>
      <c r="I52" s="29">
        <f t="shared" si="9"/>
        <v>449841.12053293898</v>
      </c>
      <c r="J52" s="80">
        <f t="shared" si="10"/>
        <v>1215.0289979073773</v>
      </c>
      <c r="K52" s="30"/>
      <c r="L52" s="82">
        <f t="shared" si="11"/>
        <v>3.2500000000000001E-2</v>
      </c>
    </row>
    <row r="53" spans="1:12" x14ac:dyDescent="0.25">
      <c r="A53" s="78">
        <v>8</v>
      </c>
      <c r="B53" s="54">
        <f t="shared" si="12"/>
        <v>44321</v>
      </c>
      <c r="C53" s="29">
        <f t="shared" si="7"/>
        <v>1190428.3591572989</v>
      </c>
      <c r="D53" s="80">
        <f t="shared" si="8"/>
        <v>3215.36851631932</v>
      </c>
      <c r="E53" s="30"/>
      <c r="F53" s="125">
        <f t="shared" si="13"/>
        <v>3.2500000000000001E-2</v>
      </c>
      <c r="G53" s="78">
        <v>8</v>
      </c>
      <c r="H53" s="54">
        <f t="shared" si="6"/>
        <v>44321</v>
      </c>
      <c r="I53" s="29">
        <f t="shared" si="9"/>
        <v>451059.44023438235</v>
      </c>
      <c r="J53" s="80">
        <f t="shared" si="10"/>
        <v>1218.3197014433765</v>
      </c>
      <c r="K53" s="30"/>
      <c r="L53" s="82">
        <f t="shared" si="11"/>
        <v>3.2500000000000001E-2</v>
      </c>
    </row>
    <row r="54" spans="1:12" x14ac:dyDescent="0.25">
      <c r="A54" s="78">
        <v>9</v>
      </c>
      <c r="B54" s="54">
        <f t="shared" si="12"/>
        <v>44352</v>
      </c>
      <c r="C54" s="29">
        <f t="shared" si="7"/>
        <v>1193652.4359633499</v>
      </c>
      <c r="D54" s="80">
        <f t="shared" si="8"/>
        <v>3224.0768060510181</v>
      </c>
      <c r="E54" s="30"/>
      <c r="F54" s="125">
        <f t="shared" si="13"/>
        <v>3.2500000000000001E-2</v>
      </c>
      <c r="G54" s="78">
        <v>9</v>
      </c>
      <c r="H54" s="54">
        <f t="shared" si="6"/>
        <v>44352</v>
      </c>
      <c r="I54" s="29">
        <f t="shared" si="9"/>
        <v>452281.05955168378</v>
      </c>
      <c r="J54" s="80">
        <f t="shared" si="10"/>
        <v>1221.6193173014522</v>
      </c>
      <c r="K54" s="30"/>
      <c r="L54" s="82">
        <f t="shared" si="11"/>
        <v>3.2500000000000001E-2</v>
      </c>
    </row>
    <row r="55" spans="1:12" x14ac:dyDescent="0.25">
      <c r="A55" s="78">
        <v>10</v>
      </c>
      <c r="B55" s="56">
        <f t="shared" si="12"/>
        <v>44383</v>
      </c>
      <c r="C55" s="57">
        <f t="shared" si="7"/>
        <v>1196885.244644084</v>
      </c>
      <c r="D55" s="80">
        <f t="shared" si="8"/>
        <v>3232.8086807340728</v>
      </c>
      <c r="E55" s="30"/>
      <c r="F55" s="125">
        <f>F54</f>
        <v>3.2500000000000001E-2</v>
      </c>
      <c r="G55" s="78">
        <v>10</v>
      </c>
      <c r="H55" s="56">
        <f t="shared" si="6"/>
        <v>44383</v>
      </c>
      <c r="I55" s="57">
        <f t="shared" si="9"/>
        <v>453505.98742130294</v>
      </c>
      <c r="J55" s="80">
        <f t="shared" si="10"/>
        <v>1224.9278696191436</v>
      </c>
      <c r="K55" s="30"/>
      <c r="L55" s="82">
        <f t="shared" si="11"/>
        <v>3.2500000000000001E-2</v>
      </c>
    </row>
    <row r="56" spans="1:12" s="79" customFormat="1" x14ac:dyDescent="0.25">
      <c r="A56" s="139">
        <v>11</v>
      </c>
      <c r="B56" s="98" t="s">
        <v>165</v>
      </c>
      <c r="C56" s="57">
        <f>'Prior Year Amortization'!F20</f>
        <v>-13216.419999999987</v>
      </c>
      <c r="D56" s="80"/>
      <c r="E56" s="30"/>
      <c r="F56" s="140"/>
      <c r="G56" s="139"/>
      <c r="H56" s="98" t="s">
        <v>165</v>
      </c>
      <c r="I56" s="57">
        <f>'Prior Year Amortization'!F37</f>
        <v>12745.44999999999</v>
      </c>
      <c r="J56" s="80"/>
      <c r="K56" s="30"/>
      <c r="L56" s="82"/>
    </row>
    <row r="57" spans="1:12" x14ac:dyDescent="0.25">
      <c r="A57" s="139">
        <v>12</v>
      </c>
      <c r="B57" s="54">
        <f>B55+31</f>
        <v>44414</v>
      </c>
      <c r="C57" s="80">
        <f>C55+C56+D57-E57</f>
        <v>1170433.9785638193</v>
      </c>
      <c r="D57" s="80">
        <f>(C55+C56-E57/2)*F57/12</f>
        <v>3183.5365069908189</v>
      </c>
      <c r="E57" s="80">
        <f>E9*D$31</f>
        <v>16418.382587255714</v>
      </c>
      <c r="F57" s="125">
        <f>F55</f>
        <v>3.2500000000000001E-2</v>
      </c>
      <c r="G57" s="78">
        <v>11</v>
      </c>
      <c r="H57" s="54">
        <f t="shared" si="6"/>
        <v>44414</v>
      </c>
      <c r="I57" s="80">
        <f>I55+I56+J57-K57</f>
        <v>450266.88803575188</v>
      </c>
      <c r="J57" s="80">
        <f>(I55+I56-K57/2)*L57/12</f>
        <v>1239.4401571769181</v>
      </c>
      <c r="K57" s="80">
        <f>K9*J$31</f>
        <v>17223.98954272797</v>
      </c>
      <c r="L57" s="82">
        <f t="shared" si="11"/>
        <v>3.2500000000000001E-2</v>
      </c>
    </row>
    <row r="58" spans="1:12" x14ac:dyDescent="0.25">
      <c r="A58" s="139">
        <v>13</v>
      </c>
      <c r="B58" s="54">
        <f t="shared" ref="B58:B68" si="14">B57+31</f>
        <v>44445</v>
      </c>
      <c r="C58" s="80">
        <f>C57+D58-E58</f>
        <v>1150272.8546703132</v>
      </c>
      <c r="D58" s="80">
        <f>(C57-E58/2)*F58/12</f>
        <v>3138.3739552734551</v>
      </c>
      <c r="E58" s="80">
        <f>E10*D$31</f>
        <v>23299.497848779654</v>
      </c>
      <c r="F58" s="125">
        <f t="shared" si="13"/>
        <v>3.2500000000000001E-2</v>
      </c>
      <c r="G58" s="78">
        <v>12</v>
      </c>
      <c r="H58" s="54">
        <f t="shared" si="6"/>
        <v>44445</v>
      </c>
      <c r="I58" s="80">
        <f>I57+J58-K58</f>
        <v>430130.0378787262</v>
      </c>
      <c r="J58" s="80">
        <f>(I57-K58/2)*L58/12</f>
        <v>1190.5919106302108</v>
      </c>
      <c r="K58" s="80">
        <f>K10*J$31</f>
        <v>21327.442067655902</v>
      </c>
      <c r="L58" s="82">
        <f t="shared" si="11"/>
        <v>3.2500000000000001E-2</v>
      </c>
    </row>
    <row r="59" spans="1:12" x14ac:dyDescent="0.25">
      <c r="A59" s="78">
        <v>14</v>
      </c>
      <c r="B59" s="54">
        <f t="shared" si="14"/>
        <v>44476</v>
      </c>
      <c r="C59" s="80">
        <f>C58+D59-E59</f>
        <v>1068665.4626266733</v>
      </c>
      <c r="D59" s="80">
        <f t="shared" ref="D59:D66" si="15">(C58-E59/2)*F59/12</f>
        <v>3000.7487906856163</v>
      </c>
      <c r="E59" s="80">
        <f t="shared" ref="E59:E68" si="16">E11*D$31</f>
        <v>84608.140834325459</v>
      </c>
      <c r="F59" s="125">
        <f t="shared" si="13"/>
        <v>3.2500000000000001E-2</v>
      </c>
      <c r="G59" s="78">
        <v>13</v>
      </c>
      <c r="H59" s="54">
        <f t="shared" si="6"/>
        <v>44476</v>
      </c>
      <c r="I59" s="80">
        <f t="shared" ref="I59:I68" si="17">I58+J59-K59</f>
        <v>390732.57515763707</v>
      </c>
      <c r="J59" s="80">
        <f t="shared" ref="J59:J68" si="18">(I58-K59/2)*L59/12</f>
        <v>1110.0815530503196</v>
      </c>
      <c r="K59" s="80">
        <f t="shared" ref="K59:K68" si="19">K11*J$31</f>
        <v>40507.544274139436</v>
      </c>
      <c r="L59" s="82">
        <f t="shared" si="11"/>
        <v>3.2500000000000001E-2</v>
      </c>
    </row>
    <row r="60" spans="1:12" x14ac:dyDescent="0.25">
      <c r="A60" s="86">
        <v>15</v>
      </c>
      <c r="B60" s="54">
        <f t="shared" si="14"/>
        <v>44507</v>
      </c>
      <c r="C60" s="80">
        <f>C59+D60-E60</f>
        <v>916413.36527019774</v>
      </c>
      <c r="D60" s="80">
        <f>(C59-E60/2)*F60/12</f>
        <v>2684.4923294142645</v>
      </c>
      <c r="E60" s="80">
        <f t="shared" si="16"/>
        <v>154936.58968588975</v>
      </c>
      <c r="F60" s="125">
        <f t="shared" si="13"/>
        <v>3.2500000000000001E-2</v>
      </c>
      <c r="G60" s="139">
        <v>14</v>
      </c>
      <c r="H60" s="54">
        <f t="shared" si="6"/>
        <v>44507</v>
      </c>
      <c r="I60" s="80">
        <f t="shared" si="17"/>
        <v>331948.23138200748</v>
      </c>
      <c r="J60" s="80">
        <f t="shared" si="18"/>
        <v>977.30682253358771</v>
      </c>
      <c r="K60" s="80">
        <f t="shared" si="19"/>
        <v>59761.6505981632</v>
      </c>
      <c r="L60" s="82">
        <f t="shared" si="11"/>
        <v>3.2500000000000001E-2</v>
      </c>
    </row>
    <row r="61" spans="1:12" x14ac:dyDescent="0.25">
      <c r="A61" s="86">
        <v>16</v>
      </c>
      <c r="B61" s="54">
        <f t="shared" si="14"/>
        <v>44538</v>
      </c>
      <c r="C61" s="80">
        <f t="shared" ref="C61:C66" si="20">C60+D61-E61</f>
        <v>706779.22273159819</v>
      </c>
      <c r="D61" s="80">
        <f t="shared" si="15"/>
        <v>2195.1007639678924</v>
      </c>
      <c r="E61" s="80">
        <f t="shared" si="16"/>
        <v>211829.24330256743</v>
      </c>
      <c r="F61" s="125">
        <f t="shared" si="13"/>
        <v>3.2500000000000001E-2</v>
      </c>
      <c r="G61" s="139">
        <v>15</v>
      </c>
      <c r="H61" s="54">
        <f t="shared" si="6"/>
        <v>44538</v>
      </c>
      <c r="I61" s="80">
        <f t="shared" si="17"/>
        <v>263694.67360679345</v>
      </c>
      <c r="J61" s="80">
        <f t="shared" si="18"/>
        <v>805.50897377035392</v>
      </c>
      <c r="K61" s="80">
        <f t="shared" si="19"/>
        <v>69059.066748984405</v>
      </c>
      <c r="L61" s="82">
        <f t="shared" si="11"/>
        <v>3.2500000000000001E-2</v>
      </c>
    </row>
    <row r="62" spans="1:12" ht="14.45" customHeight="1" x14ac:dyDescent="0.25">
      <c r="A62" s="86">
        <v>17</v>
      </c>
      <c r="B62" s="54">
        <f t="shared" si="14"/>
        <v>44569</v>
      </c>
      <c r="C62" s="80">
        <f t="shared" si="20"/>
        <v>496313.68826858094</v>
      </c>
      <c r="D62" s="80">
        <f t="shared" si="15"/>
        <v>1626.9851079790212</v>
      </c>
      <c r="E62" s="80">
        <f t="shared" si="16"/>
        <v>212092.51957099632</v>
      </c>
      <c r="F62" s="125">
        <f t="shared" si="13"/>
        <v>3.2500000000000001E-2</v>
      </c>
      <c r="G62" s="139">
        <v>16</v>
      </c>
      <c r="H62" s="54">
        <f t="shared" si="6"/>
        <v>44569</v>
      </c>
      <c r="I62" s="80">
        <f t="shared" si="17"/>
        <v>194379.74267896591</v>
      </c>
      <c r="J62" s="80">
        <f t="shared" si="18"/>
        <v>619.47023943772729</v>
      </c>
      <c r="K62" s="80">
        <f t="shared" si="19"/>
        <v>69934.401167265256</v>
      </c>
      <c r="L62" s="82">
        <f t="shared" si="11"/>
        <v>3.2500000000000001E-2</v>
      </c>
    </row>
    <row r="63" spans="1:12" x14ac:dyDescent="0.25">
      <c r="A63" s="86">
        <v>18</v>
      </c>
      <c r="B63" s="54">
        <f t="shared" si="14"/>
        <v>44600</v>
      </c>
      <c r="C63" s="80">
        <f t="shared" si="20"/>
        <v>316874.59691531793</v>
      </c>
      <c r="D63" s="80">
        <f t="shared" si="15"/>
        <v>1099.7032879840513</v>
      </c>
      <c r="E63" s="80">
        <f t="shared" si="16"/>
        <v>180538.79464124711</v>
      </c>
      <c r="F63" s="125">
        <f t="shared" si="13"/>
        <v>3.2500000000000001E-2</v>
      </c>
      <c r="G63" s="139">
        <v>17</v>
      </c>
      <c r="H63" s="54">
        <f t="shared" si="6"/>
        <v>44600</v>
      </c>
      <c r="I63" s="80">
        <f t="shared" si="17"/>
        <v>135484.98612205376</v>
      </c>
      <c r="J63" s="80">
        <f t="shared" si="18"/>
        <v>446.08774309926724</v>
      </c>
      <c r="K63" s="80">
        <f t="shared" si="19"/>
        <v>59340.844300011391</v>
      </c>
      <c r="L63" s="82">
        <f t="shared" si="11"/>
        <v>3.2500000000000001E-2</v>
      </c>
    </row>
    <row r="64" spans="1:12" x14ac:dyDescent="0.25">
      <c r="A64" s="86">
        <v>19</v>
      </c>
      <c r="B64" s="54">
        <f t="shared" si="14"/>
        <v>44631</v>
      </c>
      <c r="C64" s="80">
        <f t="shared" si="20"/>
        <v>174755.90083666518</v>
      </c>
      <c r="D64" s="80">
        <f t="shared" si="15"/>
        <v>664.84931559094775</v>
      </c>
      <c r="E64" s="80">
        <f t="shared" si="16"/>
        <v>142783.54539424367</v>
      </c>
      <c r="F64" s="125">
        <f t="shared" si="13"/>
        <v>3.2500000000000001E-2</v>
      </c>
      <c r="G64" s="139">
        <v>18</v>
      </c>
      <c r="H64" s="54">
        <f t="shared" si="6"/>
        <v>44631</v>
      </c>
      <c r="I64" s="80">
        <f t="shared" si="17"/>
        <v>84901.552464255728</v>
      </c>
      <c r="J64" s="80">
        <f t="shared" si="18"/>
        <v>298.03651322396996</v>
      </c>
      <c r="K64" s="80">
        <f t="shared" si="19"/>
        <v>50881.470171022011</v>
      </c>
      <c r="L64" s="82">
        <f t="shared" si="11"/>
        <v>3.2500000000000001E-2</v>
      </c>
    </row>
    <row r="65" spans="1:12" x14ac:dyDescent="0.25">
      <c r="A65" s="139">
        <v>20</v>
      </c>
      <c r="B65" s="54">
        <f t="shared" si="14"/>
        <v>44662</v>
      </c>
      <c r="C65" s="80">
        <f t="shared" si="20"/>
        <v>85756.390840286986</v>
      </c>
      <c r="D65" s="80">
        <f t="shared" si="15"/>
        <v>352.299988744448</v>
      </c>
      <c r="E65" s="80">
        <f t="shared" si="16"/>
        <v>89351.809985122658</v>
      </c>
      <c r="F65" s="125">
        <f t="shared" si="13"/>
        <v>3.2500000000000001E-2</v>
      </c>
      <c r="G65" s="139">
        <v>19</v>
      </c>
      <c r="H65" s="54">
        <f t="shared" si="6"/>
        <v>44662</v>
      </c>
      <c r="I65" s="80">
        <f t="shared" si="17"/>
        <v>49965.232123675916</v>
      </c>
      <c r="J65" s="80">
        <f t="shared" si="18"/>
        <v>182.38512427370347</v>
      </c>
      <c r="K65" s="80">
        <f t="shared" si="19"/>
        <v>35118.705464853512</v>
      </c>
      <c r="L65" s="82">
        <f t="shared" si="11"/>
        <v>3.2500000000000001E-2</v>
      </c>
    </row>
    <row r="66" spans="1:12" x14ac:dyDescent="0.25">
      <c r="A66" s="139">
        <v>21</v>
      </c>
      <c r="B66" s="54">
        <f t="shared" si="14"/>
        <v>44693</v>
      </c>
      <c r="C66" s="80">
        <f t="shared" si="20"/>
        <v>43588.366809531522</v>
      </c>
      <c r="D66" s="80">
        <f t="shared" si="15"/>
        <v>174.91749188054101</v>
      </c>
      <c r="E66" s="80">
        <f t="shared" si="16"/>
        <v>42342.941522636</v>
      </c>
      <c r="F66" s="125">
        <f t="shared" si="13"/>
        <v>3.2500000000000001E-2</v>
      </c>
      <c r="G66" s="139">
        <v>20</v>
      </c>
      <c r="H66" s="54">
        <f t="shared" si="6"/>
        <v>44693</v>
      </c>
      <c r="I66" s="80">
        <f t="shared" si="17"/>
        <v>30070.020729993434</v>
      </c>
      <c r="J66" s="80">
        <f t="shared" si="18"/>
        <v>108.2345040151567</v>
      </c>
      <c r="K66" s="80">
        <f t="shared" si="19"/>
        <v>20003.445897697638</v>
      </c>
      <c r="L66" s="82">
        <f t="shared" si="11"/>
        <v>3.2500000000000001E-2</v>
      </c>
    </row>
    <row r="67" spans="1:12" x14ac:dyDescent="0.25">
      <c r="A67" s="139">
        <v>22</v>
      </c>
      <c r="B67" s="54">
        <f t="shared" si="14"/>
        <v>44724</v>
      </c>
      <c r="C67" s="80">
        <f t="shared" ref="C67:C68" si="21">C66+D67-E67</f>
        <v>18613.770296106941</v>
      </c>
      <c r="D67" s="80">
        <f t="shared" ref="D67:D68" si="22">(C66-E67/2)*F67/12</f>
        <v>84.118150668188918</v>
      </c>
      <c r="E67" s="80">
        <f t="shared" si="16"/>
        <v>25058.714664092771</v>
      </c>
      <c r="F67" s="125">
        <f t="shared" si="13"/>
        <v>3.2500000000000001E-2</v>
      </c>
      <c r="G67" s="139">
        <v>21</v>
      </c>
      <c r="H67" s="54">
        <f t="shared" si="6"/>
        <v>44724</v>
      </c>
      <c r="I67" s="80">
        <f t="shared" si="17"/>
        <v>15223.306405528479</v>
      </c>
      <c r="J67" s="80">
        <f t="shared" si="18"/>
        <v>61.251768725869645</v>
      </c>
      <c r="K67" s="80">
        <f t="shared" si="19"/>
        <v>14907.966093190824</v>
      </c>
      <c r="L67" s="82">
        <f t="shared" si="11"/>
        <v>3.2500000000000001E-2</v>
      </c>
    </row>
    <row r="68" spans="1:12" x14ac:dyDescent="0.25">
      <c r="A68" s="139">
        <v>23</v>
      </c>
      <c r="B68" s="56">
        <f t="shared" si="14"/>
        <v>44755</v>
      </c>
      <c r="C68" s="57">
        <f t="shared" si="21"/>
        <v>-156.81174128751445</v>
      </c>
      <c r="D68" s="80">
        <f t="shared" si="22"/>
        <v>24.959998045631185</v>
      </c>
      <c r="E68" s="80">
        <f t="shared" si="16"/>
        <v>18795.542035440085</v>
      </c>
      <c r="F68" s="125">
        <f t="shared" si="13"/>
        <v>3.2500000000000001E-2</v>
      </c>
      <c r="G68" s="139">
        <v>22</v>
      </c>
      <c r="H68" s="56">
        <f t="shared" si="6"/>
        <v>44755</v>
      </c>
      <c r="I68" s="57">
        <f t="shared" si="17"/>
        <v>-258.94527801101685</v>
      </c>
      <c r="J68" s="80">
        <f t="shared" si="18"/>
        <v>20.23683497947852</v>
      </c>
      <c r="K68" s="80">
        <f t="shared" si="19"/>
        <v>15502.488518518974</v>
      </c>
      <c r="L68" s="82">
        <f t="shared" si="11"/>
        <v>3.2500000000000001E-2</v>
      </c>
    </row>
    <row r="69" spans="1:12" x14ac:dyDescent="0.25">
      <c r="B69" s="30"/>
      <c r="C69" s="30"/>
      <c r="D69" s="30"/>
      <c r="E69" s="30"/>
      <c r="F69" s="30"/>
      <c r="H69" s="30"/>
      <c r="I69" s="30"/>
      <c r="J69" s="30"/>
      <c r="K69" s="30"/>
    </row>
    <row r="70" spans="1:12" x14ac:dyDescent="0.25">
      <c r="A70" s="78">
        <v>24</v>
      </c>
      <c r="B70" s="34" t="s">
        <v>95</v>
      </c>
      <c r="C70" s="30"/>
      <c r="D70" s="29">
        <f>SUM(D49:D69)</f>
        <v>40677.200331308508</v>
      </c>
      <c r="E70" s="29">
        <f>SUM(E60:E68)</f>
        <v>1077729.7008022356</v>
      </c>
      <c r="F70" s="30"/>
      <c r="G70" s="78">
        <v>24</v>
      </c>
      <c r="H70" s="34" t="s">
        <v>95</v>
      </c>
      <c r="I70" s="30"/>
      <c r="J70" s="29">
        <f>SUM(J49:J69)</f>
        <v>15563.959566219613</v>
      </c>
      <c r="K70" s="29">
        <f>SUM(K60:K68)</f>
        <v>394510.03895970719</v>
      </c>
    </row>
    <row r="71" spans="1:12" x14ac:dyDescent="0.25">
      <c r="A71" s="78"/>
      <c r="B71" s="34"/>
      <c r="C71" s="30"/>
      <c r="D71" s="30"/>
      <c r="E71" s="30"/>
      <c r="F71" s="30"/>
      <c r="G71" s="78"/>
      <c r="H71" s="34"/>
      <c r="I71" s="30"/>
      <c r="J71" s="30"/>
      <c r="K71" s="30"/>
    </row>
    <row r="72" spans="1:12" x14ac:dyDescent="0.25">
      <c r="B72" s="47" t="s">
        <v>99</v>
      </c>
      <c r="H72" s="47" t="s">
        <v>99</v>
      </c>
    </row>
    <row r="73" spans="1:12" x14ac:dyDescent="0.25">
      <c r="A73" s="78">
        <v>25</v>
      </c>
      <c r="B73" t="s">
        <v>179</v>
      </c>
      <c r="C73" s="74">
        <f>C46</f>
        <v>1174438.1299999999</v>
      </c>
      <c r="G73" s="86">
        <v>25</v>
      </c>
      <c r="H73" s="79" t="s">
        <v>179</v>
      </c>
      <c r="I73" s="74">
        <f>I46</f>
        <v>445000.66</v>
      </c>
    </row>
    <row r="74" spans="1:12" x14ac:dyDescent="0.25">
      <c r="A74" s="78">
        <v>26</v>
      </c>
      <c r="B74" t="s">
        <v>96</v>
      </c>
      <c r="C74" s="74">
        <f>C47</f>
        <v>0</v>
      </c>
      <c r="G74" s="86">
        <v>26</v>
      </c>
      <c r="H74" s="79" t="s">
        <v>96</v>
      </c>
      <c r="I74" s="74">
        <f>I47</f>
        <v>0</v>
      </c>
    </row>
    <row r="75" spans="1:12" s="79" customFormat="1" x14ac:dyDescent="0.25">
      <c r="A75" s="139">
        <v>27</v>
      </c>
      <c r="B75" s="79" t="s">
        <v>166</v>
      </c>
      <c r="C75" s="74">
        <f>C56</f>
        <v>-13216.419999999987</v>
      </c>
      <c r="G75" s="139">
        <v>27</v>
      </c>
      <c r="H75" s="79" t="s">
        <v>166</v>
      </c>
      <c r="I75" s="74">
        <f>I56</f>
        <v>12745.44999999999</v>
      </c>
    </row>
    <row r="76" spans="1:12" x14ac:dyDescent="0.25">
      <c r="A76" s="139">
        <v>28</v>
      </c>
      <c r="B76" t="s">
        <v>180</v>
      </c>
      <c r="C76" s="74">
        <f>D70</f>
        <v>40677.200331308508</v>
      </c>
      <c r="G76" s="139">
        <v>28</v>
      </c>
      <c r="H76" s="79" t="s">
        <v>180</v>
      </c>
      <c r="I76" s="74">
        <f>J70</f>
        <v>15563.959566219613</v>
      </c>
    </row>
    <row r="77" spans="1:12" x14ac:dyDescent="0.25">
      <c r="A77" s="139">
        <v>29</v>
      </c>
      <c r="B77" s="79" t="s">
        <v>109</v>
      </c>
      <c r="C77" s="74">
        <f>(D30-D31)*E22-C68</f>
        <v>54487.013868862399</v>
      </c>
      <c r="G77" s="139">
        <v>29</v>
      </c>
      <c r="H77" s="79" t="s">
        <v>109</v>
      </c>
      <c r="I77" s="74">
        <f>(J30-J31)*K22-I68</f>
        <v>21563.463940669237</v>
      </c>
    </row>
    <row r="78" spans="1:12" x14ac:dyDescent="0.25">
      <c r="A78" s="139">
        <v>30</v>
      </c>
      <c r="B78" t="s">
        <v>108</v>
      </c>
      <c r="C78" s="75">
        <f>SUM(C73:C77)</f>
        <v>1256385.9242001707</v>
      </c>
      <c r="G78" s="139">
        <v>30</v>
      </c>
      <c r="H78" t="s">
        <v>108</v>
      </c>
      <c r="I78" s="75">
        <f>SUM(I73:I77)</f>
        <v>494873.53350688884</v>
      </c>
    </row>
    <row r="79" spans="1:12" x14ac:dyDescent="0.25">
      <c r="A79" s="139">
        <v>31</v>
      </c>
      <c r="B79" s="63" t="s">
        <v>97</v>
      </c>
      <c r="C79" s="74">
        <f>D30*E22</f>
        <v>1256385.9242001714</v>
      </c>
      <c r="G79" s="139">
        <v>31</v>
      </c>
      <c r="H79" s="63" t="s">
        <v>97</v>
      </c>
      <c r="I79" s="74">
        <f>J30*K22</f>
        <v>494873.53350688878</v>
      </c>
    </row>
    <row r="80" spans="1:12" x14ac:dyDescent="0.25">
      <c r="A80" s="139">
        <v>32</v>
      </c>
      <c r="B80" t="s">
        <v>98</v>
      </c>
      <c r="C80" s="74">
        <f>C78-C79</f>
        <v>0</v>
      </c>
      <c r="G80" s="139">
        <v>32</v>
      </c>
      <c r="H80" t="s">
        <v>98</v>
      </c>
      <c r="I80" s="74">
        <f>I78-I79</f>
        <v>0</v>
      </c>
    </row>
  </sheetData>
  <customSheetViews>
    <customSheetView guid="{5C6B1FA1-B621-4699-B8F7-5011E8FF1BCD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0">
    <mergeCell ref="B1:E1"/>
    <mergeCell ref="H1:K1"/>
    <mergeCell ref="B2:E2"/>
    <mergeCell ref="H2:K2"/>
    <mergeCell ref="B3:E3"/>
    <mergeCell ref="H3:K3"/>
    <mergeCell ref="B5:E5"/>
    <mergeCell ref="H5:K5"/>
    <mergeCell ref="B24:C24"/>
    <mergeCell ref="H24:I24"/>
    <mergeCell ref="B25:C25"/>
    <mergeCell ref="H25:I25"/>
    <mergeCell ref="B26:C26"/>
    <mergeCell ref="H26:I26"/>
    <mergeCell ref="B27:C27"/>
    <mergeCell ref="H27:I27"/>
    <mergeCell ref="B35:E35"/>
    <mergeCell ref="H35:K35"/>
    <mergeCell ref="B36:E36"/>
    <mergeCell ref="H36:K36"/>
    <mergeCell ref="B38:E38"/>
    <mergeCell ref="H38:K38"/>
    <mergeCell ref="B39:E39"/>
    <mergeCell ref="H39:K39"/>
    <mergeCell ref="B40:E40"/>
    <mergeCell ref="H40:K40"/>
    <mergeCell ref="B42:E42"/>
    <mergeCell ref="H42:K42"/>
    <mergeCell ref="B43:E43"/>
    <mergeCell ref="H43:K43"/>
  </mergeCells>
  <hyperlinks>
    <hyperlink ref="B37" r:id="rId3" xr:uid="{00000000-0004-0000-0100-000000000000}"/>
    <hyperlink ref="H37" r:id="rId4" xr:uid="{00000000-0004-0000-0100-000001000000}"/>
  </hyperlinks>
  <printOptions horizontalCentered="1"/>
  <pageMargins left="0.7" right="0.7" top="0.55000000000000004" bottom="0.48" header="0.3" footer="0.3"/>
  <pageSetup scale="88" orientation="portrait" useFirstPageNumber="1" r:id="rId5"/>
  <headerFooter scaleWithDoc="0">
    <oddFooter>&amp;CATTACHMENT A&amp;RPage &amp;P of 9</oddFooter>
  </headerFooter>
  <rowBreaks count="1" manualBreakCount="1">
    <brk id="41" max="11" man="1"/>
  </rowBreaks>
  <colBreaks count="1" manualBreakCount="1">
    <brk id="6" max="8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topLeftCell="A7" zoomScaleNormal="100" workbookViewId="0">
      <selection activeCell="B23" sqref="B23:H23"/>
    </sheetView>
  </sheetViews>
  <sheetFormatPr defaultRowHeight="15" x14ac:dyDescent="0.25"/>
  <cols>
    <col min="1" max="1" width="4.140625" customWidth="1"/>
    <col min="3" max="3" width="18" customWidth="1"/>
    <col min="4" max="4" width="12.28515625" customWidth="1"/>
    <col min="5" max="5" width="14.7109375" customWidth="1"/>
    <col min="6" max="6" width="17.28515625" customWidth="1"/>
    <col min="7" max="7" width="8.28515625" customWidth="1"/>
    <col min="8" max="8" width="12.42578125" customWidth="1"/>
    <col min="9" max="9" width="16.140625" customWidth="1"/>
    <col min="10" max="10" width="10.5703125" bestFit="1" customWidth="1"/>
    <col min="11" max="11" width="13" customWidth="1"/>
  </cols>
  <sheetData>
    <row r="1" spans="1:11" x14ac:dyDescent="0.25">
      <c r="A1" s="79"/>
      <c r="B1" s="177" t="s">
        <v>0</v>
      </c>
      <c r="C1" s="177"/>
      <c r="D1" s="177"/>
      <c r="E1" s="177"/>
      <c r="F1" s="177"/>
      <c r="G1" s="177"/>
      <c r="H1" s="177"/>
    </row>
    <row r="2" spans="1:11" x14ac:dyDescent="0.25">
      <c r="A2" s="79"/>
      <c r="B2" s="177" t="s">
        <v>116</v>
      </c>
      <c r="C2" s="177"/>
      <c r="D2" s="177"/>
      <c r="E2" s="177"/>
      <c r="F2" s="177"/>
      <c r="G2" s="177"/>
      <c r="H2" s="177"/>
    </row>
    <row r="3" spans="1:11" x14ac:dyDescent="0.25">
      <c r="A3" s="79"/>
      <c r="B3" s="177" t="s">
        <v>164</v>
      </c>
      <c r="C3" s="177"/>
      <c r="D3" s="177"/>
      <c r="E3" s="177"/>
      <c r="F3" s="177"/>
      <c r="G3" s="177"/>
      <c r="H3" s="177"/>
    </row>
    <row r="4" spans="1:11" x14ac:dyDescent="0.25">
      <c r="A4" s="79"/>
      <c r="B4" s="178" t="s">
        <v>183</v>
      </c>
      <c r="C4" s="178"/>
      <c r="D4" s="178"/>
      <c r="E4" s="178"/>
      <c r="F4" s="178"/>
      <c r="G4" s="178"/>
      <c r="H4" s="178"/>
    </row>
    <row r="5" spans="1:11" x14ac:dyDescent="0.25">
      <c r="A5" s="79"/>
    </row>
    <row r="6" spans="1:11" x14ac:dyDescent="0.25">
      <c r="A6" s="79"/>
      <c r="B6" s="177" t="s">
        <v>182</v>
      </c>
      <c r="C6" s="177"/>
      <c r="D6" s="177"/>
      <c r="E6" s="177"/>
      <c r="F6" s="177"/>
      <c r="G6" s="177"/>
      <c r="H6" s="177"/>
    </row>
    <row r="7" spans="1:11" ht="57.6" customHeight="1" x14ac:dyDescent="0.25">
      <c r="A7" s="91" t="s">
        <v>94</v>
      </c>
      <c r="B7" s="86" t="s">
        <v>2</v>
      </c>
      <c r="C7" s="161" t="str">
        <f>"Regulatory "&amp;IF(C9&lt;0,"Liability","Asset")&amp;" Beginning Balance"</f>
        <v>Regulatory Liability Beginning Balance</v>
      </c>
      <c r="D7" s="86" t="s">
        <v>3</v>
      </c>
      <c r="E7" s="86" t="s">
        <v>75</v>
      </c>
      <c r="F7" s="161" t="str">
        <f>"Regulatory "&amp;IF(F20&lt;0,"Liability","Asset")&amp;" Ending Balance"</f>
        <v>Regulatory Liability Ending Balance</v>
      </c>
      <c r="G7" s="85" t="s">
        <v>117</v>
      </c>
      <c r="H7" s="85" t="s">
        <v>176</v>
      </c>
    </row>
    <row r="8" spans="1:11" x14ac:dyDescent="0.25">
      <c r="A8" s="79"/>
      <c r="B8" s="79"/>
      <c r="C8" s="79"/>
      <c r="D8" s="79"/>
      <c r="E8" s="79"/>
      <c r="F8" s="79"/>
      <c r="G8" s="79"/>
      <c r="H8" s="79"/>
    </row>
    <row r="9" spans="1:11" x14ac:dyDescent="0.25">
      <c r="A9" s="86">
        <v>1</v>
      </c>
      <c r="B9" s="92">
        <v>44044</v>
      </c>
      <c r="C9" s="137">
        <f>-1082597.96+240329.66</f>
        <v>-842268.29999999993</v>
      </c>
      <c r="D9" s="94">
        <f>ROUND(((C9+C9+E9)/2)*G9/12,2)</f>
        <v>-2384.98</v>
      </c>
      <c r="E9" s="137">
        <v>15749.12</v>
      </c>
      <c r="F9" s="95">
        <f>C9+D9+E9</f>
        <v>-828904.15999999992</v>
      </c>
      <c r="G9" s="154">
        <v>3.4299999999999997E-2</v>
      </c>
      <c r="H9" s="79"/>
      <c r="I9" s="96"/>
      <c r="K9" s="95"/>
    </row>
    <row r="10" spans="1:11" x14ac:dyDescent="0.25">
      <c r="A10" s="86">
        <v>2</v>
      </c>
      <c r="B10" s="92">
        <f>B9+31</f>
        <v>44075</v>
      </c>
      <c r="C10" s="93">
        <f>F9</f>
        <v>-828904.15999999992</v>
      </c>
      <c r="D10" s="94">
        <f>ROUND(((C10+C10+E10)/2)*G10/12,2)</f>
        <v>-2342.61</v>
      </c>
      <c r="E10" s="137">
        <v>18661.32</v>
      </c>
      <c r="F10" s="95">
        <f t="shared" ref="F10:F19" si="0">C10+D10+E10</f>
        <v>-812585.45</v>
      </c>
      <c r="G10" s="155">
        <f>G9</f>
        <v>3.4299999999999997E-2</v>
      </c>
      <c r="H10" s="79"/>
      <c r="I10" s="136"/>
    </row>
    <row r="11" spans="1:11" x14ac:dyDescent="0.25">
      <c r="A11" s="86">
        <v>3</v>
      </c>
      <c r="B11" s="92">
        <f t="shared" ref="B11:B20" si="1">B10+31</f>
        <v>44106</v>
      </c>
      <c r="C11" s="93">
        <f t="shared" ref="C11:C14" si="2">F10</f>
        <v>-812585.45</v>
      </c>
      <c r="D11" s="94">
        <f t="shared" ref="D11:D20" si="3">ROUND(((C11+C11+E11)/2)*G11/12,2)</f>
        <v>-2121.0300000000002</v>
      </c>
      <c r="E11" s="137">
        <v>58870.65</v>
      </c>
      <c r="F11" s="95">
        <f t="shared" si="0"/>
        <v>-755835.83</v>
      </c>
      <c r="G11" s="154">
        <v>3.2500000000000001E-2</v>
      </c>
      <c r="H11" s="79"/>
    </row>
    <row r="12" spans="1:11" x14ac:dyDescent="0.25">
      <c r="A12" s="86">
        <v>4</v>
      </c>
      <c r="B12" s="92">
        <f t="shared" si="1"/>
        <v>44137</v>
      </c>
      <c r="C12" s="93">
        <f t="shared" si="2"/>
        <v>-755835.83</v>
      </c>
      <c r="D12" s="94">
        <f t="shared" si="3"/>
        <v>-1894.82</v>
      </c>
      <c r="E12" s="137">
        <v>112420.18</v>
      </c>
      <c r="F12" s="95">
        <f t="shared" si="0"/>
        <v>-645310.47</v>
      </c>
      <c r="G12" s="155">
        <f>G11</f>
        <v>3.2500000000000001E-2</v>
      </c>
      <c r="H12" s="79"/>
    </row>
    <row r="13" spans="1:11" x14ac:dyDescent="0.25">
      <c r="A13" s="86">
        <v>5</v>
      </c>
      <c r="B13" s="92">
        <f t="shared" si="1"/>
        <v>44168</v>
      </c>
      <c r="C13" s="93">
        <f t="shared" si="2"/>
        <v>-645310.47</v>
      </c>
      <c r="D13" s="94">
        <f t="shared" si="3"/>
        <v>-1556.66</v>
      </c>
      <c r="E13" s="137">
        <v>141087.79</v>
      </c>
      <c r="F13" s="95">
        <f t="shared" si="0"/>
        <v>-505779.33999999997</v>
      </c>
      <c r="G13" s="155">
        <f>G12</f>
        <v>3.2500000000000001E-2</v>
      </c>
      <c r="H13" s="79"/>
    </row>
    <row r="14" spans="1:11" x14ac:dyDescent="0.25">
      <c r="A14" s="86">
        <v>6</v>
      </c>
      <c r="B14" s="92">
        <f t="shared" si="1"/>
        <v>44199</v>
      </c>
      <c r="C14" s="93">
        <f t="shared" si="2"/>
        <v>-505779.33999999997</v>
      </c>
      <c r="D14" s="94">
        <f t="shared" si="3"/>
        <v>-1186.26</v>
      </c>
      <c r="E14" s="137">
        <v>135549.79999999999</v>
      </c>
      <c r="F14" s="95">
        <f t="shared" si="0"/>
        <v>-371415.8</v>
      </c>
      <c r="G14" s="154">
        <v>3.2500000000000001E-2</v>
      </c>
      <c r="H14" s="79"/>
    </row>
    <row r="15" spans="1:11" s="79" customFormat="1" x14ac:dyDescent="0.25">
      <c r="A15" s="139">
        <v>7</v>
      </c>
      <c r="B15" s="92">
        <f t="shared" si="1"/>
        <v>44230</v>
      </c>
      <c r="C15" s="93">
        <f t="shared" ref="C15:C17" si="4">F14</f>
        <v>-371415.8</v>
      </c>
      <c r="D15" s="94">
        <f t="shared" ref="D15:D17" si="5">ROUND(((C15+C15+E15)/2)*G15/12,2)</f>
        <v>-815.07</v>
      </c>
      <c r="E15" s="137">
        <v>140932.98000000001</v>
      </c>
      <c r="F15" s="95">
        <f t="shared" ref="F15:F17" si="6">C15+D15+E15</f>
        <v>-231297.88999999998</v>
      </c>
      <c r="G15" s="155">
        <f>G14</f>
        <v>3.2500000000000001E-2</v>
      </c>
    </row>
    <row r="16" spans="1:11" s="79" customFormat="1" x14ac:dyDescent="0.25">
      <c r="A16" s="139">
        <v>8</v>
      </c>
      <c r="B16" s="92">
        <f t="shared" si="1"/>
        <v>44261</v>
      </c>
      <c r="C16" s="93">
        <f t="shared" si="4"/>
        <v>-231297.88999999998</v>
      </c>
      <c r="D16" s="94">
        <f t="shared" si="5"/>
        <v>-495.41</v>
      </c>
      <c r="E16" s="137">
        <v>96754.66</v>
      </c>
      <c r="F16" s="95">
        <f t="shared" si="6"/>
        <v>-135038.63999999998</v>
      </c>
      <c r="G16" s="155">
        <f>G15</f>
        <v>3.2500000000000001E-2</v>
      </c>
    </row>
    <row r="17" spans="1:11" s="79" customFormat="1" x14ac:dyDescent="0.25">
      <c r="A17" s="139">
        <v>9</v>
      </c>
      <c r="B17" s="92">
        <f t="shared" si="1"/>
        <v>44292</v>
      </c>
      <c r="C17" s="93">
        <f t="shared" si="4"/>
        <v>-135038.63999999998</v>
      </c>
      <c r="D17" s="94">
        <f t="shared" si="5"/>
        <v>-286.20999999999998</v>
      </c>
      <c r="E17" s="137">
        <v>58725.59</v>
      </c>
      <c r="F17" s="95">
        <f t="shared" si="6"/>
        <v>-76599.25999999998</v>
      </c>
      <c r="G17" s="154">
        <v>3.2500000000000001E-2</v>
      </c>
    </row>
    <row r="18" spans="1:11" x14ac:dyDescent="0.25">
      <c r="A18" s="86">
        <v>10</v>
      </c>
      <c r="B18" s="92">
        <f t="shared" si="1"/>
        <v>44323</v>
      </c>
      <c r="C18" s="93">
        <f>F17</f>
        <v>-76599.25999999998</v>
      </c>
      <c r="D18" s="94">
        <f t="shared" si="3"/>
        <v>-165.03</v>
      </c>
      <c r="E18" s="137">
        <f>-ROUND(H18*('Earnings Test and 3% Test'!$I$46/'Conversion Factors'!$E$114),2)</f>
        <v>31332.76</v>
      </c>
      <c r="F18" s="95">
        <f t="shared" si="0"/>
        <v>-45431.529999999984</v>
      </c>
      <c r="G18" s="155">
        <f>G14</f>
        <v>3.2500000000000001E-2</v>
      </c>
      <c r="H18" s="70">
        <f>'4 12 21 Forecast Usage by Sched'!M5</f>
        <v>4778460.6639780533</v>
      </c>
    </row>
    <row r="19" spans="1:11" x14ac:dyDescent="0.25">
      <c r="A19" s="86">
        <v>11</v>
      </c>
      <c r="B19" s="92">
        <f t="shared" si="1"/>
        <v>44354</v>
      </c>
      <c r="C19" s="93">
        <f>F18</f>
        <v>-45431.529999999984</v>
      </c>
      <c r="D19" s="94">
        <f t="shared" si="3"/>
        <v>-99.22</v>
      </c>
      <c r="E19" s="137">
        <f>-ROUND(H19*('Earnings Test and 3% Test'!$I$46/'Conversion Factors'!$E$114),2)</f>
        <v>17595.189999999999</v>
      </c>
      <c r="F19" s="95">
        <f t="shared" si="0"/>
        <v>-27935.559999999987</v>
      </c>
      <c r="G19" s="155">
        <f>G18</f>
        <v>3.2500000000000001E-2</v>
      </c>
      <c r="H19" s="70">
        <f>'4 12 21 Forecast Usage by Sched'!M6</f>
        <v>2683387.0746667213</v>
      </c>
    </row>
    <row r="20" spans="1:11" x14ac:dyDescent="0.25">
      <c r="A20" s="86">
        <v>12</v>
      </c>
      <c r="B20" s="92">
        <f t="shared" si="1"/>
        <v>44385</v>
      </c>
      <c r="C20" s="93">
        <f>F19</f>
        <v>-27935.559999999987</v>
      </c>
      <c r="D20" s="94">
        <f t="shared" si="3"/>
        <v>-55.65</v>
      </c>
      <c r="E20" s="137">
        <f>-ROUND(H20*('Earnings Test and 3% Test'!$I$46/'Conversion Factors'!$E$114),2)</f>
        <v>14774.79</v>
      </c>
      <c r="F20" s="97">
        <f>C20+D20+E20</f>
        <v>-13216.419999999987</v>
      </c>
      <c r="G20" s="155">
        <f>G19</f>
        <v>3.2500000000000001E-2</v>
      </c>
      <c r="H20" s="70">
        <f>'4 12 21 Forecast Usage by Sched'!M7</f>
        <v>2253256.6206556447</v>
      </c>
    </row>
    <row r="21" spans="1:11" x14ac:dyDescent="0.25">
      <c r="A21" s="79"/>
      <c r="B21" s="79"/>
      <c r="C21" s="79"/>
      <c r="D21" s="79"/>
      <c r="E21" s="79"/>
      <c r="F21" s="79"/>
      <c r="G21" s="79"/>
      <c r="H21" s="79"/>
    </row>
    <row r="22" spans="1:11" x14ac:dyDescent="0.25">
      <c r="A22" s="79"/>
      <c r="B22" s="79"/>
      <c r="C22" s="79"/>
      <c r="D22" s="79"/>
      <c r="E22" s="79"/>
      <c r="F22" s="79"/>
      <c r="G22" s="79"/>
      <c r="H22" s="79"/>
    </row>
    <row r="23" spans="1:11" x14ac:dyDescent="0.25">
      <c r="A23" s="79"/>
      <c r="B23" s="177" t="s">
        <v>118</v>
      </c>
      <c r="C23" s="177"/>
      <c r="D23" s="177"/>
      <c r="E23" s="177"/>
      <c r="F23" s="177"/>
      <c r="G23" s="177"/>
      <c r="H23" s="177"/>
    </row>
    <row r="24" spans="1:11" ht="57.6" customHeight="1" x14ac:dyDescent="0.25">
      <c r="A24" s="91" t="s">
        <v>94</v>
      </c>
      <c r="B24" s="86" t="s">
        <v>2</v>
      </c>
      <c r="C24" s="161" t="str">
        <f>"Regulatory "&amp;IF(C26&lt;0,"Liability","Asset")&amp;" Beginning Balance"</f>
        <v>Regulatory Asset Beginning Balance</v>
      </c>
      <c r="D24" s="86" t="s">
        <v>3</v>
      </c>
      <c r="E24" s="86" t="s">
        <v>75</v>
      </c>
      <c r="F24" s="161" t="str">
        <f>"Regulatory "&amp;IF(F37&lt;0,"Liability","Asset")&amp;" Ending Balance"</f>
        <v>Regulatory Asset Ending Balance</v>
      </c>
      <c r="G24" s="85" t="s">
        <v>117</v>
      </c>
      <c r="H24" s="85" t="str">
        <f>H7</f>
        <v>May - July Forecast Usage</v>
      </c>
    </row>
    <row r="25" spans="1:11" x14ac:dyDescent="0.25">
      <c r="A25" s="79"/>
      <c r="B25" s="79"/>
      <c r="C25" s="79"/>
      <c r="D25" s="79"/>
      <c r="E25" s="79"/>
      <c r="F25" s="79"/>
      <c r="G25" s="79"/>
      <c r="H25" s="79"/>
    </row>
    <row r="26" spans="1:11" x14ac:dyDescent="0.25">
      <c r="A26" s="86">
        <v>13</v>
      </c>
      <c r="B26" s="92">
        <f t="shared" ref="B26:B37" si="7">B9</f>
        <v>44044</v>
      </c>
      <c r="C26" s="137">
        <f>165162.52+64985.2</f>
        <v>230147.71999999997</v>
      </c>
      <c r="D26" s="94">
        <f>ROUND(((C26+C26+E26)/2)*G26/12,2)</f>
        <v>647.4</v>
      </c>
      <c r="E26" s="137">
        <v>-7304.3</v>
      </c>
      <c r="F26" s="95">
        <f>C26+D26+E26</f>
        <v>223490.81999999998</v>
      </c>
      <c r="G26" s="127">
        <f t="shared" ref="G26:G37" si="8">G9</f>
        <v>3.4299999999999997E-2</v>
      </c>
      <c r="H26" s="79"/>
      <c r="I26" s="79"/>
      <c r="J26" s="79"/>
      <c r="K26" s="95"/>
    </row>
    <row r="27" spans="1:11" x14ac:dyDescent="0.25">
      <c r="A27" s="86">
        <v>14</v>
      </c>
      <c r="B27" s="92">
        <f t="shared" si="7"/>
        <v>44075</v>
      </c>
      <c r="C27" s="93">
        <f>F26</f>
        <v>223490.81999999998</v>
      </c>
      <c r="D27" s="94">
        <f t="shared" ref="D27:D31" si="9">ROUND(((C27+C27+E27)/2)*G27/12,2)</f>
        <v>626.64</v>
      </c>
      <c r="E27" s="137">
        <v>-8517.16</v>
      </c>
      <c r="F27" s="95">
        <f t="shared" ref="F27:F37" si="10">C27+D27+E27</f>
        <v>215600.3</v>
      </c>
      <c r="G27" s="127">
        <f t="shared" si="8"/>
        <v>3.4299999999999997E-2</v>
      </c>
      <c r="H27" s="79"/>
      <c r="I27" s="79"/>
      <c r="J27" s="79"/>
    </row>
    <row r="28" spans="1:11" x14ac:dyDescent="0.25">
      <c r="A28" s="86">
        <v>15</v>
      </c>
      <c r="B28" s="92">
        <f t="shared" si="7"/>
        <v>44106</v>
      </c>
      <c r="C28" s="93">
        <f t="shared" ref="C28:C31" si="11">F27</f>
        <v>215600.3</v>
      </c>
      <c r="D28" s="94">
        <f t="shared" si="9"/>
        <v>556.86</v>
      </c>
      <c r="E28" s="137">
        <v>-19979.05</v>
      </c>
      <c r="F28" s="95">
        <f t="shared" si="10"/>
        <v>196178.11</v>
      </c>
      <c r="G28" s="127">
        <f t="shared" si="8"/>
        <v>3.2500000000000001E-2</v>
      </c>
      <c r="H28" s="79"/>
      <c r="I28" s="79"/>
      <c r="J28" s="79"/>
    </row>
    <row r="29" spans="1:11" x14ac:dyDescent="0.25">
      <c r="A29" s="86">
        <v>16</v>
      </c>
      <c r="B29" s="92">
        <f t="shared" si="7"/>
        <v>44137</v>
      </c>
      <c r="C29" s="93">
        <f t="shared" si="11"/>
        <v>196178.11</v>
      </c>
      <c r="D29" s="94">
        <f t="shared" si="9"/>
        <v>499.71</v>
      </c>
      <c r="E29" s="137">
        <v>-23340.97</v>
      </c>
      <c r="F29" s="95">
        <f t="shared" si="10"/>
        <v>173336.84999999998</v>
      </c>
      <c r="G29" s="127">
        <f t="shared" si="8"/>
        <v>3.2500000000000001E-2</v>
      </c>
      <c r="H29" s="79"/>
      <c r="I29" s="79"/>
      <c r="J29" s="79"/>
    </row>
    <row r="30" spans="1:11" x14ac:dyDescent="0.25">
      <c r="A30" s="86">
        <v>17</v>
      </c>
      <c r="B30" s="92">
        <f t="shared" si="7"/>
        <v>44168</v>
      </c>
      <c r="C30" s="93">
        <f t="shared" si="11"/>
        <v>173336.84999999998</v>
      </c>
      <c r="D30" s="94">
        <f t="shared" si="9"/>
        <v>426.84</v>
      </c>
      <c r="E30" s="137">
        <v>-31469.95</v>
      </c>
      <c r="F30" s="95">
        <f t="shared" si="10"/>
        <v>142293.73999999996</v>
      </c>
      <c r="G30" s="127">
        <f t="shared" si="8"/>
        <v>3.2500000000000001E-2</v>
      </c>
      <c r="H30" s="79"/>
      <c r="I30" s="79"/>
      <c r="J30" s="79"/>
    </row>
    <row r="31" spans="1:11" x14ac:dyDescent="0.25">
      <c r="A31" s="86">
        <v>18</v>
      </c>
      <c r="B31" s="92">
        <f t="shared" si="7"/>
        <v>44199</v>
      </c>
      <c r="C31" s="93">
        <f t="shared" si="11"/>
        <v>142293.73999999996</v>
      </c>
      <c r="D31" s="94">
        <f t="shared" si="9"/>
        <v>344.17</v>
      </c>
      <c r="E31" s="137">
        <v>-30427.68</v>
      </c>
      <c r="F31" s="95">
        <f t="shared" si="10"/>
        <v>112210.22999999998</v>
      </c>
      <c r="G31" s="127">
        <f t="shared" si="8"/>
        <v>3.2500000000000001E-2</v>
      </c>
      <c r="H31" s="79"/>
    </row>
    <row r="32" spans="1:11" s="79" customFormat="1" x14ac:dyDescent="0.25">
      <c r="A32" s="139">
        <v>19</v>
      </c>
      <c r="B32" s="92">
        <f t="shared" si="7"/>
        <v>44230</v>
      </c>
      <c r="C32" s="93">
        <f t="shared" ref="C32:C34" si="12">F31</f>
        <v>112210.22999999998</v>
      </c>
      <c r="D32" s="94">
        <f t="shared" ref="D32:D34" si="13">ROUND(((C32+C32+E32)/2)*G32/12,2)</f>
        <v>262.66000000000003</v>
      </c>
      <c r="E32" s="137">
        <v>-30456.01</v>
      </c>
      <c r="F32" s="95">
        <f t="shared" ref="F32:F34" si="14">C32+D32+E32</f>
        <v>82016.87999999999</v>
      </c>
      <c r="G32" s="127">
        <f t="shared" si="8"/>
        <v>3.2500000000000001E-2</v>
      </c>
    </row>
    <row r="33" spans="1:10" s="79" customFormat="1" x14ac:dyDescent="0.25">
      <c r="A33" s="139">
        <v>20</v>
      </c>
      <c r="B33" s="92">
        <f t="shared" si="7"/>
        <v>44261</v>
      </c>
      <c r="C33" s="93">
        <f t="shared" si="12"/>
        <v>82016.87999999999</v>
      </c>
      <c r="D33" s="94">
        <f t="shared" si="13"/>
        <v>184.16</v>
      </c>
      <c r="E33" s="137">
        <v>-28037.07</v>
      </c>
      <c r="F33" s="95">
        <f t="shared" si="14"/>
        <v>54163.969999999994</v>
      </c>
      <c r="G33" s="127">
        <f t="shared" si="8"/>
        <v>3.2500000000000001E-2</v>
      </c>
    </row>
    <row r="34" spans="1:10" s="79" customFormat="1" x14ac:dyDescent="0.25">
      <c r="A34" s="139">
        <v>21</v>
      </c>
      <c r="B34" s="92">
        <f t="shared" si="7"/>
        <v>44292</v>
      </c>
      <c r="C34" s="93">
        <f t="shared" si="12"/>
        <v>54163.969999999994</v>
      </c>
      <c r="D34" s="94">
        <f t="shared" si="13"/>
        <v>124.69</v>
      </c>
      <c r="E34" s="137">
        <v>-16248.4</v>
      </c>
      <c r="F34" s="95">
        <f t="shared" si="14"/>
        <v>38040.259999999995</v>
      </c>
      <c r="G34" s="127">
        <f t="shared" si="8"/>
        <v>3.2500000000000001E-2</v>
      </c>
    </row>
    <row r="35" spans="1:10" x14ac:dyDescent="0.25">
      <c r="A35" s="86">
        <v>22</v>
      </c>
      <c r="B35" s="92">
        <f t="shared" si="7"/>
        <v>44323</v>
      </c>
      <c r="C35" s="93">
        <f>F34</f>
        <v>38040.259999999995</v>
      </c>
      <c r="D35" s="94">
        <f t="shared" ref="D35:D37" si="15">ROUND(((C35+C35+E35)/2)*G35/12,2)</f>
        <v>89.38</v>
      </c>
      <c r="E35" s="137">
        <f>-ROUND(H35*('Earnings Test and 3% Test'!$F$46/'Conversion Factors'!$E$114),2)</f>
        <v>-10077.94</v>
      </c>
      <c r="F35" s="95">
        <f t="shared" si="10"/>
        <v>28051.69999999999</v>
      </c>
      <c r="G35" s="127">
        <f t="shared" si="8"/>
        <v>3.2500000000000001E-2</v>
      </c>
      <c r="H35" s="70">
        <f>'4 12 21 Forecast Usage by Sched'!N5</f>
        <v>2512682.5214781296</v>
      </c>
      <c r="J35" s="79"/>
    </row>
    <row r="36" spans="1:10" x14ac:dyDescent="0.25">
      <c r="A36" s="86">
        <v>23</v>
      </c>
      <c r="B36" s="92">
        <f t="shared" si="7"/>
        <v>44354</v>
      </c>
      <c r="C36" s="93">
        <f t="shared" ref="C36:C37" si="16">F35</f>
        <v>28051.69999999999</v>
      </c>
      <c r="D36" s="94">
        <f t="shared" si="15"/>
        <v>65.02</v>
      </c>
      <c r="E36" s="137">
        <f>-ROUND(H36*('Earnings Test and 3% Test'!$F$46/'Conversion Factors'!$E$114),2)</f>
        <v>-8091.34</v>
      </c>
      <c r="F36" s="95">
        <f t="shared" si="10"/>
        <v>20025.37999999999</v>
      </c>
      <c r="G36" s="127">
        <f t="shared" si="8"/>
        <v>3.2500000000000001E-2</v>
      </c>
      <c r="H36" s="70">
        <f>'4 12 21 Forecast Usage by Sched'!N6</f>
        <v>2017372.6424814905</v>
      </c>
      <c r="J36" s="79"/>
    </row>
    <row r="37" spans="1:10" x14ac:dyDescent="0.25">
      <c r="A37" s="86">
        <v>24</v>
      </c>
      <c r="B37" s="92">
        <f t="shared" si="7"/>
        <v>44385</v>
      </c>
      <c r="C37" s="93">
        <f t="shared" si="16"/>
        <v>20025.37999999999</v>
      </c>
      <c r="D37" s="94">
        <f t="shared" si="15"/>
        <v>44.32</v>
      </c>
      <c r="E37" s="137">
        <f>-ROUND(H37*('Earnings Test and 3% Test'!$F$46/'Conversion Factors'!$E$114),2)</f>
        <v>-7324.25</v>
      </c>
      <c r="F37" s="97">
        <f t="shared" si="10"/>
        <v>12745.44999999999</v>
      </c>
      <c r="G37" s="127">
        <f t="shared" si="8"/>
        <v>3.2500000000000001E-2</v>
      </c>
      <c r="H37" s="70">
        <f>'4 12 21 Forecast Usage by Sched'!N7</f>
        <v>1826119.6495595141</v>
      </c>
    </row>
  </sheetData>
  <mergeCells count="6">
    <mergeCell ref="B1:H1"/>
    <mergeCell ref="B2:H2"/>
    <mergeCell ref="B3:H3"/>
    <mergeCell ref="B6:H6"/>
    <mergeCell ref="B23:H23"/>
    <mergeCell ref="B4:H4"/>
  </mergeCells>
  <pageMargins left="0.7" right="0.7" top="0.75" bottom="0.75" header="0.3" footer="0.3"/>
  <pageSetup scale="93" firstPageNumber="5" orientation="portrait" useFirstPageNumber="1" r:id="rId1"/>
  <headerFooter scaleWithDoc="0">
    <oddFooter>&amp;CATTACHMENT A&amp;RPage 5 of 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8"/>
  <sheetViews>
    <sheetView topLeftCell="A40" zoomScaleNormal="100" workbookViewId="0">
      <selection activeCell="G23" sqref="G23"/>
    </sheetView>
  </sheetViews>
  <sheetFormatPr defaultRowHeight="15" x14ac:dyDescent="0.25"/>
  <cols>
    <col min="1" max="1" width="7.42578125" style="71" customWidth="1"/>
    <col min="2" max="2" width="31.7109375" customWidth="1"/>
    <col min="4" max="4" width="3.28515625" customWidth="1"/>
    <col min="5" max="5" width="15.42578125" customWidth="1"/>
    <col min="6" max="6" width="15.28515625" customWidth="1"/>
    <col min="7" max="7" width="3.42578125" customWidth="1"/>
    <col min="8" max="8" width="12.42578125" hidden="1" customWidth="1"/>
    <col min="9" max="9" width="20.42578125" customWidth="1"/>
    <col min="10" max="10" width="19.42578125" customWidth="1"/>
    <col min="11" max="11" width="16.28515625" customWidth="1"/>
    <col min="12" max="12" width="14" customWidth="1"/>
    <col min="13" max="13" width="15" customWidth="1"/>
    <col min="14" max="14" width="4.5703125" customWidth="1"/>
    <col min="15" max="15" width="25.28515625" customWidth="1"/>
    <col min="16" max="16" width="16.7109375" customWidth="1"/>
    <col min="17" max="17" width="17" customWidth="1"/>
    <col min="18" max="18" width="12.42578125" customWidth="1"/>
    <col min="19" max="19" width="13.5703125" customWidth="1"/>
  </cols>
  <sheetData>
    <row r="1" spans="1:7" x14ac:dyDescent="0.25">
      <c r="B1" s="177" t="s">
        <v>0</v>
      </c>
      <c r="C1" s="177"/>
      <c r="D1" s="177"/>
      <c r="E1" s="177"/>
      <c r="F1" s="177"/>
      <c r="G1" s="177"/>
    </row>
    <row r="2" spans="1:7" x14ac:dyDescent="0.25">
      <c r="B2" s="177" t="s">
        <v>45</v>
      </c>
      <c r="C2" s="177"/>
      <c r="D2" s="177"/>
      <c r="E2" s="177"/>
      <c r="F2" s="177"/>
      <c r="G2" s="177"/>
    </row>
    <row r="3" spans="1:7" x14ac:dyDescent="0.25">
      <c r="B3" s="177" t="s">
        <v>173</v>
      </c>
      <c r="C3" s="177"/>
      <c r="D3" s="177"/>
      <c r="E3" s="177"/>
      <c r="F3" s="177"/>
      <c r="G3" s="177"/>
    </row>
    <row r="5" spans="1:7" x14ac:dyDescent="0.25">
      <c r="B5" s="72" t="s">
        <v>186</v>
      </c>
      <c r="C5" s="72"/>
      <c r="D5" s="72"/>
    </row>
    <row r="7" spans="1:7" x14ac:dyDescent="0.25">
      <c r="A7" s="71" t="s">
        <v>94</v>
      </c>
      <c r="D7" s="71"/>
      <c r="E7" s="35" t="s">
        <v>46</v>
      </c>
      <c r="F7" s="78"/>
      <c r="G7" s="46"/>
    </row>
    <row r="9" spans="1:7" x14ac:dyDescent="0.25">
      <c r="A9" s="71">
        <v>1</v>
      </c>
      <c r="B9" t="s">
        <v>47</v>
      </c>
      <c r="E9" s="118">
        <v>410952000</v>
      </c>
      <c r="F9" s="41"/>
      <c r="G9" s="41"/>
    </row>
    <row r="10" spans="1:7" x14ac:dyDescent="0.25">
      <c r="E10" s="63"/>
    </row>
    <row r="11" spans="1:7" x14ac:dyDescent="0.25">
      <c r="A11" s="71">
        <v>2</v>
      </c>
      <c r="B11" t="s">
        <v>48</v>
      </c>
      <c r="E11" s="118">
        <v>24969000</v>
      </c>
      <c r="F11" s="41"/>
      <c r="G11" s="41"/>
    </row>
    <row r="12" spans="1:7" x14ac:dyDescent="0.25">
      <c r="E12" s="63"/>
    </row>
    <row r="13" spans="1:7" x14ac:dyDescent="0.25">
      <c r="A13" s="71">
        <v>3</v>
      </c>
      <c r="B13" t="s">
        <v>49</v>
      </c>
      <c r="E13" s="39">
        <f>E11/E9</f>
        <v>6.0758920749868599E-2</v>
      </c>
      <c r="F13" s="39"/>
      <c r="G13" s="39"/>
    </row>
    <row r="14" spans="1:7" x14ac:dyDescent="0.25">
      <c r="A14" s="71">
        <v>4</v>
      </c>
      <c r="B14" t="s">
        <v>50</v>
      </c>
      <c r="C14" s="79" t="s">
        <v>188</v>
      </c>
      <c r="D14" s="39"/>
      <c r="E14" s="39">
        <f>(7.5%*3+7.21%*9)/12</f>
        <v>7.2825000000000001E-2</v>
      </c>
      <c r="F14" s="39"/>
      <c r="G14" s="39"/>
    </row>
    <row r="15" spans="1:7" x14ac:dyDescent="0.25">
      <c r="A15" s="71">
        <v>5</v>
      </c>
      <c r="B15" t="s">
        <v>51</v>
      </c>
      <c r="E15" s="40">
        <f>E13-E14</f>
        <v>-1.2066079250131402E-2</v>
      </c>
      <c r="F15" s="40"/>
      <c r="G15" s="40"/>
    </row>
    <row r="17" spans="1:8" x14ac:dyDescent="0.25">
      <c r="A17" s="71">
        <v>6</v>
      </c>
      <c r="B17" t="s">
        <v>52</v>
      </c>
      <c r="E17" s="41">
        <f>IF(E15&gt;0,E9*E15,0)</f>
        <v>0</v>
      </c>
      <c r="F17" s="41"/>
      <c r="G17" s="41"/>
    </row>
    <row r="18" spans="1:8" x14ac:dyDescent="0.25">
      <c r="A18" s="71">
        <v>7</v>
      </c>
      <c r="B18" t="s">
        <v>53</v>
      </c>
      <c r="E18" s="42">
        <f>'Conversion Factors'!E112</f>
        <v>0.75621799999999995</v>
      </c>
      <c r="F18" s="42"/>
      <c r="G18" s="42"/>
    </row>
    <row r="19" spans="1:8" x14ac:dyDescent="0.25">
      <c r="A19" s="71">
        <v>8</v>
      </c>
      <c r="B19" t="s">
        <v>54</v>
      </c>
      <c r="E19" s="41">
        <f>E17/E18</f>
        <v>0</v>
      </c>
      <c r="F19" s="41"/>
      <c r="G19" s="41"/>
      <c r="H19" s="41"/>
    </row>
    <row r="20" spans="1:8" ht="15.75" thickBot="1" x14ac:dyDescent="0.3">
      <c r="A20" s="71">
        <v>9</v>
      </c>
      <c r="B20" t="s">
        <v>55</v>
      </c>
      <c r="E20" s="43">
        <v>0.5</v>
      </c>
      <c r="F20" s="43"/>
      <c r="G20" s="43"/>
    </row>
    <row r="21" spans="1:8" ht="16.5" thickTop="1" thickBot="1" x14ac:dyDescent="0.3">
      <c r="A21" s="71">
        <v>10</v>
      </c>
      <c r="B21" t="s">
        <v>167</v>
      </c>
      <c r="E21" s="44">
        <f>E19*E20</f>
        <v>0</v>
      </c>
      <c r="F21" s="52"/>
      <c r="G21" s="52"/>
    </row>
    <row r="22" spans="1:8" ht="15.75" thickTop="1" x14ac:dyDescent="0.25"/>
    <row r="24" spans="1:8" x14ac:dyDescent="0.25">
      <c r="B24" s="72" t="s">
        <v>185</v>
      </c>
      <c r="C24" s="72"/>
      <c r="D24" s="72"/>
      <c r="E24" s="72"/>
      <c r="F24" s="72"/>
      <c r="G24" s="72"/>
    </row>
    <row r="26" spans="1:8" x14ac:dyDescent="0.25">
      <c r="A26" s="71">
        <v>11</v>
      </c>
      <c r="B26" t="s">
        <v>56</v>
      </c>
      <c r="D26" s="39"/>
      <c r="E26" s="62">
        <f>'Bill Impact'!L11</f>
        <v>123149739</v>
      </c>
      <c r="F26" s="39">
        <f>E26/E30</f>
        <v>0.77939284124734132</v>
      </c>
    </row>
    <row r="27" spans="1:8" x14ac:dyDescent="0.25">
      <c r="E27" s="63"/>
      <c r="H27" s="39"/>
    </row>
    <row r="28" spans="1:8" x14ac:dyDescent="0.25">
      <c r="A28" s="71">
        <v>12</v>
      </c>
      <c r="B28" t="s">
        <v>57</v>
      </c>
      <c r="D28" s="39"/>
      <c r="E28" s="62">
        <f>'Bill Impact'!L13</f>
        <v>34857536</v>
      </c>
      <c r="F28" s="39">
        <f>E28/E30</f>
        <v>0.22060715875265871</v>
      </c>
    </row>
    <row r="29" spans="1:8" x14ac:dyDescent="0.25">
      <c r="H29" s="39"/>
    </row>
    <row r="30" spans="1:8" x14ac:dyDescent="0.25">
      <c r="A30" s="71">
        <v>13</v>
      </c>
      <c r="B30" t="s">
        <v>58</v>
      </c>
      <c r="D30" s="40"/>
      <c r="E30" s="41">
        <f>E26+E28</f>
        <v>158007275</v>
      </c>
      <c r="F30" s="40">
        <f>F26+F28</f>
        <v>1</v>
      </c>
    </row>
    <row r="31" spans="1:8" s="79" customFormat="1" x14ac:dyDescent="0.25">
      <c r="A31" s="81"/>
      <c r="D31" s="82"/>
      <c r="E31" s="83"/>
      <c r="F31" s="82"/>
    </row>
    <row r="32" spans="1:8" x14ac:dyDescent="0.25">
      <c r="E32" s="167" t="s">
        <v>111</v>
      </c>
      <c r="F32" s="167" t="s">
        <v>112</v>
      </c>
      <c r="H32" s="40"/>
    </row>
    <row r="33" spans="1:10" x14ac:dyDescent="0.25">
      <c r="B33" s="47" t="s">
        <v>59</v>
      </c>
      <c r="E33" s="167"/>
      <c r="F33" s="167"/>
    </row>
    <row r="34" spans="1:10" x14ac:dyDescent="0.25">
      <c r="A34" s="71">
        <v>14</v>
      </c>
      <c r="B34" t="s">
        <v>61</v>
      </c>
      <c r="E34" s="41">
        <f>E21*F26</f>
        <v>0</v>
      </c>
      <c r="F34" s="83">
        <f>ROUND(E34*'Conversion Factors'!$E$108,0)</f>
        <v>0</v>
      </c>
    </row>
    <row r="35" spans="1:10" x14ac:dyDescent="0.25">
      <c r="A35" s="71">
        <v>15</v>
      </c>
      <c r="B35" t="s">
        <v>82</v>
      </c>
      <c r="E35" s="41">
        <f>E21*F28</f>
        <v>0</v>
      </c>
      <c r="F35" s="83">
        <f>ROUND(E35*'Conversion Factors'!$E$108,0)</f>
        <v>0</v>
      </c>
    </row>
    <row r="36" spans="1:10" x14ac:dyDescent="0.25">
      <c r="A36" s="71">
        <v>16</v>
      </c>
      <c r="B36" t="s">
        <v>60</v>
      </c>
      <c r="E36" s="45">
        <f>SUM(E34:E35)</f>
        <v>0</v>
      </c>
      <c r="F36" s="45">
        <f>SUM(F34:F35)</f>
        <v>0</v>
      </c>
      <c r="I36" s="83"/>
    </row>
    <row r="38" spans="1:10" ht="32.450000000000003" customHeight="1" x14ac:dyDescent="0.25">
      <c r="A38" s="71" t="s">
        <v>94</v>
      </c>
      <c r="B38" s="73" t="s">
        <v>65</v>
      </c>
      <c r="E38" s="86" t="s">
        <v>113</v>
      </c>
      <c r="F38" s="86" t="s">
        <v>114</v>
      </c>
      <c r="G38" s="86"/>
      <c r="J38" s="99"/>
    </row>
    <row r="39" spans="1:10" s="79" customFormat="1" ht="15" customHeight="1" x14ac:dyDescent="0.25">
      <c r="A39" s="86"/>
      <c r="B39" s="73"/>
      <c r="E39" s="86"/>
      <c r="F39" s="86"/>
      <c r="G39" s="86"/>
    </row>
    <row r="40" spans="1:10" s="79" customFormat="1" ht="30.6" customHeight="1" x14ac:dyDescent="0.25">
      <c r="A40" s="88">
        <v>1</v>
      </c>
      <c r="B40" s="181" t="s">
        <v>184</v>
      </c>
      <c r="C40" s="181"/>
      <c r="D40" s="89"/>
      <c r="E40" s="90">
        <f>E26</f>
        <v>123149739</v>
      </c>
      <c r="F40" s="90">
        <f>E28</f>
        <v>34857536</v>
      </c>
      <c r="G40" s="90"/>
      <c r="J40" s="90"/>
    </row>
    <row r="41" spans="1:10" s="79" customFormat="1" ht="15" customHeight="1" x14ac:dyDescent="0.25">
      <c r="A41" s="86"/>
      <c r="B41" s="73"/>
      <c r="E41" s="86"/>
      <c r="F41" s="86"/>
      <c r="G41" s="86"/>
    </row>
    <row r="42" spans="1:10" ht="15" customHeight="1" x14ac:dyDescent="0.25">
      <c r="A42" s="71">
        <v>2</v>
      </c>
      <c r="B42" t="s">
        <v>175</v>
      </c>
      <c r="E42" s="70">
        <f>'Nat Gas 2021 Rate Calc'!E22</f>
        <v>135825505.31893745</v>
      </c>
      <c r="F42" s="70">
        <f>'Nat Gas 2021 Rate Calc'!K22</f>
        <v>60870053.321880542</v>
      </c>
      <c r="I42" s="79"/>
    </row>
    <row r="43" spans="1:10" ht="15" customHeight="1" x14ac:dyDescent="0.25"/>
    <row r="44" spans="1:10" ht="15" customHeight="1" x14ac:dyDescent="0.25">
      <c r="A44" s="71">
        <v>3</v>
      </c>
      <c r="B44" t="s">
        <v>62</v>
      </c>
      <c r="E44" s="50">
        <f>'Nat Gas 2021 Rate Calc'!D28</f>
        <v>9.2499999999999995E-3</v>
      </c>
      <c r="F44" s="50">
        <f>'Nat Gas 2021 Rate Calc'!J28</f>
        <v>8.1300000000000001E-3</v>
      </c>
    </row>
    <row r="45" spans="1:10" ht="15" customHeight="1" x14ac:dyDescent="0.25"/>
    <row r="46" spans="1:10" ht="15" customHeight="1" x14ac:dyDescent="0.25">
      <c r="A46" s="71">
        <v>4</v>
      </c>
      <c r="B46" t="s">
        <v>191</v>
      </c>
      <c r="D46" s="63"/>
      <c r="E46" s="157">
        <v>0</v>
      </c>
      <c r="F46" s="157">
        <v>4.1900000000000001E-3</v>
      </c>
      <c r="I46" s="50">
        <v>-6.8500000000000002E-3</v>
      </c>
      <c r="J46" s="50"/>
    </row>
    <row r="47" spans="1:10" ht="15" customHeight="1" x14ac:dyDescent="0.25"/>
    <row r="48" spans="1:10" ht="15" customHeight="1" x14ac:dyDescent="0.25">
      <c r="A48" s="71">
        <v>5</v>
      </c>
      <c r="B48" t="s">
        <v>63</v>
      </c>
      <c r="E48" s="50">
        <f>E44-E46</f>
        <v>9.2499999999999995E-3</v>
      </c>
      <c r="F48" s="50">
        <f>F44-F46</f>
        <v>3.9399999999999999E-3</v>
      </c>
    </row>
    <row r="49" spans="1:7" ht="15" customHeight="1" x14ac:dyDescent="0.25"/>
    <row r="50" spans="1:7" ht="15" customHeight="1" x14ac:dyDescent="0.25">
      <c r="A50" s="71">
        <v>6</v>
      </c>
      <c r="B50" t="s">
        <v>64</v>
      </c>
      <c r="E50" s="48">
        <f>E48*E42</f>
        <v>1256385.9242001714</v>
      </c>
      <c r="F50" s="48">
        <f>F48*F42</f>
        <v>239828.01008820932</v>
      </c>
      <c r="G50" s="48"/>
    </row>
    <row r="51" spans="1:7" ht="15" customHeight="1" x14ac:dyDescent="0.25">
      <c r="E51" s="48"/>
      <c r="F51" s="48"/>
    </row>
    <row r="52" spans="1:7" ht="15" customHeight="1" x14ac:dyDescent="0.25">
      <c r="A52" s="71">
        <v>7</v>
      </c>
      <c r="B52" t="s">
        <v>66</v>
      </c>
      <c r="E52" s="51">
        <f>E50/E40</f>
        <v>1.0202099772214469E-2</v>
      </c>
      <c r="F52" s="51">
        <f t="shared" ref="F52" si="0">F50/F40</f>
        <v>6.8802341648075563E-3</v>
      </c>
      <c r="G52" s="51"/>
    </row>
    <row r="53" spans="1:7" ht="15" customHeight="1" x14ac:dyDescent="0.25"/>
    <row r="54" spans="1:7" ht="15" customHeight="1" x14ac:dyDescent="0.25">
      <c r="A54" s="71">
        <v>8</v>
      </c>
      <c r="B54" t="s">
        <v>190</v>
      </c>
      <c r="E54" s="41">
        <f>IF(E52&gt;0.03,E40*0.03-E50,0)</f>
        <v>0</v>
      </c>
      <c r="F54" s="83">
        <f>IF(F52&gt;0.03,F40*0.03-F50,0)</f>
        <v>0</v>
      </c>
    </row>
    <row r="55" spans="1:7" ht="15" customHeight="1" x14ac:dyDescent="0.25"/>
    <row r="56" spans="1:7" ht="15" customHeight="1" x14ac:dyDescent="0.25">
      <c r="A56" s="71">
        <v>9</v>
      </c>
      <c r="B56" t="s">
        <v>67</v>
      </c>
      <c r="E56" s="50">
        <f>ROUND(E54/E42,5)</f>
        <v>0</v>
      </c>
      <c r="F56" s="50">
        <f>ROUND(F54/F42,5)</f>
        <v>0</v>
      </c>
    </row>
    <row r="57" spans="1:7" ht="15" customHeight="1" x14ac:dyDescent="0.25"/>
    <row r="58" spans="1:7" ht="15" customHeight="1" x14ac:dyDescent="0.25">
      <c r="A58" s="71">
        <v>10</v>
      </c>
      <c r="B58" t="s">
        <v>68</v>
      </c>
      <c r="E58" s="50">
        <f>E44+E56</f>
        <v>9.2499999999999995E-3</v>
      </c>
      <c r="F58" s="50">
        <f>F44+F56</f>
        <v>8.1300000000000001E-3</v>
      </c>
    </row>
    <row r="59" spans="1:7" ht="15" customHeight="1" x14ac:dyDescent="0.25"/>
    <row r="60" spans="1:7" ht="15" customHeight="1" x14ac:dyDescent="0.25">
      <c r="A60" s="71">
        <v>11</v>
      </c>
      <c r="B60" t="s">
        <v>69</v>
      </c>
      <c r="E60" s="48">
        <f>(E58-E46)*E42</f>
        <v>1256385.9242001714</v>
      </c>
      <c r="F60" s="48">
        <f>(F58-F46)*F42</f>
        <v>239828.01008820932</v>
      </c>
      <c r="G60" s="53"/>
    </row>
    <row r="61" spans="1:7" ht="15" customHeight="1" x14ac:dyDescent="0.25">
      <c r="E61" s="53"/>
      <c r="F61" s="53"/>
    </row>
    <row r="62" spans="1:7" ht="15" customHeight="1" x14ac:dyDescent="0.25">
      <c r="A62" s="71">
        <v>12</v>
      </c>
      <c r="B62" t="s">
        <v>70</v>
      </c>
      <c r="E62" s="51">
        <f>E60/E40</f>
        <v>1.0202099772214469E-2</v>
      </c>
      <c r="F62" s="51">
        <f t="shared" ref="F62" si="1">F60/F40</f>
        <v>6.8802341648075563E-3</v>
      </c>
      <c r="G62" s="51"/>
    </row>
    <row r="63" spans="1:7" ht="15" customHeight="1" x14ac:dyDescent="0.25"/>
    <row r="64" spans="1:7" x14ac:dyDescent="0.25">
      <c r="B64" t="s">
        <v>74</v>
      </c>
    </row>
    <row r="65" spans="1:8" ht="38.25" customHeight="1" x14ac:dyDescent="0.25">
      <c r="A65" s="86"/>
      <c r="B65" s="182" t="s">
        <v>174</v>
      </c>
      <c r="C65" s="182"/>
      <c r="D65" s="182"/>
      <c r="E65" s="182"/>
      <c r="F65" s="182"/>
      <c r="G65" s="182"/>
      <c r="H65" s="182"/>
    </row>
    <row r="66" spans="1:8" s="79" customFormat="1" ht="54" customHeight="1" x14ac:dyDescent="0.25">
      <c r="A66" s="139"/>
      <c r="B66" s="180" t="s">
        <v>192</v>
      </c>
      <c r="C66" s="180"/>
      <c r="D66" s="180"/>
      <c r="E66" s="180"/>
      <c r="F66" s="180"/>
      <c r="G66" s="180"/>
      <c r="H66" s="180"/>
    </row>
    <row r="67" spans="1:8" ht="54.75" customHeight="1" x14ac:dyDescent="0.25">
      <c r="A67" s="86"/>
      <c r="B67" s="180" t="s">
        <v>189</v>
      </c>
      <c r="C67" s="180"/>
      <c r="D67" s="180"/>
      <c r="E67" s="180"/>
      <c r="F67" s="180"/>
      <c r="G67" s="180"/>
      <c r="H67" s="180"/>
    </row>
    <row r="68" spans="1:8" ht="15.75" customHeight="1" x14ac:dyDescent="0.25">
      <c r="B68" s="179"/>
      <c r="C68" s="179"/>
      <c r="D68" s="179"/>
      <c r="E68" s="179"/>
      <c r="F68" s="179"/>
      <c r="G68" s="179"/>
      <c r="H68" s="179"/>
    </row>
  </sheetData>
  <customSheetViews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1"/>
    </customSheetView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2"/>
    </customSheetView>
  </customSheetViews>
  <mergeCells count="10">
    <mergeCell ref="B68:H68"/>
    <mergeCell ref="B67:H67"/>
    <mergeCell ref="B1:G1"/>
    <mergeCell ref="B2:G2"/>
    <mergeCell ref="B3:G3"/>
    <mergeCell ref="E32:E33"/>
    <mergeCell ref="F32:F33"/>
    <mergeCell ref="B40:C40"/>
    <mergeCell ref="B65:H65"/>
    <mergeCell ref="B66:H66"/>
  </mergeCells>
  <printOptions horizontalCentered="1"/>
  <pageMargins left="0.7" right="0.7" top="0.75" bottom="0.75" header="0.3" footer="0.3"/>
  <pageSetup scale="95" firstPageNumber="6" orientation="portrait" useFirstPageNumber="1" r:id="rId3"/>
  <headerFooter scaleWithDoc="0">
    <oddFooter>&amp;CATTACHMENT A&amp;RPage &amp;P of 9</oddFooter>
  </headerFooter>
  <rowBreaks count="1" manualBreakCount="1">
    <brk id="3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7"/>
  <sheetViews>
    <sheetView topLeftCell="A89" zoomScaleNormal="100" workbookViewId="0">
      <selection activeCell="G23" sqref="G23"/>
    </sheetView>
  </sheetViews>
  <sheetFormatPr defaultRowHeight="15" x14ac:dyDescent="0.25"/>
  <cols>
    <col min="1" max="1" width="6.5703125" customWidth="1"/>
    <col min="2" max="2" width="2.42578125" customWidth="1"/>
    <col min="3" max="3" width="34.28515625" customWidth="1"/>
    <col min="4" max="4" width="8.85546875" customWidth="1"/>
    <col min="5" max="5" width="12.5703125" customWidth="1"/>
    <col min="6" max="6" width="3" customWidth="1"/>
    <col min="8" max="8" width="12.5703125" bestFit="1" customWidth="1"/>
  </cols>
  <sheetData>
    <row r="1" spans="1:5" hidden="1" x14ac:dyDescent="0.25">
      <c r="A1" s="183" t="s">
        <v>15</v>
      </c>
      <c r="B1" s="183"/>
      <c r="C1" s="183"/>
      <c r="D1" s="183"/>
      <c r="E1" s="183"/>
    </row>
    <row r="2" spans="1:5" ht="14.45" hidden="1" customHeight="1" x14ac:dyDescent="0.25">
      <c r="A2" s="1" t="s">
        <v>16</v>
      </c>
      <c r="B2" s="1"/>
      <c r="C2" s="1"/>
      <c r="D2" s="1"/>
      <c r="E2" s="2"/>
    </row>
    <row r="3" spans="1:5" ht="14.45" hidden="1" customHeight="1" x14ac:dyDescent="0.25">
      <c r="A3" s="1" t="s">
        <v>31</v>
      </c>
      <c r="B3" s="1"/>
      <c r="C3" s="1"/>
      <c r="D3" s="1"/>
      <c r="E3" s="2"/>
    </row>
    <row r="4" spans="1:5" ht="15.6" hidden="1" customHeight="1" x14ac:dyDescent="0.25">
      <c r="A4" s="1" t="s">
        <v>17</v>
      </c>
      <c r="B4" s="1"/>
      <c r="C4" s="1"/>
      <c r="D4" s="1"/>
      <c r="E4" s="2"/>
    </row>
    <row r="5" spans="1:5" hidden="1" x14ac:dyDescent="0.25">
      <c r="A5" s="3"/>
      <c r="B5" s="3"/>
      <c r="C5" s="3"/>
      <c r="D5" s="3"/>
      <c r="E5" s="4"/>
    </row>
    <row r="6" spans="1:5" hidden="1" x14ac:dyDescent="0.25">
      <c r="A6" s="5" t="s">
        <v>18</v>
      </c>
      <c r="B6" s="5"/>
      <c r="C6" s="5"/>
      <c r="D6" s="5"/>
      <c r="E6" s="6"/>
    </row>
    <row r="7" spans="1:5" hidden="1" x14ac:dyDescent="0.25">
      <c r="A7" s="7" t="s">
        <v>19</v>
      </c>
      <c r="B7" s="5"/>
      <c r="C7" s="7" t="s">
        <v>20</v>
      </c>
      <c r="D7" s="8"/>
      <c r="E7" s="9" t="s">
        <v>21</v>
      </c>
    </row>
    <row r="8" spans="1:5" hidden="1" x14ac:dyDescent="0.25">
      <c r="A8" s="3"/>
      <c r="B8" s="3"/>
      <c r="C8" s="3"/>
      <c r="D8" s="3"/>
      <c r="E8" s="4"/>
    </row>
    <row r="9" spans="1:5" hidden="1" x14ac:dyDescent="0.25">
      <c r="A9" s="10">
        <v>1</v>
      </c>
      <c r="B9" s="3"/>
      <c r="C9" s="11" t="s">
        <v>22</v>
      </c>
      <c r="D9" s="3"/>
      <c r="E9" s="12">
        <v>1</v>
      </c>
    </row>
    <row r="10" spans="1:5" hidden="1" x14ac:dyDescent="0.25">
      <c r="A10" s="10"/>
      <c r="B10" s="3"/>
      <c r="C10" s="3"/>
      <c r="D10" s="3"/>
      <c r="E10" s="12"/>
    </row>
    <row r="11" spans="1:5" hidden="1" x14ac:dyDescent="0.25">
      <c r="A11" s="10"/>
      <c r="B11" s="3"/>
      <c r="C11" s="13" t="s">
        <v>23</v>
      </c>
      <c r="D11" s="14"/>
      <c r="E11" s="12"/>
    </row>
    <row r="12" spans="1:5" hidden="1" x14ac:dyDescent="0.25">
      <c r="A12" s="10">
        <v>2</v>
      </c>
      <c r="B12" s="3"/>
      <c r="C12" s="14" t="s">
        <v>24</v>
      </c>
      <c r="D12" s="14"/>
      <c r="E12" s="14">
        <v>4.8500000000000001E-3</v>
      </c>
    </row>
    <row r="13" spans="1:5" hidden="1" x14ac:dyDescent="0.25">
      <c r="A13" s="10"/>
      <c r="B13" s="3"/>
      <c r="C13" s="14"/>
      <c r="D13" s="14"/>
      <c r="E13" s="14"/>
    </row>
    <row r="14" spans="1:5" hidden="1" x14ac:dyDescent="0.25">
      <c r="A14" s="10">
        <v>3</v>
      </c>
      <c r="B14" s="3"/>
      <c r="C14" s="14" t="s">
        <v>25</v>
      </c>
      <c r="D14" s="14"/>
      <c r="E14" s="14">
        <v>2E-3</v>
      </c>
    </row>
    <row r="15" spans="1:5" hidden="1" x14ac:dyDescent="0.25">
      <c r="A15" s="10"/>
      <c r="B15" s="3"/>
      <c r="C15" s="14"/>
      <c r="D15" s="14"/>
      <c r="E15" s="14"/>
    </row>
    <row r="16" spans="1:5" hidden="1" x14ac:dyDescent="0.25">
      <c r="A16" s="10">
        <v>4</v>
      </c>
      <c r="B16" s="3"/>
      <c r="C16" s="14" t="s">
        <v>26</v>
      </c>
      <c r="D16" s="14"/>
      <c r="E16" s="14">
        <v>3.8332999999999999E-2</v>
      </c>
    </row>
    <row r="17" spans="1:5" hidden="1" x14ac:dyDescent="0.25">
      <c r="A17" s="10"/>
      <c r="B17" s="3"/>
      <c r="C17" s="14"/>
      <c r="D17" s="14"/>
      <c r="E17" s="14"/>
    </row>
    <row r="18" spans="1:5" hidden="1" x14ac:dyDescent="0.25">
      <c r="A18" s="10">
        <v>5</v>
      </c>
      <c r="B18" s="3"/>
      <c r="C18" s="14" t="s">
        <v>27</v>
      </c>
      <c r="D18" s="14"/>
      <c r="E18" s="15">
        <f>SUM(E12:E16)</f>
        <v>4.5183000000000001E-2</v>
      </c>
    </row>
    <row r="19" spans="1:5" hidden="1" x14ac:dyDescent="0.25">
      <c r="A19" s="10"/>
      <c r="B19" s="3"/>
      <c r="C19" s="14"/>
      <c r="D19" s="14"/>
      <c r="E19" s="16"/>
    </row>
    <row r="20" spans="1:5" hidden="1" x14ac:dyDescent="0.25">
      <c r="A20" s="10">
        <v>6</v>
      </c>
      <c r="B20" s="3"/>
      <c r="C20" s="14" t="s">
        <v>28</v>
      </c>
      <c r="D20" s="14"/>
      <c r="E20" s="16">
        <f>E9-E18</f>
        <v>0.95481700000000003</v>
      </c>
    </row>
    <row r="21" spans="1:5" hidden="1" x14ac:dyDescent="0.25">
      <c r="A21" s="3"/>
      <c r="B21" s="3"/>
      <c r="C21" s="14"/>
      <c r="D21" s="14"/>
      <c r="E21" s="16"/>
    </row>
    <row r="22" spans="1:5" hidden="1" x14ac:dyDescent="0.25">
      <c r="A22" s="10">
        <v>7</v>
      </c>
      <c r="B22" s="3"/>
      <c r="C22" s="14" t="s">
        <v>29</v>
      </c>
      <c r="D22" s="17"/>
      <c r="E22" s="18">
        <f>ROUND(E20*0.35,6)</f>
        <v>0.33418599999999998</v>
      </c>
    </row>
    <row r="23" spans="1:5" hidden="1" x14ac:dyDescent="0.25">
      <c r="A23" s="3"/>
      <c r="B23" s="3"/>
      <c r="C23" s="14"/>
      <c r="D23" s="14"/>
      <c r="E23" s="16"/>
    </row>
    <row r="24" spans="1:5" ht="15.75" hidden="1" thickBot="1" x14ac:dyDescent="0.3">
      <c r="A24" s="10">
        <v>8</v>
      </c>
      <c r="B24" s="3"/>
      <c r="C24" s="13" t="s">
        <v>30</v>
      </c>
      <c r="D24" s="14"/>
      <c r="E24" s="20">
        <f>ROUND(E20-E22,5)</f>
        <v>0.62063000000000001</v>
      </c>
    </row>
    <row r="25" spans="1:5" ht="15.75" hidden="1" thickTop="1" x14ac:dyDescent="0.25"/>
    <row r="26" spans="1:5" hidden="1" x14ac:dyDescent="0.25">
      <c r="C26" t="s">
        <v>32</v>
      </c>
    </row>
    <row r="27" spans="1:5" hidden="1" x14ac:dyDescent="0.25">
      <c r="C27" t="s">
        <v>33</v>
      </c>
    </row>
    <row r="28" spans="1:5" hidden="1" x14ac:dyDescent="0.25">
      <c r="C28" t="s">
        <v>44</v>
      </c>
      <c r="E28">
        <f>1/E20</f>
        <v>1.0473211096995549</v>
      </c>
    </row>
    <row r="29" spans="1:5" hidden="1" x14ac:dyDescent="0.25"/>
    <row r="30" spans="1:5" hidden="1" x14ac:dyDescent="0.25">
      <c r="A30" s="183" t="s">
        <v>15</v>
      </c>
      <c r="B30" s="183"/>
      <c r="C30" s="183"/>
      <c r="D30" s="183"/>
      <c r="E30" s="183"/>
    </row>
    <row r="31" spans="1:5" ht="14.45" hidden="1" customHeight="1" x14ac:dyDescent="0.25">
      <c r="A31" s="1" t="s">
        <v>16</v>
      </c>
      <c r="B31" s="1"/>
      <c r="C31" s="1"/>
      <c r="D31" s="1"/>
      <c r="E31" s="2"/>
    </row>
    <row r="32" spans="1:5" ht="14.45" hidden="1" customHeight="1" x14ac:dyDescent="0.25">
      <c r="A32" s="1" t="s">
        <v>31</v>
      </c>
      <c r="B32" s="1"/>
      <c r="C32" s="1"/>
      <c r="D32" s="1"/>
      <c r="E32" s="2"/>
    </row>
    <row r="33" spans="1:5" ht="15.6" hidden="1" customHeight="1" x14ac:dyDescent="0.25">
      <c r="A33" s="1" t="s">
        <v>34</v>
      </c>
      <c r="B33" s="1"/>
      <c r="C33" s="1"/>
      <c r="D33" s="1"/>
      <c r="E33" s="2"/>
    </row>
    <row r="34" spans="1:5" hidden="1" x14ac:dyDescent="0.25">
      <c r="A34" s="3"/>
      <c r="B34" s="3"/>
      <c r="C34" s="3"/>
      <c r="D34" s="3"/>
      <c r="E34" s="4"/>
    </row>
    <row r="35" spans="1:5" hidden="1" x14ac:dyDescent="0.25">
      <c r="A35" s="5" t="s">
        <v>18</v>
      </c>
      <c r="B35" s="5"/>
      <c r="C35" s="5"/>
      <c r="D35" s="5"/>
      <c r="E35" s="6"/>
    </row>
    <row r="36" spans="1:5" hidden="1" x14ac:dyDescent="0.25">
      <c r="A36" s="7" t="s">
        <v>19</v>
      </c>
      <c r="B36" s="5"/>
      <c r="C36" s="7" t="s">
        <v>20</v>
      </c>
      <c r="D36" s="8"/>
      <c r="E36" s="9" t="s">
        <v>21</v>
      </c>
    </row>
    <row r="37" spans="1:5" hidden="1" x14ac:dyDescent="0.25">
      <c r="A37" s="3"/>
      <c r="B37" s="3"/>
      <c r="C37" s="3"/>
      <c r="D37" s="3"/>
      <c r="E37" s="4"/>
    </row>
    <row r="38" spans="1:5" hidden="1" x14ac:dyDescent="0.25">
      <c r="A38" s="10">
        <v>1</v>
      </c>
      <c r="B38" s="3"/>
      <c r="C38" s="11" t="s">
        <v>22</v>
      </c>
      <c r="D38" s="3"/>
      <c r="E38" s="12">
        <v>1</v>
      </c>
    </row>
    <row r="39" spans="1:5" hidden="1" x14ac:dyDescent="0.25">
      <c r="A39" s="10"/>
      <c r="B39" s="3"/>
      <c r="C39" s="3"/>
      <c r="D39" s="3"/>
      <c r="E39" s="12"/>
    </row>
    <row r="40" spans="1:5" hidden="1" x14ac:dyDescent="0.25">
      <c r="A40" s="10"/>
      <c r="B40" s="3"/>
      <c r="C40" s="13" t="s">
        <v>23</v>
      </c>
      <c r="D40" s="14"/>
      <c r="E40" s="12"/>
    </row>
    <row r="41" spans="1:5" hidden="1" x14ac:dyDescent="0.25">
      <c r="A41" s="10">
        <v>2</v>
      </c>
      <c r="B41" s="3"/>
      <c r="C41" s="14" t="s">
        <v>24</v>
      </c>
      <c r="D41" s="14"/>
      <c r="E41" s="14">
        <v>4.4485628026109834E-3</v>
      </c>
    </row>
    <row r="42" spans="1:5" hidden="1" x14ac:dyDescent="0.25">
      <c r="A42" s="10"/>
      <c r="B42" s="3"/>
      <c r="C42" s="14"/>
      <c r="D42" s="14"/>
      <c r="E42" s="14"/>
    </row>
    <row r="43" spans="1:5" hidden="1" x14ac:dyDescent="0.25">
      <c r="A43" s="10">
        <v>3</v>
      </c>
      <c r="B43" s="3"/>
      <c r="C43" s="14" t="s">
        <v>25</v>
      </c>
      <c r="D43" s="14"/>
      <c r="E43" s="14">
        <v>2E-3</v>
      </c>
    </row>
    <row r="44" spans="1:5" hidden="1" x14ac:dyDescent="0.25">
      <c r="A44" s="10"/>
      <c r="B44" s="3"/>
      <c r="C44" s="14"/>
      <c r="D44" s="14"/>
      <c r="E44" s="14"/>
    </row>
    <row r="45" spans="1:5" hidden="1" x14ac:dyDescent="0.25">
      <c r="A45" s="10">
        <v>4</v>
      </c>
      <c r="B45" s="3"/>
      <c r="C45" s="14" t="s">
        <v>26</v>
      </c>
      <c r="D45" s="14"/>
      <c r="E45" s="14">
        <v>3.8348641360843427E-2</v>
      </c>
    </row>
    <row r="46" spans="1:5" hidden="1" x14ac:dyDescent="0.25">
      <c r="A46" s="10"/>
      <c r="B46" s="3"/>
      <c r="C46" s="14"/>
      <c r="D46" s="14"/>
      <c r="E46" s="14"/>
    </row>
    <row r="47" spans="1:5" hidden="1" x14ac:dyDescent="0.25">
      <c r="A47" s="10">
        <v>5</v>
      </c>
      <c r="B47" s="3"/>
      <c r="C47" s="14" t="s">
        <v>35</v>
      </c>
      <c r="D47" s="14"/>
      <c r="E47" s="14">
        <v>0</v>
      </c>
    </row>
    <row r="48" spans="1:5" ht="15.75" hidden="1" thickBot="1" x14ac:dyDescent="0.3">
      <c r="A48" s="10"/>
      <c r="B48" s="3"/>
      <c r="C48" s="14"/>
      <c r="D48" s="14"/>
      <c r="E48" s="14"/>
    </row>
    <row r="49" spans="1:6" ht="15.75" hidden="1" thickBot="1" x14ac:dyDescent="0.3">
      <c r="A49" s="10">
        <v>6</v>
      </c>
      <c r="B49" s="3"/>
      <c r="C49" s="14" t="s">
        <v>27</v>
      </c>
      <c r="D49" s="14"/>
      <c r="E49" s="21">
        <f>SUM(E41:E47)</f>
        <v>4.479720416345441E-2</v>
      </c>
      <c r="F49" t="s">
        <v>37</v>
      </c>
    </row>
    <row r="50" spans="1:6" hidden="1" x14ac:dyDescent="0.25">
      <c r="A50" s="3"/>
      <c r="B50" s="3"/>
      <c r="C50" s="14"/>
      <c r="D50" s="14"/>
      <c r="E50" s="16"/>
    </row>
    <row r="51" spans="1:6" hidden="1" x14ac:dyDescent="0.25">
      <c r="A51" s="10">
        <v>7</v>
      </c>
      <c r="B51" s="3"/>
      <c r="C51" s="14" t="s">
        <v>28</v>
      </c>
      <c r="D51" s="14"/>
      <c r="E51" s="16">
        <f>E38-E49</f>
        <v>0.95520279583654555</v>
      </c>
    </row>
    <row r="52" spans="1:6" hidden="1" x14ac:dyDescent="0.25">
      <c r="A52" s="3"/>
      <c r="B52" s="3"/>
      <c r="C52" s="14"/>
      <c r="D52" s="14"/>
      <c r="E52" s="16"/>
    </row>
    <row r="53" spans="1:6" hidden="1" x14ac:dyDescent="0.25">
      <c r="A53" s="10">
        <v>8</v>
      </c>
      <c r="B53" s="3"/>
      <c r="C53" s="14" t="s">
        <v>29</v>
      </c>
      <c r="D53" s="17"/>
      <c r="E53" s="18">
        <f>ROUND(E51*0.35,6)</f>
        <v>0.33432099999999998</v>
      </c>
    </row>
    <row r="54" spans="1:6" hidden="1" x14ac:dyDescent="0.25">
      <c r="A54" s="3"/>
      <c r="B54" s="3"/>
      <c r="C54" s="14"/>
      <c r="D54" s="14"/>
      <c r="E54" s="16"/>
    </row>
    <row r="55" spans="1:6" ht="15.75" hidden="1" thickBot="1" x14ac:dyDescent="0.3">
      <c r="A55" s="10">
        <v>9</v>
      </c>
      <c r="B55" s="3"/>
      <c r="C55" s="13" t="s">
        <v>30</v>
      </c>
      <c r="D55" s="14"/>
      <c r="E55" s="20">
        <f>ROUND(E51-E53,5)</f>
        <v>0.62087999999999999</v>
      </c>
    </row>
    <row r="56" spans="1:6" ht="15.75" hidden="1" thickTop="1" x14ac:dyDescent="0.25">
      <c r="A56" s="19"/>
      <c r="B56" s="19"/>
      <c r="C56" s="19"/>
      <c r="D56" s="19"/>
      <c r="E56" s="19"/>
    </row>
    <row r="57" spans="1:6" hidden="1" x14ac:dyDescent="0.25">
      <c r="C57" t="s">
        <v>32</v>
      </c>
    </row>
    <row r="58" spans="1:6" hidden="1" x14ac:dyDescent="0.25">
      <c r="C58" t="s">
        <v>36</v>
      </c>
    </row>
    <row r="59" spans="1:6" hidden="1" x14ac:dyDescent="0.25">
      <c r="C59" t="s">
        <v>44</v>
      </c>
      <c r="E59">
        <f>1/E51</f>
        <v>1.0468981082956548</v>
      </c>
    </row>
    <row r="60" spans="1:6" hidden="1" x14ac:dyDescent="0.25"/>
    <row r="61" spans="1:6" ht="14.45" hidden="1" customHeight="1" x14ac:dyDescent="0.25">
      <c r="A61" s="22" t="s">
        <v>16</v>
      </c>
      <c r="B61" s="22"/>
      <c r="C61" s="22"/>
      <c r="D61" s="22"/>
      <c r="E61" s="23"/>
    </row>
    <row r="62" spans="1:6" ht="14.45" hidden="1" customHeight="1" x14ac:dyDescent="0.25">
      <c r="A62" s="1" t="s">
        <v>31</v>
      </c>
      <c r="B62" s="1"/>
      <c r="C62" s="1"/>
      <c r="D62" s="1"/>
      <c r="E62" s="2"/>
    </row>
    <row r="63" spans="1:6" ht="15.6" hidden="1" customHeight="1" x14ac:dyDescent="0.25">
      <c r="A63" s="185" t="s">
        <v>38</v>
      </c>
      <c r="B63" s="185"/>
      <c r="C63" s="185"/>
      <c r="D63" s="185"/>
      <c r="E63" s="185"/>
    </row>
    <row r="64" spans="1:6" hidden="1" x14ac:dyDescent="0.25">
      <c r="A64" s="3"/>
      <c r="B64" s="3"/>
      <c r="C64" s="3"/>
      <c r="D64" s="3"/>
      <c r="E64" s="4"/>
    </row>
    <row r="65" spans="1:5" hidden="1" x14ac:dyDescent="0.25">
      <c r="A65" s="5" t="s">
        <v>18</v>
      </c>
      <c r="B65" s="5"/>
      <c r="C65" s="5"/>
      <c r="D65" s="5"/>
      <c r="E65" s="6"/>
    </row>
    <row r="66" spans="1:5" hidden="1" x14ac:dyDescent="0.25">
      <c r="A66" s="7" t="s">
        <v>19</v>
      </c>
      <c r="B66" s="5"/>
      <c r="C66" s="7" t="s">
        <v>20</v>
      </c>
      <c r="D66" s="8"/>
      <c r="E66" s="9" t="s">
        <v>21</v>
      </c>
    </row>
    <row r="67" spans="1:5" hidden="1" x14ac:dyDescent="0.25">
      <c r="A67" s="3"/>
      <c r="B67" s="3"/>
      <c r="C67" s="3"/>
      <c r="D67" s="3"/>
      <c r="E67" s="4"/>
    </row>
    <row r="68" spans="1:5" hidden="1" x14ac:dyDescent="0.25">
      <c r="A68" s="10">
        <v>1</v>
      </c>
      <c r="B68" s="3"/>
      <c r="C68" s="11" t="s">
        <v>22</v>
      </c>
      <c r="D68" s="3"/>
      <c r="E68" s="12">
        <v>1</v>
      </c>
    </row>
    <row r="69" spans="1:5" hidden="1" x14ac:dyDescent="0.25">
      <c r="A69" s="10"/>
      <c r="B69" s="3"/>
      <c r="C69" s="3"/>
      <c r="D69" s="3"/>
      <c r="E69" s="12"/>
    </row>
    <row r="70" spans="1:5" hidden="1" x14ac:dyDescent="0.25">
      <c r="A70" s="10"/>
      <c r="B70" s="3"/>
      <c r="C70" s="13" t="s">
        <v>23</v>
      </c>
      <c r="D70" s="14"/>
      <c r="E70" s="12"/>
    </row>
    <row r="71" spans="1:5" hidden="1" x14ac:dyDescent="0.25">
      <c r="A71" s="10">
        <v>2</v>
      </c>
      <c r="B71" s="3"/>
      <c r="C71" s="14" t="s">
        <v>24</v>
      </c>
      <c r="D71" s="14"/>
      <c r="E71" s="14">
        <v>5.85543782177716E-3</v>
      </c>
    </row>
    <row r="72" spans="1:5" hidden="1" x14ac:dyDescent="0.25">
      <c r="A72" s="10"/>
      <c r="B72" s="3"/>
      <c r="C72" s="14"/>
      <c r="D72" s="14"/>
      <c r="E72" s="14"/>
    </row>
    <row r="73" spans="1:5" hidden="1" x14ac:dyDescent="0.25">
      <c r="A73" s="10">
        <v>3</v>
      </c>
      <c r="B73" s="3"/>
      <c r="C73" s="14" t="s">
        <v>25</v>
      </c>
      <c r="D73" s="14"/>
      <c r="E73" s="14">
        <v>2E-3</v>
      </c>
    </row>
    <row r="74" spans="1:5" hidden="1" x14ac:dyDescent="0.25">
      <c r="A74" s="10"/>
      <c r="B74" s="3"/>
      <c r="C74" s="14"/>
      <c r="D74" s="14"/>
      <c r="E74" s="14"/>
    </row>
    <row r="75" spans="1:5" hidden="1" x14ac:dyDescent="0.25">
      <c r="A75" s="10">
        <v>4</v>
      </c>
      <c r="B75" s="3"/>
      <c r="C75" s="14" t="s">
        <v>26</v>
      </c>
      <c r="D75" s="14"/>
      <c r="E75" s="14">
        <v>3.8294448535105101E-2</v>
      </c>
    </row>
    <row r="76" spans="1:5" hidden="1" x14ac:dyDescent="0.25">
      <c r="A76" s="10"/>
      <c r="B76" s="3"/>
      <c r="C76" s="14"/>
      <c r="D76" s="14"/>
      <c r="E76" s="14"/>
    </row>
    <row r="77" spans="1:5" hidden="1" x14ac:dyDescent="0.25">
      <c r="A77" s="10">
        <v>5</v>
      </c>
      <c r="B77" s="3"/>
      <c r="C77" s="14" t="s">
        <v>27</v>
      </c>
      <c r="D77" s="14"/>
      <c r="E77" s="15">
        <f>SUM(E71:E75)</f>
        <v>4.6149886356882261E-2</v>
      </c>
    </row>
    <row r="78" spans="1:5" hidden="1" x14ac:dyDescent="0.25">
      <c r="A78" s="10"/>
      <c r="B78" s="3"/>
      <c r="C78" s="14"/>
      <c r="D78" s="14"/>
      <c r="E78" s="16"/>
    </row>
    <row r="79" spans="1:5" hidden="1" x14ac:dyDescent="0.25">
      <c r="A79" s="10">
        <v>6</v>
      </c>
      <c r="B79" s="3"/>
      <c r="C79" s="14" t="s">
        <v>28</v>
      </c>
      <c r="D79" s="14"/>
      <c r="E79" s="16">
        <f>E68-E77</f>
        <v>0.95385011364311778</v>
      </c>
    </row>
    <row r="80" spans="1:5" hidden="1" x14ac:dyDescent="0.25">
      <c r="A80" s="3"/>
      <c r="B80" s="3"/>
      <c r="C80" s="14"/>
      <c r="D80" s="14"/>
      <c r="E80" s="16"/>
    </row>
    <row r="81" spans="1:5" hidden="1" x14ac:dyDescent="0.25">
      <c r="A81" s="10">
        <v>7</v>
      </c>
      <c r="B81" s="3"/>
      <c r="C81" s="14" t="s">
        <v>29</v>
      </c>
      <c r="D81" s="17"/>
      <c r="E81" s="18">
        <f>E79*0.35</f>
        <v>0.33384753977509118</v>
      </c>
    </row>
    <row r="82" spans="1:5" hidden="1" x14ac:dyDescent="0.25">
      <c r="A82" s="3"/>
      <c r="B82" s="3"/>
      <c r="C82" s="14"/>
      <c r="D82" s="14"/>
      <c r="E82" s="16"/>
    </row>
    <row r="83" spans="1:5" ht="15.75" hidden="1" thickBot="1" x14ac:dyDescent="0.3">
      <c r="A83" s="10">
        <v>8</v>
      </c>
      <c r="B83" s="3"/>
      <c r="C83" s="13" t="s">
        <v>30</v>
      </c>
      <c r="D83" s="14"/>
      <c r="E83" s="24">
        <f>ROUND(E79-E81,6)</f>
        <v>0.62000299999999997</v>
      </c>
    </row>
    <row r="84" spans="1:5" ht="15.75" hidden="1" thickTop="1" x14ac:dyDescent="0.25">
      <c r="A84" s="19"/>
      <c r="B84" s="19"/>
      <c r="C84" s="19"/>
      <c r="D84" s="19"/>
      <c r="E84" s="19"/>
    </row>
    <row r="85" spans="1:5" hidden="1" x14ac:dyDescent="0.25">
      <c r="C85" t="s">
        <v>39</v>
      </c>
    </row>
    <row r="86" spans="1:5" hidden="1" x14ac:dyDescent="0.25">
      <c r="C86" t="s">
        <v>36</v>
      </c>
    </row>
    <row r="87" spans="1:5" hidden="1" x14ac:dyDescent="0.25">
      <c r="C87" t="s">
        <v>44</v>
      </c>
      <c r="E87">
        <f>1/E79</f>
        <v>1.0483827445180232</v>
      </c>
    </row>
    <row r="88" spans="1:5" hidden="1" x14ac:dyDescent="0.25"/>
    <row r="89" spans="1:5" ht="15.75" x14ac:dyDescent="0.25">
      <c r="A89" s="184" t="s">
        <v>15</v>
      </c>
      <c r="B89" s="184"/>
      <c r="C89" s="184"/>
      <c r="D89" s="184"/>
      <c r="E89" s="184"/>
    </row>
    <row r="90" spans="1:5" ht="15.75" x14ac:dyDescent="0.25">
      <c r="A90" s="184" t="s">
        <v>16</v>
      </c>
      <c r="B90" s="184"/>
      <c r="C90" s="184"/>
      <c r="D90" s="184"/>
      <c r="E90" s="184"/>
    </row>
    <row r="91" spans="1:5" ht="15.75" x14ac:dyDescent="0.25">
      <c r="A91" s="184" t="s">
        <v>40</v>
      </c>
      <c r="B91" s="184"/>
      <c r="C91" s="184"/>
      <c r="D91" s="184"/>
      <c r="E91" s="184"/>
    </row>
    <row r="92" spans="1:5" ht="15.75" x14ac:dyDescent="0.25">
      <c r="A92" s="184" t="s">
        <v>171</v>
      </c>
      <c r="B92" s="184"/>
      <c r="C92" s="184"/>
      <c r="D92" s="184"/>
      <c r="E92" s="184"/>
    </row>
    <row r="93" spans="1:5" x14ac:dyDescent="0.25">
      <c r="A93" s="3"/>
      <c r="B93" s="3"/>
      <c r="C93" s="25"/>
      <c r="D93" s="14"/>
      <c r="E93" s="4"/>
    </row>
    <row r="94" spans="1:5" x14ac:dyDescent="0.25">
      <c r="A94" s="25" t="s">
        <v>18</v>
      </c>
      <c r="B94" s="3"/>
      <c r="C94" s="25"/>
      <c r="D94" s="14"/>
      <c r="E94" s="25"/>
    </row>
    <row r="95" spans="1:5" x14ac:dyDescent="0.25">
      <c r="A95" s="26" t="s">
        <v>19</v>
      </c>
      <c r="B95" s="3"/>
      <c r="C95" s="26" t="s">
        <v>20</v>
      </c>
      <c r="D95" s="14"/>
      <c r="E95" s="26" t="s">
        <v>21</v>
      </c>
    </row>
    <row r="96" spans="1:5" x14ac:dyDescent="0.25">
      <c r="A96" s="25"/>
      <c r="B96" s="3"/>
      <c r="C96" s="14"/>
      <c r="D96" s="14"/>
      <c r="E96" s="14"/>
    </row>
    <row r="97" spans="1:8" ht="15.75" x14ac:dyDescent="0.25">
      <c r="A97" s="144">
        <v>1</v>
      </c>
      <c r="B97" s="145"/>
      <c r="C97" s="146" t="s">
        <v>22</v>
      </c>
      <c r="D97" s="147"/>
      <c r="E97" s="147">
        <v>1</v>
      </c>
      <c r="F97" s="148"/>
    </row>
    <row r="98" spans="1:8" ht="15.75" x14ac:dyDescent="0.25">
      <c r="A98" s="144"/>
      <c r="B98" s="145"/>
      <c r="C98" s="146"/>
      <c r="D98" s="147"/>
      <c r="E98" s="147"/>
      <c r="F98" s="148"/>
    </row>
    <row r="99" spans="1:8" ht="15.75" x14ac:dyDescent="0.25">
      <c r="A99" s="144"/>
      <c r="B99" s="145"/>
      <c r="C99" s="146" t="s">
        <v>23</v>
      </c>
      <c r="D99" s="147"/>
      <c r="E99" s="147"/>
      <c r="F99" s="148"/>
    </row>
    <row r="100" spans="1:8" ht="15.75" x14ac:dyDescent="0.25">
      <c r="A100" s="144">
        <v>2</v>
      </c>
      <c r="B100" s="149"/>
      <c r="C100" s="147" t="s">
        <v>41</v>
      </c>
      <c r="D100" s="147"/>
      <c r="E100" s="156">
        <v>2.332116775066275E-3</v>
      </c>
      <c r="F100" s="148"/>
    </row>
    <row r="101" spans="1:8" ht="15.75" x14ac:dyDescent="0.25">
      <c r="A101" s="144"/>
      <c r="B101" s="145"/>
      <c r="C101" s="147"/>
      <c r="D101" s="147"/>
      <c r="E101" s="156"/>
      <c r="F101" s="148"/>
    </row>
    <row r="102" spans="1:8" ht="15.75" x14ac:dyDescent="0.25">
      <c r="A102" s="144">
        <v>3</v>
      </c>
      <c r="B102" s="145"/>
      <c r="C102" s="147" t="s">
        <v>42</v>
      </c>
      <c r="D102" s="147"/>
      <c r="E102" s="156">
        <v>2E-3</v>
      </c>
      <c r="F102" s="148"/>
    </row>
    <row r="103" spans="1:8" ht="15.75" x14ac:dyDescent="0.25">
      <c r="A103" s="144"/>
      <c r="B103" s="145"/>
      <c r="C103" s="147"/>
      <c r="D103" s="147"/>
      <c r="E103" s="156"/>
      <c r="F103" s="148"/>
    </row>
    <row r="104" spans="1:8" ht="15.75" x14ac:dyDescent="0.25">
      <c r="A104" s="144">
        <v>4</v>
      </c>
      <c r="B104" s="145"/>
      <c r="C104" s="147" t="s">
        <v>43</v>
      </c>
      <c r="D104" s="147"/>
      <c r="E104" s="156">
        <v>3.8430166861824447E-2</v>
      </c>
      <c r="F104" s="148"/>
    </row>
    <row r="105" spans="1:8" ht="15.75" x14ac:dyDescent="0.25">
      <c r="A105" s="144"/>
      <c r="B105" s="145"/>
      <c r="C105" s="147"/>
      <c r="D105" s="147"/>
      <c r="E105" s="150"/>
      <c r="F105" s="148"/>
    </row>
    <row r="106" spans="1:8" ht="15.75" x14ac:dyDescent="0.25">
      <c r="A106" s="144">
        <v>5</v>
      </c>
      <c r="B106" s="145"/>
      <c r="C106" s="147" t="s">
        <v>27</v>
      </c>
      <c r="D106" s="147"/>
      <c r="E106" s="151">
        <f>ROUND(SUM(E100:E105),6)</f>
        <v>4.2762000000000001E-2</v>
      </c>
      <c r="F106" s="148"/>
    </row>
    <row r="107" spans="1:8" ht="15.75" x14ac:dyDescent="0.25">
      <c r="A107" s="144"/>
      <c r="B107" s="145"/>
      <c r="C107" s="147"/>
      <c r="D107" s="147"/>
      <c r="E107" s="147"/>
      <c r="F107" s="148"/>
    </row>
    <row r="108" spans="1:8" ht="15.75" x14ac:dyDescent="0.25">
      <c r="A108" s="144">
        <v>6</v>
      </c>
      <c r="B108" s="145"/>
      <c r="C108" s="147" t="s">
        <v>28</v>
      </c>
      <c r="D108" s="147"/>
      <c r="E108" s="147">
        <f>E97-E106</f>
        <v>0.95723800000000003</v>
      </c>
      <c r="F108" s="148"/>
      <c r="H108" s="87"/>
    </row>
    <row r="109" spans="1:8" ht="15.75" x14ac:dyDescent="0.25">
      <c r="A109" s="144"/>
      <c r="B109" s="145"/>
      <c r="C109" s="147"/>
      <c r="D109" s="147"/>
      <c r="E109" s="147"/>
      <c r="F109" s="148"/>
      <c r="H109" s="87"/>
    </row>
    <row r="110" spans="1:8" ht="15.75" x14ac:dyDescent="0.25">
      <c r="A110" s="144">
        <v>7</v>
      </c>
      <c r="B110" s="145"/>
      <c r="C110" s="147" t="s">
        <v>161</v>
      </c>
      <c r="D110" s="152"/>
      <c r="E110" s="147">
        <f>E108*0.21</f>
        <v>0.20101997999999999</v>
      </c>
      <c r="F110" s="148"/>
    </row>
    <row r="111" spans="1:8" ht="15.75" x14ac:dyDescent="0.25">
      <c r="A111" s="145"/>
      <c r="B111" s="145"/>
      <c r="C111" s="147"/>
      <c r="D111" s="147"/>
      <c r="E111" s="147"/>
      <c r="F111" s="148"/>
    </row>
    <row r="112" spans="1:8" ht="16.5" thickBot="1" x14ac:dyDescent="0.3">
      <c r="A112" s="144">
        <v>8</v>
      </c>
      <c r="B112" s="145"/>
      <c r="C112" s="147" t="s">
        <v>30</v>
      </c>
      <c r="D112" s="147"/>
      <c r="E112" s="153">
        <f>ROUND(E108-E110,6)</f>
        <v>0.75621799999999995</v>
      </c>
      <c r="F112" s="148"/>
    </row>
    <row r="113" spans="1:5" ht="15.75" thickTop="1" x14ac:dyDescent="0.25"/>
    <row r="114" spans="1:5" x14ac:dyDescent="0.25">
      <c r="A114" s="142">
        <v>9</v>
      </c>
      <c r="B114" s="143"/>
      <c r="C114" s="143" t="s">
        <v>44</v>
      </c>
      <c r="D114" s="143"/>
      <c r="E114" s="143">
        <f>ROUND(1/E108,6)</f>
        <v>1.044672</v>
      </c>
    </row>
    <row r="115" spans="1:5" x14ac:dyDescent="0.25">
      <c r="A115" s="143"/>
      <c r="B115" s="143"/>
      <c r="C115" s="143"/>
      <c r="D115" s="143"/>
      <c r="E115" s="143"/>
    </row>
    <row r="116" spans="1:5" x14ac:dyDescent="0.25">
      <c r="A116" s="143" t="s">
        <v>172</v>
      </c>
      <c r="B116" s="143"/>
      <c r="C116" s="143"/>
      <c r="D116" s="143"/>
      <c r="E116" s="143"/>
    </row>
    <row r="117" spans="1:5" x14ac:dyDescent="0.25">
      <c r="A117" s="143"/>
      <c r="B117" s="143"/>
      <c r="C117" s="143"/>
      <c r="D117" s="143"/>
      <c r="E117" s="143"/>
    </row>
  </sheetData>
  <customSheetViews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7">
    <mergeCell ref="A1:E1"/>
    <mergeCell ref="A30:E30"/>
    <mergeCell ref="A92:E92"/>
    <mergeCell ref="A91:E91"/>
    <mergeCell ref="A90:E90"/>
    <mergeCell ref="A89:E89"/>
    <mergeCell ref="A63:E63"/>
  </mergeCells>
  <printOptions horizontalCentered="1"/>
  <pageMargins left="0.7" right="0.7" top="0.75" bottom="0.75" header="0.3" footer="0.3"/>
  <pageSetup firstPageNumber="8" orientation="portrait" useFirstPageNumber="1" r:id="rId3"/>
  <headerFooter scaleWithDoc="0">
    <oddFooter>&amp;CATTACHMENT A&amp;RPage 8 of  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41"/>
  <sheetViews>
    <sheetView topLeftCell="A4" zoomScaleNormal="100" workbookViewId="0">
      <selection activeCell="G23" sqref="G23"/>
    </sheetView>
  </sheetViews>
  <sheetFormatPr defaultColWidth="8.85546875" defaultRowHeight="15" x14ac:dyDescent="0.25"/>
  <cols>
    <col min="1" max="1" width="2.140625" style="79" customWidth="1"/>
    <col min="2" max="2" width="21.42578125" style="79" customWidth="1"/>
    <col min="3" max="3" width="10.7109375" style="79" customWidth="1"/>
    <col min="4" max="4" width="13.7109375" style="79" customWidth="1"/>
    <col min="5" max="5" width="11.28515625" style="79" customWidth="1"/>
    <col min="6" max="6" width="12.140625" style="79" customWidth="1"/>
    <col min="7" max="7" width="12.85546875" style="79" customWidth="1"/>
    <col min="8" max="8" width="12.7109375" style="79" customWidth="1"/>
    <col min="9" max="10" width="12.28515625" style="79" customWidth="1"/>
    <col min="11" max="11" width="2.5703125" style="79" customWidth="1"/>
    <col min="12" max="12" width="13.28515625" style="79" customWidth="1"/>
    <col min="13" max="13" width="8.140625" style="79" customWidth="1"/>
    <col min="14" max="16384" width="8.85546875" style="79"/>
  </cols>
  <sheetData>
    <row r="1" spans="2:13" x14ac:dyDescent="0.25">
      <c r="B1" s="47" t="s">
        <v>0</v>
      </c>
    </row>
    <row r="2" spans="2:13" x14ac:dyDescent="0.25">
      <c r="B2" s="47" t="s">
        <v>119</v>
      </c>
    </row>
    <row r="3" spans="2:13" x14ac:dyDescent="0.25">
      <c r="B3" s="47" t="s">
        <v>168</v>
      </c>
    </row>
    <row r="4" spans="2:13" x14ac:dyDescent="0.25">
      <c r="B4" s="47" t="s">
        <v>46</v>
      </c>
    </row>
    <row r="6" spans="2:13" x14ac:dyDescent="0.25">
      <c r="D6" s="100" t="s">
        <v>120</v>
      </c>
      <c r="E6" s="100" t="s">
        <v>121</v>
      </c>
      <c r="F6" s="100" t="s">
        <v>122</v>
      </c>
      <c r="G6" s="100" t="s">
        <v>123</v>
      </c>
      <c r="H6" s="100" t="s">
        <v>124</v>
      </c>
      <c r="I6" s="100" t="s">
        <v>124</v>
      </c>
      <c r="J6" s="100" t="s">
        <v>125</v>
      </c>
      <c r="L6" s="100" t="s">
        <v>122</v>
      </c>
    </row>
    <row r="7" spans="2:13" x14ac:dyDescent="0.25">
      <c r="B7" s="103" t="s">
        <v>126</v>
      </c>
      <c r="C7" s="103" t="s">
        <v>127</v>
      </c>
      <c r="D7" s="100" t="s">
        <v>128</v>
      </c>
      <c r="E7" s="100" t="s">
        <v>120</v>
      </c>
      <c r="F7" s="100" t="s">
        <v>120</v>
      </c>
      <c r="G7" s="100" t="s">
        <v>120</v>
      </c>
      <c r="H7" s="100" t="s">
        <v>120</v>
      </c>
      <c r="I7" s="100" t="s">
        <v>120</v>
      </c>
      <c r="J7" s="100" t="s">
        <v>129</v>
      </c>
      <c r="L7" s="100" t="s">
        <v>130</v>
      </c>
    </row>
    <row r="8" spans="2:13" x14ac:dyDescent="0.25">
      <c r="B8" s="104" t="s">
        <v>131</v>
      </c>
      <c r="C8" s="104" t="s">
        <v>132</v>
      </c>
      <c r="D8" s="105" t="s">
        <v>133</v>
      </c>
      <c r="E8" s="105" t="s">
        <v>129</v>
      </c>
      <c r="F8" s="105" t="s">
        <v>134</v>
      </c>
      <c r="G8" s="105" t="s">
        <v>160</v>
      </c>
      <c r="H8" s="105" t="s">
        <v>134</v>
      </c>
      <c r="I8" s="105" t="s">
        <v>129</v>
      </c>
      <c r="J8" s="106" t="s">
        <v>135</v>
      </c>
      <c r="L8" s="107" t="s">
        <v>134</v>
      </c>
    </row>
    <row r="9" spans="2:13" x14ac:dyDescent="0.25">
      <c r="B9" s="103" t="s">
        <v>136</v>
      </c>
      <c r="C9" s="103" t="s">
        <v>137</v>
      </c>
      <c r="D9" s="103" t="s">
        <v>138</v>
      </c>
      <c r="E9" s="103" t="s">
        <v>139</v>
      </c>
      <c r="F9" s="103" t="s">
        <v>140</v>
      </c>
      <c r="G9" s="103" t="s">
        <v>141</v>
      </c>
      <c r="H9" s="103" t="s">
        <v>142</v>
      </c>
      <c r="I9" s="103" t="s">
        <v>143</v>
      </c>
      <c r="J9" s="107" t="s">
        <v>144</v>
      </c>
    </row>
    <row r="10" spans="2:13" x14ac:dyDescent="0.25">
      <c r="B10" s="108"/>
      <c r="C10" s="103"/>
      <c r="L10" s="63"/>
    </row>
    <row r="11" spans="2:13" s="47" customFormat="1" x14ac:dyDescent="0.25">
      <c r="B11" s="129" t="s">
        <v>145</v>
      </c>
      <c r="C11" s="130" t="s">
        <v>146</v>
      </c>
      <c r="D11" s="131">
        <f>SUM('4 12 21 Forecast Usage by Sched'!C8:C19)</f>
        <v>135825505.31893745</v>
      </c>
      <c r="E11" s="158">
        <v>-6.8500000000000002E-3</v>
      </c>
      <c r="F11" s="132">
        <f>D11*E11</f>
        <v>-930404.7114347216</v>
      </c>
      <c r="G11" s="132">
        <f>H11-F11</f>
        <v>2186790.6356348931</v>
      </c>
      <c r="H11" s="133">
        <f>D11*I11</f>
        <v>1256385.9242001714</v>
      </c>
      <c r="I11" s="111">
        <f>'Nat Gas 2021 Rate Calc'!D30</f>
        <v>9.2499999999999995E-3</v>
      </c>
      <c r="J11" s="134">
        <f>ROUND(I11-E11,5)</f>
        <v>1.61E-2</v>
      </c>
      <c r="L11" s="160">
        <v>123149739</v>
      </c>
      <c r="M11" s="51">
        <f>G11/L11</f>
        <v>1.7757168252178698E-2</v>
      </c>
    </row>
    <row r="12" spans="2:13" x14ac:dyDescent="0.25">
      <c r="B12" s="108"/>
      <c r="C12" s="103"/>
      <c r="E12" s="158"/>
      <c r="F12" s="48"/>
      <c r="G12" s="48"/>
      <c r="H12" s="83"/>
      <c r="I12" s="111"/>
      <c r="J12" s="112"/>
      <c r="L12" s="62"/>
      <c r="M12" s="39"/>
    </row>
    <row r="13" spans="2:13" x14ac:dyDescent="0.25">
      <c r="B13" s="108" t="s">
        <v>147</v>
      </c>
      <c r="C13" s="113" t="s">
        <v>163</v>
      </c>
      <c r="D13" s="109">
        <f>SUM('4 12 21 Forecast Usage by Sched'!D8:E19)</f>
        <v>60870053.321880534</v>
      </c>
      <c r="E13" s="159">
        <v>4.1900000000000001E-3</v>
      </c>
      <c r="F13" s="48">
        <f t="shared" ref="F13:F15" si="0">D13*E13</f>
        <v>255045.52341867946</v>
      </c>
      <c r="G13" s="48">
        <f>H13-F13</f>
        <v>239828.01008820927</v>
      </c>
      <c r="H13" s="83">
        <f>D13*I13</f>
        <v>494873.53350688872</v>
      </c>
      <c r="I13" s="111">
        <f>'Nat Gas 2021 Rate Calc'!J30</f>
        <v>8.1300000000000001E-3</v>
      </c>
      <c r="J13" s="112">
        <f t="shared" ref="J13:J15" si="1">I13-E13</f>
        <v>3.9399999999999999E-3</v>
      </c>
      <c r="L13" s="62">
        <f>33950983+906553</f>
        <v>34857536</v>
      </c>
      <c r="M13" s="39">
        <f t="shared" ref="M13:M22" si="2">G13/L13</f>
        <v>6.8802341648075546E-3</v>
      </c>
    </row>
    <row r="14" spans="2:13" customFormat="1" x14ac:dyDescent="0.25">
      <c r="E14" s="63"/>
      <c r="L14" s="63"/>
    </row>
    <row r="15" spans="2:13" x14ac:dyDescent="0.25">
      <c r="B15" s="108" t="s">
        <v>149</v>
      </c>
      <c r="C15" s="113">
        <v>131</v>
      </c>
      <c r="D15" s="116">
        <v>0</v>
      </c>
      <c r="E15" s="159">
        <v>4.1900000000000001E-3</v>
      </c>
      <c r="F15" s="48">
        <f t="shared" si="0"/>
        <v>0</v>
      </c>
      <c r="G15" s="48">
        <f>H15-F15</f>
        <v>0</v>
      </c>
      <c r="H15" s="83">
        <f>D15*I15</f>
        <v>0</v>
      </c>
      <c r="I15" s="111">
        <f>I13</f>
        <v>8.1300000000000001E-3</v>
      </c>
      <c r="J15" s="112">
        <f t="shared" si="1"/>
        <v>3.9399999999999999E-3</v>
      </c>
      <c r="L15" s="62">
        <v>0</v>
      </c>
      <c r="M15" s="39">
        <v>0</v>
      </c>
    </row>
    <row r="16" spans="2:13" x14ac:dyDescent="0.25">
      <c r="B16" s="108" t="s">
        <v>149</v>
      </c>
      <c r="C16" s="113">
        <v>132</v>
      </c>
      <c r="D16" s="114" t="s">
        <v>148</v>
      </c>
      <c r="E16" s="110"/>
      <c r="F16" s="48"/>
      <c r="G16" s="48"/>
      <c r="H16" s="83"/>
      <c r="I16" s="111"/>
      <c r="J16" s="112"/>
      <c r="L16" s="62">
        <v>509151</v>
      </c>
      <c r="M16" s="39">
        <f t="shared" ref="M16:M17" si="3">G16/L16</f>
        <v>0</v>
      </c>
    </row>
    <row r="17" spans="2:13" x14ac:dyDescent="0.25">
      <c r="B17" s="108" t="s">
        <v>150</v>
      </c>
      <c r="C17" s="113">
        <v>146</v>
      </c>
      <c r="D17" s="114" t="s">
        <v>148</v>
      </c>
      <c r="E17" s="110"/>
      <c r="F17" s="48"/>
      <c r="G17" s="48"/>
      <c r="H17" s="83"/>
      <c r="I17" s="111"/>
      <c r="J17" s="112"/>
      <c r="L17" s="62">
        <v>3018511</v>
      </c>
      <c r="M17" s="39">
        <f t="shared" si="3"/>
        <v>0</v>
      </c>
    </row>
    <row r="18" spans="2:13" ht="26.25" x14ac:dyDescent="0.25">
      <c r="B18" s="115" t="s">
        <v>151</v>
      </c>
      <c r="C18" s="113">
        <v>148</v>
      </c>
      <c r="D18" s="114" t="s">
        <v>148</v>
      </c>
      <c r="E18" s="110"/>
      <c r="F18" s="48"/>
      <c r="G18" s="48"/>
      <c r="H18" s="83"/>
      <c r="I18" s="111"/>
      <c r="J18" s="112"/>
      <c r="L18" s="62">
        <v>1231283</v>
      </c>
      <c r="M18" s="39">
        <v>0</v>
      </c>
    </row>
    <row r="19" spans="2:13" x14ac:dyDescent="0.25">
      <c r="B19" s="108"/>
      <c r="C19" s="103"/>
      <c r="L19" s="62"/>
      <c r="M19" s="39"/>
    </row>
    <row r="20" spans="2:13" x14ac:dyDescent="0.25">
      <c r="B20" s="117" t="s">
        <v>60</v>
      </c>
      <c r="C20" s="103"/>
      <c r="D20" s="109">
        <f>SUM(D11:D15)</f>
        <v>196695558.640818</v>
      </c>
      <c r="F20" s="83">
        <f>SUM(F11:F15)</f>
        <v>-675359.18801604211</v>
      </c>
      <c r="G20" s="83">
        <f>SUM(G11:G15)</f>
        <v>2426618.6457231021</v>
      </c>
      <c r="H20" s="83">
        <f>SUM(H11:H15)</f>
        <v>1751259.45770706</v>
      </c>
      <c r="L20" s="118">
        <f>SUM(L11:L18)</f>
        <v>162766220</v>
      </c>
      <c r="M20" s="39">
        <f t="shared" si="2"/>
        <v>1.4908613382574726E-2</v>
      </c>
    </row>
    <row r="21" spans="2:13" x14ac:dyDescent="0.25">
      <c r="B21" s="117"/>
      <c r="C21" s="103"/>
      <c r="D21" s="109"/>
      <c r="F21" s="83"/>
      <c r="G21" s="83"/>
      <c r="H21" s="83"/>
      <c r="L21" s="118"/>
      <c r="M21" s="39"/>
    </row>
    <row r="22" spans="2:13" s="47" customFormat="1" x14ac:dyDescent="0.25">
      <c r="B22" s="47" t="s">
        <v>152</v>
      </c>
      <c r="D22" s="131">
        <f>D13+D15</f>
        <v>60870053.321880534</v>
      </c>
      <c r="F22" s="133">
        <f>F13+F15</f>
        <v>255045.52341867946</v>
      </c>
      <c r="G22" s="133">
        <f>G13+G15</f>
        <v>239828.01008820927</v>
      </c>
      <c r="H22" s="133">
        <f>H13+H15</f>
        <v>494873.53350688872</v>
      </c>
      <c r="L22" s="133">
        <f>L13+L15</f>
        <v>34857536</v>
      </c>
      <c r="M22" s="51">
        <f t="shared" si="2"/>
        <v>6.8802341648075546E-3</v>
      </c>
    </row>
    <row r="24" spans="2:13" x14ac:dyDescent="0.25">
      <c r="B24"/>
      <c r="C24"/>
      <c r="D24"/>
      <c r="E24"/>
      <c r="G24" s="39"/>
      <c r="H24" s="100" t="s">
        <v>153</v>
      </c>
      <c r="J24" s="138" t="s">
        <v>169</v>
      </c>
      <c r="K24" s="119"/>
    </row>
    <row r="25" spans="2:13" x14ac:dyDescent="0.25">
      <c r="B25"/>
      <c r="C25"/>
      <c r="D25"/>
      <c r="E25"/>
      <c r="G25" s="120"/>
      <c r="H25" s="121" t="s">
        <v>154</v>
      </c>
      <c r="I25" s="128">
        <v>9.5</v>
      </c>
      <c r="J25" s="122">
        <f>I25</f>
        <v>9.5</v>
      </c>
      <c r="K25" s="119"/>
      <c r="L25" s="95"/>
    </row>
    <row r="26" spans="2:13" x14ac:dyDescent="0.25">
      <c r="B26"/>
      <c r="C26"/>
      <c r="D26"/>
      <c r="E26"/>
      <c r="G26" s="39"/>
      <c r="H26" s="121" t="s">
        <v>155</v>
      </c>
      <c r="I26" s="157">
        <v>0.72214999999999996</v>
      </c>
      <c r="J26" s="128">
        <f>ROUND(67*I26,2)</f>
        <v>48.38</v>
      </c>
      <c r="L26" s="50"/>
    </row>
    <row r="27" spans="2:13" x14ac:dyDescent="0.25">
      <c r="B27"/>
      <c r="C27"/>
      <c r="D27"/>
      <c r="E27"/>
      <c r="H27" s="121" t="s">
        <v>156</v>
      </c>
      <c r="I27" s="157">
        <v>0.84513000000000005</v>
      </c>
      <c r="J27" s="122">
        <f>ROUND(0*I27,2)</f>
        <v>0</v>
      </c>
      <c r="L27" s="50"/>
    </row>
    <row r="28" spans="2:13" x14ac:dyDescent="0.25">
      <c r="B28"/>
      <c r="C28"/>
      <c r="D28"/>
      <c r="E28"/>
      <c r="H28" s="100" t="s">
        <v>170</v>
      </c>
      <c r="J28" s="123">
        <f>SUM(J25:J27)</f>
        <v>57.88</v>
      </c>
    </row>
    <row r="29" spans="2:13" x14ac:dyDescent="0.25">
      <c r="B29"/>
      <c r="C29"/>
      <c r="D29"/>
      <c r="E29"/>
      <c r="H29" s="121" t="s">
        <v>157</v>
      </c>
      <c r="I29" s="112">
        <f>J11</f>
        <v>1.61E-2</v>
      </c>
      <c r="J29" s="122">
        <f>ROUND(I29*67,2)</f>
        <v>1.08</v>
      </c>
    </row>
    <row r="30" spans="2:13" x14ac:dyDescent="0.25">
      <c r="B30"/>
      <c r="C30"/>
      <c r="D30"/>
      <c r="E30"/>
      <c r="H30" s="100" t="s">
        <v>158</v>
      </c>
      <c r="J30" s="123">
        <f>J28+J29</f>
        <v>58.96</v>
      </c>
    </row>
    <row r="31" spans="2:13" x14ac:dyDescent="0.25">
      <c r="B31"/>
      <c r="C31"/>
      <c r="D31"/>
      <c r="E31"/>
      <c r="H31" s="100" t="s">
        <v>162</v>
      </c>
      <c r="J31" s="39">
        <f>J29/J28</f>
        <v>1.8659295093296478E-2</v>
      </c>
      <c r="L31" s="119"/>
    </row>
    <row r="32" spans="2:13" x14ac:dyDescent="0.25">
      <c r="B32"/>
      <c r="C32"/>
      <c r="D32"/>
      <c r="E32"/>
      <c r="J32" s="124"/>
    </row>
    <row r="33" spans="2:12" x14ac:dyDescent="0.25">
      <c r="B33"/>
      <c r="C33"/>
      <c r="D33"/>
      <c r="E33"/>
      <c r="J33" s="124"/>
    </row>
    <row r="34" spans="2:12" x14ac:dyDescent="0.25">
      <c r="B34"/>
      <c r="C34"/>
      <c r="D34"/>
      <c r="E34"/>
      <c r="J34" s="95"/>
    </row>
    <row r="35" spans="2:12" x14ac:dyDescent="0.25">
      <c r="B35"/>
      <c r="C35"/>
      <c r="D35"/>
      <c r="E35"/>
      <c r="L35" s="39"/>
    </row>
    <row r="36" spans="2:12" x14ac:dyDescent="0.25">
      <c r="B36"/>
      <c r="C36"/>
      <c r="D36"/>
      <c r="E36"/>
    </row>
    <row r="37" spans="2:12" x14ac:dyDescent="0.25">
      <c r="B37"/>
      <c r="C37"/>
      <c r="D37"/>
      <c r="E37"/>
    </row>
    <row r="38" spans="2:12" x14ac:dyDescent="0.25">
      <c r="B38"/>
      <c r="C38"/>
      <c r="D38"/>
      <c r="E38"/>
    </row>
    <row r="39" spans="2:12" x14ac:dyDescent="0.25">
      <c r="B39"/>
      <c r="C39"/>
      <c r="D39"/>
      <c r="E39"/>
    </row>
    <row r="40" spans="2:12" x14ac:dyDescent="0.25">
      <c r="B40"/>
      <c r="C40"/>
      <c r="D40"/>
      <c r="E40"/>
    </row>
    <row r="41" spans="2:12" x14ac:dyDescent="0.25">
      <c r="B41"/>
      <c r="C41"/>
      <c r="D41"/>
      <c r="E41"/>
    </row>
  </sheetData>
  <printOptions horizontalCentered="1"/>
  <pageMargins left="0.45" right="0.45" top="0.75" bottom="0.75" header="0.3" footer="0.55000000000000004"/>
  <pageSetup scale="75" firstPageNumber="9" orientation="landscape" useFirstPageNumber="1" r:id="rId1"/>
  <headerFooter scaleWithDoc="0">
    <oddFooter>&amp;CATTACHMENT A&amp;RPage 9 of 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A2205C63B94AE449311544B3965B0C3" ma:contentTypeVersion="44" ma:contentTypeDescription="" ma:contentTypeScope="" ma:versionID="d167d02713486550635e9c36da98f0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2021-05-26T07:00:00+00:00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210379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E22E3E-4536-46E7-BB59-2F21A506CD6F}"/>
</file>

<file path=customXml/itemProps2.xml><?xml version="1.0" encoding="utf-8"?>
<ds:datastoreItem xmlns:ds="http://schemas.openxmlformats.org/officeDocument/2006/customXml" ds:itemID="{2E17FB81-43A7-4075-9EBC-501DDE626D98}"/>
</file>

<file path=customXml/itemProps3.xml><?xml version="1.0" encoding="utf-8"?>
<ds:datastoreItem xmlns:ds="http://schemas.openxmlformats.org/officeDocument/2006/customXml" ds:itemID="{ED130DA4-1D2D-48BC-BCAA-2A8265CFCD20}"/>
</file>

<file path=customXml/itemProps4.xml><?xml version="1.0" encoding="utf-8"?>
<ds:datastoreItem xmlns:ds="http://schemas.openxmlformats.org/officeDocument/2006/customXml" ds:itemID="{2179D95E-A86F-4AE0-938E-E1811527F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4 12 21 Forecast Usage by Sched</vt:lpstr>
      <vt:lpstr>Nat Gas 2021 Rate Calc</vt:lpstr>
      <vt:lpstr>Prior Year Amortization</vt:lpstr>
      <vt:lpstr>Earnings Test and 3% Test</vt:lpstr>
      <vt:lpstr>Conversion Factors</vt:lpstr>
      <vt:lpstr>Bill Impact</vt:lpstr>
      <vt:lpstr>'Conversion Factors'!Print_Area</vt:lpstr>
      <vt:lpstr>'Earnings Test and 3% Test'!Print_Area</vt:lpstr>
      <vt:lpstr>'Nat Gas 2021 Rate Calc'!Print_Area</vt:lpstr>
      <vt:lpstr>'Prior Year Amortization'!Print_Area</vt:lpstr>
      <vt:lpstr>'Earnings Test and 3% Test'!Print_Titles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2021-05-21T20:03:30Z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0x0101006E56B4D1795A2E4DB2F0B01679ED314A00CA2205C63B94AE449311544B3965B0C3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