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0" yWindow="0" windowWidth="19200" windowHeight="7155" firstSheet="1" activeTab="6"/>
  </bookViews>
  <sheets>
    <sheet name="Chart2" sheetId="1" state="hidden" r:id="rId1"/>
    <sheet name="Table A - Combined" sheetId="44" r:id="rId2"/>
    <sheet name="Table B - Energy" sheetId="6" r:id="rId3"/>
    <sheet name="Table C - Capacity" sheetId="37" r:id="rId4"/>
    <sheet name="Table D - Integration" sheetId="17" r:id="rId5"/>
    <sheet name="Exhibit 1 - Market Capacity" sheetId="36" r:id="rId6"/>
    <sheet name="CONF Exhibit 2 - Planned Cap" sheetId="43" r:id="rId7"/>
    <sheet name="Exhibit 3 - Levelized Capacity" sheetId="47" r:id="rId8"/>
    <sheet name="Exhibit 4 - Comparison" sheetId="14" r:id="rId9"/>
    <sheet name="XX Support Pages - Do Not Print" sheetId="18" r:id="rId10"/>
    <sheet name="Profiles" sheetId="45" r:id="rId11"/>
    <sheet name="Portfolio" sheetId="46" r:id="rId12"/>
  </sheets>
  <externalReferences>
    <externalReference r:id="rId13"/>
    <externalReference r:id="rId14"/>
    <externalReference r:id="rId15"/>
  </externalReferences>
  <definedNames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localSheetId="1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localSheetId="1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localSheetId="1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localSheetId="1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localSheetId="1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localSheetId="7" hidden="1">#REF!</definedName>
    <definedName name="_Fill" localSheetId="10" hidden="1">#REF!</definedName>
    <definedName name="_Fill" localSheetId="1" hidden="1">#REF!</definedName>
    <definedName name="_Fill" localSheetId="3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localSheetId="1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localSheetId="1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localSheetId="1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localSheetId="1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localSheetId="1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localSheetId="7" hidden="1">#REF!</definedName>
    <definedName name="_Key1" localSheetId="10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5" hidden="1">#REF!</definedName>
    <definedName name="_Key2" localSheetId="7" hidden="1">#REF!</definedName>
    <definedName name="_Key2" localSheetId="10" hidden="1">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localSheetId="7" hidden="1">#REF!</definedName>
    <definedName name="_Sort" localSheetId="10" hidden="1">#REF!</definedName>
    <definedName name="_Sort" localSheetId="1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DiscountRate">'Exhibit 4 - Comparison'!$R$36</definedName>
    <definedName name="limcount" hidden="1">1</definedName>
    <definedName name="_xlnm.Print_Area" localSheetId="6">'CONF Exhibit 2 - Planned Cap'!$B$1:$L$55</definedName>
    <definedName name="_xlnm.Print_Area" localSheetId="5">'Exhibit 1 - Market Capacity'!$B$1:$K$60</definedName>
    <definedName name="_xlnm.Print_Area" localSheetId="7">'Exhibit 3 - Levelized Capacity'!$B$1:$L$46</definedName>
    <definedName name="_xlnm.Print_Area" localSheetId="8">'Exhibit 4 - Comparison'!$A$1:$O$39</definedName>
    <definedName name="_xlnm.Print_Area" localSheetId="11">Portfolio!$A$1:$Y$87</definedName>
    <definedName name="_xlnm.Print_Area" localSheetId="1">'Table A - Combined'!$A$1:$Y$41</definedName>
    <definedName name="_xlnm.Print_Area" localSheetId="2">'Table B - Energy'!$A$1:$Y$38</definedName>
    <definedName name="_xlnm.Print_Area" localSheetId="3">'Table C - Capacity'!$A$1:$W$39</definedName>
    <definedName name="_xlnm.Print_Area" localSheetId="4">'Table D - Integration'!$A$1:$D$34</definedName>
    <definedName name="SAPBEXrevision" hidden="1">1</definedName>
    <definedName name="SAPBEXsysID" hidden="1">"BWP"</definedName>
    <definedName name="SAPBEXwbID" hidden="1">"45EQYSCWE9WJMGB34OOD1BOQZ"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52511" calcMode="manual"/>
</workbook>
</file>

<file path=xl/calcChain.xml><?xml version="1.0" encoding="utf-8"?>
<calcChain xmlns="http://schemas.openxmlformats.org/spreadsheetml/2006/main">
  <c r="Q29" i="43" l="1"/>
  <c r="O29" i="43"/>
  <c r="H46" i="47"/>
  <c r="G46" i="47"/>
  <c r="H45" i="47"/>
  <c r="G45" i="47"/>
  <c r="F45" i="47"/>
  <c r="E45" i="47"/>
  <c r="D45" i="47"/>
  <c r="C45" i="47"/>
  <c r="H44" i="47"/>
  <c r="G44" i="47"/>
  <c r="F44" i="47"/>
  <c r="E44" i="47"/>
  <c r="D44" i="47"/>
  <c r="C44" i="47"/>
  <c r="H43" i="47"/>
  <c r="G43" i="47"/>
  <c r="F43" i="47"/>
  <c r="E43" i="47"/>
  <c r="D43" i="47"/>
  <c r="C43" i="47"/>
  <c r="H42" i="47"/>
  <c r="G42" i="47"/>
  <c r="F42" i="47"/>
  <c r="E42" i="47"/>
  <c r="D42" i="47"/>
  <c r="C42" i="47"/>
  <c r="H41" i="47"/>
  <c r="G41" i="47"/>
  <c r="F41" i="47"/>
  <c r="E41" i="47"/>
  <c r="D41" i="47"/>
  <c r="C41" i="47"/>
  <c r="H40" i="47"/>
  <c r="G40" i="47"/>
  <c r="F40" i="47"/>
  <c r="E40" i="47"/>
  <c r="D40" i="47"/>
  <c r="C40" i="47"/>
  <c r="H39" i="47"/>
  <c r="G39" i="47"/>
  <c r="F39" i="47"/>
  <c r="E39" i="47"/>
  <c r="D39" i="47"/>
  <c r="C39" i="47"/>
  <c r="H38" i="47"/>
  <c r="G38" i="47"/>
  <c r="F38" i="47"/>
  <c r="E38" i="47"/>
  <c r="D38" i="47"/>
  <c r="C38" i="47"/>
  <c r="H55" i="43"/>
  <c r="G55" i="43"/>
  <c r="H54" i="43"/>
  <c r="G54" i="43"/>
  <c r="H53" i="43"/>
  <c r="G53" i="43"/>
  <c r="H52" i="43"/>
  <c r="G52" i="43"/>
  <c r="H51" i="43"/>
  <c r="G51" i="43"/>
  <c r="H50" i="43"/>
  <c r="G50" i="43"/>
  <c r="H49" i="43"/>
  <c r="G49" i="43"/>
  <c r="H48" i="43"/>
  <c r="G48" i="43"/>
  <c r="H47" i="43"/>
  <c r="G47" i="43"/>
  <c r="F54" i="43"/>
  <c r="E54" i="43"/>
  <c r="F53" i="43"/>
  <c r="E53" i="43"/>
  <c r="F52" i="43"/>
  <c r="E52" i="43"/>
  <c r="F51" i="43"/>
  <c r="E51" i="43"/>
  <c r="F50" i="43"/>
  <c r="E50" i="43"/>
  <c r="F49" i="43"/>
  <c r="E49" i="43"/>
  <c r="F48" i="43"/>
  <c r="E48" i="43"/>
  <c r="F47" i="43"/>
  <c r="E47" i="43"/>
  <c r="D54" i="43"/>
  <c r="C54" i="43"/>
  <c r="D53" i="43"/>
  <c r="C53" i="43"/>
  <c r="D52" i="43"/>
  <c r="C52" i="43"/>
  <c r="D51" i="43"/>
  <c r="C51" i="43"/>
  <c r="D50" i="43"/>
  <c r="C50" i="43"/>
  <c r="D49" i="43"/>
  <c r="C49" i="43"/>
  <c r="D48" i="43"/>
  <c r="C48" i="43"/>
  <c r="D47" i="43"/>
  <c r="C47" i="43"/>
  <c r="J60" i="36"/>
  <c r="I60" i="36"/>
  <c r="J59" i="36"/>
  <c r="I59" i="36"/>
  <c r="J58" i="36"/>
  <c r="I58" i="36"/>
  <c r="J57" i="36"/>
  <c r="I57" i="36"/>
  <c r="J56" i="36"/>
  <c r="I56" i="36"/>
  <c r="J55" i="36"/>
  <c r="I55" i="36"/>
  <c r="J54" i="36"/>
  <c r="I54" i="36"/>
  <c r="J53" i="36"/>
  <c r="I53" i="36"/>
  <c r="J52" i="36"/>
  <c r="I52" i="36"/>
  <c r="G59" i="36"/>
  <c r="F59" i="36"/>
  <c r="G58" i="36"/>
  <c r="F58" i="36"/>
  <c r="G57" i="36"/>
  <c r="F57" i="36"/>
  <c r="G56" i="36"/>
  <c r="F56" i="36"/>
  <c r="G55" i="36"/>
  <c r="F55" i="36"/>
  <c r="G54" i="36"/>
  <c r="F54" i="36"/>
  <c r="G53" i="36"/>
  <c r="F53" i="36"/>
  <c r="G52" i="36"/>
  <c r="F52" i="36"/>
  <c r="D59" i="36"/>
  <c r="C59" i="36"/>
  <c r="D58" i="36"/>
  <c r="C58" i="36"/>
  <c r="D57" i="36"/>
  <c r="C57" i="36"/>
  <c r="D56" i="36"/>
  <c r="C56" i="36"/>
  <c r="D55" i="36"/>
  <c r="C55" i="36"/>
  <c r="D54" i="36"/>
  <c r="C54" i="36"/>
  <c r="D53" i="36"/>
  <c r="C53" i="36"/>
  <c r="D52" i="36"/>
  <c r="C52" i="36"/>
  <c r="C37" i="47"/>
  <c r="C46" i="43"/>
  <c r="C51" i="36"/>
  <c r="B9" i="47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B21" i="47" s="1"/>
  <c r="B22" i="47" s="1"/>
  <c r="B23" i="47" s="1"/>
  <c r="B24" i="47" s="1"/>
  <c r="B25" i="47" s="1"/>
  <c r="B26" i="47" s="1"/>
  <c r="B27" i="47" s="1"/>
  <c r="B28" i="47" s="1"/>
  <c r="I13" i="37"/>
  <c r="I14" i="37" s="1"/>
  <c r="I15" i="37" s="1"/>
  <c r="I16" i="37" s="1"/>
  <c r="I17" i="37" s="1"/>
  <c r="I18" i="37" s="1"/>
  <c r="I19" i="37" s="1"/>
  <c r="I20" i="37" s="1"/>
  <c r="I21" i="37" s="1"/>
  <c r="I22" i="37" s="1"/>
  <c r="I23" i="37" s="1"/>
  <c r="I24" i="37" s="1"/>
  <c r="I25" i="37" s="1"/>
  <c r="I26" i="37" s="1"/>
  <c r="I27" i="37" s="1"/>
  <c r="I28" i="37" s="1"/>
  <c r="I29" i="37" s="1"/>
  <c r="I30" i="37" s="1"/>
  <c r="I31" i="37" s="1"/>
  <c r="I32" i="37" s="1"/>
  <c r="B11" i="44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N11" i="44" l="1"/>
  <c r="N12" i="44" s="1"/>
  <c r="N13" i="44" s="1"/>
  <c r="N14" i="44" s="1"/>
  <c r="N15" i="44" s="1"/>
  <c r="N16" i="44" s="1"/>
  <c r="N17" i="44" s="1"/>
  <c r="N18" i="44" s="1"/>
  <c r="N19" i="44" s="1"/>
  <c r="N20" i="44" s="1"/>
  <c r="N21" i="44" s="1"/>
  <c r="N22" i="44" s="1"/>
  <c r="N23" i="44" s="1"/>
  <c r="N24" i="44" s="1"/>
  <c r="N25" i="44" s="1"/>
  <c r="N26" i="44" s="1"/>
  <c r="N27" i="44" s="1"/>
  <c r="N28" i="44" s="1"/>
  <c r="N29" i="44" s="1"/>
  <c r="N30" i="44" s="1"/>
  <c r="H8" i="47"/>
  <c r="B11" i="45"/>
  <c r="K11" i="45" s="1"/>
  <c r="B10" i="14"/>
  <c r="U11" i="45"/>
  <c r="L11" i="45"/>
  <c r="B11" i="6"/>
  <c r="S13" i="37"/>
  <c r="S14" i="37" s="1"/>
  <c r="S15" i="37" s="1"/>
  <c r="S16" i="37" s="1"/>
  <c r="S17" i="37" s="1"/>
  <c r="S18" i="37" s="1"/>
  <c r="S19" i="37" s="1"/>
  <c r="S20" i="37" s="1"/>
  <c r="S21" i="37" s="1"/>
  <c r="S22" i="37" s="1"/>
  <c r="S23" i="37" s="1"/>
  <c r="S24" i="37" s="1"/>
  <c r="S25" i="37" s="1"/>
  <c r="S26" i="37" s="1"/>
  <c r="S27" i="37" s="1"/>
  <c r="S28" i="37" s="1"/>
  <c r="S29" i="37" s="1"/>
  <c r="S30" i="37" s="1"/>
  <c r="S31" i="37" s="1"/>
  <c r="S32" i="37" s="1"/>
  <c r="N11" i="6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G10" i="14" l="1"/>
  <c r="J10" i="14"/>
  <c r="D10" i="14"/>
  <c r="M10" i="14"/>
  <c r="V11" i="45"/>
  <c r="Q11" i="45"/>
  <c r="R11" i="45"/>
  <c r="J11" i="45"/>
  <c r="D11" i="45"/>
  <c r="O11" i="45"/>
  <c r="I11" i="45"/>
  <c r="C11" i="45"/>
  <c r="S11" i="45"/>
  <c r="M11" i="45"/>
  <c r="E11" i="45"/>
  <c r="P11" i="45"/>
  <c r="G11" i="45"/>
  <c r="T11" i="45"/>
  <c r="N11" i="45"/>
  <c r="H11" i="45"/>
  <c r="F11" i="45"/>
  <c r="W11" i="6"/>
  <c r="S11" i="6"/>
  <c r="O11" i="6"/>
  <c r="I11" i="6"/>
  <c r="E11" i="6"/>
  <c r="T11" i="6"/>
  <c r="J11" i="6"/>
  <c r="V11" i="6"/>
  <c r="R11" i="6"/>
  <c r="L11" i="6"/>
  <c r="H11" i="6"/>
  <c r="D11" i="6"/>
  <c r="P11" i="6"/>
  <c r="U11" i="6"/>
  <c r="Q11" i="6"/>
  <c r="K11" i="6"/>
  <c r="G11" i="6"/>
  <c r="C11" i="6"/>
  <c r="B12" i="6"/>
  <c r="X11" i="6"/>
  <c r="F11" i="6"/>
  <c r="B13" i="6" l="1"/>
  <c r="W12" i="6"/>
  <c r="S12" i="6"/>
  <c r="O12" i="6"/>
  <c r="I12" i="6"/>
  <c r="E12" i="6"/>
  <c r="X12" i="6"/>
  <c r="F12" i="6"/>
  <c r="V12" i="6"/>
  <c r="R12" i="6"/>
  <c r="L12" i="6"/>
  <c r="H12" i="6"/>
  <c r="D12" i="6"/>
  <c r="T12" i="6"/>
  <c r="J12" i="6"/>
  <c r="U12" i="6"/>
  <c r="Q12" i="6"/>
  <c r="K12" i="6"/>
  <c r="G12" i="6"/>
  <c r="C12" i="6"/>
  <c r="P12" i="6"/>
  <c r="D10" i="43"/>
  <c r="D11" i="43" s="1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 s="1"/>
  <c r="Q27" i="43" s="1"/>
  <c r="Q28" i="43" s="1"/>
  <c r="Q7" i="43"/>
  <c r="O7" i="43"/>
  <c r="O8" i="43" s="1"/>
  <c r="O9" i="43" s="1"/>
  <c r="O10" i="43" s="1"/>
  <c r="O11" i="43" s="1"/>
  <c r="O12" i="43" s="1"/>
  <c r="O13" i="43" s="1"/>
  <c r="O14" i="43" s="1"/>
  <c r="O15" i="43" s="1"/>
  <c r="O16" i="43" s="1"/>
  <c r="O17" i="43" s="1"/>
  <c r="O18" i="43" s="1"/>
  <c r="O19" i="43" s="1"/>
  <c r="O20" i="43" s="1"/>
  <c r="O21" i="43" s="1"/>
  <c r="O22" i="43" s="1"/>
  <c r="O23" i="43" s="1"/>
  <c r="O24" i="43" s="1"/>
  <c r="O25" i="43" s="1"/>
  <c r="O26" i="43" s="1"/>
  <c r="O27" i="43" s="1"/>
  <c r="O28" i="43" s="1"/>
  <c r="B14" i="6" l="1"/>
  <c r="W13" i="6"/>
  <c r="S13" i="6"/>
  <c r="O13" i="6"/>
  <c r="I13" i="6"/>
  <c r="E13" i="6"/>
  <c r="P13" i="6"/>
  <c r="V13" i="6"/>
  <c r="R13" i="6"/>
  <c r="L13" i="6"/>
  <c r="H13" i="6"/>
  <c r="D13" i="6"/>
  <c r="T13" i="6"/>
  <c r="J13" i="6"/>
  <c r="U13" i="6"/>
  <c r="Q13" i="6"/>
  <c r="K13" i="6"/>
  <c r="G13" i="6"/>
  <c r="C13" i="6"/>
  <c r="X13" i="6"/>
  <c r="F13" i="6"/>
  <c r="D12" i="43"/>
  <c r="D13" i="43" l="1"/>
  <c r="D14" i="43" s="1"/>
  <c r="D15" i="43" s="1"/>
  <c r="D16" i="43" s="1"/>
  <c r="D17" i="43" s="1"/>
  <c r="B15" i="6"/>
  <c r="W14" i="6"/>
  <c r="S14" i="6"/>
  <c r="O14" i="6"/>
  <c r="I14" i="6"/>
  <c r="E14" i="6"/>
  <c r="F14" i="6"/>
  <c r="V14" i="6"/>
  <c r="R14" i="6"/>
  <c r="L14" i="6"/>
  <c r="H14" i="6"/>
  <c r="D14" i="6"/>
  <c r="P14" i="6"/>
  <c r="U14" i="6"/>
  <c r="Q14" i="6"/>
  <c r="K14" i="6"/>
  <c r="G14" i="6"/>
  <c r="C14" i="6"/>
  <c r="X14" i="6"/>
  <c r="T14" i="6"/>
  <c r="J14" i="6"/>
  <c r="E17" i="43" l="1"/>
  <c r="D18" i="43"/>
  <c r="D19" i="43" s="1"/>
  <c r="D20" i="43" s="1"/>
  <c r="D21" i="43" s="1"/>
  <c r="D22" i="43" s="1"/>
  <c r="D23" i="43" s="1"/>
  <c r="D24" i="43" s="1"/>
  <c r="D25" i="43" s="1"/>
  <c r="D26" i="43" s="1"/>
  <c r="D27" i="43" s="1"/>
  <c r="D28" i="43" s="1"/>
  <c r="D29" i="43" s="1"/>
  <c r="W15" i="6"/>
  <c r="S15" i="6"/>
  <c r="O15" i="6"/>
  <c r="I15" i="6"/>
  <c r="E15" i="6"/>
  <c r="V15" i="6"/>
  <c r="R15" i="6"/>
  <c r="L15" i="6"/>
  <c r="H15" i="6"/>
  <c r="D15" i="6"/>
  <c r="B16" i="6"/>
  <c r="U15" i="6"/>
  <c r="Q15" i="6"/>
  <c r="K15" i="6"/>
  <c r="G15" i="6"/>
  <c r="C15" i="6"/>
  <c r="X15" i="6"/>
  <c r="T15" i="6"/>
  <c r="P15" i="6"/>
  <c r="J15" i="6"/>
  <c r="F15" i="6"/>
  <c r="J36" i="37"/>
  <c r="J37" i="37"/>
  <c r="J38" i="37"/>
  <c r="J39" i="37"/>
  <c r="B17" i="6" l="1"/>
  <c r="W16" i="6"/>
  <c r="S16" i="6"/>
  <c r="O16" i="6"/>
  <c r="I16" i="6"/>
  <c r="E16" i="6"/>
  <c r="V16" i="6"/>
  <c r="R16" i="6"/>
  <c r="L16" i="6"/>
  <c r="H16" i="6"/>
  <c r="D16" i="6"/>
  <c r="U16" i="6"/>
  <c r="Q16" i="6"/>
  <c r="K16" i="6"/>
  <c r="G16" i="6"/>
  <c r="C16" i="6"/>
  <c r="X16" i="6"/>
  <c r="T16" i="6"/>
  <c r="P16" i="6"/>
  <c r="J16" i="6"/>
  <c r="F16" i="6"/>
  <c r="Z28" i="45"/>
  <c r="Z29" i="45" s="1"/>
  <c r="AA25" i="45"/>
  <c r="AB25" i="45" s="1"/>
  <c r="AA24" i="45"/>
  <c r="AB24" i="45" s="1"/>
  <c r="AA23" i="45"/>
  <c r="AB23" i="45" s="1"/>
  <c r="AA22" i="45"/>
  <c r="AB22" i="45" s="1"/>
  <c r="AA21" i="45"/>
  <c r="AB21" i="45" s="1"/>
  <c r="AA20" i="45"/>
  <c r="AB20" i="45" s="1"/>
  <c r="AA19" i="45"/>
  <c r="AA28" i="45" s="1"/>
  <c r="AA29" i="45" s="1"/>
  <c r="AA18" i="45"/>
  <c r="AB18" i="45" s="1"/>
  <c r="AA17" i="45"/>
  <c r="AB17" i="45" s="1"/>
  <c r="AA16" i="45"/>
  <c r="AB16" i="45" s="1"/>
  <c r="AA15" i="45"/>
  <c r="AB15" i="45" s="1"/>
  <c r="AA14" i="45"/>
  <c r="AB14" i="45" s="1"/>
  <c r="D9" i="47"/>
  <c r="AB19" i="45" l="1"/>
  <c r="AB28" i="45" s="1"/>
  <c r="AB29" i="45" s="1"/>
  <c r="B18" i="6"/>
  <c r="W17" i="6"/>
  <c r="S17" i="6"/>
  <c r="O17" i="6"/>
  <c r="I17" i="6"/>
  <c r="E17" i="6"/>
  <c r="V17" i="6"/>
  <c r="R17" i="6"/>
  <c r="L17" i="6"/>
  <c r="H17" i="6"/>
  <c r="D17" i="6"/>
  <c r="U17" i="6"/>
  <c r="Q17" i="6"/>
  <c r="K17" i="6"/>
  <c r="G17" i="6"/>
  <c r="C17" i="6"/>
  <c r="X17" i="6"/>
  <c r="T17" i="6"/>
  <c r="P17" i="6"/>
  <c r="J17" i="6"/>
  <c r="F17" i="6"/>
  <c r="I10" i="47"/>
  <c r="I11" i="47" s="1"/>
  <c r="B19" i="6" l="1"/>
  <c r="W18" i="6"/>
  <c r="S18" i="6"/>
  <c r="O18" i="6"/>
  <c r="I18" i="6"/>
  <c r="E18" i="6"/>
  <c r="V18" i="6"/>
  <c r="R18" i="6"/>
  <c r="L18" i="6"/>
  <c r="H18" i="6"/>
  <c r="D18" i="6"/>
  <c r="U18" i="6"/>
  <c r="Q18" i="6"/>
  <c r="K18" i="6"/>
  <c r="G18" i="6"/>
  <c r="C18" i="6"/>
  <c r="X18" i="6"/>
  <c r="T18" i="6"/>
  <c r="P18" i="6"/>
  <c r="J18" i="6"/>
  <c r="F18" i="6"/>
  <c r="I12" i="47"/>
  <c r="I13" i="47" s="1"/>
  <c r="I14" i="47" s="1"/>
  <c r="I15" i="47" s="1"/>
  <c r="W19" i="6" l="1"/>
  <c r="S19" i="6"/>
  <c r="O19" i="6"/>
  <c r="I19" i="6"/>
  <c r="E19" i="6"/>
  <c r="B20" i="6"/>
  <c r="V19" i="6"/>
  <c r="R19" i="6"/>
  <c r="L19" i="6"/>
  <c r="H19" i="6"/>
  <c r="D19" i="6"/>
  <c r="U19" i="6"/>
  <c r="Q19" i="6"/>
  <c r="K19" i="6"/>
  <c r="G19" i="6"/>
  <c r="C19" i="6"/>
  <c r="X19" i="6"/>
  <c r="T19" i="6"/>
  <c r="P19" i="6"/>
  <c r="J19" i="6"/>
  <c r="F19" i="6"/>
  <c r="I16" i="47"/>
  <c r="B35" i="14"/>
  <c r="B21" i="6" l="1"/>
  <c r="W20" i="6"/>
  <c r="S20" i="6"/>
  <c r="O20" i="6"/>
  <c r="I20" i="6"/>
  <c r="E20" i="6"/>
  <c r="V20" i="6"/>
  <c r="R20" i="6"/>
  <c r="L20" i="6"/>
  <c r="H20" i="6"/>
  <c r="D20" i="6"/>
  <c r="U20" i="6"/>
  <c r="Q20" i="6"/>
  <c r="K20" i="6"/>
  <c r="G20" i="6"/>
  <c r="C20" i="6"/>
  <c r="X20" i="6"/>
  <c r="T20" i="6"/>
  <c r="P20" i="6"/>
  <c r="J20" i="6"/>
  <c r="F20" i="6"/>
  <c r="V21" i="6" l="1"/>
  <c r="B22" i="6"/>
  <c r="U21" i="6"/>
  <c r="Q21" i="6"/>
  <c r="K21" i="6"/>
  <c r="G21" i="6"/>
  <c r="C21" i="6"/>
  <c r="X21" i="6"/>
  <c r="T21" i="6"/>
  <c r="P21" i="6"/>
  <c r="J21" i="6"/>
  <c r="F21" i="6"/>
  <c r="R21" i="6"/>
  <c r="H21" i="6"/>
  <c r="O21" i="6"/>
  <c r="E21" i="6"/>
  <c r="W21" i="6"/>
  <c r="L21" i="6"/>
  <c r="D21" i="6"/>
  <c r="S21" i="6"/>
  <c r="I21" i="6"/>
  <c r="I17" i="47"/>
  <c r="B23" i="6" l="1"/>
  <c r="V22" i="6"/>
  <c r="R22" i="6"/>
  <c r="L22" i="6"/>
  <c r="H22" i="6"/>
  <c r="D22" i="6"/>
  <c r="U22" i="6"/>
  <c r="Q22" i="6"/>
  <c r="K22" i="6"/>
  <c r="G22" i="6"/>
  <c r="C22" i="6"/>
  <c r="X22" i="6"/>
  <c r="T22" i="6"/>
  <c r="P22" i="6"/>
  <c r="J22" i="6"/>
  <c r="F22" i="6"/>
  <c r="I22" i="6"/>
  <c r="W22" i="6"/>
  <c r="E22" i="6"/>
  <c r="S22" i="6"/>
  <c r="O22" i="6"/>
  <c r="I18" i="47"/>
  <c r="I19" i="47" s="1"/>
  <c r="S34" i="37"/>
  <c r="I35" i="37"/>
  <c r="S35" i="37" s="1"/>
  <c r="I36" i="37"/>
  <c r="S36" i="37" s="1"/>
  <c r="T36" i="37"/>
  <c r="I37" i="37"/>
  <c r="S37" i="37" s="1"/>
  <c r="T37" i="37"/>
  <c r="I38" i="37"/>
  <c r="S38" i="37" s="1"/>
  <c r="T38" i="37"/>
  <c r="I39" i="37"/>
  <c r="S39" i="37" s="1"/>
  <c r="T39" i="37"/>
  <c r="V23" i="6" l="1"/>
  <c r="R23" i="6"/>
  <c r="L23" i="6"/>
  <c r="H23" i="6"/>
  <c r="D23" i="6"/>
  <c r="U23" i="6"/>
  <c r="Q23" i="6"/>
  <c r="K23" i="6"/>
  <c r="G23" i="6"/>
  <c r="C23" i="6"/>
  <c r="X23" i="6"/>
  <c r="T23" i="6"/>
  <c r="P23" i="6"/>
  <c r="J23" i="6"/>
  <c r="F23" i="6"/>
  <c r="B24" i="6"/>
  <c r="W23" i="6"/>
  <c r="E23" i="6"/>
  <c r="S23" i="6"/>
  <c r="O23" i="6"/>
  <c r="I23" i="6"/>
  <c r="I20" i="47"/>
  <c r="V24" i="6" l="1"/>
  <c r="R24" i="6"/>
  <c r="L24" i="6"/>
  <c r="H24" i="6"/>
  <c r="D24" i="6"/>
  <c r="U24" i="6"/>
  <c r="Q24" i="6"/>
  <c r="K24" i="6"/>
  <c r="G24" i="6"/>
  <c r="C24" i="6"/>
  <c r="B25" i="6"/>
  <c r="X24" i="6"/>
  <c r="T24" i="6"/>
  <c r="P24" i="6"/>
  <c r="J24" i="6"/>
  <c r="F24" i="6"/>
  <c r="S24" i="6"/>
  <c r="O24" i="6"/>
  <c r="I24" i="6"/>
  <c r="W24" i="6"/>
  <c r="E24" i="6"/>
  <c r="I21" i="47"/>
  <c r="I22" i="47" s="1"/>
  <c r="V25" i="6" l="1"/>
  <c r="R25" i="6"/>
  <c r="L25" i="6"/>
  <c r="H25" i="6"/>
  <c r="D25" i="6"/>
  <c r="B26" i="6"/>
  <c r="U25" i="6"/>
  <c r="Q25" i="6"/>
  <c r="K25" i="6"/>
  <c r="G25" i="6"/>
  <c r="C25" i="6"/>
  <c r="X25" i="6"/>
  <c r="T25" i="6"/>
  <c r="P25" i="6"/>
  <c r="J25" i="6"/>
  <c r="F25" i="6"/>
  <c r="O25" i="6"/>
  <c r="I25" i="6"/>
  <c r="W25" i="6"/>
  <c r="E25" i="6"/>
  <c r="S25" i="6"/>
  <c r="I23" i="47"/>
  <c r="B27" i="6" l="1"/>
  <c r="V26" i="6"/>
  <c r="R26" i="6"/>
  <c r="L26" i="6"/>
  <c r="H26" i="6"/>
  <c r="D26" i="6"/>
  <c r="U26" i="6"/>
  <c r="Q26" i="6"/>
  <c r="K26" i="6"/>
  <c r="G26" i="6"/>
  <c r="C26" i="6"/>
  <c r="X26" i="6"/>
  <c r="T26" i="6"/>
  <c r="P26" i="6"/>
  <c r="J26" i="6"/>
  <c r="F26" i="6"/>
  <c r="I26" i="6"/>
  <c r="W26" i="6"/>
  <c r="E26" i="6"/>
  <c r="S26" i="6"/>
  <c r="O26" i="6"/>
  <c r="I24" i="47"/>
  <c r="I8" i="47"/>
  <c r="V27" i="6" l="1"/>
  <c r="R27" i="6"/>
  <c r="L27" i="6"/>
  <c r="H27" i="6"/>
  <c r="D27" i="6"/>
  <c r="U27" i="6"/>
  <c r="Q27" i="6"/>
  <c r="K27" i="6"/>
  <c r="G27" i="6"/>
  <c r="C27" i="6"/>
  <c r="X27" i="6"/>
  <c r="T27" i="6"/>
  <c r="P27" i="6"/>
  <c r="J27" i="6"/>
  <c r="F27" i="6"/>
  <c r="W27" i="6"/>
  <c r="E27" i="6"/>
  <c r="S27" i="6"/>
  <c r="O27" i="6"/>
  <c r="B28" i="6"/>
  <c r="I27" i="6"/>
  <c r="I25" i="47"/>
  <c r="I26" i="47" s="1"/>
  <c r="V28" i="6" l="1"/>
  <c r="R28" i="6"/>
  <c r="L28" i="6"/>
  <c r="H28" i="6"/>
  <c r="D28" i="6"/>
  <c r="U28" i="6"/>
  <c r="Q28" i="6"/>
  <c r="K28" i="6"/>
  <c r="G28" i="6"/>
  <c r="C28" i="6"/>
  <c r="B29" i="6"/>
  <c r="X28" i="6"/>
  <c r="T28" i="6"/>
  <c r="P28" i="6"/>
  <c r="J28" i="6"/>
  <c r="F28" i="6"/>
  <c r="S28" i="6"/>
  <c r="O28" i="6"/>
  <c r="I28" i="6"/>
  <c r="W28" i="6"/>
  <c r="E28" i="6"/>
  <c r="I27" i="47"/>
  <c r="I28" i="47" s="1"/>
  <c r="V29" i="6" l="1"/>
  <c r="R29" i="6"/>
  <c r="L29" i="6"/>
  <c r="H29" i="6"/>
  <c r="D29" i="6"/>
  <c r="B30" i="6"/>
  <c r="U29" i="6"/>
  <c r="Q29" i="6"/>
  <c r="K29" i="6"/>
  <c r="G29" i="6"/>
  <c r="C29" i="6"/>
  <c r="X29" i="6"/>
  <c r="T29" i="6"/>
  <c r="P29" i="6"/>
  <c r="J29" i="6"/>
  <c r="F29" i="6"/>
  <c r="O29" i="6"/>
  <c r="I29" i="6"/>
  <c r="W29" i="6"/>
  <c r="E29" i="6"/>
  <c r="S29" i="6"/>
  <c r="V30" i="6" l="1"/>
  <c r="R30" i="6"/>
  <c r="L30" i="6"/>
  <c r="H30" i="6"/>
  <c r="D30" i="6"/>
  <c r="U30" i="6"/>
  <c r="Q30" i="6"/>
  <c r="K30" i="6"/>
  <c r="G30" i="6"/>
  <c r="C30" i="6"/>
  <c r="X30" i="6"/>
  <c r="T30" i="6"/>
  <c r="P30" i="6"/>
  <c r="J30" i="6"/>
  <c r="F30" i="6"/>
  <c r="I30" i="6"/>
  <c r="W30" i="6"/>
  <c r="E30" i="6"/>
  <c r="S30" i="6"/>
  <c r="O30" i="6"/>
  <c r="N34" i="44"/>
  <c r="C39" i="44" l="1"/>
  <c r="C38" i="44"/>
  <c r="C37" i="44"/>
  <c r="C36" i="44"/>
  <c r="C35" i="44"/>
  <c r="B39" i="44"/>
  <c r="N39" i="44" s="1"/>
  <c r="B38" i="44"/>
  <c r="N38" i="44" s="1"/>
  <c r="B37" i="44"/>
  <c r="N37" i="44" s="1"/>
  <c r="B36" i="44"/>
  <c r="N36" i="44" s="1"/>
  <c r="B32" i="44"/>
  <c r="N32" i="44" s="1"/>
  <c r="O39" i="44"/>
  <c r="O38" i="6"/>
  <c r="O37" i="6"/>
  <c r="N37" i="6"/>
  <c r="O36" i="6"/>
  <c r="N36" i="6"/>
  <c r="O35" i="6"/>
  <c r="N35" i="6"/>
  <c r="O34" i="6"/>
  <c r="N32" i="6"/>
  <c r="N38" i="6"/>
  <c r="B33" i="6"/>
  <c r="N33" i="6" s="1"/>
  <c r="O35" i="44" l="1"/>
  <c r="O36" i="44"/>
  <c r="B33" i="44"/>
  <c r="N33" i="44" s="1"/>
  <c r="O37" i="44"/>
  <c r="O38" i="44"/>
  <c r="D36" i="43" l="1"/>
  <c r="B34" i="6" l="1"/>
  <c r="B35" i="44" l="1"/>
  <c r="N35" i="44" s="1"/>
  <c r="N34" i="6"/>
  <c r="D40" i="36"/>
  <c r="D38" i="36"/>
  <c r="E43" i="17" l="1"/>
  <c r="E44" i="17" s="1"/>
  <c r="H42" i="17"/>
  <c r="H43" i="17" s="1"/>
  <c r="E42" i="17"/>
  <c r="B42" i="17"/>
  <c r="B10" i="17"/>
  <c r="B11" i="17" s="1"/>
  <c r="D37" i="43"/>
  <c r="H44" i="17" l="1"/>
  <c r="E45" i="17"/>
  <c r="B43" i="17"/>
  <c r="B12" i="45"/>
  <c r="S12" i="45" l="1"/>
  <c r="O12" i="45"/>
  <c r="K12" i="45"/>
  <c r="G12" i="45"/>
  <c r="C12" i="45"/>
  <c r="V12" i="45"/>
  <c r="R12" i="45"/>
  <c r="N12" i="45"/>
  <c r="J12" i="45"/>
  <c r="F12" i="45"/>
  <c r="U12" i="45"/>
  <c r="Q12" i="45"/>
  <c r="M12" i="45"/>
  <c r="I12" i="45"/>
  <c r="E12" i="45"/>
  <c r="T12" i="45"/>
  <c r="P12" i="45"/>
  <c r="L12" i="45"/>
  <c r="H12" i="45"/>
  <c r="D12" i="45"/>
  <c r="H45" i="17"/>
  <c r="B44" i="17"/>
  <c r="E46" i="17"/>
  <c r="B13" i="45"/>
  <c r="B12" i="44"/>
  <c r="S13" i="45" l="1"/>
  <c r="O13" i="45"/>
  <c r="K13" i="45"/>
  <c r="G13" i="45"/>
  <c r="C13" i="45"/>
  <c r="V13" i="45"/>
  <c r="R13" i="45"/>
  <c r="N13" i="45"/>
  <c r="J13" i="45"/>
  <c r="F13" i="45"/>
  <c r="U13" i="45"/>
  <c r="Q13" i="45"/>
  <c r="M13" i="45"/>
  <c r="I13" i="45"/>
  <c r="E13" i="45"/>
  <c r="T13" i="45"/>
  <c r="P13" i="45"/>
  <c r="L13" i="45"/>
  <c r="H13" i="45"/>
  <c r="D13" i="45"/>
  <c r="E47" i="17"/>
  <c r="H46" i="17"/>
  <c r="B45" i="17"/>
  <c r="B14" i="45"/>
  <c r="B13" i="44"/>
  <c r="S14" i="45" l="1"/>
  <c r="O14" i="45"/>
  <c r="K14" i="45"/>
  <c r="G14" i="45"/>
  <c r="C14" i="45"/>
  <c r="V14" i="45"/>
  <c r="R14" i="45"/>
  <c r="N14" i="45"/>
  <c r="J14" i="45"/>
  <c r="F14" i="45"/>
  <c r="U14" i="45"/>
  <c r="Q14" i="45"/>
  <c r="M14" i="45"/>
  <c r="I14" i="45"/>
  <c r="E14" i="45"/>
  <c r="T14" i="45"/>
  <c r="P14" i="45"/>
  <c r="L14" i="45"/>
  <c r="H14" i="45"/>
  <c r="D14" i="45"/>
  <c r="B46" i="17"/>
  <c r="E48" i="17"/>
  <c r="H47" i="17"/>
  <c r="B15" i="45"/>
  <c r="B14" i="44"/>
  <c r="V15" i="45" l="1"/>
  <c r="R15" i="45"/>
  <c r="N15" i="45"/>
  <c r="J15" i="45"/>
  <c r="F15" i="45"/>
  <c r="U15" i="45"/>
  <c r="Q15" i="45"/>
  <c r="M15" i="45"/>
  <c r="I15" i="45"/>
  <c r="E15" i="45"/>
  <c r="T15" i="45"/>
  <c r="P15" i="45"/>
  <c r="L15" i="45"/>
  <c r="H15" i="45"/>
  <c r="D15" i="45"/>
  <c r="S15" i="45"/>
  <c r="C15" i="45"/>
  <c r="O15" i="45"/>
  <c r="K15" i="45"/>
  <c r="G15" i="45"/>
  <c r="B47" i="17"/>
  <c r="H48" i="17"/>
  <c r="B16" i="45"/>
  <c r="B15" i="44"/>
  <c r="V16" i="45" l="1"/>
  <c r="R16" i="45"/>
  <c r="N16" i="45"/>
  <c r="J16" i="45"/>
  <c r="F16" i="45"/>
  <c r="U16" i="45"/>
  <c r="Q16" i="45"/>
  <c r="M16" i="45"/>
  <c r="I16" i="45"/>
  <c r="E16" i="45"/>
  <c r="T16" i="45"/>
  <c r="P16" i="45"/>
  <c r="L16" i="45"/>
  <c r="H16" i="45"/>
  <c r="D16" i="45"/>
  <c r="O16" i="45"/>
  <c r="K16" i="45"/>
  <c r="G16" i="45"/>
  <c r="S16" i="45"/>
  <c r="C16" i="45"/>
  <c r="B48" i="17"/>
  <c r="H49" i="17"/>
  <c r="B17" i="45"/>
  <c r="B16" i="44"/>
  <c r="V17" i="45" l="1"/>
  <c r="R17" i="45"/>
  <c r="N17" i="45"/>
  <c r="J17" i="45"/>
  <c r="F17" i="45"/>
  <c r="U17" i="45"/>
  <c r="Q17" i="45"/>
  <c r="M17" i="45"/>
  <c r="I17" i="45"/>
  <c r="E17" i="45"/>
  <c r="T17" i="45"/>
  <c r="P17" i="45"/>
  <c r="L17" i="45"/>
  <c r="H17" i="45"/>
  <c r="D17" i="45"/>
  <c r="K17" i="45"/>
  <c r="G17" i="45"/>
  <c r="S17" i="45"/>
  <c r="C17" i="45"/>
  <c r="O17" i="45"/>
  <c r="C10" i="17"/>
  <c r="C11" i="17" s="1"/>
  <c r="D10" i="17"/>
  <c r="D11" i="17" s="1"/>
  <c r="B18" i="45"/>
  <c r="B17" i="44"/>
  <c r="V18" i="45" l="1"/>
  <c r="R18" i="45"/>
  <c r="N18" i="45"/>
  <c r="J18" i="45"/>
  <c r="F18" i="45"/>
  <c r="U18" i="45"/>
  <c r="Q18" i="45"/>
  <c r="M18" i="45"/>
  <c r="I18" i="45"/>
  <c r="E18" i="45"/>
  <c r="T18" i="45"/>
  <c r="P18" i="45"/>
  <c r="L18" i="45"/>
  <c r="H18" i="45"/>
  <c r="D18" i="45"/>
  <c r="G18" i="45"/>
  <c r="S18" i="45"/>
  <c r="C18" i="45"/>
  <c r="O18" i="45"/>
  <c r="K18" i="45"/>
  <c r="B19" i="45"/>
  <c r="B18" i="44"/>
  <c r="V19" i="45" l="1"/>
  <c r="R19" i="45"/>
  <c r="N19" i="45"/>
  <c r="J19" i="45"/>
  <c r="F19" i="45"/>
  <c r="U19" i="45"/>
  <c r="Q19" i="45"/>
  <c r="M19" i="45"/>
  <c r="I19" i="45"/>
  <c r="E19" i="45"/>
  <c r="T19" i="45"/>
  <c r="P19" i="45"/>
  <c r="L19" i="45"/>
  <c r="H19" i="45"/>
  <c r="D19" i="45"/>
  <c r="S19" i="45"/>
  <c r="C19" i="45"/>
  <c r="O19" i="45"/>
  <c r="K19" i="45"/>
  <c r="G19" i="45"/>
  <c r="B20" i="45"/>
  <c r="B19" i="44"/>
  <c r="V20" i="45" l="1"/>
  <c r="R20" i="45"/>
  <c r="N20" i="45"/>
  <c r="J20" i="45"/>
  <c r="F20" i="45"/>
  <c r="U20" i="45"/>
  <c r="Q20" i="45"/>
  <c r="M20" i="45"/>
  <c r="I20" i="45"/>
  <c r="E20" i="45"/>
  <c r="T20" i="45"/>
  <c r="P20" i="45"/>
  <c r="L20" i="45"/>
  <c r="H20" i="45"/>
  <c r="D20" i="45"/>
  <c r="O20" i="45"/>
  <c r="K20" i="45"/>
  <c r="G20" i="45"/>
  <c r="S20" i="45"/>
  <c r="C20" i="45"/>
  <c r="B21" i="45"/>
  <c r="B20" i="44"/>
  <c r="V21" i="45" l="1"/>
  <c r="R21" i="45"/>
  <c r="N21" i="45"/>
  <c r="J21" i="45"/>
  <c r="F21" i="45"/>
  <c r="U21" i="45"/>
  <c r="Q21" i="45"/>
  <c r="M21" i="45"/>
  <c r="I21" i="45"/>
  <c r="E21" i="45"/>
  <c r="T21" i="45"/>
  <c r="P21" i="45"/>
  <c r="L21" i="45"/>
  <c r="H21" i="45"/>
  <c r="D21" i="45"/>
  <c r="K21" i="45"/>
  <c r="G21" i="45"/>
  <c r="S21" i="45"/>
  <c r="C21" i="45"/>
  <c r="O21" i="45"/>
  <c r="B22" i="45"/>
  <c r="B21" i="44"/>
  <c r="V22" i="45" l="1"/>
  <c r="R22" i="45"/>
  <c r="N22" i="45"/>
  <c r="J22" i="45"/>
  <c r="F22" i="45"/>
  <c r="U22" i="45"/>
  <c r="Q22" i="45"/>
  <c r="M22" i="45"/>
  <c r="I22" i="45"/>
  <c r="E22" i="45"/>
  <c r="T22" i="45"/>
  <c r="P22" i="45"/>
  <c r="L22" i="45"/>
  <c r="H22" i="45"/>
  <c r="D22" i="45"/>
  <c r="G22" i="45"/>
  <c r="S22" i="45"/>
  <c r="C22" i="45"/>
  <c r="O22" i="45"/>
  <c r="K22" i="45"/>
  <c r="B23" i="45"/>
  <c r="B22" i="44"/>
  <c r="V23" i="45" l="1"/>
  <c r="R23" i="45"/>
  <c r="N23" i="45"/>
  <c r="J23" i="45"/>
  <c r="F23" i="45"/>
  <c r="U23" i="45"/>
  <c r="Q23" i="45"/>
  <c r="M23" i="45"/>
  <c r="I23" i="45"/>
  <c r="E23" i="45"/>
  <c r="T23" i="45"/>
  <c r="P23" i="45"/>
  <c r="L23" i="45"/>
  <c r="H23" i="45"/>
  <c r="D23" i="45"/>
  <c r="S23" i="45"/>
  <c r="C23" i="45"/>
  <c r="O23" i="45"/>
  <c r="K23" i="45"/>
  <c r="G23" i="45"/>
  <c r="B24" i="45"/>
  <c r="B23" i="44"/>
  <c r="V24" i="45" l="1"/>
  <c r="R24" i="45"/>
  <c r="N24" i="45"/>
  <c r="J24" i="45"/>
  <c r="F24" i="45"/>
  <c r="U24" i="45"/>
  <c r="Q24" i="45"/>
  <c r="M24" i="45"/>
  <c r="I24" i="45"/>
  <c r="E24" i="45"/>
  <c r="T24" i="45"/>
  <c r="P24" i="45"/>
  <c r="L24" i="45"/>
  <c r="H24" i="45"/>
  <c r="D24" i="45"/>
  <c r="O24" i="45"/>
  <c r="K24" i="45"/>
  <c r="G24" i="45"/>
  <c r="S24" i="45"/>
  <c r="C24" i="45"/>
  <c r="B25" i="45"/>
  <c r="B24" i="44"/>
  <c r="V25" i="45" l="1"/>
  <c r="R25" i="45"/>
  <c r="N25" i="45"/>
  <c r="J25" i="45"/>
  <c r="F25" i="45"/>
  <c r="U25" i="45"/>
  <c r="Q25" i="45"/>
  <c r="M25" i="45"/>
  <c r="I25" i="45"/>
  <c r="E25" i="45"/>
  <c r="T25" i="45"/>
  <c r="P25" i="45"/>
  <c r="L25" i="45"/>
  <c r="H25" i="45"/>
  <c r="D25" i="45"/>
  <c r="K25" i="45"/>
  <c r="G25" i="45"/>
  <c r="S25" i="45"/>
  <c r="C25" i="45"/>
  <c r="O25" i="45"/>
  <c r="B26" i="45"/>
  <c r="B25" i="44"/>
  <c r="V26" i="45" l="1"/>
  <c r="R26" i="45"/>
  <c r="N26" i="45"/>
  <c r="J26" i="45"/>
  <c r="F26" i="45"/>
  <c r="U26" i="45"/>
  <c r="Q26" i="45"/>
  <c r="M26" i="45"/>
  <c r="I26" i="45"/>
  <c r="E26" i="45"/>
  <c r="T26" i="45"/>
  <c r="P26" i="45"/>
  <c r="L26" i="45"/>
  <c r="H26" i="45"/>
  <c r="D26" i="45"/>
  <c r="G26" i="45"/>
  <c r="S26" i="45"/>
  <c r="C26" i="45"/>
  <c r="O26" i="45"/>
  <c r="K26" i="45"/>
  <c r="B27" i="45"/>
  <c r="B26" i="44"/>
  <c r="V27" i="45" l="1"/>
  <c r="R27" i="45"/>
  <c r="N27" i="45"/>
  <c r="J27" i="45"/>
  <c r="F27" i="45"/>
  <c r="U27" i="45"/>
  <c r="Q27" i="45"/>
  <c r="M27" i="45"/>
  <c r="I27" i="45"/>
  <c r="E27" i="45"/>
  <c r="T27" i="45"/>
  <c r="P27" i="45"/>
  <c r="L27" i="45"/>
  <c r="H27" i="45"/>
  <c r="D27" i="45"/>
  <c r="S27" i="45"/>
  <c r="C27" i="45"/>
  <c r="O27" i="45"/>
  <c r="K27" i="45"/>
  <c r="G27" i="45"/>
  <c r="B28" i="45"/>
  <c r="B27" i="44"/>
  <c r="V28" i="45" l="1"/>
  <c r="R28" i="45"/>
  <c r="N28" i="45"/>
  <c r="J28" i="45"/>
  <c r="F28" i="45"/>
  <c r="U28" i="45"/>
  <c r="Q28" i="45"/>
  <c r="M28" i="45"/>
  <c r="I28" i="45"/>
  <c r="E28" i="45"/>
  <c r="T28" i="45"/>
  <c r="P28" i="45"/>
  <c r="L28" i="45"/>
  <c r="H28" i="45"/>
  <c r="D28" i="45"/>
  <c r="O28" i="45"/>
  <c r="K28" i="45"/>
  <c r="G28" i="45"/>
  <c r="S28" i="45"/>
  <c r="C28" i="45"/>
  <c r="B29" i="45"/>
  <c r="B28" i="44"/>
  <c r="V29" i="45" l="1"/>
  <c r="R29" i="45"/>
  <c r="N29" i="45"/>
  <c r="J29" i="45"/>
  <c r="F29" i="45"/>
  <c r="U29" i="45"/>
  <c r="Q29" i="45"/>
  <c r="M29" i="45"/>
  <c r="I29" i="45"/>
  <c r="E29" i="45"/>
  <c r="T29" i="45"/>
  <c r="P29" i="45"/>
  <c r="L29" i="45"/>
  <c r="H29" i="45"/>
  <c r="D29" i="45"/>
  <c r="K29" i="45"/>
  <c r="G29" i="45"/>
  <c r="S29" i="45"/>
  <c r="C29" i="45"/>
  <c r="O29" i="45"/>
  <c r="B30" i="45"/>
  <c r="B29" i="44"/>
  <c r="V30" i="45" l="1"/>
  <c r="R30" i="45"/>
  <c r="N30" i="45"/>
  <c r="J30" i="45"/>
  <c r="F30" i="45"/>
  <c r="U30" i="45"/>
  <c r="Q30" i="45"/>
  <c r="M30" i="45"/>
  <c r="I30" i="45"/>
  <c r="E30" i="45"/>
  <c r="T30" i="45"/>
  <c r="P30" i="45"/>
  <c r="L30" i="45"/>
  <c r="H30" i="45"/>
  <c r="D30" i="45"/>
  <c r="G30" i="45"/>
  <c r="S30" i="45"/>
  <c r="C30" i="45"/>
  <c r="O30" i="45"/>
  <c r="K30" i="45"/>
  <c r="B30" i="44"/>
  <c r="G11" i="37" l="1"/>
  <c r="F11" i="37" l="1"/>
  <c r="P11" i="37"/>
  <c r="M11" i="37"/>
  <c r="L11" i="37"/>
  <c r="W11" i="37"/>
  <c r="V11" i="37"/>
  <c r="Q11" i="37"/>
  <c r="E5" i="43" l="1"/>
  <c r="B11" i="43"/>
  <c r="C34" i="43"/>
  <c r="C35" i="43"/>
  <c r="C36" i="43"/>
  <c r="C37" i="43"/>
  <c r="C40" i="43"/>
  <c r="B12" i="43" l="1"/>
  <c r="B13" i="43" l="1"/>
  <c r="B14" i="43" l="1"/>
  <c r="B15" i="43" l="1"/>
  <c r="B16" i="43" l="1"/>
  <c r="B17" i="43" l="1"/>
  <c r="I11" i="43" l="1"/>
  <c r="B18" i="43"/>
  <c r="E18" i="43"/>
  <c r="E19" i="43" s="1"/>
  <c r="E20" i="43" s="1"/>
  <c r="E21" i="43" s="1"/>
  <c r="E22" i="43" s="1"/>
  <c r="E23" i="43" s="1"/>
  <c r="E24" i="43" s="1"/>
  <c r="E25" i="43" s="1"/>
  <c r="E26" i="43" s="1"/>
  <c r="E27" i="43" s="1"/>
  <c r="E28" i="43" s="1"/>
  <c r="E29" i="43" s="1"/>
  <c r="F29" i="43" s="1"/>
  <c r="I12" i="43" l="1"/>
  <c r="I13" i="43" s="1"/>
  <c r="I14" i="43" s="1"/>
  <c r="I15" i="43" s="1"/>
  <c r="I16" i="43" s="1"/>
  <c r="I17" i="43" s="1"/>
  <c r="I18" i="43" s="1"/>
  <c r="B19" i="43"/>
  <c r="B20" i="43" l="1"/>
  <c r="I19" i="43"/>
  <c r="I20" i="43" l="1"/>
  <c r="B21" i="43"/>
  <c r="B22" i="43" l="1"/>
  <c r="I21" i="43"/>
  <c r="I22" i="43" l="1"/>
  <c r="B23" i="43"/>
  <c r="B24" i="43" l="1"/>
  <c r="I23" i="43"/>
  <c r="I24" i="43" l="1"/>
  <c r="I8" i="43" s="1"/>
  <c r="B25" i="43"/>
  <c r="I25" i="43" l="1"/>
  <c r="B26" i="43"/>
  <c r="B27" i="43" l="1"/>
  <c r="I26" i="43"/>
  <c r="I27" i="43" l="1"/>
  <c r="B28" i="43"/>
  <c r="B29" i="43" l="1"/>
  <c r="I28" i="43"/>
  <c r="I29" i="43" l="1"/>
  <c r="F10" i="43" l="1"/>
  <c r="D10" i="47" s="1"/>
  <c r="F11" i="43"/>
  <c r="D11" i="47" s="1"/>
  <c r="F12" i="43" l="1"/>
  <c r="D12" i="47" s="1"/>
  <c r="F13" i="43" l="1"/>
  <c r="D13" i="47" s="1"/>
  <c r="F14" i="43" l="1"/>
  <c r="D14" i="47" s="1"/>
  <c r="F15" i="43" l="1"/>
  <c r="D15" i="47" s="1"/>
  <c r="F16" i="43" l="1"/>
  <c r="D16" i="47" l="1"/>
  <c r="C16" i="47" s="1"/>
  <c r="E16" i="47" s="1"/>
  <c r="F17" i="43"/>
  <c r="F18" i="43" l="1"/>
  <c r="D17" i="47" s="1"/>
  <c r="C17" i="47" s="1"/>
  <c r="E17" i="47" s="1"/>
  <c r="F19" i="43" l="1"/>
  <c r="D18" i="47" l="1"/>
  <c r="C18" i="47" s="1"/>
  <c r="E18" i="47" s="1"/>
  <c r="F20" i="43"/>
  <c r="D19" i="47" l="1"/>
  <c r="C19" i="47" s="1"/>
  <c r="E19" i="47" s="1"/>
  <c r="F21" i="43"/>
  <c r="D20" i="47" l="1"/>
  <c r="C20" i="47" s="1"/>
  <c r="E20" i="47" s="1"/>
  <c r="F22" i="43"/>
  <c r="D21" i="47" l="1"/>
  <c r="C21" i="47" s="1"/>
  <c r="E21" i="47" s="1"/>
  <c r="F23" i="43"/>
  <c r="D22" i="47" l="1"/>
  <c r="C22" i="47" s="1"/>
  <c r="E22" i="47" s="1"/>
  <c r="F24" i="43"/>
  <c r="D23" i="47" l="1"/>
  <c r="C23" i="47" s="1"/>
  <c r="E23" i="47" s="1"/>
  <c r="F25" i="43"/>
  <c r="D24" i="47" s="1"/>
  <c r="C24" i="47" s="1"/>
  <c r="E24" i="47" s="1"/>
  <c r="B9" i="36"/>
  <c r="B3" i="36" s="1"/>
  <c r="B11" i="36"/>
  <c r="B12" i="36" s="1"/>
  <c r="B13" i="36" s="1"/>
  <c r="C37" i="36"/>
  <c r="C39" i="36"/>
  <c r="C40" i="36"/>
  <c r="C10" i="36"/>
  <c r="D10" i="36" s="1"/>
  <c r="D37" i="36"/>
  <c r="F26" i="43" l="1"/>
  <c r="C47" i="36"/>
  <c r="E10" i="36" s="1"/>
  <c r="B14" i="36"/>
  <c r="D25" i="47" l="1"/>
  <c r="C25" i="47" s="1"/>
  <c r="E25" i="47" s="1"/>
  <c r="B15" i="36"/>
  <c r="F27" i="43"/>
  <c r="D26" i="47" l="1"/>
  <c r="C26" i="47" s="1"/>
  <c r="E26" i="47" s="1"/>
  <c r="F28" i="43"/>
  <c r="D28" i="47" s="1"/>
  <c r="C28" i="47" s="1"/>
  <c r="E28" i="47" s="1"/>
  <c r="B16" i="36"/>
  <c r="D27" i="47" l="1"/>
  <c r="C27" i="47" s="1"/>
  <c r="E27" i="47" s="1"/>
  <c r="B17" i="36"/>
  <c r="B18" i="36" l="1"/>
  <c r="B19" i="36" l="1"/>
  <c r="B20" i="36" l="1"/>
  <c r="E11" i="36"/>
  <c r="E12" i="36" s="1"/>
  <c r="E13" i="36" s="1"/>
  <c r="E14" i="36" s="1"/>
  <c r="E15" i="36" s="1"/>
  <c r="E16" i="36" s="1"/>
  <c r="E17" i="36" s="1"/>
  <c r="E18" i="36" s="1"/>
  <c r="E19" i="36" s="1"/>
  <c r="E20" i="36" s="1"/>
  <c r="D11" i="36"/>
  <c r="D12" i="36" s="1"/>
  <c r="D13" i="36" s="1"/>
  <c r="G13" i="36" l="1"/>
  <c r="B21" i="36"/>
  <c r="E21" i="36" s="1"/>
  <c r="D14" i="36"/>
  <c r="G14" i="36" s="1"/>
  <c r="B22" i="36" l="1"/>
  <c r="E22" i="36"/>
  <c r="I13" i="36"/>
  <c r="D15" i="36"/>
  <c r="G15" i="36" s="1"/>
  <c r="B23" i="36" l="1"/>
  <c r="I14" i="36"/>
  <c r="D16" i="36"/>
  <c r="G16" i="36" s="1"/>
  <c r="B24" i="36" l="1"/>
  <c r="E23" i="36"/>
  <c r="E24" i="36" s="1"/>
  <c r="I15" i="36"/>
  <c r="C9" i="47" s="1"/>
  <c r="E9" i="47" s="1"/>
  <c r="D17" i="36"/>
  <c r="G17" i="36" s="1"/>
  <c r="B25" i="36" l="1"/>
  <c r="E25" i="36" s="1"/>
  <c r="I16" i="36"/>
  <c r="C10" i="47" s="1"/>
  <c r="E10" i="47" s="1"/>
  <c r="D18" i="36"/>
  <c r="G18" i="36" s="1"/>
  <c r="B26" i="36" l="1"/>
  <c r="I17" i="36"/>
  <c r="C11" i="47" s="1"/>
  <c r="E11" i="47" s="1"/>
  <c r="D19" i="36"/>
  <c r="G19" i="36" s="1"/>
  <c r="B27" i="36" l="1"/>
  <c r="E26" i="36"/>
  <c r="I18" i="36"/>
  <c r="C12" i="47" s="1"/>
  <c r="E12" i="47" s="1"/>
  <c r="D20" i="36"/>
  <c r="G20" i="36" s="1"/>
  <c r="E27" i="36" l="1"/>
  <c r="B28" i="36"/>
  <c r="I19" i="36"/>
  <c r="C13" i="47" s="1"/>
  <c r="E13" i="47" s="1"/>
  <c r="D21" i="36"/>
  <c r="G21" i="36" s="1"/>
  <c r="B29" i="36" l="1"/>
  <c r="E28" i="36"/>
  <c r="I20" i="36"/>
  <c r="C14" i="47" s="1"/>
  <c r="E14" i="47" s="1"/>
  <c r="D22" i="36"/>
  <c r="G22" i="36" s="1"/>
  <c r="E29" i="36" l="1"/>
  <c r="B30" i="36"/>
  <c r="I21" i="36"/>
  <c r="C15" i="47" s="1"/>
  <c r="E15" i="47" s="1"/>
  <c r="F9" i="47" s="1"/>
  <c r="D23" i="36"/>
  <c r="G23" i="36" s="1"/>
  <c r="F10" i="47" l="1"/>
  <c r="C13" i="37"/>
  <c r="B31" i="36"/>
  <c r="B32" i="36" s="1"/>
  <c r="B33" i="36" s="1"/>
  <c r="B34" i="36" s="1"/>
  <c r="E30" i="36"/>
  <c r="E31" i="36" s="1"/>
  <c r="E32" i="36" s="1"/>
  <c r="E33" i="36" s="1"/>
  <c r="E34" i="36" s="1"/>
  <c r="I22" i="36"/>
  <c r="D24" i="36"/>
  <c r="G24" i="36" s="1"/>
  <c r="T13" i="37" l="1"/>
  <c r="V13" i="37" s="1"/>
  <c r="E13" i="37"/>
  <c r="G13" i="37" s="1"/>
  <c r="J13" i="37"/>
  <c r="L13" i="37" s="1"/>
  <c r="U13" i="37"/>
  <c r="W13" i="37" s="1"/>
  <c r="K13" i="37"/>
  <c r="M13" i="37" s="1"/>
  <c r="O13" i="37"/>
  <c r="Q13" i="37" s="1"/>
  <c r="N13" i="37"/>
  <c r="P13" i="37" s="1"/>
  <c r="D13" i="37"/>
  <c r="F13" i="37" s="1"/>
  <c r="F11" i="47"/>
  <c r="C14" i="37"/>
  <c r="I23" i="36"/>
  <c r="D25" i="36"/>
  <c r="G25" i="36" s="1"/>
  <c r="N14" i="37" l="1"/>
  <c r="P14" i="37" s="1"/>
  <c r="O14" i="37"/>
  <c r="J14" i="37"/>
  <c r="L14" i="37" s="1"/>
  <c r="K14" i="37"/>
  <c r="M14" i="37" s="1"/>
  <c r="D14" i="37"/>
  <c r="F14" i="37" s="1"/>
  <c r="E14" i="37"/>
  <c r="G14" i="37" s="1"/>
  <c r="T14" i="37"/>
  <c r="V14" i="37" s="1"/>
  <c r="U14" i="37"/>
  <c r="W14" i="37" s="1"/>
  <c r="F12" i="47"/>
  <c r="C15" i="37"/>
  <c r="I24" i="36"/>
  <c r="D26" i="36"/>
  <c r="G26" i="36" s="1"/>
  <c r="Q14" i="37" l="1"/>
  <c r="U15" i="37"/>
  <c r="W15" i="37" s="1"/>
  <c r="T15" i="37"/>
  <c r="V15" i="37" s="1"/>
  <c r="O15" i="37"/>
  <c r="N15" i="37"/>
  <c r="P15" i="37" s="1"/>
  <c r="K15" i="37"/>
  <c r="M15" i="37" s="1"/>
  <c r="J15" i="37"/>
  <c r="L15" i="37" s="1"/>
  <c r="E15" i="37"/>
  <c r="G15" i="37" s="1"/>
  <c r="D15" i="37"/>
  <c r="F15" i="37" s="1"/>
  <c r="F13" i="47"/>
  <c r="C16" i="37"/>
  <c r="I25" i="36"/>
  <c r="D27" i="36"/>
  <c r="G27" i="36" s="1"/>
  <c r="Q15" i="37" l="1"/>
  <c r="T16" i="37"/>
  <c r="V16" i="37" s="1"/>
  <c r="U16" i="37"/>
  <c r="W16" i="37" s="1"/>
  <c r="D16" i="37"/>
  <c r="F16" i="37" s="1"/>
  <c r="N16" i="37"/>
  <c r="P16" i="37" s="1"/>
  <c r="O16" i="37"/>
  <c r="J16" i="37"/>
  <c r="L16" i="37" s="1"/>
  <c r="E16" i="37"/>
  <c r="G16" i="37" s="1"/>
  <c r="K16" i="37"/>
  <c r="M16" i="37" s="1"/>
  <c r="F14" i="47"/>
  <c r="C17" i="37"/>
  <c r="I26" i="36"/>
  <c r="D28" i="36"/>
  <c r="G28" i="36" s="1"/>
  <c r="Q16" i="37" l="1"/>
  <c r="U17" i="37"/>
  <c r="W17" i="37" s="1"/>
  <c r="T17" i="37"/>
  <c r="V17" i="37" s="1"/>
  <c r="K17" i="37"/>
  <c r="M17" i="37" s="1"/>
  <c r="N17" i="37"/>
  <c r="P17" i="37" s="1"/>
  <c r="O17" i="37"/>
  <c r="J17" i="37"/>
  <c r="L17" i="37" s="1"/>
  <c r="D17" i="37"/>
  <c r="F17" i="37" s="1"/>
  <c r="E17" i="37"/>
  <c r="G17" i="37" s="1"/>
  <c r="F15" i="47"/>
  <c r="C18" i="37"/>
  <c r="I27" i="36"/>
  <c r="D29" i="36"/>
  <c r="G29" i="36" s="1"/>
  <c r="Q17" i="37" l="1"/>
  <c r="T18" i="37"/>
  <c r="V18" i="37" s="1"/>
  <c r="U18" i="37"/>
  <c r="W18" i="37" s="1"/>
  <c r="N18" i="37"/>
  <c r="P18" i="37" s="1"/>
  <c r="O18" i="37"/>
  <c r="Q18" i="37" s="1"/>
  <c r="K18" i="37"/>
  <c r="M18" i="37" s="1"/>
  <c r="E18" i="37"/>
  <c r="G18" i="37" s="1"/>
  <c r="J18" i="37"/>
  <c r="L18" i="37" s="1"/>
  <c r="D18" i="37"/>
  <c r="F18" i="37" s="1"/>
  <c r="F16" i="47"/>
  <c r="C19" i="37"/>
  <c r="I28" i="36"/>
  <c r="D30" i="36"/>
  <c r="G30" i="36" s="1"/>
  <c r="U19" i="37" l="1"/>
  <c r="W19" i="37" s="1"/>
  <c r="T19" i="37"/>
  <c r="V19" i="37" s="1"/>
  <c r="O19" i="37"/>
  <c r="N19" i="37"/>
  <c r="P19" i="37" s="1"/>
  <c r="K19" i="37"/>
  <c r="M19" i="37" s="1"/>
  <c r="J19" i="37"/>
  <c r="L19" i="37" s="1"/>
  <c r="E19" i="37"/>
  <c r="G19" i="37" s="1"/>
  <c r="D19" i="37"/>
  <c r="F19" i="37" s="1"/>
  <c r="F17" i="47"/>
  <c r="C20" i="37"/>
  <c r="I29" i="36"/>
  <c r="D31" i="36"/>
  <c r="G31" i="36" s="1"/>
  <c r="Q19" i="37" l="1"/>
  <c r="T20" i="37"/>
  <c r="V20" i="37" s="1"/>
  <c r="U20" i="37"/>
  <c r="W20" i="37" s="1"/>
  <c r="J20" i="37"/>
  <c r="L20" i="37" s="1"/>
  <c r="N20" i="37"/>
  <c r="P20" i="37" s="1"/>
  <c r="O20" i="37"/>
  <c r="K20" i="37"/>
  <c r="M20" i="37" s="1"/>
  <c r="D20" i="37"/>
  <c r="F20" i="37" s="1"/>
  <c r="E20" i="37"/>
  <c r="G20" i="37" s="1"/>
  <c r="F18" i="47"/>
  <c r="C21" i="37"/>
  <c r="I30" i="36"/>
  <c r="D32" i="36"/>
  <c r="G32" i="36" s="1"/>
  <c r="Q20" i="37" l="1"/>
  <c r="U21" i="37"/>
  <c r="W21" i="37" s="1"/>
  <c r="T21" i="37"/>
  <c r="V21" i="37" s="1"/>
  <c r="O21" i="37"/>
  <c r="J21" i="37"/>
  <c r="L21" i="37" s="1"/>
  <c r="D21" i="37"/>
  <c r="F21" i="37" s="1"/>
  <c r="N21" i="37"/>
  <c r="P21" i="37" s="1"/>
  <c r="K21" i="37"/>
  <c r="M21" i="37" s="1"/>
  <c r="E21" i="37"/>
  <c r="G21" i="37" s="1"/>
  <c r="F19" i="47"/>
  <c r="C22" i="37"/>
  <c r="I31" i="36"/>
  <c r="D33" i="36"/>
  <c r="G33" i="36" s="1"/>
  <c r="Q21" i="37" l="1"/>
  <c r="T22" i="37"/>
  <c r="V22" i="37" s="1"/>
  <c r="U22" i="37"/>
  <c r="W22" i="37" s="1"/>
  <c r="E22" i="37"/>
  <c r="G22" i="37" s="1"/>
  <c r="N22" i="37"/>
  <c r="P22" i="37" s="1"/>
  <c r="O22" i="37"/>
  <c r="K22" i="37"/>
  <c r="M22" i="37" s="1"/>
  <c r="J22" i="37"/>
  <c r="L22" i="37" s="1"/>
  <c r="Q22" i="37" s="1"/>
  <c r="D22" i="37"/>
  <c r="F22" i="37" s="1"/>
  <c r="F20" i="47"/>
  <c r="C23" i="37"/>
  <c r="I32" i="36"/>
  <c r="D34" i="36"/>
  <c r="U23" i="37" l="1"/>
  <c r="W23" i="37" s="1"/>
  <c r="T23" i="37"/>
  <c r="V23" i="37" s="1"/>
  <c r="O23" i="37"/>
  <c r="N23" i="37"/>
  <c r="P23" i="37" s="1"/>
  <c r="K23" i="37"/>
  <c r="M23" i="37" s="1"/>
  <c r="J23" i="37"/>
  <c r="L23" i="37" s="1"/>
  <c r="E23" i="37"/>
  <c r="G23" i="37" s="1"/>
  <c r="D23" i="37"/>
  <c r="F23" i="37" s="1"/>
  <c r="F21" i="47"/>
  <c r="C24" i="37"/>
  <c r="G34" i="36"/>
  <c r="I34" i="36" s="1"/>
  <c r="I33" i="36"/>
  <c r="Q23" i="37" l="1"/>
  <c r="T24" i="37"/>
  <c r="V24" i="37" s="1"/>
  <c r="U24" i="37"/>
  <c r="W24" i="37" s="1"/>
  <c r="D24" i="37"/>
  <c r="F24" i="37" s="1"/>
  <c r="E24" i="37"/>
  <c r="G24" i="37" s="1"/>
  <c r="N24" i="37"/>
  <c r="P24" i="37" s="1"/>
  <c r="O24" i="37"/>
  <c r="Q24" i="37" s="1"/>
  <c r="J24" i="37"/>
  <c r="L24" i="37" s="1"/>
  <c r="K24" i="37"/>
  <c r="M24" i="37" s="1"/>
  <c r="F22" i="47"/>
  <c r="C25" i="37"/>
  <c r="V12" i="44"/>
  <c r="P12" i="44"/>
  <c r="X12" i="44"/>
  <c r="R12" i="44"/>
  <c r="S12" i="44"/>
  <c r="W12" i="44"/>
  <c r="Q12" i="44"/>
  <c r="U12" i="44"/>
  <c r="I12" i="44"/>
  <c r="G12" i="44"/>
  <c r="K12" i="44"/>
  <c r="L12" i="44"/>
  <c r="J12" i="44"/>
  <c r="F12" i="44"/>
  <c r="E12" i="44"/>
  <c r="D12" i="44"/>
  <c r="W11" i="44"/>
  <c r="Q11" i="44"/>
  <c r="U11" i="44"/>
  <c r="S11" i="44"/>
  <c r="V11" i="44"/>
  <c r="P11" i="44"/>
  <c r="J11" i="44"/>
  <c r="D11" i="44"/>
  <c r="X11" i="44"/>
  <c r="K11" i="44"/>
  <c r="G11" i="44"/>
  <c r="E11" i="44"/>
  <c r="R11" i="44"/>
  <c r="I11" i="44"/>
  <c r="F11" i="44"/>
  <c r="L11" i="44"/>
  <c r="H12" i="44" l="1"/>
  <c r="C11" i="44"/>
  <c r="C12" i="44"/>
  <c r="T12" i="44"/>
  <c r="T11" i="44"/>
  <c r="H11" i="44"/>
  <c r="O11" i="44"/>
  <c r="O12" i="44"/>
  <c r="E25" i="37"/>
  <c r="G25" i="37" s="1"/>
  <c r="N25" i="37"/>
  <c r="P25" i="37" s="1"/>
  <c r="K25" i="37"/>
  <c r="M25" i="37" s="1"/>
  <c r="D25" i="37"/>
  <c r="F25" i="37" s="1"/>
  <c r="U25" i="37"/>
  <c r="W25" i="37" s="1"/>
  <c r="T25" i="37"/>
  <c r="V25" i="37" s="1"/>
  <c r="O25" i="37"/>
  <c r="Q25" i="37" s="1"/>
  <c r="J25" i="37"/>
  <c r="L25" i="37" s="1"/>
  <c r="F23" i="47"/>
  <c r="C26" i="37"/>
  <c r="X14" i="44"/>
  <c r="R14" i="44"/>
  <c r="V14" i="44"/>
  <c r="P14" i="44"/>
  <c r="W14" i="44"/>
  <c r="Q14" i="44"/>
  <c r="U14" i="44"/>
  <c r="K14" i="44"/>
  <c r="E14" i="44"/>
  <c r="L14" i="44"/>
  <c r="F14" i="44"/>
  <c r="D14" i="44"/>
  <c r="J14" i="44"/>
  <c r="G14" i="44"/>
  <c r="S14" i="44"/>
  <c r="I14" i="44"/>
  <c r="U13" i="44"/>
  <c r="S13" i="44"/>
  <c r="W13" i="44"/>
  <c r="Q13" i="44"/>
  <c r="X13" i="44"/>
  <c r="R13" i="44"/>
  <c r="L13" i="44"/>
  <c r="F13" i="44"/>
  <c r="P13" i="44"/>
  <c r="K13" i="44"/>
  <c r="E13" i="44"/>
  <c r="D13" i="44"/>
  <c r="J13" i="44"/>
  <c r="G13" i="44"/>
  <c r="V13" i="44"/>
  <c r="I13" i="44"/>
  <c r="T14" i="44" l="1"/>
  <c r="H14" i="44"/>
  <c r="O13" i="44"/>
  <c r="T13" i="44"/>
  <c r="H13" i="44"/>
  <c r="C13" i="44"/>
  <c r="C14" i="44"/>
  <c r="O14" i="44"/>
  <c r="T26" i="37"/>
  <c r="V26" i="37" s="1"/>
  <c r="U26" i="37"/>
  <c r="W26" i="37" s="1"/>
  <c r="N26" i="37"/>
  <c r="P26" i="37" s="1"/>
  <c r="O26" i="37"/>
  <c r="J26" i="37"/>
  <c r="L26" i="37" s="1"/>
  <c r="K26" i="37"/>
  <c r="M26" i="37" s="1"/>
  <c r="D26" i="37"/>
  <c r="F26" i="37" s="1"/>
  <c r="E26" i="37"/>
  <c r="G26" i="37" s="1"/>
  <c r="F24" i="47"/>
  <c r="C27" i="37"/>
  <c r="V16" i="44"/>
  <c r="P16" i="44"/>
  <c r="X16" i="44"/>
  <c r="R16" i="44"/>
  <c r="U16" i="44"/>
  <c r="S16" i="44"/>
  <c r="I16" i="44"/>
  <c r="G16" i="44"/>
  <c r="L16" i="44"/>
  <c r="D16" i="44"/>
  <c r="F16" i="44"/>
  <c r="E16" i="44"/>
  <c r="W16" i="44"/>
  <c r="K16" i="44"/>
  <c r="Q16" i="44"/>
  <c r="J16" i="44"/>
  <c r="W15" i="44"/>
  <c r="Q15" i="44"/>
  <c r="U15" i="44"/>
  <c r="S15" i="44"/>
  <c r="X15" i="44"/>
  <c r="R15" i="44"/>
  <c r="V15" i="44"/>
  <c r="P15" i="44"/>
  <c r="J15" i="44"/>
  <c r="D15" i="44"/>
  <c r="L15" i="44"/>
  <c r="K15" i="44"/>
  <c r="G15" i="44"/>
  <c r="F15" i="44"/>
  <c r="E15" i="44"/>
  <c r="I15" i="44"/>
  <c r="O15" i="44" l="1"/>
  <c r="H15" i="44"/>
  <c r="T15" i="44"/>
  <c r="H16" i="44"/>
  <c r="C15" i="44"/>
  <c r="C16" i="44"/>
  <c r="O16" i="44"/>
  <c r="T16" i="44"/>
  <c r="Q26" i="37"/>
  <c r="U27" i="37"/>
  <c r="W27" i="37" s="1"/>
  <c r="T27" i="37"/>
  <c r="V27" i="37" s="1"/>
  <c r="O27" i="37"/>
  <c r="N27" i="37"/>
  <c r="P27" i="37" s="1"/>
  <c r="K27" i="37"/>
  <c r="M27" i="37" s="1"/>
  <c r="J27" i="37"/>
  <c r="L27" i="37" s="1"/>
  <c r="E27" i="37"/>
  <c r="G27" i="37" s="1"/>
  <c r="D27" i="37"/>
  <c r="F27" i="37" s="1"/>
  <c r="F25" i="47"/>
  <c r="C28" i="37"/>
  <c r="U17" i="44"/>
  <c r="S17" i="44"/>
  <c r="W17" i="44"/>
  <c r="Q17" i="44"/>
  <c r="X17" i="44"/>
  <c r="R17" i="44"/>
  <c r="V17" i="44"/>
  <c r="P17" i="44"/>
  <c r="L17" i="44"/>
  <c r="F17" i="44"/>
  <c r="D17" i="44"/>
  <c r="K17" i="44"/>
  <c r="G17" i="44"/>
  <c r="I17" i="44"/>
  <c r="E17" i="44"/>
  <c r="J17" i="44"/>
  <c r="O17" i="44" l="1"/>
  <c r="H17" i="44"/>
  <c r="C17" i="44"/>
  <c r="T17" i="44"/>
  <c r="Q27" i="37"/>
  <c r="T28" i="37"/>
  <c r="V28" i="37" s="1"/>
  <c r="U28" i="37"/>
  <c r="W28" i="37" s="1"/>
  <c r="N28" i="37"/>
  <c r="P28" i="37" s="1"/>
  <c r="O28" i="37"/>
  <c r="Q28" i="37" s="1"/>
  <c r="J28" i="37"/>
  <c r="L28" i="37" s="1"/>
  <c r="K28" i="37"/>
  <c r="M28" i="37" s="1"/>
  <c r="D28" i="37"/>
  <c r="F28" i="37" s="1"/>
  <c r="E28" i="37"/>
  <c r="G28" i="37" s="1"/>
  <c r="F26" i="47"/>
  <c r="C29" i="37"/>
  <c r="X18" i="44"/>
  <c r="R18" i="44"/>
  <c r="V18" i="44"/>
  <c r="P18" i="44"/>
  <c r="S18" i="44"/>
  <c r="W18" i="44"/>
  <c r="Q18" i="44"/>
  <c r="K18" i="44"/>
  <c r="E18" i="44"/>
  <c r="U18" i="44"/>
  <c r="D18" i="44"/>
  <c r="I18" i="44"/>
  <c r="F18" i="44"/>
  <c r="L18" i="44"/>
  <c r="J18" i="44"/>
  <c r="G18" i="44"/>
  <c r="T18" i="44" l="1"/>
  <c r="H18" i="44"/>
  <c r="O18" i="44"/>
  <c r="C18" i="44"/>
  <c r="U29" i="37"/>
  <c r="W29" i="37" s="1"/>
  <c r="T29" i="37"/>
  <c r="V29" i="37" s="1"/>
  <c r="E29" i="37"/>
  <c r="G29" i="37" s="1"/>
  <c r="O29" i="37"/>
  <c r="Q29" i="37" s="1"/>
  <c r="J29" i="37"/>
  <c r="L29" i="37" s="1"/>
  <c r="K29" i="37"/>
  <c r="M29" i="37" s="1"/>
  <c r="D29" i="37"/>
  <c r="F29" i="37" s="1"/>
  <c r="N29" i="37"/>
  <c r="P29" i="37" s="1"/>
  <c r="F27" i="47"/>
  <c r="C30" i="37"/>
  <c r="W19" i="44"/>
  <c r="Q19" i="44"/>
  <c r="U19" i="44"/>
  <c r="S19" i="44"/>
  <c r="V19" i="44"/>
  <c r="P19" i="44"/>
  <c r="L19" i="44"/>
  <c r="J19" i="44"/>
  <c r="D19" i="44"/>
  <c r="R19" i="44"/>
  <c r="E19" i="44"/>
  <c r="X19" i="44"/>
  <c r="I19" i="44"/>
  <c r="F19" i="44"/>
  <c r="K19" i="44"/>
  <c r="G19" i="44"/>
  <c r="T19" i="44" l="1"/>
  <c r="O19" i="44"/>
  <c r="H19" i="44"/>
  <c r="C19" i="44"/>
  <c r="T30" i="37"/>
  <c r="V30" i="37" s="1"/>
  <c r="U30" i="37"/>
  <c r="W30" i="37" s="1"/>
  <c r="N30" i="37"/>
  <c r="P30" i="37" s="1"/>
  <c r="O30" i="37"/>
  <c r="J30" i="37"/>
  <c r="L30" i="37" s="1"/>
  <c r="K30" i="37"/>
  <c r="M30" i="37" s="1"/>
  <c r="D30" i="37"/>
  <c r="F30" i="37" s="1"/>
  <c r="E30" i="37"/>
  <c r="G30" i="37" s="1"/>
  <c r="F28" i="47"/>
  <c r="C32" i="37" s="1"/>
  <c r="C31" i="37"/>
  <c r="V20" i="44"/>
  <c r="P20" i="44"/>
  <c r="X20" i="44"/>
  <c r="R20" i="44"/>
  <c r="S20" i="44"/>
  <c r="K20" i="44"/>
  <c r="W20" i="44"/>
  <c r="Q20" i="44"/>
  <c r="U20" i="44"/>
  <c r="I20" i="44"/>
  <c r="G20" i="44"/>
  <c r="J20" i="44"/>
  <c r="E20" i="44"/>
  <c r="D20" i="44"/>
  <c r="L20" i="44"/>
  <c r="F20" i="44"/>
  <c r="C20" i="44" l="1"/>
  <c r="H20" i="44"/>
  <c r="O20" i="44"/>
  <c r="T20" i="44"/>
  <c r="K31" i="37"/>
  <c r="M31" i="37" s="1"/>
  <c r="J31" i="37"/>
  <c r="L31" i="37" s="1"/>
  <c r="E31" i="37"/>
  <c r="G31" i="37" s="1"/>
  <c r="D31" i="37"/>
  <c r="F31" i="37" s="1"/>
  <c r="U31" i="37"/>
  <c r="W31" i="37" s="1"/>
  <c r="T31" i="37"/>
  <c r="V31" i="37" s="1"/>
  <c r="O31" i="37"/>
  <c r="N31" i="37"/>
  <c r="P31" i="37" s="1"/>
  <c r="D32" i="37"/>
  <c r="F32" i="37" s="1"/>
  <c r="E32" i="37"/>
  <c r="G32" i="37" s="1"/>
  <c r="N32" i="37"/>
  <c r="P32" i="37" s="1"/>
  <c r="O32" i="37"/>
  <c r="J32" i="37"/>
  <c r="L32" i="37" s="1"/>
  <c r="K32" i="37"/>
  <c r="M32" i="37" s="1"/>
  <c r="T32" i="37"/>
  <c r="V32" i="37" s="1"/>
  <c r="U32" i="37"/>
  <c r="W32" i="37" s="1"/>
  <c r="Q30" i="37"/>
  <c r="U21" i="44"/>
  <c r="S21" i="44"/>
  <c r="W21" i="44"/>
  <c r="Q21" i="44"/>
  <c r="J21" i="44"/>
  <c r="X21" i="44"/>
  <c r="R21" i="44"/>
  <c r="L21" i="44"/>
  <c r="F21" i="44"/>
  <c r="E21" i="44"/>
  <c r="P21" i="44"/>
  <c r="O21" i="44" s="1"/>
  <c r="G21" i="44"/>
  <c r="K21" i="44"/>
  <c r="D21" i="44"/>
  <c r="V21" i="44"/>
  <c r="I21" i="44"/>
  <c r="C21" i="44" l="1"/>
  <c r="T21" i="44"/>
  <c r="H21" i="44"/>
  <c r="Q32" i="37"/>
  <c r="Q31" i="37"/>
  <c r="X22" i="44"/>
  <c r="R22" i="44"/>
  <c r="V22" i="44"/>
  <c r="P22" i="44"/>
  <c r="W22" i="44"/>
  <c r="Q22" i="44"/>
  <c r="I22" i="44"/>
  <c r="U22" i="44"/>
  <c r="K22" i="44"/>
  <c r="E22" i="44"/>
  <c r="F22" i="44"/>
  <c r="J22" i="44"/>
  <c r="D22" i="44"/>
  <c r="G22" i="44"/>
  <c r="S22" i="44"/>
  <c r="L22" i="44"/>
  <c r="C22" i="44" l="1"/>
  <c r="T22" i="44"/>
  <c r="O22" i="44"/>
  <c r="H22" i="44"/>
  <c r="W23" i="44"/>
  <c r="Q23" i="44"/>
  <c r="U23" i="44"/>
  <c r="S23" i="44"/>
  <c r="L23" i="44"/>
  <c r="X23" i="44"/>
  <c r="R23" i="44"/>
  <c r="V23" i="44"/>
  <c r="P23" i="44"/>
  <c r="J23" i="44"/>
  <c r="D23" i="44"/>
  <c r="K23" i="44"/>
  <c r="F23" i="44"/>
  <c r="G23" i="44"/>
  <c r="I23" i="44"/>
  <c r="E23" i="44"/>
  <c r="H23" i="44" l="1"/>
  <c r="C23" i="44"/>
  <c r="T23" i="44"/>
  <c r="O23" i="44"/>
  <c r="V24" i="44"/>
  <c r="P24" i="44"/>
  <c r="X24" i="44"/>
  <c r="R24" i="44"/>
  <c r="U24" i="44"/>
  <c r="K24" i="44"/>
  <c r="J24" i="44"/>
  <c r="S24" i="44"/>
  <c r="I24" i="44"/>
  <c r="G24" i="44"/>
  <c r="W24" i="44"/>
  <c r="F24" i="44"/>
  <c r="Q24" i="44"/>
  <c r="E24" i="44"/>
  <c r="L24" i="44"/>
  <c r="D24" i="44"/>
  <c r="C24" i="44" l="1"/>
  <c r="O24" i="44"/>
  <c r="H24" i="44"/>
  <c r="T24" i="44"/>
  <c r="U25" i="44"/>
  <c r="S25" i="44"/>
  <c r="K25" i="44"/>
  <c r="W25" i="44"/>
  <c r="Q25" i="44"/>
  <c r="X25" i="44"/>
  <c r="R25" i="44"/>
  <c r="J25" i="44"/>
  <c r="V25" i="44"/>
  <c r="P25" i="44"/>
  <c r="I25" i="44"/>
  <c r="F25" i="44"/>
  <c r="G25" i="44"/>
  <c r="L25" i="44"/>
  <c r="E25" i="44"/>
  <c r="D25" i="44"/>
  <c r="O25" i="44" l="1"/>
  <c r="C25" i="44"/>
  <c r="T25" i="44"/>
  <c r="H25" i="44"/>
  <c r="X26" i="44"/>
  <c r="R26" i="44"/>
  <c r="J26" i="44"/>
  <c r="V26" i="44"/>
  <c r="P26" i="44"/>
  <c r="L26" i="44"/>
  <c r="S26" i="44"/>
  <c r="K26" i="44"/>
  <c r="W26" i="44"/>
  <c r="Q26" i="44"/>
  <c r="I26" i="44"/>
  <c r="E26" i="44"/>
  <c r="G26" i="44"/>
  <c r="F26" i="44"/>
  <c r="U26" i="44"/>
  <c r="D26" i="44"/>
  <c r="H26" i="44" l="1"/>
  <c r="O26" i="44"/>
  <c r="C26" i="44"/>
  <c r="T26" i="44"/>
  <c r="W27" i="44"/>
  <c r="Q27" i="44"/>
  <c r="I27" i="44"/>
  <c r="U27" i="44"/>
  <c r="S27" i="44"/>
  <c r="K27" i="44"/>
  <c r="V27" i="44"/>
  <c r="P27" i="44"/>
  <c r="L27" i="44"/>
  <c r="D27" i="44"/>
  <c r="J27" i="44"/>
  <c r="G27" i="44"/>
  <c r="R27" i="44"/>
  <c r="F27" i="44"/>
  <c r="X27" i="44"/>
  <c r="E27" i="44"/>
  <c r="C27" i="44" l="1"/>
  <c r="O27" i="44"/>
  <c r="T27" i="44"/>
  <c r="H27" i="44"/>
  <c r="V28" i="44"/>
  <c r="P28" i="44"/>
  <c r="L28" i="44"/>
  <c r="X28" i="44"/>
  <c r="R28" i="44"/>
  <c r="J28" i="44"/>
  <c r="S28" i="44"/>
  <c r="K28" i="44"/>
  <c r="W28" i="44"/>
  <c r="Q28" i="44"/>
  <c r="I28" i="44"/>
  <c r="U28" i="44"/>
  <c r="G28" i="44"/>
  <c r="F28" i="44"/>
  <c r="D28" i="44"/>
  <c r="E28" i="44"/>
  <c r="T28" i="44" l="1"/>
  <c r="C28" i="44"/>
  <c r="H28" i="44"/>
  <c r="O28" i="44"/>
  <c r="U29" i="44"/>
  <c r="S29" i="44"/>
  <c r="K29" i="44"/>
  <c r="X29" i="44"/>
  <c r="W29" i="44"/>
  <c r="Q29" i="44"/>
  <c r="I29" i="44"/>
  <c r="V29" i="44"/>
  <c r="L29" i="44"/>
  <c r="R29" i="44"/>
  <c r="J29" i="44"/>
  <c r="F29" i="44"/>
  <c r="D29" i="44"/>
  <c r="G29" i="44"/>
  <c r="P29" i="44"/>
  <c r="O29" i="44" s="1"/>
  <c r="E29" i="44"/>
  <c r="C29" i="44" l="1"/>
  <c r="T29" i="44"/>
  <c r="H29" i="44"/>
  <c r="X30" i="44"/>
  <c r="R30" i="44"/>
  <c r="J30" i="44"/>
  <c r="W30" i="44"/>
  <c r="V30" i="44"/>
  <c r="P30" i="44"/>
  <c r="L30" i="44"/>
  <c r="Q30" i="44"/>
  <c r="I30" i="44"/>
  <c r="E30" i="44"/>
  <c r="U30" i="44"/>
  <c r="S30" i="44"/>
  <c r="G30" i="44"/>
  <c r="D30" i="44"/>
  <c r="K30" i="44"/>
  <c r="F30" i="44"/>
  <c r="T30" i="44" l="1"/>
  <c r="C30" i="44"/>
  <c r="H30" i="44"/>
  <c r="O30" i="44"/>
  <c r="I10" i="14"/>
  <c r="L10" i="14"/>
  <c r="F10" i="14"/>
  <c r="C10" i="14"/>
  <c r="B11" i="14"/>
  <c r="J11" i="14" l="1"/>
  <c r="M11" i="14"/>
  <c r="D11" i="14"/>
  <c r="G11" i="14"/>
  <c r="I11" i="14"/>
  <c r="L11" i="14"/>
  <c r="F11" i="14"/>
  <c r="C11" i="14"/>
  <c r="K10" i="14"/>
  <c r="B12" i="14"/>
  <c r="M12" i="14" l="1"/>
  <c r="D12" i="14"/>
  <c r="G12" i="14"/>
  <c r="J12" i="14"/>
  <c r="L12" i="14"/>
  <c r="F12" i="14"/>
  <c r="C12" i="14"/>
  <c r="I12" i="14"/>
  <c r="K11" i="14"/>
  <c r="B13" i="14"/>
  <c r="D13" i="14" l="1"/>
  <c r="G13" i="14"/>
  <c r="J13" i="14"/>
  <c r="M13" i="14"/>
  <c r="K12" i="14"/>
  <c r="C13" i="14"/>
  <c r="I13" i="14"/>
  <c r="L13" i="14"/>
  <c r="F13" i="14"/>
  <c r="B14" i="14"/>
  <c r="G14" i="14" l="1"/>
  <c r="D14" i="14"/>
  <c r="J14" i="14"/>
  <c r="M14" i="14"/>
  <c r="K13" i="14"/>
  <c r="I14" i="14"/>
  <c r="L14" i="14"/>
  <c r="F14" i="14"/>
  <c r="C14" i="14"/>
  <c r="B15" i="14"/>
  <c r="J15" i="14" l="1"/>
  <c r="G15" i="14"/>
  <c r="M15" i="14"/>
  <c r="D15" i="14"/>
  <c r="K14" i="14"/>
  <c r="I15" i="14"/>
  <c r="L15" i="14"/>
  <c r="F15" i="14"/>
  <c r="C15" i="14"/>
  <c r="B16" i="14"/>
  <c r="M16" i="14" l="1"/>
  <c r="D16" i="14"/>
  <c r="J16" i="14"/>
  <c r="G16" i="14"/>
  <c r="L16" i="14"/>
  <c r="F16" i="14"/>
  <c r="C16" i="14"/>
  <c r="I16" i="14"/>
  <c r="K15" i="14"/>
  <c r="B17" i="14"/>
  <c r="G17" i="14" l="1"/>
  <c r="D17" i="14"/>
  <c r="M17" i="14"/>
  <c r="J17" i="14"/>
  <c r="K16" i="14"/>
  <c r="C17" i="14"/>
  <c r="I17" i="14"/>
  <c r="F17" i="14"/>
  <c r="L17" i="14"/>
  <c r="B18" i="14"/>
  <c r="J18" i="14" l="1"/>
  <c r="G18" i="14"/>
  <c r="M18" i="14"/>
  <c r="D18" i="14"/>
  <c r="K17" i="14"/>
  <c r="I18" i="14"/>
  <c r="L18" i="14"/>
  <c r="F18" i="14"/>
  <c r="C18" i="14"/>
  <c r="B19" i="14"/>
  <c r="M19" i="14" l="1"/>
  <c r="G19" i="14"/>
  <c r="D19" i="14"/>
  <c r="J19" i="14"/>
  <c r="N18" i="14"/>
  <c r="K18" i="14"/>
  <c r="I19" i="14"/>
  <c r="L19" i="14"/>
  <c r="N19" i="14" s="1"/>
  <c r="F19" i="14"/>
  <c r="C19" i="14"/>
  <c r="B20" i="14"/>
  <c r="K19" i="14" l="1"/>
  <c r="D20" i="14"/>
  <c r="M20" i="14"/>
  <c r="G20" i="14"/>
  <c r="J20" i="14"/>
  <c r="E19" i="14"/>
  <c r="H19" i="14"/>
  <c r="L20" i="14"/>
  <c r="F20" i="14"/>
  <c r="C20" i="14"/>
  <c r="I20" i="14"/>
  <c r="K20" i="14" s="1"/>
  <c r="B21" i="14"/>
  <c r="G21" i="14" l="1"/>
  <c r="D21" i="14"/>
  <c r="M21" i="14"/>
  <c r="J21" i="14"/>
  <c r="H20" i="14"/>
  <c r="E20" i="14"/>
  <c r="N20" i="14"/>
  <c r="C21" i="14"/>
  <c r="I21" i="14"/>
  <c r="L21" i="14"/>
  <c r="F21" i="14"/>
  <c r="B22" i="14"/>
  <c r="J22" i="14" l="1"/>
  <c r="G22" i="14"/>
  <c r="D22" i="14"/>
  <c r="M22" i="14"/>
  <c r="N21" i="14"/>
  <c r="H21" i="14"/>
  <c r="E21" i="14"/>
  <c r="K21" i="14"/>
  <c r="I22" i="14"/>
  <c r="K22" i="14" s="1"/>
  <c r="L22" i="14"/>
  <c r="F22" i="14"/>
  <c r="C22" i="14"/>
  <c r="B23" i="14"/>
  <c r="M23" i="14" l="1"/>
  <c r="G23" i="14"/>
  <c r="D23" i="14"/>
  <c r="J23" i="14"/>
  <c r="N22" i="14"/>
  <c r="H22" i="14"/>
  <c r="E22" i="14"/>
  <c r="I23" i="14"/>
  <c r="L23" i="14"/>
  <c r="F23" i="14"/>
  <c r="C23" i="14"/>
  <c r="B24" i="14"/>
  <c r="D24" i="14" l="1"/>
  <c r="J24" i="14"/>
  <c r="M24" i="14"/>
  <c r="G24" i="14"/>
  <c r="N23" i="14"/>
  <c r="E23" i="14"/>
  <c r="D36" i="14"/>
  <c r="M36" i="14"/>
  <c r="B36" i="14"/>
  <c r="H23" i="14"/>
  <c r="K23" i="14"/>
  <c r="L24" i="14"/>
  <c r="F24" i="14"/>
  <c r="F36" i="14" s="1"/>
  <c r="C24" i="14"/>
  <c r="I24" i="14"/>
  <c r="I36" i="14" s="1"/>
  <c r="B25" i="14"/>
  <c r="B37" i="14" l="1"/>
  <c r="G25" i="14"/>
  <c r="D25" i="14"/>
  <c r="J25" i="14"/>
  <c r="M25" i="14"/>
  <c r="E24" i="14"/>
  <c r="C36" i="14"/>
  <c r="E36" i="14" s="1"/>
  <c r="G37" i="14"/>
  <c r="G36" i="14"/>
  <c r="H36" i="14" s="1"/>
  <c r="N24" i="14"/>
  <c r="L36" i="14"/>
  <c r="N36" i="14" s="1"/>
  <c r="J37" i="14"/>
  <c r="J36" i="14"/>
  <c r="K36" i="14" s="1"/>
  <c r="H24" i="14"/>
  <c r="K24" i="14"/>
  <c r="C25" i="14"/>
  <c r="I25" i="14"/>
  <c r="L25" i="14"/>
  <c r="F25" i="14"/>
  <c r="B26" i="14"/>
  <c r="J26" i="14" l="1"/>
  <c r="G26" i="14"/>
  <c r="G38" i="14" s="1"/>
  <c r="M26" i="14"/>
  <c r="D26" i="14"/>
  <c r="J38" i="14"/>
  <c r="B38" i="14"/>
  <c r="M37" i="14"/>
  <c r="D37" i="14"/>
  <c r="H25" i="14"/>
  <c r="F37" i="14"/>
  <c r="H37" i="14" s="1"/>
  <c r="N25" i="14"/>
  <c r="L37" i="14"/>
  <c r="K25" i="14"/>
  <c r="I37" i="14"/>
  <c r="K37" i="14" s="1"/>
  <c r="E25" i="14"/>
  <c r="C37" i="14"/>
  <c r="I26" i="14"/>
  <c r="L26" i="14"/>
  <c r="L38" i="14" s="1"/>
  <c r="F26" i="14"/>
  <c r="C26" i="14"/>
  <c r="C38" i="14" s="1"/>
  <c r="B27" i="14"/>
  <c r="M27" i="14" l="1"/>
  <c r="G27" i="14"/>
  <c r="D27" i="14"/>
  <c r="J27" i="14"/>
  <c r="E37" i="14"/>
  <c r="N37" i="14"/>
  <c r="H26" i="14"/>
  <c r="F38" i="14"/>
  <c r="H38" i="14" s="1"/>
  <c r="K26" i="14"/>
  <c r="I38" i="14"/>
  <c r="K38" i="14" s="1"/>
  <c r="D38" i="14"/>
  <c r="E38" i="14" s="1"/>
  <c r="M38" i="14"/>
  <c r="N38" i="14" s="1"/>
  <c r="E26" i="14"/>
  <c r="N26" i="14"/>
  <c r="I27" i="14"/>
  <c r="L27" i="14"/>
  <c r="F27" i="14"/>
  <c r="C27" i="14"/>
  <c r="B28" i="14"/>
  <c r="D28" i="14" l="1"/>
  <c r="G28" i="14"/>
  <c r="J28" i="14"/>
  <c r="M28" i="14"/>
  <c r="H27" i="14"/>
  <c r="E27" i="14"/>
  <c r="N27" i="14"/>
  <c r="K27" i="14"/>
  <c r="L28" i="14"/>
  <c r="F28" i="14"/>
  <c r="C28" i="14"/>
  <c r="I28" i="14"/>
  <c r="B29" i="14"/>
  <c r="M29" i="14" l="1"/>
  <c r="J29" i="14"/>
  <c r="G29" i="14"/>
  <c r="D29" i="14"/>
  <c r="N28" i="14"/>
  <c r="K28" i="14"/>
  <c r="H28" i="14"/>
  <c r="E28" i="14"/>
  <c r="C29" i="14"/>
  <c r="I29" i="14"/>
  <c r="L29" i="14"/>
  <c r="F29" i="14"/>
  <c r="N29" i="14" l="1"/>
  <c r="H29" i="14"/>
  <c r="E29" i="14"/>
  <c r="K29" i="14"/>
  <c r="B12" i="17"/>
  <c r="B13" i="17" l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D12" i="17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C12" i="17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B24" i="17"/>
  <c r="B25" i="17" l="1"/>
  <c r="B26" i="17" s="1"/>
  <c r="B27" i="17" s="1"/>
  <c r="B28" i="17" s="1"/>
  <c r="B29" i="17" s="1"/>
  <c r="B30" i="17" s="1"/>
  <c r="C25" i="17" l="1"/>
  <c r="C26" i="17" s="1"/>
  <c r="C27" i="17" s="1"/>
  <c r="C28" i="17" s="1"/>
  <c r="C29" i="17" s="1"/>
  <c r="C30" i="17" s="1"/>
  <c r="C31" i="17" s="1"/>
  <c r="C32" i="17" s="1"/>
  <c r="C33" i="17" s="1"/>
  <c r="C34" i="17" s="1"/>
  <c r="D25" i="17"/>
  <c r="D26" i="17" s="1"/>
  <c r="D27" i="17" s="1"/>
  <c r="D28" i="17" s="1"/>
  <c r="D29" i="17" s="1"/>
  <c r="D30" i="17" s="1"/>
  <c r="D31" i="17" s="1"/>
  <c r="D32" i="17" s="1"/>
  <c r="D33" i="17" s="1"/>
  <c r="D34" i="17" s="1"/>
  <c r="B31" i="17"/>
  <c r="B32" i="17" s="1"/>
  <c r="B33" i="17" s="1"/>
  <c r="B34" i="17" s="1"/>
  <c r="E10" i="14" l="1"/>
  <c r="H10" i="14"/>
  <c r="E13" i="14"/>
  <c r="E16" i="14"/>
  <c r="H13" i="14"/>
  <c r="N13" i="14"/>
  <c r="N15" i="14"/>
  <c r="H17" i="14"/>
  <c r="H12" i="14"/>
  <c r="E14" i="14"/>
  <c r="E12" i="14"/>
  <c r="H15" i="14"/>
  <c r="E11" i="14"/>
  <c r="N12" i="14"/>
  <c r="N17" i="14"/>
  <c r="N16" i="14"/>
  <c r="N14" i="14"/>
  <c r="E15" i="14"/>
  <c r="H11" i="14"/>
  <c r="N11" i="14"/>
  <c r="N10" i="14"/>
  <c r="E17" i="14"/>
  <c r="H14" i="14"/>
  <c r="H16" i="14"/>
  <c r="E18" i="14" l="1"/>
  <c r="H18" i="14"/>
</calcChain>
</file>

<file path=xl/sharedStrings.xml><?xml version="1.0" encoding="utf-8"?>
<sst xmlns="http://schemas.openxmlformats.org/spreadsheetml/2006/main" count="587" uniqueCount="225">
  <si>
    <t>On-Peak</t>
  </si>
  <si>
    <t>Off-Peak</t>
  </si>
  <si>
    <t>Year</t>
  </si>
  <si>
    <t>Costs</t>
  </si>
  <si>
    <t>(a)</t>
  </si>
  <si>
    <t>(b)</t>
  </si>
  <si>
    <t>(c)</t>
  </si>
  <si>
    <t>(d)</t>
  </si>
  <si>
    <t>(e)</t>
  </si>
  <si>
    <t>(f)</t>
  </si>
  <si>
    <t>Estimated Capital Cost</t>
  </si>
  <si>
    <t>Fixed Capital Cost at Real Levelized Rate</t>
  </si>
  <si>
    <t>Fixed O&amp;M</t>
  </si>
  <si>
    <t>Sources, Inputs and Assumptions</t>
  </si>
  <si>
    <t>($/MWh)</t>
  </si>
  <si>
    <t>$/MWh</t>
  </si>
  <si>
    <t xml:space="preserve">  MW Plant capacity</t>
  </si>
  <si>
    <t>Capacity (MW)</t>
  </si>
  <si>
    <t>Resource</t>
  </si>
  <si>
    <t>East</t>
  </si>
  <si>
    <t>DSM, Class 1 Total</t>
  </si>
  <si>
    <t>DSM, Class 2 Total</t>
  </si>
  <si>
    <t>West</t>
  </si>
  <si>
    <t>DSM, Class 2  Total</t>
  </si>
  <si>
    <t>Annual Additions, Long Term Resources</t>
  </si>
  <si>
    <t>Annual Additions, Short Term Resources</t>
  </si>
  <si>
    <t>Total Annual Additions</t>
  </si>
  <si>
    <t xml:space="preserve">  Fixed Pipeline</t>
  </si>
  <si>
    <t xml:space="preserve">  Fixed O&amp;M &amp; Capitalized O&amp;M</t>
  </si>
  <si>
    <t>Existing Plant Retirements/Conversions</t>
  </si>
  <si>
    <t>Expansion Resources</t>
  </si>
  <si>
    <t>DSM, Class 1  Total</t>
  </si>
  <si>
    <t>Wind Integration Cost</t>
  </si>
  <si>
    <t>Resource Totals 1/</t>
  </si>
  <si>
    <t>10-year</t>
  </si>
  <si>
    <t>20-year</t>
  </si>
  <si>
    <t>Hayden 1</t>
  </si>
  <si>
    <t>Hayden 2</t>
  </si>
  <si>
    <t>Cholla 4  (Coal Early Retirement/Conversions)</t>
  </si>
  <si>
    <t>DaveJohnston 1</t>
  </si>
  <si>
    <t>DaveJohnston 2</t>
  </si>
  <si>
    <t>DaveJohnston 3</t>
  </si>
  <si>
    <t>DaveJohnston 4</t>
  </si>
  <si>
    <t>Naughton 1</t>
  </si>
  <si>
    <t>Naughton 2</t>
  </si>
  <si>
    <t>Naughton 3  (Coal Early Retirement/Conversions)</t>
  </si>
  <si>
    <t>Gadsby 1-6</t>
  </si>
  <si>
    <t>Total CCCT</t>
  </si>
  <si>
    <t>DSM, Class 2, ID</t>
  </si>
  <si>
    <t>DSM, Class 2, UT</t>
  </si>
  <si>
    <t>DSM, Class 2, WY</t>
  </si>
  <si>
    <t>DSM, Class 1, OR-Curtail</t>
  </si>
  <si>
    <t>DSM, Class 1, OR-Irrigate</t>
  </si>
  <si>
    <t>DSM, Class 2, CA</t>
  </si>
  <si>
    <t>DSM, Class 2, OR</t>
  </si>
  <si>
    <t>DSM, Class 2, WA</t>
  </si>
  <si>
    <t>Fixed Solar QF</t>
  </si>
  <si>
    <t>Tracking Solar QF</t>
  </si>
  <si>
    <t>Comparison between Proposed and Current Standard Fixed Avoided Costs</t>
  </si>
  <si>
    <t>Source:</t>
  </si>
  <si>
    <t>Cost and Input Assumptions</t>
  </si>
  <si>
    <t>Standard</t>
  </si>
  <si>
    <t>CCCT - DJohns - J 1x1</t>
  </si>
  <si>
    <t>Integration Cost</t>
  </si>
  <si>
    <t>2017 IRP Volume II-Appendix F</t>
  </si>
  <si>
    <t>Solar Integration Cost</t>
  </si>
  <si>
    <t>2017 IRP Preferred Portfolio</t>
  </si>
  <si>
    <t>Excerpt from 2017 IRP Table 8.17</t>
  </si>
  <si>
    <t>Craig 1  (Coal Early Retirement/Conversions)</t>
  </si>
  <si>
    <t>Craig 2</t>
  </si>
  <si>
    <t>Wind - Repower Existing resource</t>
  </si>
  <si>
    <t>East Wind-Repower</t>
  </si>
  <si>
    <t>SCCT Frame DJ</t>
  </si>
  <si>
    <t>SCCT Frame UTN</t>
  </si>
  <si>
    <t>Wind, Djohnston</t>
  </si>
  <si>
    <t>Wind, GO</t>
  </si>
  <si>
    <t>Wind, WYAE</t>
  </si>
  <si>
    <t>Total Wind</t>
  </si>
  <si>
    <t>Utility Solar - PV - Utah-S</t>
  </si>
  <si>
    <t>DSM, Class 1, ID-Cool/WH</t>
  </si>
  <si>
    <t>DSM, Class 1, ID-Curtail</t>
  </si>
  <si>
    <t>DSM, Class 1, ID-Irrigate</t>
  </si>
  <si>
    <t>DSM, Class 1, UT-Cool/WH</t>
  </si>
  <si>
    <t>DSM, Class 1, UT-Curtail</t>
  </si>
  <si>
    <t>DSM, Class 1, UT-Irrigate</t>
  </si>
  <si>
    <t>DSM, Class 1, WY-Cool/WH</t>
  </si>
  <si>
    <t>DSM, Class 1, WY-Curtail</t>
  </si>
  <si>
    <t>DSM, Class 1, WY-Irrigate</t>
  </si>
  <si>
    <t>FOT Mona - SMR</t>
  </si>
  <si>
    <t>JimBridger 1  (Coal Early Retirement/Conversions)</t>
  </si>
  <si>
    <t>JimBridger 2  (Coal Early Retirement/Conversions)</t>
  </si>
  <si>
    <t>West Wind-Repower</t>
  </si>
  <si>
    <t>CCCT - WillamValcc - G 1x1</t>
  </si>
  <si>
    <t>Utility Solar - PV - Yakima</t>
  </si>
  <si>
    <t>DSM, Class 1, CA-Cool/WH</t>
  </si>
  <si>
    <t>DSM, Class 1, CA-Curtail</t>
  </si>
  <si>
    <t>DSM, Class 1, CA-Irrigate</t>
  </si>
  <si>
    <t>DSM, Class 1, OR-Cool/WH</t>
  </si>
  <si>
    <t>DSM, Class 1, WA-Cool/WH</t>
  </si>
  <si>
    <t>DSM, Class 1, WA-Curtail</t>
  </si>
  <si>
    <t>DSM, Class 1, WA-Irrigate</t>
  </si>
  <si>
    <t>Geothermal, Greenfield - West</t>
  </si>
  <si>
    <t>FOT COB - SMR</t>
  </si>
  <si>
    <t>FOT MidColumbia - SMR</t>
  </si>
  <si>
    <t>FOT MidColumbia - SMR - 2</t>
  </si>
  <si>
    <t>FOT NOB - SMR</t>
  </si>
  <si>
    <t>FOT MidColumbia - WTR</t>
  </si>
  <si>
    <t>FOT MidColumbia - WTR2</t>
  </si>
  <si>
    <t>FOT NOB - WTR</t>
  </si>
  <si>
    <t xml:space="preserve"> The 2017 IRP was prepared using a 13% planning reserve margin.  See 2017 IRP, page 10.</t>
  </si>
  <si>
    <t>Avoided Energy Prices</t>
  </si>
  <si>
    <t>Winter</t>
  </si>
  <si>
    <t>Summer</t>
  </si>
  <si>
    <t>2016 $</t>
  </si>
  <si>
    <t>Solar</t>
  </si>
  <si>
    <t>Total Capacity Cost @ 100% Contribution</t>
  </si>
  <si>
    <t xml:space="preserve">  Fixed O&amp;M including Fixed Pipeline &amp; Capitalized O&amp;M ($/kW-Yr)</t>
  </si>
  <si>
    <t xml:space="preserve">  Plant capacity cost - in $/kW</t>
  </si>
  <si>
    <t>SCCT Frame "F"x1 - West Side Options (1500')</t>
  </si>
  <si>
    <t>#</t>
  </si>
  <si>
    <t>$/MW-yr</t>
  </si>
  <si>
    <t>FOT Months</t>
  </si>
  <si>
    <t>Month</t>
  </si>
  <si>
    <t>LOLP %</t>
  </si>
  <si>
    <t>Winter Capacity</t>
  </si>
  <si>
    <t xml:space="preserve"> $/MWH</t>
  </si>
  <si>
    <t>Baseload</t>
  </si>
  <si>
    <t>Summer Capacity</t>
  </si>
  <si>
    <t>Capacity Contribution:</t>
  </si>
  <si>
    <t>$/MW</t>
  </si>
  <si>
    <t>Current Discount Rate: 2017 IRP Update</t>
  </si>
  <si>
    <t xml:space="preserve">  Capacity Contribution - 2017 IRP West Tracking Solar</t>
  </si>
  <si>
    <t>Capacity Factor</t>
  </si>
  <si>
    <t>%</t>
  </si>
  <si>
    <t>Inflation</t>
  </si>
  <si>
    <t>Real-Levelized PPA Cost</t>
  </si>
  <si>
    <t>2017S RFP: 2021 Solar (Oregon)</t>
  </si>
  <si>
    <t>Market Proxy Capacity Cost</t>
  </si>
  <si>
    <t>Market Proxy Capacity Costs</t>
  </si>
  <si>
    <t>Planned Resource Addition Capacity Costs</t>
  </si>
  <si>
    <t>All Hours</t>
  </si>
  <si>
    <t>Wind</t>
  </si>
  <si>
    <t>Fixed Tilt Solar</t>
  </si>
  <si>
    <t>Tracking Solar</t>
  </si>
  <si>
    <t>Weighted</t>
  </si>
  <si>
    <t>Average</t>
  </si>
  <si>
    <t>Total</t>
  </si>
  <si>
    <t>MWh</t>
  </si>
  <si>
    <t>Energy value of expected resource output</t>
  </si>
  <si>
    <t>2017S RFP Oregon Tracking Solar Bid</t>
  </si>
  <si>
    <t>Avoided Energy Prices (1)</t>
  </si>
  <si>
    <t>Combined Energy and Capacity Prices</t>
  </si>
  <si>
    <t>(1) Avoided cost prices have been reduced by wind and solar integration charges.</t>
  </si>
  <si>
    <t>MWh per MW Capacity</t>
  </si>
  <si>
    <t>Generation Profiles</t>
  </si>
  <si>
    <t>Discount Rate - 2017 IRP Update</t>
  </si>
  <si>
    <t>Standard Avoided Capacity Costs</t>
  </si>
  <si>
    <t>Standard Avoided Energy Costs</t>
  </si>
  <si>
    <t>Current Payment Factor: 2017 IRP Update</t>
  </si>
  <si>
    <t># of months of market purchases in IRP preferred portfolio</t>
  </si>
  <si>
    <t>2017 IRP Appendix N</t>
  </si>
  <si>
    <t>Nominal Levelized 2021-2035</t>
  </si>
  <si>
    <t>Off-peak Summer hours:  All other hours, June through September</t>
  </si>
  <si>
    <t>On-peak Summer hours:  2:00p - 10:00p PPT, June through September</t>
  </si>
  <si>
    <t>(d) reflected as Real-Levelized Payment Stream (2020-2034)</t>
  </si>
  <si>
    <t>Proposed</t>
  </si>
  <si>
    <t>Current</t>
  </si>
  <si>
    <t>Delta</t>
  </si>
  <si>
    <t>Combined Energy and Capacity Prices (1)</t>
  </si>
  <si>
    <t>On-peak Winter hours:  6:00a - 8:00a and 5:00p - 11:00p Pacific Prevailing Time (PPT), Oct. through May</t>
  </si>
  <si>
    <t>Off-peak Winter hours:  All other hours, Oct. through May</t>
  </si>
  <si>
    <t>Capacity Factor Weighting: The resource's annual capacity factor divided by season.</t>
  </si>
  <si>
    <t>Standard Combined Avoided Capacity and Energy Costs</t>
  </si>
  <si>
    <t>Degradation</t>
  </si>
  <si>
    <t>C.F. Weighting:</t>
  </si>
  <si>
    <t>Table D</t>
  </si>
  <si>
    <t>Table C-1</t>
  </si>
  <si>
    <t>Table C-2</t>
  </si>
  <si>
    <t>Table C-3</t>
  </si>
  <si>
    <t>Table A-1</t>
  </si>
  <si>
    <t>Table A-2</t>
  </si>
  <si>
    <t>Table B-1</t>
  </si>
  <si>
    <t>Table B-2</t>
  </si>
  <si>
    <t>Exhibit 1</t>
  </si>
  <si>
    <t>Exhibit 2</t>
  </si>
  <si>
    <t>Exhibit 3</t>
  </si>
  <si>
    <t>Avg.</t>
  </si>
  <si>
    <t>Levelized capacity cost at 100% capacity contribution</t>
  </si>
  <si>
    <t>Wtd. Avg.</t>
  </si>
  <si>
    <t>BASELOAD</t>
  </si>
  <si>
    <t>WIND</t>
  </si>
  <si>
    <t>FIXED TILT SOLAR</t>
  </si>
  <si>
    <t>TRACKING SOLAR</t>
  </si>
  <si>
    <t>Illustrative price for all hours</t>
  </si>
  <si>
    <t>Confidential</t>
  </si>
  <si>
    <t>PPA Price</t>
  </si>
  <si>
    <t>(x) Extrapolated</t>
  </si>
  <si>
    <t>Levelized Capacity Costs</t>
  </si>
  <si>
    <t>Market Capacity Cost</t>
  </si>
  <si>
    <t>Planned Capacity Cost</t>
  </si>
  <si>
    <t>Total Capacity Cost</t>
  </si>
  <si>
    <t>15-year Levelized Capacity Cost @ 100% Contribution</t>
  </si>
  <si>
    <t>Levelized Avoided Capacity Cost</t>
  </si>
  <si>
    <t>SCCT</t>
  </si>
  <si>
    <t>Winter
Capacity</t>
  </si>
  <si>
    <t>Winter Capacity Cost (b) divided by seasonal capacity factor weighting</t>
  </si>
  <si>
    <t>Summer Capacity Cost (c) divided by seasonal capacity factor weighting</t>
  </si>
  <si>
    <t>Summer-winter split based on months and 2017 IRP loss of load probability</t>
  </si>
  <si>
    <t>(b),(c)</t>
  </si>
  <si>
    <t>I_YK_PV50FT</t>
  </si>
  <si>
    <t>$/kW</t>
  </si>
  <si>
    <t>2017 IRP</t>
  </si>
  <si>
    <t>Escalation Rate</t>
  </si>
  <si>
    <t>(2) Capacity costs are based on a renewable resource starting in 2028.</t>
  </si>
  <si>
    <t>Exhibit 4</t>
  </si>
  <si>
    <t>Average Combined Energy and Capacity Price at Expected Output</t>
  </si>
  <si>
    <t>Payment Factor with 30% ITC</t>
  </si>
  <si>
    <t>Payment Factor with 10% ITC</t>
  </si>
  <si>
    <t>Cost with 2017 IRP Solar Escalation and Tax Changes</t>
  </si>
  <si>
    <t>Capacity Contribution: 2017 IRP, Appendix N (wind), UE-190666, Order 01 (solar)</t>
  </si>
  <si>
    <t>Capacity Contribution: UE-190666, Order 01 (solar)</t>
  </si>
  <si>
    <t>Company Official Inflation Forecast Sept 2020</t>
  </si>
  <si>
    <t>PPA cost at expected resource output. Redacted Formula: PPA Price * Capacity Factor * 1st Year Degradation * 8760</t>
  </si>
  <si>
    <t>Redacted</t>
  </si>
  <si>
    <t>Confidential: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</si>
</sst>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.00_);_(&quot;$&quot;* \(#,##0.00\);_(&quot;$&quot;* &quot;-&quot;?_);_(@_)"/>
    <numFmt numFmtId="168" formatCode="0.0%"/>
    <numFmt numFmtId="169" formatCode="_(* #,##0.0_);_(* \(#,##0.0\);_(* &quot;-&quot;??_);_(@_)"/>
    <numFmt numFmtId="170" formatCode="_(* #,##0_);[Red]_(* \(#,##0\);_(* &quot;-&quot;_);_(@_)"/>
    <numFmt numFmtId="171" formatCode="_(* #,##0.00_);[Red]_(* \(#,##0.00\);_(* &quot;-&quot;_);_(@_)"/>
    <numFmt numFmtId="172" formatCode="&quot;$&quot;###0;[Red]\(&quot;$&quot;###0\)"/>
    <numFmt numFmtId="173" formatCode="0.0"/>
    <numFmt numFmtId="174" formatCode="0.000%"/>
    <numFmt numFmtId="175" formatCode="_-* #,##0\ &quot;F&quot;_-;\-* #,##0\ &quot;F&quot;_-;_-* &quot;-&quot;\ &quot;F&quot;_-;_-@_-"/>
    <numFmt numFmtId="176" formatCode="&quot;$&quot;#,##0\ ;\(&quot;$&quot;#,##0\)"/>
    <numFmt numFmtId="177" formatCode="mmmm\ d\,\ yyyy"/>
    <numFmt numFmtId="178" formatCode="#,##0.000;[Red]\-#,##0.000"/>
    <numFmt numFmtId="179" formatCode="[$-409]mmm\-yy;@"/>
    <numFmt numFmtId="180" formatCode="#,##0.0_);\(#,##0.0\);\-\ ;"/>
    <numFmt numFmtId="181" formatCode="#,##0.0000"/>
    <numFmt numFmtId="182" formatCode="#\ &quot;(p)&quot;"/>
    <numFmt numFmtId="183" formatCode="#\ &quot;(2)&quot;"/>
    <numFmt numFmtId="184" formatCode="&quot;$&quot;#.00\ &quot;(x)&quot;"/>
  </numFmts>
  <fonts count="53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i/>
      <sz val="8"/>
      <color indexed="18"/>
      <name val="Helv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8"/>
      <color indexed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indexed="9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indexed="24"/>
      <name val="Courier New"/>
      <family val="3"/>
    </font>
    <font>
      <sz val="10"/>
      <name val="Helv"/>
    </font>
    <font>
      <sz val="11"/>
      <color indexed="8"/>
      <name val="TimesNewRomanPS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2"/>
      <name val="Arial MT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1F497D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D5EA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11">
    <xf numFmtId="170" fontId="0" fillId="0" borderId="0"/>
    <xf numFmtId="44" fontId="10" fillId="0" borderId="0" applyFont="0" applyFill="0" applyBorder="0" applyAlignment="0" applyProtection="0"/>
    <xf numFmtId="0" fontId="21" fillId="0" borderId="0" applyNumberFormat="0" applyFill="0" applyBorder="0" applyAlignment="0">
      <protection locked="0"/>
    </xf>
    <xf numFmtId="41" fontId="12" fillId="0" borderId="0"/>
    <xf numFmtId="0" fontId="1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70" fontId="12" fillId="0" borderId="0"/>
    <xf numFmtId="170" fontId="10" fillId="0" borderId="0"/>
    <xf numFmtId="170" fontId="12" fillId="0" borderId="0"/>
    <xf numFmtId="0" fontId="10" fillId="0" borderId="0"/>
    <xf numFmtId="170" fontId="10" fillId="0" borderId="0"/>
    <xf numFmtId="0" fontId="10" fillId="0" borderId="0"/>
    <xf numFmtId="172" fontId="29" fillId="0" borderId="0" applyFont="0" applyFill="0" applyBorder="0" applyProtection="0">
      <alignment horizontal="right"/>
    </xf>
    <xf numFmtId="173" fontId="28" fillId="0" borderId="0" applyNumberFormat="0" applyFill="0" applyBorder="0" applyAlignment="0" applyProtection="0"/>
    <xf numFmtId="0" fontId="27" fillId="0" borderId="20" applyNumberFormat="0" applyBorder="0" applyAlignment="0"/>
    <xf numFmtId="12" fontId="26" fillId="3" borderId="13">
      <alignment horizontal="left"/>
    </xf>
    <xf numFmtId="37" fontId="27" fillId="4" borderId="0" applyNumberFormat="0" applyBorder="0" applyAlignment="0" applyProtection="0"/>
    <xf numFmtId="37" fontId="27" fillId="0" borderId="0"/>
    <xf numFmtId="3" fontId="30" fillId="5" borderId="21" applyProtection="0"/>
    <xf numFmtId="17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170" fontId="8" fillId="0" borderId="0"/>
    <xf numFmtId="0" fontId="34" fillId="7" borderId="6" applyNumberFormat="0" applyBorder="0" applyAlignment="0" applyProtection="0"/>
    <xf numFmtId="0" fontId="22" fillId="8" borderId="0" applyNumberFormat="0" applyBorder="0" applyAlignment="0" applyProtection="0"/>
    <xf numFmtId="0" fontId="35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" fontId="36" fillId="0" borderId="0"/>
    <xf numFmtId="43" fontId="8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37" fontId="10" fillId="0" borderId="0" applyFill="0" applyBorder="0" applyAlignment="0" applyProtection="0"/>
    <xf numFmtId="0" fontId="39" fillId="0" borderId="0"/>
    <xf numFmtId="5" fontId="39" fillId="0" borderId="0"/>
    <xf numFmtId="17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177" fontId="10" fillId="0" borderId="0" applyFill="0" applyBorder="0" applyAlignment="0" applyProtection="0"/>
    <xf numFmtId="2" fontId="38" fillId="0" borderId="0" applyFont="0" applyFill="0" applyBorder="0" applyAlignment="0" applyProtection="0"/>
    <xf numFmtId="38" fontId="27" fillId="2" borderId="0" applyNumberFormat="0" applyBorder="0" applyAlignment="0" applyProtection="0"/>
    <xf numFmtId="0" fontId="23" fillId="0" borderId="0"/>
    <xf numFmtId="0" fontId="26" fillId="0" borderId="11" applyNumberFormat="0" applyAlignment="0" applyProtection="0">
      <alignment horizontal="left" vertical="center"/>
    </xf>
    <xf numFmtId="0" fontId="26" fillId="0" borderId="30">
      <alignment horizontal="left" vertical="center"/>
    </xf>
    <xf numFmtId="10" fontId="27" fillId="9" borderId="6" applyNumberFormat="0" applyBorder="0" applyAlignment="0" applyProtection="0"/>
    <xf numFmtId="0" fontId="15" fillId="10" borderId="0"/>
    <xf numFmtId="0" fontId="15" fillId="11" borderId="0"/>
    <xf numFmtId="0" fontId="22" fillId="12" borderId="4" applyBorder="0"/>
    <xf numFmtId="0" fontId="10" fillId="13" borderId="7" applyNumberFormat="0" applyFont="0" applyBorder="0" applyAlignment="0" applyProtection="0"/>
    <xf numFmtId="37" fontId="40" fillId="0" borderId="0" applyNumberFormat="0" applyFill="0" applyBorder="0"/>
    <xf numFmtId="178" fontId="10" fillId="0" borderId="0"/>
    <xf numFmtId="179" fontId="8" fillId="0" borderId="0"/>
    <xf numFmtId="179" fontId="41" fillId="0" borderId="0"/>
    <xf numFmtId="0" fontId="10" fillId="0" borderId="0"/>
    <xf numFmtId="0" fontId="8" fillId="0" borderId="0"/>
    <xf numFmtId="170" fontId="10" fillId="0" borderId="0"/>
    <xf numFmtId="0" fontId="10" fillId="0" borderId="0"/>
    <xf numFmtId="0" fontId="37" fillId="0" borderId="0"/>
    <xf numFmtId="0" fontId="8" fillId="0" borderId="0"/>
    <xf numFmtId="37" fontId="39" fillId="0" borderId="0"/>
    <xf numFmtId="180" fontId="17" fillId="0" borderId="0" applyFont="0" applyFill="0" applyBorder="0" applyProtection="0"/>
    <xf numFmtId="0" fontId="39" fillId="0" borderId="0"/>
    <xf numFmtId="0" fontId="39" fillId="0" borderId="0"/>
    <xf numFmtId="10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/>
    <xf numFmtId="4" fontId="44" fillId="14" borderId="32" applyNumberFormat="0" applyProtection="0">
      <alignment vertical="center"/>
    </xf>
    <xf numFmtId="4" fontId="44" fillId="4" borderId="32" applyNumberFormat="0" applyProtection="0">
      <alignment horizontal="left" vertical="center" indent="1"/>
    </xf>
    <xf numFmtId="4" fontId="44" fillId="15" borderId="0" applyNumberFormat="0" applyProtection="0">
      <alignment horizontal="left" vertical="center" indent="1"/>
    </xf>
    <xf numFmtId="4" fontId="42" fillId="16" borderId="32" applyNumberFormat="0" applyProtection="0">
      <alignment horizontal="right" vertical="center"/>
    </xf>
    <xf numFmtId="4" fontId="42" fillId="17" borderId="32" applyNumberFormat="0" applyProtection="0">
      <alignment horizontal="left" vertical="center" indent="1"/>
    </xf>
    <xf numFmtId="0" fontId="42" fillId="15" borderId="32" applyNumberFormat="0" applyProtection="0">
      <alignment horizontal="left" vertical="top" indent="1"/>
    </xf>
    <xf numFmtId="37" fontId="45" fillId="18" borderId="0" applyNumberFormat="0" applyFont="0" applyBorder="0" applyAlignment="0" applyProtection="0"/>
    <xf numFmtId="181" fontId="10" fillId="0" borderId="5">
      <alignment horizontal="justify" vertical="top" wrapText="1"/>
    </xf>
    <xf numFmtId="0" fontId="10" fillId="0" borderId="0">
      <alignment horizontal="left" wrapText="1"/>
    </xf>
    <xf numFmtId="0" fontId="22" fillId="0" borderId="6">
      <alignment horizontal="center" vertical="center" wrapText="1"/>
    </xf>
    <xf numFmtId="0" fontId="39" fillId="0" borderId="33"/>
    <xf numFmtId="0" fontId="39" fillId="0" borderId="34"/>
    <xf numFmtId="38" fontId="42" fillId="0" borderId="3" applyFill="0" applyBorder="0" applyAlignment="0" applyProtection="0">
      <protection locked="0"/>
    </xf>
    <xf numFmtId="0" fontId="7" fillId="0" borderId="0"/>
    <xf numFmtId="170" fontId="6" fillId="0" borderId="0"/>
    <xf numFmtId="170" fontId="6" fillId="0" borderId="0"/>
    <xf numFmtId="9" fontId="10" fillId="0" borderId="0" applyFont="0" applyFill="0" applyBorder="0" applyAlignment="0" applyProtection="0"/>
    <xf numFmtId="170" fontId="1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76">
    <xf numFmtId="170" fontId="0" fillId="0" borderId="0" xfId="0"/>
    <xf numFmtId="170" fontId="20" fillId="0" borderId="0" xfId="0" applyFont="1" applyFill="1"/>
    <xf numFmtId="170" fontId="20" fillId="0" borderId="0" xfId="0" applyFont="1" applyFill="1" applyBorder="1"/>
    <xf numFmtId="170" fontId="12" fillId="0" borderId="0" xfId="0" applyFont="1" applyFill="1"/>
    <xf numFmtId="170" fontId="14" fillId="0" borderId="0" xfId="0" applyFont="1" applyFill="1" applyAlignment="1">
      <alignment horizontal="centerContinuous"/>
    </xf>
    <xf numFmtId="170" fontId="12" fillId="0" borderId="0" xfId="0" applyFont="1" applyFill="1" applyBorder="1"/>
    <xf numFmtId="170" fontId="12" fillId="0" borderId="0" xfId="0" applyFont="1" applyFill="1" applyBorder="1" applyAlignment="1">
      <alignment horizontal="center"/>
    </xf>
    <xf numFmtId="170" fontId="12" fillId="0" borderId="0" xfId="0" applyFont="1" applyFill="1" applyAlignment="1">
      <alignment horizontal="right"/>
    </xf>
    <xf numFmtId="166" fontId="12" fillId="0" borderId="0" xfId="0" applyNumberFormat="1" applyFont="1" applyFill="1" applyBorder="1" applyAlignment="1">
      <alignment horizontal="center"/>
    </xf>
    <xf numFmtId="170" fontId="12" fillId="0" borderId="0" xfId="0" quotePrefix="1" applyFont="1" applyFill="1" applyBorder="1" applyAlignment="1">
      <alignment horizontal="center"/>
    </xf>
    <xf numFmtId="170" fontId="12" fillId="0" borderId="0" xfId="0" quotePrefix="1" applyFont="1" applyFill="1"/>
    <xf numFmtId="170" fontId="20" fillId="0" borderId="0" xfId="0" applyFont="1" applyFill="1" applyBorder="1" applyAlignment="1">
      <alignment horizontal="center"/>
    </xf>
    <xf numFmtId="170" fontId="20" fillId="0" borderId="0" xfId="0" quotePrefix="1" applyFont="1" applyFill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3" xfId="4" applyFont="1" applyBorder="1" applyAlignment="1">
      <alignment horizontal="center"/>
    </xf>
    <xf numFmtId="0" fontId="12" fillId="0" borderId="0" xfId="4" quotePrefix="1" applyFont="1" applyBorder="1" applyAlignment="1">
      <alignment horizontal="center"/>
    </xf>
    <xf numFmtId="0" fontId="12" fillId="0" borderId="4" xfId="4" applyFont="1" applyBorder="1" applyAlignment="1">
      <alignment horizontal="center"/>
    </xf>
    <xf numFmtId="0" fontId="12" fillId="0" borderId="5" xfId="4" quotePrefix="1" applyFont="1" applyBorder="1" applyAlignment="1">
      <alignment horizontal="center"/>
    </xf>
    <xf numFmtId="2" fontId="12" fillId="0" borderId="0" xfId="0" applyNumberFormat="1" applyFont="1" applyFill="1" applyAlignment="1">
      <alignment horizontal="centerContinuous"/>
    </xf>
    <xf numFmtId="170" fontId="11" fillId="0" borderId="10" xfId="0" applyFont="1" applyFill="1" applyBorder="1" applyAlignment="1">
      <alignment horizontal="centerContinuous"/>
    </xf>
    <xf numFmtId="170" fontId="11" fillId="0" borderId="11" xfId="0" applyFont="1" applyFill="1" applyBorder="1" applyAlignment="1">
      <alignment horizontal="centerContinuous"/>
    </xf>
    <xf numFmtId="41" fontId="12" fillId="0" borderId="0" xfId="3" applyFont="1" applyFill="1"/>
    <xf numFmtId="41" fontId="11" fillId="0" borderId="12" xfId="3" applyFont="1" applyFill="1" applyBorder="1" applyAlignment="1">
      <alignment horizontal="centerContinuous"/>
    </xf>
    <xf numFmtId="41" fontId="19" fillId="0" borderId="0" xfId="3" applyFont="1" applyFill="1"/>
    <xf numFmtId="164" fontId="19" fillId="0" borderId="0" xfId="3" applyNumberFormat="1" applyFont="1" applyFill="1"/>
    <xf numFmtId="170" fontId="11" fillId="0" borderId="15" xfId="0" applyFont="1" applyFill="1" applyBorder="1" applyAlignment="1">
      <alignment horizontal="centerContinuous"/>
    </xf>
    <xf numFmtId="168" fontId="12" fillId="0" borderId="0" xfId="5" applyNumberFormat="1" applyFont="1" applyFill="1"/>
    <xf numFmtId="0" fontId="2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7" fontId="12" fillId="0" borderId="0" xfId="0" applyNumberFormat="1" applyFont="1" applyFill="1" applyBorder="1" applyAlignment="1">
      <alignment horizontal="center"/>
    </xf>
    <xf numFmtId="7" fontId="12" fillId="0" borderId="7" xfId="0" applyNumberFormat="1" applyFont="1" applyFill="1" applyBorder="1" applyAlignment="1">
      <alignment horizontal="center"/>
    </xf>
    <xf numFmtId="170" fontId="13" fillId="0" borderId="0" xfId="10" applyFont="1" applyFill="1" applyAlignment="1">
      <alignment horizontal="centerContinuous"/>
    </xf>
    <xf numFmtId="170" fontId="12" fillId="0" borderId="0" xfId="10" applyFont="1" applyFill="1" applyAlignment="1">
      <alignment horizontal="centerContinuous"/>
    </xf>
    <xf numFmtId="170" fontId="12" fillId="0" borderId="0" xfId="10" applyFont="1" applyFill="1"/>
    <xf numFmtId="170" fontId="12" fillId="0" borderId="0" xfId="10" applyFont="1" applyFill="1" applyBorder="1"/>
    <xf numFmtId="170" fontId="12" fillId="0" borderId="0" xfId="10" applyFont="1" applyFill="1" applyBorder="1" applyAlignment="1">
      <alignment horizontal="centerContinuous"/>
    </xf>
    <xf numFmtId="170" fontId="11" fillId="0" borderId="1" xfId="10" applyFont="1" applyFill="1" applyBorder="1" applyAlignment="1">
      <alignment horizontal="center"/>
    </xf>
    <xf numFmtId="170" fontId="11" fillId="0" borderId="1" xfId="10" applyFont="1" applyFill="1" applyBorder="1" applyAlignment="1">
      <alignment horizontal="center" wrapText="1"/>
    </xf>
    <xf numFmtId="170" fontId="24" fillId="0" borderId="5" xfId="10" applyFont="1" applyFill="1" applyBorder="1" applyAlignment="1">
      <alignment horizontal="centerContinuous"/>
    </xf>
    <xf numFmtId="170" fontId="25" fillId="0" borderId="5" xfId="10" quotePrefix="1" applyFont="1" applyFill="1" applyBorder="1" applyAlignment="1">
      <alignment horizontal="center" wrapText="1"/>
    </xf>
    <xf numFmtId="170" fontId="15" fillId="0" borderId="0" xfId="10" quotePrefix="1" applyFont="1" applyFill="1" applyBorder="1" applyAlignment="1">
      <alignment horizontal="center"/>
    </xf>
    <xf numFmtId="170" fontId="16" fillId="0" borderId="0" xfId="8" applyFont="1" applyFill="1" applyBorder="1"/>
    <xf numFmtId="0" fontId="12" fillId="0" borderId="0" xfId="10" applyNumberFormat="1" applyFont="1" applyFill="1"/>
    <xf numFmtId="170" fontId="11" fillId="0" borderId="11" xfId="10" applyFont="1" applyFill="1" applyBorder="1" applyAlignment="1">
      <alignment horizontal="centerContinuous"/>
    </xf>
    <xf numFmtId="1" fontId="12" fillId="0" borderId="0" xfId="13" applyNumberFormat="1" applyFont="1" applyFill="1" applyAlignment="1" applyProtection="1">
      <alignment horizontal="center"/>
      <protection locked="0"/>
    </xf>
    <xf numFmtId="0" fontId="12" fillId="0" borderId="0" xfId="11" applyFont="1"/>
    <xf numFmtId="14" fontId="12" fillId="0" borderId="0" xfId="12" applyNumberFormat="1" applyFont="1"/>
    <xf numFmtId="170" fontId="0" fillId="0" borderId="0" xfId="0" applyFont="1" applyFill="1"/>
    <xf numFmtId="170" fontId="17" fillId="0" borderId="0" xfId="0" applyFont="1" applyFill="1" applyAlignment="1">
      <alignment horizontal="center"/>
    </xf>
    <xf numFmtId="7" fontId="12" fillId="0" borderId="0" xfId="1" applyNumberFormat="1" applyFont="1" applyFill="1"/>
    <xf numFmtId="8" fontId="12" fillId="0" borderId="0" xfId="10" applyNumberFormat="1" applyFont="1" applyFill="1" applyAlignment="1">
      <alignment horizontal="center"/>
    </xf>
    <xf numFmtId="170" fontId="14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0" fillId="0" borderId="0" xfId="0" applyFont="1" applyFill="1" applyBorder="1"/>
    <xf numFmtId="170" fontId="17" fillId="0" borderId="0" xfId="0" applyFont="1" applyFill="1" applyAlignment="1"/>
    <xf numFmtId="170" fontId="18" fillId="0" borderId="0" xfId="0" applyFont="1" applyFill="1" applyAlignment="1"/>
    <xf numFmtId="170" fontId="20" fillId="0" borderId="0" xfId="0" applyFont="1" applyFill="1" applyAlignment="1">
      <alignment wrapText="1"/>
    </xf>
    <xf numFmtId="170" fontId="12" fillId="0" borderId="0" xfId="0" applyFont="1" applyFill="1" applyBorder="1" applyAlignment="1">
      <alignment wrapText="1"/>
    </xf>
    <xf numFmtId="0" fontId="12" fillId="0" borderId="0" xfId="10" applyNumberFormat="1" applyFont="1" applyFill="1" applyBorder="1"/>
    <xf numFmtId="170" fontId="12" fillId="0" borderId="0" xfId="21" applyFont="1"/>
    <xf numFmtId="164" fontId="17" fillId="0" borderId="6" xfId="22" applyNumberFormat="1" applyFont="1" applyBorder="1" applyAlignment="1">
      <alignment horizontal="center"/>
    </xf>
    <xf numFmtId="164" fontId="17" fillId="0" borderId="5" xfId="22" applyNumberFormat="1" applyFont="1" applyBorder="1" applyAlignment="1">
      <alignment horizontal="center"/>
    </xf>
    <xf numFmtId="164" fontId="17" fillId="0" borderId="14" xfId="22" applyNumberFormat="1" applyFont="1" applyBorder="1" applyAlignment="1">
      <alignment horizontal="center"/>
    </xf>
    <xf numFmtId="169" fontId="17" fillId="0" borderId="5" xfId="22" applyNumberFormat="1" applyFont="1" applyBorder="1" applyAlignment="1">
      <alignment horizontal="center"/>
    </xf>
    <xf numFmtId="169" fontId="17" fillId="0" borderId="6" xfId="22" applyNumberFormat="1" applyFont="1" applyBorder="1" applyAlignment="1">
      <alignment horizontal="center"/>
    </xf>
    <xf numFmtId="169" fontId="17" fillId="0" borderId="14" xfId="22" applyNumberFormat="1" applyFont="1" applyBorder="1" applyAlignment="1">
      <alignment horizontal="center"/>
    </xf>
    <xf numFmtId="164" fontId="17" fillId="0" borderId="3" xfId="22" applyNumberFormat="1" applyFont="1" applyBorder="1" applyAlignment="1">
      <alignment horizontal="center"/>
    </xf>
    <xf numFmtId="164" fontId="17" fillId="6" borderId="23" xfId="22" applyNumberFormat="1" applyFont="1" applyFill="1" applyBorder="1" applyAlignment="1">
      <alignment horizontal="center"/>
    </xf>
    <xf numFmtId="164" fontId="17" fillId="6" borderId="19" xfId="22" applyNumberFormat="1" applyFont="1" applyFill="1" applyBorder="1" applyAlignment="1">
      <alignment horizontal="center"/>
    </xf>
    <xf numFmtId="164" fontId="17" fillId="0" borderId="0" xfId="22" applyNumberFormat="1" applyFont="1" applyFill="1" applyBorder="1" applyAlignment="1">
      <alignment horizontal="center"/>
    </xf>
    <xf numFmtId="164" fontId="17" fillId="6" borderId="6" xfId="22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 wrapText="1"/>
    </xf>
    <xf numFmtId="170" fontId="0" fillId="0" borderId="0" xfId="0" applyAlignment="1"/>
    <xf numFmtId="170" fontId="0" fillId="0" borderId="0" xfId="0" applyFill="1" applyAlignment="1">
      <alignment horizontal="center"/>
    </xf>
    <xf numFmtId="170" fontId="12" fillId="0" borderId="5" xfId="0" quotePrefix="1" applyFont="1" applyFill="1" applyBorder="1" applyAlignment="1">
      <alignment horizontal="center"/>
    </xf>
    <xf numFmtId="170" fontId="12" fillId="0" borderId="9" xfId="0" quotePrefix="1" applyFont="1" applyFill="1" applyBorder="1" applyAlignment="1">
      <alignment horizontal="center"/>
    </xf>
    <xf numFmtId="170" fontId="12" fillId="0" borderId="27" xfId="0" quotePrefix="1" applyFont="1" applyFill="1" applyBorder="1" applyAlignment="1">
      <alignment horizontal="center"/>
    </xf>
    <xf numFmtId="170" fontId="12" fillId="0" borderId="24" xfId="0" quotePrefix="1" applyFont="1" applyFill="1" applyBorder="1" applyAlignment="1">
      <alignment horizontal="center"/>
    </xf>
    <xf numFmtId="170" fontId="11" fillId="0" borderId="12" xfId="10" applyFont="1" applyFill="1" applyBorder="1" applyAlignment="1">
      <alignment horizontal="centerContinuous"/>
    </xf>
    <xf numFmtId="170" fontId="13" fillId="0" borderId="0" xfId="10" applyFont="1" applyFill="1" applyAlignment="1">
      <alignment horizontal="centerContinuous" vertical="center"/>
    </xf>
    <xf numFmtId="170" fontId="13" fillId="0" borderId="0" xfId="10" applyFont="1" applyFill="1" applyAlignment="1">
      <alignment horizontal="centerContinuous" vertical="top"/>
    </xf>
    <xf numFmtId="170" fontId="12" fillId="0" borderId="0" xfId="10" applyFont="1" applyFill="1" applyAlignment="1">
      <alignment horizontal="centerContinuous" vertical="top"/>
    </xf>
    <xf numFmtId="170" fontId="11" fillId="0" borderId="28" xfId="10" applyFont="1" applyFill="1" applyBorder="1" applyAlignment="1">
      <alignment horizontal="center"/>
    </xf>
    <xf numFmtId="170" fontId="11" fillId="0" borderId="28" xfId="10" applyFont="1" applyFill="1" applyBorder="1" applyAlignment="1">
      <alignment horizontal="center" wrapText="1"/>
    </xf>
    <xf numFmtId="6" fontId="12" fillId="0" borderId="0" xfId="10" applyNumberFormat="1" applyFont="1" applyFill="1" applyAlignment="1">
      <alignment horizontal="right"/>
    </xf>
    <xf numFmtId="8" fontId="12" fillId="0" borderId="0" xfId="10" applyNumberFormat="1" applyFont="1" applyFill="1" applyBorder="1"/>
    <xf numFmtId="170" fontId="14" fillId="0" borderId="0" xfId="10" applyFont="1" applyFill="1" applyAlignment="1">
      <alignment horizontal="centerContinuous"/>
    </xf>
    <xf numFmtId="170" fontId="11" fillId="0" borderId="0" xfId="10" applyFont="1" applyFill="1" applyAlignment="1">
      <alignment horizontal="centerContinuous"/>
    </xf>
    <xf numFmtId="170" fontId="12" fillId="0" borderId="0" xfId="10" applyFont="1" applyFill="1" applyAlignment="1">
      <alignment horizontal="center"/>
    </xf>
    <xf numFmtId="170" fontId="11" fillId="0" borderId="10" xfId="8" applyFont="1" applyFill="1" applyBorder="1" applyAlignment="1">
      <alignment horizontal="centerContinuous"/>
    </xf>
    <xf numFmtId="170" fontId="11" fillId="0" borderId="10" xfId="10" applyFont="1" applyFill="1" applyBorder="1" applyAlignment="1">
      <alignment horizontal="center"/>
    </xf>
    <xf numFmtId="170" fontId="11" fillId="0" borderId="11" xfId="8" applyFont="1" applyFill="1" applyBorder="1" applyAlignment="1">
      <alignment horizontal="centerContinuous"/>
    </xf>
    <xf numFmtId="165" fontId="12" fillId="0" borderId="0" xfId="10" applyNumberFormat="1" applyFont="1" applyFill="1" applyBorder="1" applyAlignment="1">
      <alignment horizontal="center"/>
    </xf>
    <xf numFmtId="164" fontId="17" fillId="0" borderId="31" xfId="22" applyNumberFormat="1" applyFont="1" applyFill="1" applyBorder="1" applyAlignment="1">
      <alignment horizontal="center"/>
    </xf>
    <xf numFmtId="170" fontId="13" fillId="0" borderId="0" xfId="21" applyFont="1" applyAlignment="1">
      <alignment horizontal="centerContinuous"/>
    </xf>
    <xf numFmtId="170" fontId="12" fillId="0" borderId="0" xfId="21" applyFont="1" applyAlignment="1">
      <alignment horizontal="centerContinuous"/>
    </xf>
    <xf numFmtId="170" fontId="13" fillId="0" borderId="0" xfId="21" applyFont="1" applyFill="1" applyAlignment="1">
      <alignment horizontal="centerContinuous"/>
    </xf>
    <xf numFmtId="170" fontId="31" fillId="0" borderId="0" xfId="0" applyFont="1" applyAlignment="1">
      <alignment horizontal="right" vertical="center"/>
    </xf>
    <xf numFmtId="165" fontId="32" fillId="0" borderId="0" xfId="0" applyNumberFormat="1" applyFont="1" applyAlignment="1">
      <alignment horizontal="left" vertical="center"/>
    </xf>
    <xf numFmtId="170" fontId="17" fillId="6" borderId="6" xfId="0" applyFont="1" applyFill="1" applyBorder="1" applyAlignment="1">
      <alignment horizontal="centerContinuous" vertical="center"/>
    </xf>
    <xf numFmtId="170" fontId="17" fillId="6" borderId="6" xfId="0" applyFont="1" applyFill="1" applyBorder="1" applyAlignment="1">
      <alignment horizontal="centerContinuous"/>
    </xf>
    <xf numFmtId="170" fontId="17" fillId="0" borderId="9" xfId="0" applyFont="1" applyBorder="1" applyAlignment="1"/>
    <xf numFmtId="170" fontId="17" fillId="6" borderId="6" xfId="0" applyFont="1" applyFill="1" applyBorder="1" applyAlignment="1"/>
    <xf numFmtId="1" fontId="17" fillId="6" borderId="6" xfId="0" applyNumberFormat="1" applyFont="1" applyFill="1" applyBorder="1" applyAlignment="1">
      <alignment horizontal="center"/>
    </xf>
    <xf numFmtId="0" fontId="17" fillId="6" borderId="6" xfId="0" applyNumberFormat="1" applyFont="1" applyFill="1" applyBorder="1" applyAlignment="1">
      <alignment horizontal="center"/>
    </xf>
    <xf numFmtId="170" fontId="13" fillId="6" borderId="6" xfId="0" applyFont="1" applyFill="1" applyBorder="1" applyAlignment="1">
      <alignment horizontal="centerContinuous"/>
    </xf>
    <xf numFmtId="170" fontId="11" fillId="6" borderId="26" xfId="0" applyFont="1" applyFill="1" applyBorder="1" applyAlignment="1">
      <alignment horizontal="center" vertical="top"/>
    </xf>
    <xf numFmtId="170" fontId="11" fillId="6" borderId="3" xfId="0" applyFont="1" applyFill="1" applyBorder="1" applyAlignment="1">
      <alignment horizontal="center" vertical="top"/>
    </xf>
    <xf numFmtId="170" fontId="12" fillId="6" borderId="3" xfId="0" applyFont="1" applyFill="1" applyBorder="1" applyAlignment="1">
      <alignment horizontal="center" vertical="top"/>
    </xf>
    <xf numFmtId="170" fontId="12" fillId="2" borderId="7" xfId="0" applyFont="1" applyFill="1" applyBorder="1" applyAlignment="1"/>
    <xf numFmtId="170" fontId="12" fillId="2" borderId="4" xfId="0" applyFont="1" applyFill="1" applyBorder="1" applyAlignment="1"/>
    <xf numFmtId="170" fontId="12" fillId="0" borderId="25" xfId="0" applyFont="1" applyBorder="1" applyAlignment="1"/>
    <xf numFmtId="164" fontId="17" fillId="0" borderId="5" xfId="22" applyNumberFormat="1" applyFont="1" applyFill="1" applyBorder="1" applyAlignment="1">
      <alignment horizontal="center"/>
    </xf>
    <xf numFmtId="170" fontId="11" fillId="0" borderId="16" xfId="0" applyFont="1" applyBorder="1" applyAlignment="1"/>
    <xf numFmtId="170" fontId="12" fillId="0" borderId="8" xfId="0" applyFont="1" applyBorder="1" applyAlignment="1"/>
    <xf numFmtId="170" fontId="12" fillId="0" borderId="26" xfId="0" applyFont="1" applyBorder="1" applyAlignment="1"/>
    <xf numFmtId="170" fontId="11" fillId="6" borderId="7" xfId="0" applyFont="1" applyFill="1" applyBorder="1" applyAlignment="1">
      <alignment horizontal="center" vertical="top"/>
    </xf>
    <xf numFmtId="170" fontId="12" fillId="6" borderId="17" xfId="0" applyFont="1" applyFill="1" applyBorder="1" applyAlignment="1">
      <alignment horizontal="center" vertical="top"/>
    </xf>
    <xf numFmtId="170" fontId="12" fillId="0" borderId="29" xfId="0" applyFont="1" applyBorder="1" applyAlignment="1"/>
    <xf numFmtId="170" fontId="12" fillId="6" borderId="22" xfId="0" applyFont="1" applyFill="1" applyBorder="1" applyAlignment="1">
      <alignment horizontal="right"/>
    </xf>
    <xf numFmtId="170" fontId="12" fillId="0" borderId="4" xfId="0" applyFont="1" applyBorder="1" applyAlignment="1"/>
    <xf numFmtId="170" fontId="12" fillId="6" borderId="18" xfId="0" applyFont="1" applyFill="1" applyBorder="1" applyAlignment="1">
      <alignment horizontal="right"/>
    </xf>
    <xf numFmtId="170" fontId="12" fillId="0" borderId="0" xfId="0" applyFont="1" applyAlignment="1"/>
    <xf numFmtId="170" fontId="11" fillId="0" borderId="0" xfId="0" applyFont="1" applyFill="1"/>
    <xf numFmtId="2" fontId="33" fillId="0" borderId="0" xfId="0" applyNumberFormat="1" applyFont="1" applyFill="1" applyAlignment="1">
      <alignment horizontal="left" vertical="top"/>
    </xf>
    <xf numFmtId="164" fontId="17" fillId="0" borderId="6" xfId="22" applyNumberFormat="1" applyFont="1" applyFill="1" applyBorder="1" applyAlignment="1">
      <alignment horizontal="center"/>
    </xf>
    <xf numFmtId="164" fontId="17" fillId="0" borderId="14" xfId="22" applyNumberFormat="1" applyFont="1" applyFill="1" applyBorder="1" applyAlignment="1">
      <alignment horizontal="center"/>
    </xf>
    <xf numFmtId="164" fontId="17" fillId="0" borderId="35" xfId="22" applyNumberFormat="1" applyFont="1" applyBorder="1" applyAlignment="1">
      <alignment horizontal="center"/>
    </xf>
    <xf numFmtId="164" fontId="17" fillId="0" borderId="35" xfId="22" applyNumberFormat="1" applyFont="1" applyFill="1" applyBorder="1" applyAlignment="1">
      <alignment horizontal="center"/>
    </xf>
    <xf numFmtId="169" fontId="17" fillId="0" borderId="5" xfId="22" applyNumberFormat="1" applyFont="1" applyFill="1" applyBorder="1" applyAlignment="1">
      <alignment horizontal="center"/>
    </xf>
    <xf numFmtId="169" fontId="17" fillId="0" borderId="6" xfId="22" applyNumberFormat="1" applyFont="1" applyFill="1" applyBorder="1" applyAlignment="1">
      <alignment horizontal="center"/>
    </xf>
    <xf numFmtId="169" fontId="17" fillId="0" borderId="14" xfId="22" applyNumberFormat="1" applyFont="1" applyFill="1" applyBorder="1" applyAlignment="1">
      <alignment horizontal="center"/>
    </xf>
    <xf numFmtId="170" fontId="12" fillId="6" borderId="7" xfId="0" applyFont="1" applyFill="1" applyBorder="1" applyAlignment="1">
      <alignment horizontal="center" vertical="top"/>
    </xf>
    <xf numFmtId="170" fontId="12" fillId="0" borderId="6" xfId="0" applyFont="1" applyBorder="1" applyAlignment="1"/>
    <xf numFmtId="170" fontId="12" fillId="6" borderId="3" xfId="0" applyFont="1" applyFill="1" applyBorder="1" applyAlignment="1">
      <alignment horizontal="right" vertical="top"/>
    </xf>
    <xf numFmtId="164" fontId="17" fillId="20" borderId="5" xfId="22" applyNumberFormat="1" applyFont="1" applyFill="1" applyBorder="1" applyAlignment="1">
      <alignment horizontal="center"/>
    </xf>
    <xf numFmtId="164" fontId="17" fillId="20" borderId="6" xfId="22" applyNumberFormat="1" applyFont="1" applyFill="1" applyBorder="1" applyAlignment="1">
      <alignment horizontal="center"/>
    </xf>
    <xf numFmtId="170" fontId="12" fillId="6" borderId="5" xfId="0" applyFont="1" applyFill="1" applyBorder="1" applyAlignment="1">
      <alignment horizontal="right" vertical="top"/>
    </xf>
    <xf numFmtId="164" fontId="17" fillId="20" borderId="3" xfId="22" applyNumberFormat="1" applyFont="1" applyFill="1" applyBorder="1" applyAlignment="1">
      <alignment horizontal="center"/>
    </xf>
    <xf numFmtId="164" fontId="17" fillId="19" borderId="5" xfId="22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70" fontId="0" fillId="0" borderId="0" xfId="0" applyFont="1" applyFill="1" applyAlignment="1">
      <alignment horizontal="right"/>
    </xf>
    <xf numFmtId="168" fontId="0" fillId="0" borderId="0" xfId="5" applyNumberFormat="1" applyFont="1" applyFill="1"/>
    <xf numFmtId="170" fontId="0" fillId="0" borderId="0" xfId="8" applyFont="1" applyFill="1"/>
    <xf numFmtId="170" fontId="0" fillId="0" borderId="0" xfId="8" applyFont="1" applyFill="1" applyBorder="1"/>
    <xf numFmtId="1" fontId="0" fillId="0" borderId="0" xfId="13" applyNumberFormat="1" applyFont="1" applyFill="1" applyAlignment="1" applyProtection="1">
      <alignment horizontal="center"/>
      <protection locked="0"/>
    </xf>
    <xf numFmtId="170" fontId="0" fillId="0" borderId="12" xfId="0" applyFont="1" applyFill="1" applyBorder="1" applyAlignment="1">
      <alignment horizontal="centerContinuous"/>
    </xf>
    <xf numFmtId="168" fontId="12" fillId="0" borderId="0" xfId="98" applyNumberFormat="1" applyFont="1" applyFill="1"/>
    <xf numFmtId="168" fontId="12" fillId="0" borderId="0" xfId="10" applyNumberFormat="1" applyFont="1" applyFill="1"/>
    <xf numFmtId="6" fontId="12" fillId="0" borderId="0" xfId="10" applyNumberFormat="1" applyFont="1" applyFill="1" applyBorder="1"/>
    <xf numFmtId="170" fontId="11" fillId="0" borderId="28" xfId="9" applyFont="1" applyFill="1" applyBorder="1" applyAlignment="1">
      <alignment horizontal="center" wrapText="1"/>
    </xf>
    <xf numFmtId="8" fontId="0" fillId="0" borderId="0" xfId="1" applyNumberFormat="1" applyFont="1" applyFill="1"/>
    <xf numFmtId="8" fontId="19" fillId="0" borderId="0" xfId="1" applyNumberFormat="1" applyFont="1" applyFill="1"/>
    <xf numFmtId="6" fontId="0" fillId="0" borderId="0" xfId="1" applyNumberFormat="1" applyFont="1" applyFill="1"/>
    <xf numFmtId="0" fontId="0" fillId="0" borderId="0" xfId="8" applyNumberFormat="1" applyFont="1" applyFill="1"/>
    <xf numFmtId="170" fontId="0" fillId="0" borderId="0" xfId="8" applyFont="1" applyFill="1" applyBorder="1" applyAlignment="1">
      <alignment horizontal="centerContinuous"/>
    </xf>
    <xf numFmtId="170" fontId="0" fillId="0" borderId="0" xfId="8" applyFont="1" applyFill="1" applyAlignment="1">
      <alignment horizontal="centerContinuous"/>
    </xf>
    <xf numFmtId="170" fontId="13" fillId="0" borderId="0" xfId="8" applyFont="1" applyFill="1" applyAlignment="1">
      <alignment horizontal="centerContinuous"/>
    </xf>
    <xf numFmtId="8" fontId="0" fillId="0" borderId="0" xfId="8" applyNumberFormat="1" applyFont="1" applyFill="1" applyBorder="1"/>
    <xf numFmtId="41" fontId="0" fillId="0" borderId="0" xfId="3" applyFont="1" applyFill="1"/>
    <xf numFmtId="165" fontId="0" fillId="0" borderId="0" xfId="8" applyNumberFormat="1" applyFont="1" applyFill="1" applyAlignment="1">
      <alignment horizontal="center"/>
    </xf>
    <xf numFmtId="165" fontId="0" fillId="0" borderId="0" xfId="8" applyNumberFormat="1" applyFont="1" applyFill="1" applyBorder="1" applyAlignment="1">
      <alignment horizontal="center"/>
    </xf>
    <xf numFmtId="0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right"/>
    </xf>
    <xf numFmtId="6" fontId="0" fillId="0" borderId="0" xfId="8" applyNumberFormat="1" applyFont="1" applyFill="1" applyAlignment="1">
      <alignment horizontal="right"/>
    </xf>
    <xf numFmtId="170" fontId="15" fillId="0" borderId="0" xfId="8" quotePrefix="1" applyFont="1" applyFill="1" applyBorder="1" applyAlignment="1">
      <alignment horizontal="center"/>
    </xf>
    <xf numFmtId="170" fontId="25" fillId="0" borderId="5" xfId="8" applyFont="1" applyFill="1" applyBorder="1" applyAlignment="1">
      <alignment horizontal="center" wrapText="1"/>
    </xf>
    <xf numFmtId="170" fontId="25" fillId="0" borderId="5" xfId="8" quotePrefix="1" applyFont="1" applyFill="1" applyBorder="1" applyAlignment="1">
      <alignment horizontal="center" wrapText="1"/>
    </xf>
    <xf numFmtId="170" fontId="24" fillId="0" borderId="5" xfId="8" applyFont="1" applyFill="1" applyBorder="1" applyAlignment="1">
      <alignment horizontal="centerContinuous"/>
    </xf>
    <xf numFmtId="170" fontId="11" fillId="0" borderId="28" xfId="8" applyFont="1" applyFill="1" applyBorder="1" applyAlignment="1">
      <alignment horizontal="center" wrapText="1"/>
    </xf>
    <xf numFmtId="170" fontId="11" fillId="0" borderId="28" xfId="8" applyFont="1" applyFill="1" applyBorder="1" applyAlignment="1">
      <alignment horizontal="center"/>
    </xf>
    <xf numFmtId="41" fontId="0" fillId="0" borderId="0" xfId="3" applyFont="1" applyFill="1" applyAlignment="1">
      <alignment horizontal="left"/>
    </xf>
    <xf numFmtId="170" fontId="11" fillId="0" borderId="14" xfId="8" applyFont="1" applyFill="1" applyBorder="1" applyAlignment="1">
      <alignment horizontal="centerContinuous"/>
    </xf>
    <xf numFmtId="170" fontId="11" fillId="0" borderId="10" xfId="99" applyFont="1" applyFill="1" applyBorder="1" applyAlignment="1">
      <alignment horizontal="centerContinuous"/>
    </xf>
    <xf numFmtId="8" fontId="0" fillId="0" borderId="0" xfId="3" applyNumberFormat="1" applyFont="1" applyFill="1" applyBorder="1"/>
    <xf numFmtId="41" fontId="0" fillId="0" borderId="0" xfId="3" applyFont="1" applyFill="1" applyAlignment="1">
      <alignment horizontal="center"/>
    </xf>
    <xf numFmtId="43" fontId="0" fillId="0" borderId="0" xfId="8" applyNumberFormat="1" applyFont="1" applyFill="1" applyBorder="1"/>
    <xf numFmtId="167" fontId="0" fillId="0" borderId="0" xfId="8" applyNumberFormat="1" applyFont="1" applyFill="1" applyBorder="1"/>
    <xf numFmtId="8" fontId="0" fillId="0" borderId="0" xfId="8" applyNumberFormat="1" applyFont="1" applyFill="1" applyBorder="1" applyAlignment="1">
      <alignment horizontal="center"/>
    </xf>
    <xf numFmtId="170" fontId="0" fillId="0" borderId="4" xfId="8" applyFont="1" applyFill="1" applyBorder="1"/>
    <xf numFmtId="170" fontId="14" fillId="0" borderId="0" xfId="0" applyFont="1" applyFill="1" applyAlignment="1">
      <alignment horizontal="center"/>
    </xf>
    <xf numFmtId="170" fontId="25" fillId="0" borderId="0" xfId="10" quotePrefix="1" applyFont="1" applyFill="1" applyBorder="1" applyAlignment="1">
      <alignment horizontal="center" wrapText="1"/>
    </xf>
    <xf numFmtId="170" fontId="11" fillId="0" borderId="0" xfId="0" applyFont="1"/>
    <xf numFmtId="170" fontId="11" fillId="0" borderId="2" xfId="0" applyFont="1" applyBorder="1"/>
    <xf numFmtId="9" fontId="12" fillId="0" borderId="0" xfId="5" applyFont="1" applyFill="1"/>
    <xf numFmtId="170" fontId="14" fillId="0" borderId="0" xfId="0" applyFont="1" applyFill="1" applyAlignment="1"/>
    <xf numFmtId="0" fontId="4" fillId="0" borderId="0" xfId="103"/>
    <xf numFmtId="168" fontId="0" fillId="0" borderId="0" xfId="104" applyNumberFormat="1" applyFont="1" applyFill="1"/>
    <xf numFmtId="0" fontId="4" fillId="0" borderId="0" xfId="103" applyFont="1" applyFill="1" applyBorder="1"/>
    <xf numFmtId="0" fontId="4" fillId="0" borderId="0" xfId="103" applyFont="1" applyFill="1"/>
    <xf numFmtId="0" fontId="11" fillId="0" borderId="12" xfId="103" applyFont="1" applyFill="1" applyBorder="1" applyAlignment="1">
      <alignment horizontal="centerContinuous"/>
    </xf>
    <xf numFmtId="0" fontId="11" fillId="0" borderId="11" xfId="103" applyFont="1" applyFill="1" applyBorder="1" applyAlignment="1">
      <alignment horizontal="centerContinuous"/>
    </xf>
    <xf numFmtId="10" fontId="12" fillId="0" borderId="0" xfId="104" applyNumberFormat="1" applyFont="1" applyFill="1"/>
    <xf numFmtId="170" fontId="12" fillId="0" borderId="12" xfId="10" applyFont="1" applyFill="1" applyBorder="1" applyAlignment="1">
      <alignment horizontal="centerContinuous"/>
    </xf>
    <xf numFmtId="171" fontId="0" fillId="0" borderId="0" xfId="8" applyNumberFormat="1" applyFont="1" applyFill="1"/>
    <xf numFmtId="9" fontId="0" fillId="0" borderId="0" xfId="104" applyFont="1" applyFill="1"/>
    <xf numFmtId="170" fontId="0" fillId="0" borderId="0" xfId="0" applyAlignment="1"/>
    <xf numFmtId="37" fontId="12" fillId="0" borderId="26" xfId="0" applyNumberFormat="1" applyFont="1" applyFill="1" applyBorder="1" applyAlignment="1">
      <alignment horizontal="center"/>
    </xf>
    <xf numFmtId="37" fontId="12" fillId="0" borderId="31" xfId="0" applyNumberFormat="1" applyFont="1" applyFill="1" applyBorder="1" applyAlignment="1">
      <alignment horizontal="center"/>
    </xf>
    <xf numFmtId="37" fontId="12" fillId="0" borderId="29" xfId="0" applyNumberFormat="1" applyFont="1" applyFill="1" applyBorder="1" applyAlignment="1">
      <alignment horizontal="center"/>
    </xf>
    <xf numFmtId="37" fontId="12" fillId="0" borderId="7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37" fontId="12" fillId="0" borderId="4" xfId="0" applyNumberFormat="1" applyFont="1" applyFill="1" applyBorder="1" applyAlignment="1">
      <alignment horizontal="center"/>
    </xf>
    <xf numFmtId="0" fontId="12" fillId="0" borderId="28" xfId="4" applyFont="1" applyBorder="1" applyAlignment="1">
      <alignment horizontal="center"/>
    </xf>
    <xf numFmtId="0" fontId="20" fillId="0" borderId="0" xfId="0" quotePrefix="1" applyNumberFormat="1" applyFont="1" applyFill="1" applyBorder="1" applyAlignment="1">
      <alignment horizontal="left"/>
    </xf>
    <xf numFmtId="174" fontId="0" fillId="0" borderId="0" xfId="3" applyNumberFormat="1" applyFont="1" applyFill="1" applyBorder="1"/>
    <xf numFmtId="170" fontId="0" fillId="0" borderId="0" xfId="0" applyFont="1"/>
    <xf numFmtId="170" fontId="46" fillId="0" borderId="0" xfId="0" applyFont="1"/>
    <xf numFmtId="168" fontId="46" fillId="0" borderId="0" xfId="102" applyNumberFormat="1" applyFont="1"/>
    <xf numFmtId="168" fontId="46" fillId="0" borderId="2" xfId="102" applyNumberFormat="1" applyFont="1" applyBorder="1"/>
    <xf numFmtId="5" fontId="12" fillId="0" borderId="0" xfId="0" applyNumberFormat="1" applyFont="1" applyFill="1" applyBorder="1" applyAlignment="1">
      <alignment horizontal="center"/>
    </xf>
    <xf numFmtId="170" fontId="0" fillId="0" borderId="0" xfId="0" applyFont="1" applyFill="1" applyAlignment="1">
      <alignment horizontal="left"/>
    </xf>
    <xf numFmtId="170" fontId="0" fillId="0" borderId="0" xfId="0" applyAlignment="1"/>
    <xf numFmtId="170" fontId="0" fillId="0" borderId="0" xfId="0" applyAlignment="1">
      <alignment horizontal="center"/>
    </xf>
    <xf numFmtId="170" fontId="0" fillId="0" borderId="0" xfId="0" applyAlignment="1">
      <alignment horizontal="right"/>
    </xf>
    <xf numFmtId="170" fontId="12" fillId="0" borderId="0" xfId="0" quotePrefix="1" applyFont="1" applyFill="1" applyAlignment="1">
      <alignment horizontal="right"/>
    </xf>
    <xf numFmtId="170" fontId="47" fillId="0" borderId="39" xfId="0" applyFont="1" applyBorder="1" applyAlignment="1">
      <alignment vertical="center"/>
    </xf>
    <xf numFmtId="170" fontId="48" fillId="0" borderId="43" xfId="0" applyFont="1" applyBorder="1" applyAlignment="1">
      <alignment vertical="center"/>
    </xf>
    <xf numFmtId="170" fontId="48" fillId="0" borderId="47" xfId="0" applyFont="1" applyBorder="1" applyAlignment="1">
      <alignment horizontal="center" vertical="center"/>
    </xf>
    <xf numFmtId="170" fontId="48" fillId="0" borderId="0" xfId="0" applyFont="1" applyAlignment="1">
      <alignment horizontal="center" vertical="center"/>
    </xf>
    <xf numFmtId="170" fontId="48" fillId="0" borderId="51" xfId="0" applyFont="1" applyBorder="1" applyAlignment="1">
      <alignment horizontal="center" vertical="center"/>
    </xf>
    <xf numFmtId="170" fontId="48" fillId="0" borderId="13" xfId="0" applyFont="1" applyBorder="1" applyAlignment="1">
      <alignment horizontal="center" vertical="center"/>
    </xf>
    <xf numFmtId="170" fontId="48" fillId="0" borderId="53" xfId="0" applyFont="1" applyBorder="1" applyAlignment="1">
      <alignment horizontal="center" vertical="center"/>
    </xf>
    <xf numFmtId="170" fontId="48" fillId="0" borderId="43" xfId="0" applyFont="1" applyBorder="1" applyAlignment="1">
      <alignment horizontal="center" vertical="center"/>
    </xf>
    <xf numFmtId="170" fontId="48" fillId="0" borderId="54" xfId="0" applyFont="1" applyBorder="1" applyAlignment="1">
      <alignment horizontal="center" vertical="center"/>
    </xf>
    <xf numFmtId="8" fontId="50" fillId="0" borderId="48" xfId="0" applyNumberFormat="1" applyFont="1" applyBorder="1" applyAlignment="1">
      <alignment horizontal="center" vertical="center"/>
    </xf>
    <xf numFmtId="8" fontId="48" fillId="0" borderId="56" xfId="0" applyNumberFormat="1" applyFont="1" applyBorder="1" applyAlignment="1">
      <alignment horizontal="center" vertical="center"/>
    </xf>
    <xf numFmtId="8" fontId="48" fillId="0" borderId="48" xfId="0" applyNumberFormat="1" applyFont="1" applyBorder="1" applyAlignment="1">
      <alignment horizontal="center" vertical="center"/>
    </xf>
    <xf numFmtId="170" fontId="48" fillId="0" borderId="48" xfId="0" applyFont="1" applyBorder="1" applyAlignment="1">
      <alignment horizontal="center" vertical="center"/>
    </xf>
    <xf numFmtId="170" fontId="48" fillId="0" borderId="49" xfId="0" applyFont="1" applyBorder="1" applyAlignment="1">
      <alignment horizontal="center" vertical="center"/>
    </xf>
    <xf numFmtId="8" fontId="50" fillId="0" borderId="0" xfId="0" applyNumberFormat="1" applyFont="1" applyAlignment="1">
      <alignment horizontal="center" vertical="center"/>
    </xf>
    <xf numFmtId="8" fontId="48" fillId="0" borderId="47" xfId="0" applyNumberFormat="1" applyFont="1" applyBorder="1" applyAlignment="1">
      <alignment horizontal="center" vertical="center"/>
    </xf>
    <xf numFmtId="8" fontId="48" fillId="0" borderId="0" xfId="0" applyNumberFormat="1" applyFont="1" applyAlignment="1">
      <alignment horizontal="center" vertical="center"/>
    </xf>
    <xf numFmtId="8" fontId="48" fillId="0" borderId="54" xfId="0" applyNumberFormat="1" applyFont="1" applyBorder="1" applyAlignment="1">
      <alignment horizontal="center" vertical="center"/>
    </xf>
    <xf numFmtId="8" fontId="50" fillId="0" borderId="58" xfId="0" applyNumberFormat="1" applyFont="1" applyBorder="1" applyAlignment="1">
      <alignment horizontal="center" vertical="center"/>
    </xf>
    <xf numFmtId="8" fontId="48" fillId="0" borderId="59" xfId="0" applyNumberFormat="1" applyFont="1" applyBorder="1" applyAlignment="1">
      <alignment horizontal="center" vertical="center"/>
    </xf>
    <xf numFmtId="8" fontId="48" fillId="0" borderId="58" xfId="0" applyNumberFormat="1" applyFont="1" applyBorder="1" applyAlignment="1">
      <alignment horizontal="center" vertical="center"/>
    </xf>
    <xf numFmtId="8" fontId="48" fillId="0" borderId="60" xfId="0" applyNumberFormat="1" applyFont="1" applyBorder="1" applyAlignment="1">
      <alignment horizontal="center" vertical="center"/>
    </xf>
    <xf numFmtId="182" fontId="48" fillId="0" borderId="55" xfId="0" applyNumberFormat="1" applyFont="1" applyBorder="1" applyAlignment="1">
      <alignment horizontal="center" vertical="center"/>
    </xf>
    <xf numFmtId="0" fontId="48" fillId="0" borderId="43" xfId="0" applyNumberFormat="1" applyFont="1" applyBorder="1" applyAlignment="1">
      <alignment horizontal="center" vertical="center"/>
    </xf>
    <xf numFmtId="183" fontId="48" fillId="0" borderId="43" xfId="0" applyNumberFormat="1" applyFont="1" applyBorder="1" applyAlignment="1">
      <alignment horizontal="center" vertical="center"/>
    </xf>
    <xf numFmtId="0" fontId="48" fillId="0" borderId="57" xfId="0" applyNumberFormat="1" applyFont="1" applyBorder="1" applyAlignment="1">
      <alignment horizontal="center" vertical="center"/>
    </xf>
    <xf numFmtId="170" fontId="48" fillId="0" borderId="52" xfId="0" applyFont="1" applyBorder="1" applyAlignment="1">
      <alignment horizontal="center" vertical="center"/>
    </xf>
    <xf numFmtId="170" fontId="0" fillId="0" borderId="58" xfId="0" applyBorder="1"/>
    <xf numFmtId="170" fontId="0" fillId="0" borderId="60" xfId="0" applyBorder="1"/>
    <xf numFmtId="170" fontId="51" fillId="0" borderId="65" xfId="0" applyFont="1" applyBorder="1" applyAlignment="1">
      <alignment horizontal="center" vertical="center"/>
    </xf>
    <xf numFmtId="170" fontId="51" fillId="0" borderId="54" xfId="0" applyFont="1" applyBorder="1" applyAlignment="1">
      <alignment horizontal="center" vertical="center" wrapText="1"/>
    </xf>
    <xf numFmtId="170" fontId="51" fillId="0" borderId="61" xfId="0" applyFont="1" applyBorder="1" applyAlignment="1">
      <alignment horizontal="center" vertical="center" wrapText="1"/>
    </xf>
    <xf numFmtId="170" fontId="51" fillId="0" borderId="52" xfId="0" applyFont="1" applyBorder="1" applyAlignment="1">
      <alignment horizontal="center" vertical="center" wrapText="1"/>
    </xf>
    <xf numFmtId="170" fontId="51" fillId="0" borderId="54" xfId="0" applyFont="1" applyBorder="1" applyAlignment="1">
      <alignment horizontal="center" vertical="center"/>
    </xf>
    <xf numFmtId="170" fontId="51" fillId="0" borderId="61" xfId="0" applyFont="1" applyBorder="1" applyAlignment="1">
      <alignment horizontal="center" vertical="center"/>
    </xf>
    <xf numFmtId="170" fontId="51" fillId="0" borderId="52" xfId="0" applyFont="1" applyBorder="1" applyAlignment="1">
      <alignment horizontal="center" vertical="center"/>
    </xf>
    <xf numFmtId="170" fontId="0" fillId="0" borderId="54" xfId="0" applyBorder="1"/>
    <xf numFmtId="170" fontId="0" fillId="0" borderId="61" xfId="0" applyBorder="1"/>
    <xf numFmtId="10" fontId="51" fillId="0" borderId="61" xfId="0" applyNumberFormat="1" applyFont="1" applyBorder="1" applyAlignment="1">
      <alignment horizontal="center" vertical="center"/>
    </xf>
    <xf numFmtId="170" fontId="0" fillId="0" borderId="61" xfId="0" applyBorder="1" applyAlignment="1">
      <alignment vertical="center"/>
    </xf>
    <xf numFmtId="170" fontId="51" fillId="0" borderId="66" xfId="0" applyFont="1" applyBorder="1" applyAlignment="1">
      <alignment horizontal="center" vertical="center"/>
    </xf>
    <xf numFmtId="170" fontId="0" fillId="0" borderId="66" xfId="0" applyBorder="1" applyAlignment="1">
      <alignment vertical="center"/>
    </xf>
    <xf numFmtId="9" fontId="51" fillId="0" borderId="66" xfId="0" applyNumberFormat="1" applyFont="1" applyBorder="1" applyAlignment="1">
      <alignment horizontal="center" vertical="center"/>
    </xf>
    <xf numFmtId="9" fontId="51" fillId="0" borderId="60" xfId="0" applyNumberFormat="1" applyFont="1" applyBorder="1" applyAlignment="1">
      <alignment horizontal="center" vertical="center"/>
    </xf>
    <xf numFmtId="6" fontId="51" fillId="0" borderId="61" xfId="0" applyNumberFormat="1" applyFont="1" applyBorder="1" applyAlignment="1">
      <alignment horizontal="center" vertical="center"/>
    </xf>
    <xf numFmtId="8" fontId="51" fillId="0" borderId="61" xfId="0" applyNumberFormat="1" applyFont="1" applyBorder="1" applyAlignment="1">
      <alignment horizontal="center" vertical="center"/>
    </xf>
    <xf numFmtId="8" fontId="51" fillId="0" borderId="52" xfId="0" applyNumberFormat="1" applyFont="1" applyBorder="1" applyAlignment="1">
      <alignment horizontal="center" vertical="center"/>
    </xf>
    <xf numFmtId="6" fontId="51" fillId="0" borderId="54" xfId="0" applyNumberFormat="1" applyFont="1" applyBorder="1" applyAlignment="1">
      <alignment horizontal="center" vertical="center"/>
    </xf>
    <xf numFmtId="6" fontId="51" fillId="0" borderId="60" xfId="0" applyNumberFormat="1" applyFont="1" applyBorder="1" applyAlignment="1">
      <alignment horizontal="center" vertical="center"/>
    </xf>
    <xf numFmtId="6" fontId="51" fillId="0" borderId="66" xfId="0" applyNumberFormat="1" applyFont="1" applyBorder="1" applyAlignment="1">
      <alignment horizontal="center" vertical="center"/>
    </xf>
    <xf numFmtId="8" fontId="51" fillId="0" borderId="66" xfId="0" applyNumberFormat="1" applyFont="1" applyBorder="1" applyAlignment="1">
      <alignment horizontal="center" vertical="center"/>
    </xf>
    <xf numFmtId="8" fontId="51" fillId="0" borderId="60" xfId="0" applyNumberFormat="1" applyFont="1" applyBorder="1" applyAlignment="1">
      <alignment horizontal="center" vertical="center"/>
    </xf>
    <xf numFmtId="170" fontId="51" fillId="0" borderId="39" xfId="0" applyFont="1" applyBorder="1" applyAlignment="1">
      <alignment horizontal="center" vertical="center"/>
    </xf>
    <xf numFmtId="170" fontId="51" fillId="0" borderId="43" xfId="0" applyFont="1" applyBorder="1" applyAlignment="1">
      <alignment horizontal="center" vertical="center"/>
    </xf>
    <xf numFmtId="170" fontId="51" fillId="0" borderId="12" xfId="0" applyFont="1" applyBorder="1" applyAlignment="1">
      <alignment horizontal="center" vertical="center" wrapText="1"/>
    </xf>
    <xf numFmtId="170" fontId="51" fillId="0" borderId="45" xfId="0" applyFont="1" applyBorder="1" applyAlignment="1">
      <alignment horizontal="center" vertical="center" wrapText="1"/>
    </xf>
    <xf numFmtId="170" fontId="51" fillId="0" borderId="61" xfId="0" applyFont="1" applyBorder="1" applyAlignment="1">
      <alignment vertical="center"/>
    </xf>
    <xf numFmtId="170" fontId="51" fillId="0" borderId="43" xfId="0" applyFont="1" applyBorder="1" applyAlignment="1">
      <alignment vertical="center"/>
    </xf>
    <xf numFmtId="170" fontId="51" fillId="0" borderId="43" xfId="0" applyFont="1" applyBorder="1" applyAlignment="1">
      <alignment horizontal="right" vertical="center"/>
    </xf>
    <xf numFmtId="170" fontId="0" fillId="0" borderId="57" xfId="0" applyBorder="1" applyAlignment="1">
      <alignment horizontal="right"/>
    </xf>
    <xf numFmtId="168" fontId="0" fillId="21" borderId="0" xfId="104" applyNumberFormat="1" applyFont="1" applyFill="1"/>
    <xf numFmtId="9" fontId="0" fillId="0" borderId="0" xfId="104" applyFont="1" applyFill="1" applyAlignment="1">
      <alignment vertical="center"/>
    </xf>
    <xf numFmtId="170" fontId="0" fillId="0" borderId="0" xfId="8" applyFont="1" applyFill="1" applyAlignment="1">
      <alignment vertical="center"/>
    </xf>
    <xf numFmtId="170" fontId="20" fillId="22" borderId="0" xfId="0" applyFont="1" applyFill="1"/>
    <xf numFmtId="170" fontId="20" fillId="22" borderId="0" xfId="0" applyFont="1" applyFill="1" applyBorder="1" applyAlignment="1">
      <alignment horizontal="center"/>
    </xf>
    <xf numFmtId="170" fontId="20" fillId="22" borderId="28" xfId="0" applyFont="1" applyFill="1" applyBorder="1" applyAlignment="1">
      <alignment horizontal="center" wrapText="1"/>
    </xf>
    <xf numFmtId="170" fontId="20" fillId="22" borderId="5" xfId="0" applyFont="1" applyFill="1" applyBorder="1" applyAlignment="1">
      <alignment horizontal="center" wrapText="1"/>
    </xf>
    <xf numFmtId="17" fontId="12" fillId="22" borderId="6" xfId="0" applyNumberFormat="1" applyFont="1" applyFill="1" applyBorder="1" applyAlignment="1">
      <alignment horizontal="center" wrapText="1"/>
    </xf>
    <xf numFmtId="170" fontId="0" fillId="22" borderId="6" xfId="0" applyFill="1" applyBorder="1" applyAlignment="1">
      <alignment horizontal="center" wrapText="1"/>
    </xf>
    <xf numFmtId="170" fontId="20" fillId="22" borderId="2" xfId="0" applyFont="1" applyFill="1" applyBorder="1"/>
    <xf numFmtId="170" fontId="20" fillId="22" borderId="2" xfId="0" quotePrefix="1" applyFont="1" applyFill="1" applyBorder="1" applyAlignment="1">
      <alignment horizontal="center"/>
    </xf>
    <xf numFmtId="182" fontId="20" fillId="22" borderId="7" xfId="0" applyNumberFormat="1" applyFont="1" applyFill="1" applyBorder="1" applyAlignment="1">
      <alignment horizontal="center"/>
    </xf>
    <xf numFmtId="7" fontId="12" fillId="22" borderId="7" xfId="0" applyNumberFormat="1" applyFont="1" applyFill="1" applyBorder="1" applyAlignment="1">
      <alignment horizontal="center"/>
    </xf>
    <xf numFmtId="7" fontId="12" fillId="22" borderId="0" xfId="0" applyNumberFormat="1" applyFont="1" applyFill="1" applyBorder="1" applyAlignment="1">
      <alignment horizontal="center"/>
    </xf>
    <xf numFmtId="8" fontId="12" fillId="22" borderId="4" xfId="0" applyNumberFormat="1" applyFont="1" applyFill="1" applyBorder="1" applyAlignment="1">
      <alignment horizontal="center"/>
    </xf>
    <xf numFmtId="166" fontId="12" fillId="22" borderId="0" xfId="0" applyNumberFormat="1" applyFont="1" applyFill="1" applyBorder="1" applyAlignment="1">
      <alignment horizontal="center"/>
    </xf>
    <xf numFmtId="0" fontId="20" fillId="22" borderId="8" xfId="0" applyNumberFormat="1" applyFont="1" applyFill="1" applyBorder="1" applyAlignment="1">
      <alignment horizontal="center"/>
    </xf>
    <xf numFmtId="7" fontId="12" fillId="22" borderId="8" xfId="0" applyNumberFormat="1" applyFont="1" applyFill="1" applyBorder="1" applyAlignment="1">
      <alignment horizontal="center"/>
    </xf>
    <xf numFmtId="7" fontId="12" fillId="22" borderId="2" xfId="0" applyNumberFormat="1" applyFont="1" applyFill="1" applyBorder="1" applyAlignment="1">
      <alignment horizontal="center"/>
    </xf>
    <xf numFmtId="8" fontId="12" fillId="22" borderId="9" xfId="0" applyNumberFormat="1" applyFont="1" applyFill="1" applyBorder="1" applyAlignment="1">
      <alignment horizontal="center"/>
    </xf>
    <xf numFmtId="0" fontId="20" fillId="22" borderId="28" xfId="0" applyNumberFormat="1" applyFont="1" applyFill="1" applyBorder="1" applyAlignment="1">
      <alignment horizontal="center"/>
    </xf>
    <xf numFmtId="0" fontId="20" fillId="22" borderId="3" xfId="0" applyNumberFormat="1" applyFont="1" applyFill="1" applyBorder="1" applyAlignment="1">
      <alignment horizontal="center"/>
    </xf>
    <xf numFmtId="184" fontId="12" fillId="22" borderId="0" xfId="0" applyNumberFormat="1" applyFont="1" applyFill="1" applyBorder="1" applyAlignment="1">
      <alignment horizontal="center"/>
    </xf>
    <xf numFmtId="8" fontId="12" fillId="22" borderId="0" xfId="0" applyNumberFormat="1" applyFont="1" applyFill="1" applyBorder="1" applyAlignment="1">
      <alignment horizontal="center"/>
    </xf>
    <xf numFmtId="0" fontId="20" fillId="22" borderId="5" xfId="0" applyNumberFormat="1" applyFont="1" applyFill="1" applyBorder="1" applyAlignment="1">
      <alignment horizontal="center"/>
    </xf>
    <xf numFmtId="0" fontId="20" fillId="22" borderId="0" xfId="0" applyNumberFormat="1" applyFont="1" applyFill="1" applyBorder="1" applyAlignment="1">
      <alignment horizontal="center"/>
    </xf>
    <xf numFmtId="0" fontId="20" fillId="22" borderId="0" xfId="0" applyNumberFormat="1" applyFont="1" applyFill="1" applyBorder="1" applyAlignment="1">
      <alignment horizontal="left"/>
    </xf>
    <xf numFmtId="170" fontId="12" fillId="22" borderId="0" xfId="0" applyFont="1" applyFill="1" applyAlignment="1">
      <alignment horizontal="right"/>
    </xf>
    <xf numFmtId="0" fontId="11" fillId="22" borderId="0" xfId="0" applyNumberFormat="1" applyFont="1" applyFill="1" applyBorder="1" applyAlignment="1">
      <alignment horizontal="left"/>
    </xf>
    <xf numFmtId="170" fontId="12" fillId="6" borderId="37" xfId="0" applyFont="1" applyFill="1" applyBorder="1" applyAlignment="1">
      <alignment horizontal="right"/>
    </xf>
    <xf numFmtId="170" fontId="12" fillId="20" borderId="67" xfId="0" applyFont="1" applyFill="1" applyBorder="1" applyAlignment="1"/>
    <xf numFmtId="170" fontId="12" fillId="20" borderId="68" xfId="0" applyFont="1" applyFill="1" applyBorder="1" applyAlignment="1"/>
    <xf numFmtId="170" fontId="12" fillId="0" borderId="68" xfId="0" applyFont="1" applyBorder="1" applyAlignment="1"/>
    <xf numFmtId="170" fontId="12" fillId="0" borderId="37" xfId="0" applyFont="1" applyBorder="1" applyAlignment="1"/>
    <xf numFmtId="170" fontId="12" fillId="2" borderId="38" xfId="0" applyFont="1" applyFill="1" applyBorder="1" applyAlignment="1"/>
    <xf numFmtId="170" fontId="12" fillId="2" borderId="36" xfId="0" applyFont="1" applyFill="1" applyBorder="1" applyAlignment="1"/>
    <xf numFmtId="170" fontId="12" fillId="0" borderId="36" xfId="0" applyFont="1" applyFill="1" applyBorder="1" applyAlignment="1"/>
    <xf numFmtId="170" fontId="12" fillId="2" borderId="37" xfId="0" applyFont="1" applyFill="1" applyBorder="1" applyAlignment="1"/>
    <xf numFmtId="170" fontId="11" fillId="2" borderId="37" xfId="0" applyFont="1" applyFill="1" applyBorder="1" applyAlignment="1"/>
    <xf numFmtId="170" fontId="12" fillId="0" borderId="67" xfId="0" applyFont="1" applyBorder="1" applyAlignment="1"/>
    <xf numFmtId="170" fontId="13" fillId="6" borderId="38" xfId="0" applyFont="1" applyFill="1" applyBorder="1" applyAlignment="1">
      <alignment horizontal="centerContinuous" wrapText="1"/>
    </xf>
    <xf numFmtId="170" fontId="13" fillId="6" borderId="37" xfId="0" applyFont="1" applyFill="1" applyBorder="1" applyAlignment="1">
      <alignment horizontal="centerContinuous" wrapText="1"/>
    </xf>
    <xf numFmtId="170" fontId="51" fillId="0" borderId="54" xfId="0" applyFont="1" applyBorder="1" applyAlignment="1">
      <alignment horizontal="right" vertical="center"/>
    </xf>
    <xf numFmtId="9" fontId="0" fillId="0" borderId="0" xfId="5" applyFont="1"/>
    <xf numFmtId="170" fontId="12" fillId="0" borderId="0" xfId="0" applyFont="1" applyFill="1" applyAlignment="1"/>
    <xf numFmtId="170" fontId="51" fillId="0" borderId="69" xfId="0" applyFont="1" applyBorder="1" applyAlignment="1">
      <alignment horizontal="right" vertical="center"/>
    </xf>
    <xf numFmtId="0" fontId="52" fillId="0" borderId="0" xfId="106" applyFont="1" applyAlignment="1">
      <alignment vertical="center"/>
    </xf>
    <xf numFmtId="0" fontId="3" fillId="0" borderId="0" xfId="106"/>
    <xf numFmtId="164" fontId="0" fillId="0" borderId="0" xfId="107" applyNumberFormat="1" applyFont="1"/>
    <xf numFmtId="174" fontId="0" fillId="0" borderId="0" xfId="108" applyNumberFormat="1" applyFont="1"/>
    <xf numFmtId="174" fontId="12" fillId="0" borderId="0" xfId="108" applyNumberFormat="1" applyFont="1" applyFill="1" applyBorder="1"/>
    <xf numFmtId="9" fontId="12" fillId="0" borderId="0" xfId="5" applyFont="1" applyFill="1" applyBorder="1" applyAlignment="1">
      <alignment horizontal="center"/>
    </xf>
    <xf numFmtId="168" fontId="46" fillId="0" borderId="0" xfId="102" applyNumberFormat="1" applyFont="1" applyFill="1"/>
    <xf numFmtId="9" fontId="0" fillId="0" borderId="0" xfId="5" applyFont="1" applyFill="1"/>
    <xf numFmtId="0" fontId="12" fillId="0" borderId="28" xfId="0" applyNumberFormat="1" applyFont="1" applyFill="1" applyBorder="1" applyAlignment="1">
      <alignment horizontal="center"/>
    </xf>
    <xf numFmtId="170" fontId="49" fillId="0" borderId="44" xfId="0" applyFont="1" applyBorder="1" applyAlignment="1">
      <alignment horizontal="center" vertical="center"/>
    </xf>
    <xf numFmtId="170" fontId="49" fillId="0" borderId="11" xfId="0" applyFont="1" applyBorder="1" applyAlignment="1">
      <alignment horizontal="center" vertical="center"/>
    </xf>
    <xf numFmtId="170" fontId="49" fillId="0" borderId="45" xfId="0" applyFont="1" applyBorder="1" applyAlignment="1">
      <alignment horizontal="center" vertical="center"/>
    </xf>
    <xf numFmtId="170" fontId="48" fillId="0" borderId="43" xfId="0" applyFont="1" applyBorder="1" applyAlignment="1">
      <alignment horizontal="center" vertical="center"/>
    </xf>
    <xf numFmtId="170" fontId="48" fillId="0" borderId="46" xfId="0" applyFont="1" applyBorder="1" applyAlignment="1">
      <alignment horizontal="center" vertical="center"/>
    </xf>
    <xf numFmtId="170" fontId="48" fillId="0" borderId="50" xfId="0" applyFont="1" applyBorder="1" applyAlignment="1">
      <alignment horizontal="center" vertical="center"/>
    </xf>
    <xf numFmtId="170" fontId="48" fillId="0" borderId="44" xfId="0" applyFont="1" applyBorder="1" applyAlignment="1">
      <alignment horizontal="center" vertical="center"/>
    </xf>
    <xf numFmtId="170" fontId="48" fillId="0" borderId="11" xfId="0" applyFont="1" applyBorder="1" applyAlignment="1">
      <alignment horizontal="center" vertical="center"/>
    </xf>
    <xf numFmtId="170" fontId="48" fillId="0" borderId="45" xfId="0" applyFont="1" applyBorder="1" applyAlignment="1">
      <alignment horizontal="center" vertical="center"/>
    </xf>
    <xf numFmtId="170" fontId="14" fillId="0" borderId="0" xfId="0" applyFont="1" applyFill="1" applyAlignment="1">
      <alignment horizontal="center" wrapText="1"/>
    </xf>
    <xf numFmtId="170" fontId="47" fillId="0" borderId="40" xfId="0" applyFont="1" applyBorder="1" applyAlignment="1">
      <alignment horizontal="center" vertical="center"/>
    </xf>
    <xf numFmtId="170" fontId="47" fillId="0" borderId="41" xfId="0" applyFont="1" applyBorder="1" applyAlignment="1">
      <alignment horizontal="center" vertical="center"/>
    </xf>
    <xf numFmtId="170" fontId="47" fillId="0" borderId="42" xfId="0" applyFont="1" applyBorder="1" applyAlignment="1">
      <alignment horizontal="center" vertical="center"/>
    </xf>
    <xf numFmtId="170" fontId="14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12" fillId="0" borderId="0" xfId="0" applyFont="1" applyFill="1" applyAlignment="1">
      <alignment horizontal="left" vertical="top"/>
    </xf>
    <xf numFmtId="170" fontId="0" fillId="0" borderId="0" xfId="0" applyAlignment="1"/>
    <xf numFmtId="170" fontId="46" fillId="0" borderId="40" xfId="0" applyFont="1" applyBorder="1" applyAlignment="1">
      <alignment horizontal="center" vertical="center"/>
    </xf>
    <xf numFmtId="170" fontId="46" fillId="0" borderId="41" xfId="0" applyFont="1" applyBorder="1" applyAlignment="1">
      <alignment horizontal="center" vertical="center"/>
    </xf>
    <xf numFmtId="170" fontId="46" fillId="0" borderId="42" xfId="0" applyFont="1" applyBorder="1" applyAlignment="1">
      <alignment horizontal="center" vertical="center"/>
    </xf>
    <xf numFmtId="170" fontId="46" fillId="0" borderId="62" xfId="0" applyFont="1" applyBorder="1" applyAlignment="1">
      <alignment horizontal="center" vertical="center"/>
    </xf>
    <xf numFmtId="170" fontId="46" fillId="0" borderId="63" xfId="0" applyFont="1" applyBorder="1" applyAlignment="1">
      <alignment horizontal="center" vertical="center"/>
    </xf>
    <xf numFmtId="170" fontId="46" fillId="0" borderId="64" xfId="0" applyFont="1" applyBorder="1" applyAlignment="1">
      <alignment horizontal="center" vertical="center"/>
    </xf>
    <xf numFmtId="170" fontId="12" fillId="0" borderId="0" xfId="0" quotePrefix="1" applyFont="1" applyFill="1" applyAlignment="1"/>
    <xf numFmtId="170" fontId="13" fillId="0" borderId="0" xfId="8" applyFont="1" applyFill="1" applyAlignment="1">
      <alignment horizontal="center"/>
    </xf>
    <xf numFmtId="170" fontId="0" fillId="0" borderId="0" xfId="8" applyFont="1" applyFill="1" applyAlignment="1">
      <alignment horizontal="center"/>
    </xf>
    <xf numFmtId="170" fontId="0" fillId="0" borderId="0" xfId="0" applyFill="1" applyAlignment="1"/>
    <xf numFmtId="170" fontId="0" fillId="21" borderId="0" xfId="8" applyFont="1" applyFill="1" applyAlignment="1">
      <alignment horizontal="center"/>
    </xf>
    <xf numFmtId="170" fontId="14" fillId="22" borderId="0" xfId="0" applyFont="1" applyFill="1" applyAlignment="1">
      <alignment horizontal="center"/>
    </xf>
    <xf numFmtId="170" fontId="0" fillId="22" borderId="0" xfId="0" applyFill="1" applyAlignment="1">
      <alignment horizontal="center"/>
    </xf>
    <xf numFmtId="170" fontId="13" fillId="0" borderId="0" xfId="0" applyFont="1" applyFill="1" applyAlignment="1">
      <alignment horizontal="center"/>
    </xf>
    <xf numFmtId="17" fontId="11" fillId="22" borderId="37" xfId="0" applyNumberFormat="1" applyFont="1" applyFill="1" applyBorder="1" applyAlignment="1">
      <alignment horizontal="center" wrapText="1"/>
    </xf>
    <xf numFmtId="170" fontId="11" fillId="22" borderId="36" xfId="0" applyFont="1" applyFill="1" applyBorder="1" applyAlignment="1">
      <alignment horizontal="center" wrapText="1"/>
    </xf>
    <xf numFmtId="170" fontId="11" fillId="22" borderId="38" xfId="0" applyFont="1" applyFill="1" applyBorder="1" applyAlignment="1">
      <alignment horizontal="center" wrapText="1"/>
    </xf>
    <xf numFmtId="17" fontId="12" fillId="22" borderId="37" xfId="0" applyNumberFormat="1" applyFont="1" applyFill="1" applyBorder="1" applyAlignment="1">
      <alignment horizontal="center" wrapText="1"/>
    </xf>
    <xf numFmtId="170" fontId="0" fillId="22" borderId="36" xfId="0" applyFill="1" applyBorder="1" applyAlignment="1">
      <alignment horizontal="center" wrapText="1"/>
    </xf>
    <xf numFmtId="170" fontId="0" fillId="22" borderId="38" xfId="0" applyFill="1" applyBorder="1" applyAlignment="1">
      <alignment horizontal="center" wrapText="1"/>
    </xf>
    <xf numFmtId="170" fontId="0" fillId="0" borderId="37" xfId="0" applyBorder="1" applyAlignment="1">
      <alignment horizontal="center"/>
    </xf>
    <xf numFmtId="170" fontId="0" fillId="0" borderId="36" xfId="0" applyBorder="1" applyAlignment="1">
      <alignment horizontal="center"/>
    </xf>
    <xf numFmtId="170" fontId="0" fillId="0" borderId="38" xfId="0" applyBorder="1" applyAlignment="1">
      <alignment horizontal="center"/>
    </xf>
    <xf numFmtId="170" fontId="11" fillId="0" borderId="37" xfId="0" applyFont="1" applyBorder="1" applyAlignment="1">
      <alignment horizontal="center"/>
    </xf>
    <xf numFmtId="170" fontId="11" fillId="0" borderId="36" xfId="0" applyFont="1" applyBorder="1" applyAlignment="1">
      <alignment horizontal="center"/>
    </xf>
    <xf numFmtId="170" fontId="11" fillId="0" borderId="38" xfId="0" applyFont="1" applyBorder="1" applyAlignment="1">
      <alignment horizontal="center"/>
    </xf>
    <xf numFmtId="170" fontId="12" fillId="0" borderId="0" xfId="10" applyFont="1" applyFill="1" applyAlignment="1">
      <alignment horizontal="right"/>
    </xf>
  </cellXfs>
  <cellStyles count="111">
    <cellStyle name="_x0013_" xfId="23"/>
    <cellStyle name="ArrayHeading" xfId="28"/>
    <cellStyle name="BetweenMacros" xfId="29"/>
    <cellStyle name="Column total in dollars" xfId="30"/>
    <cellStyle name="Comma  - Style1" xfId="31"/>
    <cellStyle name="Comma  - Style2" xfId="32"/>
    <cellStyle name="Comma  - Style3" xfId="33"/>
    <cellStyle name="Comma  - Style4" xfId="34"/>
    <cellStyle name="Comma  - Style5" xfId="35"/>
    <cellStyle name="Comma  - Style6" xfId="36"/>
    <cellStyle name="Comma  - Style7" xfId="37"/>
    <cellStyle name="Comma  - Style8" xfId="38"/>
    <cellStyle name="Comma (0)" xfId="39"/>
    <cellStyle name="Comma 2" xfId="7"/>
    <cellStyle name="Comma 2 2" xfId="22"/>
    <cellStyle name="Comma 2 3" xfId="40"/>
    <cellStyle name="Comma 3" xfId="41"/>
    <cellStyle name="Comma 4" xfId="42"/>
    <cellStyle name="Comma 5" xfId="101"/>
    <cellStyle name="Comma 6" xfId="105"/>
    <cellStyle name="Comma 7" xfId="107"/>
    <cellStyle name="Comma 7 2" xfId="109"/>
    <cellStyle name="Comma0" xfId="43"/>
    <cellStyle name="Comma0 - Style3" xfId="44"/>
    <cellStyle name="Comma0 - Style4" xfId="45"/>
    <cellStyle name="Comma0_2009 10 Yr Plan Key Assumptions" xfId="46"/>
    <cellStyle name="Comma1 - Style1" xfId="47"/>
    <cellStyle name="Currency" xfId="1" builtinId="4"/>
    <cellStyle name="Currency 2" xfId="24"/>
    <cellStyle name="Currency No Comma" xfId="14"/>
    <cellStyle name="Currency(0)" xfId="48"/>
    <cellStyle name="Currency0" xfId="49"/>
    <cellStyle name="Date" xfId="50"/>
    <cellStyle name="Date - Style3" xfId="51"/>
    <cellStyle name="Date_2009 10 Yr Plan Key Assumptions" xfId="52"/>
    <cellStyle name="Fixed" xfId="53"/>
    <cellStyle name="Grey" xfId="54"/>
    <cellStyle name="header" xfId="55"/>
    <cellStyle name="Header1" xfId="56"/>
    <cellStyle name="Header2" xfId="57"/>
    <cellStyle name="Input" xfId="2" builtinId="20" customBuiltin="1"/>
    <cellStyle name="Input [yellow]" xfId="58"/>
    <cellStyle name="Macro" xfId="59"/>
    <cellStyle name="macro descr" xfId="60"/>
    <cellStyle name="Macro_Comments" xfId="61"/>
    <cellStyle name="MacroText" xfId="62"/>
    <cellStyle name="MCP" xfId="15"/>
    <cellStyle name="nONE" xfId="63"/>
    <cellStyle name="noninput" xfId="16"/>
    <cellStyle name="Normal" xfId="0" builtinId="0" customBuiltin="1"/>
    <cellStyle name="Normal - Style1" xfId="64"/>
    <cellStyle name="Normal 10" xfId="65"/>
    <cellStyle name="Normal 11" xfId="100"/>
    <cellStyle name="Normal 12" xfId="103"/>
    <cellStyle name="Normal 13" xfId="106"/>
    <cellStyle name="Normal 13 2" xfId="110"/>
    <cellStyle name="Normal 176" xfId="25"/>
    <cellStyle name="Normal 176 2" xfId="26"/>
    <cellStyle name="Normal 2" xfId="9"/>
    <cellStyle name="Normal 2 2" xfId="66"/>
    <cellStyle name="Normal 2 3" xfId="67"/>
    <cellStyle name="Normal 2 4" xfId="68"/>
    <cellStyle name="Normal 3" xfId="12"/>
    <cellStyle name="Normal 3 2" xfId="69"/>
    <cellStyle name="Normal 4" xfId="27"/>
    <cellStyle name="Normal 5" xfId="6"/>
    <cellStyle name="Normal 6" xfId="70"/>
    <cellStyle name="Normal 7" xfId="71"/>
    <cellStyle name="Normal 7 4" xfId="95"/>
    <cellStyle name="Normal 8" xfId="72"/>
    <cellStyle name="Normal 9" xfId="96"/>
    <cellStyle name="Normal 9 2" xfId="97"/>
    <cellStyle name="Normal(0)" xfId="73"/>
    <cellStyle name="Normal_DRR AC Study - Utah Valley - 53 MW 90 CF (2.28.2005)" xfId="3"/>
    <cellStyle name="Normal_INF_06_03_07" xfId="11"/>
    <cellStyle name="Normal_Or AC 2003 - AC Study - Fuel Indexed Avoided Costs" xfId="4"/>
    <cellStyle name="Normal_OR AC Sch 37 - AC  Study (Gold) _2009 06 19" xfId="8"/>
    <cellStyle name="Normal_OR AC Sch 37 - AC  Study (Gold) _2009 07 07" xfId="99"/>
    <cellStyle name="Normal_T-INF-10-15-04-TEMPLATE" xfId="13"/>
    <cellStyle name="Normal_UT AC Sch 37 - L&amp;R  Study (Gold) _2009 06 19" xfId="21"/>
    <cellStyle name="Normal_WY AC 2009 - AC Study (Wind Study)_2009 08 11" xfId="10"/>
    <cellStyle name="Number" xfId="74"/>
    <cellStyle name="Password" xfId="17"/>
    <cellStyle name="Percen - Style1" xfId="75"/>
    <cellStyle name="Percen - Style2" xfId="76"/>
    <cellStyle name="Percent" xfId="5" builtinId="5"/>
    <cellStyle name="Percent [2]" xfId="77"/>
    <cellStyle name="Percent 2" xfId="78"/>
    <cellStyle name="Percent 2 2" xfId="98"/>
    <cellStyle name="Percent 3" xfId="79"/>
    <cellStyle name="Percent 4" xfId="80"/>
    <cellStyle name="Percent 5" xfId="102"/>
    <cellStyle name="Percent 6" xfId="104"/>
    <cellStyle name="Percent 7" xfId="108"/>
    <cellStyle name="Percent(0)" xfId="81"/>
    <cellStyle name="SAPBEXaggData" xfId="82"/>
    <cellStyle name="SAPBEXaggItem" xfId="83"/>
    <cellStyle name="SAPBEXchaText" xfId="84"/>
    <cellStyle name="SAPBEXstdData" xfId="85"/>
    <cellStyle name="SAPBEXstdItem" xfId="86"/>
    <cellStyle name="SAPBEXstdItemX" xfId="87"/>
    <cellStyle name="Shade" xfId="88"/>
    <cellStyle name="Special" xfId="89"/>
    <cellStyle name="Style 1" xfId="90"/>
    <cellStyle name="Titles" xfId="91"/>
    <cellStyle name="Total2 - Style2" xfId="92"/>
    <cellStyle name="Underl - Style4" xfId="93"/>
    <cellStyle name="UNLocked" xfId="94"/>
    <cellStyle name="Unprot" xfId="18"/>
    <cellStyle name="Unprot$" xfId="19"/>
    <cellStyle name="Unprotect" xfId="20"/>
  </cellStyles>
  <dxfs count="2">
    <dxf>
      <fill>
        <patternFill>
          <bgColor theme="6" tint="0.3999450666829432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PPA Rates for QF Resource starting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697239768105911E-2"/>
          <c:y val="7.8845663490095752E-2"/>
          <c:w val="0.87539753684635579"/>
          <c:h val="0.76377229413283299"/>
        </c:manualLayout>
      </c:layout>
      <c:lineChart>
        <c:grouping val="standard"/>
        <c:varyColors val="0"/>
        <c:ser>
          <c:idx val="0"/>
          <c:order val="0"/>
          <c:tx>
            <c:v>StdBaseLoadOnPk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69.67</c:v>
                </c:pt>
                <c:pt idx="10">
                  <c:v>71.14</c:v>
                </c:pt>
                <c:pt idx="11">
                  <c:v>73.050000000000011</c:v>
                </c:pt>
                <c:pt idx="12">
                  <c:v>75.23</c:v>
                </c:pt>
                <c:pt idx="13">
                  <c:v>77.41</c:v>
                </c:pt>
                <c:pt idx="14">
                  <c:v>80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StdWindOnPk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37.21</c:v>
                </c:pt>
                <c:pt idx="10">
                  <c:v>38.090000000000003</c:v>
                </c:pt>
                <c:pt idx="11">
                  <c:v>39.369999999999997</c:v>
                </c:pt>
                <c:pt idx="12">
                  <c:v>40.909999999999997</c:v>
                </c:pt>
                <c:pt idx="13">
                  <c:v>42.44</c:v>
                </c:pt>
                <c:pt idx="14">
                  <c:v>44.37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tx>
            <c:v>StdSolarOnPk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43.22296</c:v>
                </c:pt>
                <c:pt idx="10">
                  <c:v>44.217760000000006</c:v>
                </c:pt>
                <c:pt idx="11">
                  <c:v>45.618000000000002</c:v>
                </c:pt>
                <c:pt idx="12">
                  <c:v>47.270960000000002</c:v>
                </c:pt>
                <c:pt idx="13">
                  <c:v>48.923919999999995</c:v>
                </c:pt>
                <c:pt idx="14">
                  <c:v>50.9696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tx>
            <c:v>RnwBaseLoadOnPk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114.82</c:v>
                </c:pt>
                <c:pt idx="10">
                  <c:v>116.97</c:v>
                </c:pt>
                <c:pt idx="11">
                  <c:v>119.12</c:v>
                </c:pt>
                <c:pt idx="12">
                  <c:v>121.37</c:v>
                </c:pt>
                <c:pt idx="13">
                  <c:v>123.64</c:v>
                </c:pt>
                <c:pt idx="14">
                  <c:v>125.83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tx>
            <c:v>RnwWindOnPk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82.36</c:v>
                </c:pt>
                <c:pt idx="10">
                  <c:v>83.92</c:v>
                </c:pt>
                <c:pt idx="11">
                  <c:v>85.44</c:v>
                </c:pt>
                <c:pt idx="12">
                  <c:v>87.05</c:v>
                </c:pt>
                <c:pt idx="13">
                  <c:v>88.67</c:v>
                </c:pt>
                <c:pt idx="14">
                  <c:v>90.2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tx>
            <c:v>RnwSolarOnPk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88.38</c:v>
                </c:pt>
                <c:pt idx="10">
                  <c:v>90.05</c:v>
                </c:pt>
                <c:pt idx="11">
                  <c:v>91.68</c:v>
                </c:pt>
                <c:pt idx="12">
                  <c:v>93.41</c:v>
                </c:pt>
                <c:pt idx="13">
                  <c:v>95.15</c:v>
                </c:pt>
                <c:pt idx="14">
                  <c:v>96.8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85896"/>
        <c:axId val="443182760"/>
      </c:lineChart>
      <c:catAx>
        <c:axId val="4431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3182760"/>
        <c:crosses val="autoZero"/>
        <c:auto val="1"/>
        <c:lblAlgn val="ctr"/>
        <c:lblOffset val="100"/>
        <c:noMultiLvlLbl val="0"/>
      </c:catAx>
      <c:valAx>
        <c:axId val="443182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.00_);\(&quot;$&quot;#,##0.00\)" sourceLinked="1"/>
        <c:majorTickMark val="out"/>
        <c:minorTickMark val="none"/>
        <c:tickLblPos val="nextTo"/>
        <c:crossAx val="443185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SchQF%20Avoided%20Energy%20Cost%20Sept%202020%20OFPC%2010-7-20%20CON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shington/WA%20AC%20Aug%202019/Refiling%20Apr.%202020/WA%20Sch37%20Avoided%20Cost%20Study%20(R)_2020%2003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"/>
      <sheetName val="Shaping"/>
      <sheetName val="Profile"/>
      <sheetName val="Integration"/>
    </sheetNames>
    <sheetDataSet>
      <sheetData sheetId="0">
        <row r="4">
          <cell r="T4">
            <v>2021</v>
          </cell>
          <cell r="U4">
            <v>30.31351598173536</v>
          </cell>
          <cell r="V4">
            <v>48.856249999999903</v>
          </cell>
          <cell r="W4">
            <v>24.406331967213202</v>
          </cell>
          <cell r="X4">
            <v>39.239254115226416</v>
          </cell>
          <cell r="Y4">
            <v>24.161633230452779</v>
          </cell>
          <cell r="AA4">
            <v>8760</v>
          </cell>
          <cell r="AB4">
            <v>976</v>
          </cell>
          <cell r="AC4">
            <v>1952</v>
          </cell>
          <cell r="AD4">
            <v>1944</v>
          </cell>
          <cell r="AE4">
            <v>3888</v>
          </cell>
        </row>
        <row r="5">
          <cell r="T5">
            <v>2022</v>
          </cell>
          <cell r="U5">
            <v>29.074511415525389</v>
          </cell>
          <cell r="V5">
            <v>46.200020491803329</v>
          </cell>
          <cell r="W5">
            <v>23.656869877049253</v>
          </cell>
          <cell r="X5">
            <v>38.320072016460749</v>
          </cell>
          <cell r="Y5">
            <v>22.872703189300388</v>
          </cell>
          <cell r="AA5">
            <v>8760</v>
          </cell>
          <cell r="AB5">
            <v>976</v>
          </cell>
          <cell r="AC5">
            <v>1952</v>
          </cell>
          <cell r="AD5">
            <v>1944</v>
          </cell>
          <cell r="AE5">
            <v>3888</v>
          </cell>
        </row>
        <row r="6">
          <cell r="T6">
            <v>2023</v>
          </cell>
          <cell r="U6">
            <v>28.893175799086006</v>
          </cell>
          <cell r="V6">
            <v>45.763924180327692</v>
          </cell>
          <cell r="W6">
            <v>22.44166495901645</v>
          </cell>
          <cell r="X6">
            <v>38.416265432098662</v>
          </cell>
          <cell r="Y6">
            <v>23.135617283950715</v>
          </cell>
          <cell r="AA6">
            <v>8760</v>
          </cell>
          <cell r="AB6">
            <v>976</v>
          </cell>
          <cell r="AC6">
            <v>1952</v>
          </cell>
          <cell r="AD6">
            <v>1944</v>
          </cell>
          <cell r="AE6">
            <v>3888</v>
          </cell>
        </row>
        <row r="7">
          <cell r="T7">
            <v>2024</v>
          </cell>
          <cell r="U7">
            <v>30.899743852459224</v>
          </cell>
          <cell r="V7">
            <v>50.508586065573922</v>
          </cell>
          <cell r="W7">
            <v>25.240778688524582</v>
          </cell>
          <cell r="X7">
            <v>39.959374999999945</v>
          </cell>
          <cell r="Y7">
            <v>24.297200307376805</v>
          </cell>
          <cell r="AA7">
            <v>8784</v>
          </cell>
          <cell r="AB7">
            <v>976</v>
          </cell>
          <cell r="AC7">
            <v>1952</v>
          </cell>
          <cell r="AD7">
            <v>1952</v>
          </cell>
          <cell r="AE7">
            <v>3904</v>
          </cell>
        </row>
        <row r="8">
          <cell r="T8">
            <v>2025</v>
          </cell>
          <cell r="U8">
            <v>32.588196347032351</v>
          </cell>
          <cell r="V8">
            <v>55.085020491803036</v>
          </cell>
          <cell r="W8">
            <v>27.983457991803117</v>
          </cell>
          <cell r="X8">
            <v>40.908539094650067</v>
          </cell>
          <cell r="Y8">
            <v>25.092518004115117</v>
          </cell>
          <cell r="AA8">
            <v>8760</v>
          </cell>
          <cell r="AB8">
            <v>976</v>
          </cell>
          <cell r="AC8">
            <v>1952</v>
          </cell>
          <cell r="AD8">
            <v>1944</v>
          </cell>
          <cell r="AE8">
            <v>3888</v>
          </cell>
        </row>
        <row r="9">
          <cell r="T9">
            <v>2026</v>
          </cell>
          <cell r="U9">
            <v>34.431777397260248</v>
          </cell>
          <cell r="V9">
            <v>60.46754098360649</v>
          </cell>
          <cell r="W9">
            <v>29.855809426229651</v>
          </cell>
          <cell r="X9">
            <v>42.58284979423874</v>
          </cell>
          <cell r="Y9">
            <v>26.117914094650267</v>
          </cell>
          <cell r="AA9">
            <v>8760</v>
          </cell>
          <cell r="AB9">
            <v>976</v>
          </cell>
          <cell r="AC9">
            <v>1952</v>
          </cell>
          <cell r="AD9">
            <v>1944</v>
          </cell>
          <cell r="AE9">
            <v>3888</v>
          </cell>
        </row>
        <row r="10">
          <cell r="T10">
            <v>2027</v>
          </cell>
          <cell r="U10">
            <v>37.85718607306012</v>
          </cell>
          <cell r="V10">
            <v>72.460594262295245</v>
          </cell>
          <cell r="W10">
            <v>33.882202868852495</v>
          </cell>
          <cell r="X10">
            <v>45.029799382715829</v>
          </cell>
          <cell r="Y10">
            <v>27.580097736625696</v>
          </cell>
          <cell r="AA10">
            <v>8760</v>
          </cell>
          <cell r="AB10">
            <v>976</v>
          </cell>
          <cell r="AC10">
            <v>1952</v>
          </cell>
          <cell r="AD10">
            <v>1944</v>
          </cell>
          <cell r="AE10">
            <v>3888</v>
          </cell>
        </row>
        <row r="11">
          <cell r="T11">
            <v>2028</v>
          </cell>
          <cell r="U11">
            <v>38.871810109289605</v>
          </cell>
          <cell r="V11">
            <v>72.958319672131083</v>
          </cell>
          <cell r="W11">
            <v>34.65888831967218</v>
          </cell>
          <cell r="X11">
            <v>46.323483606557865</v>
          </cell>
          <cell r="Y11">
            <v>28.73080686475463</v>
          </cell>
          <cell r="AA11">
            <v>8784</v>
          </cell>
          <cell r="AB11">
            <v>976</v>
          </cell>
          <cell r="AC11">
            <v>1952</v>
          </cell>
          <cell r="AD11">
            <v>1952</v>
          </cell>
          <cell r="AE11">
            <v>3904</v>
          </cell>
        </row>
        <row r="12">
          <cell r="T12">
            <v>2029</v>
          </cell>
          <cell r="U12">
            <v>40.470912100456708</v>
          </cell>
          <cell r="V12">
            <v>75.625553278688528</v>
          </cell>
          <cell r="W12">
            <v>36.287120901639234</v>
          </cell>
          <cell r="X12">
            <v>48.158703703703587</v>
          </cell>
          <cell r="Y12">
            <v>29.90269290123473</v>
          </cell>
          <cell r="AA12">
            <v>8760</v>
          </cell>
          <cell r="AB12">
            <v>976</v>
          </cell>
          <cell r="AC12">
            <v>1952</v>
          </cell>
          <cell r="AD12">
            <v>1944</v>
          </cell>
          <cell r="AE12">
            <v>3888</v>
          </cell>
        </row>
        <row r="13">
          <cell r="T13">
            <v>2030</v>
          </cell>
          <cell r="U13">
            <v>41.409418949771634</v>
          </cell>
          <cell r="V13">
            <v>73.468688524590419</v>
          </cell>
          <cell r="W13">
            <v>35.915932377049167</v>
          </cell>
          <cell r="X13">
            <v>50.75973765432078</v>
          </cell>
          <cell r="Y13">
            <v>31.44450617283929</v>
          </cell>
          <cell r="AA13">
            <v>8760</v>
          </cell>
          <cell r="AB13">
            <v>976</v>
          </cell>
          <cell r="AC13">
            <v>1952</v>
          </cell>
          <cell r="AD13">
            <v>1944</v>
          </cell>
          <cell r="AE13">
            <v>3888</v>
          </cell>
        </row>
        <row r="14">
          <cell r="T14">
            <v>2031</v>
          </cell>
          <cell r="U14">
            <v>41.93789497716913</v>
          </cell>
          <cell r="V14">
            <v>73.678125000000023</v>
          </cell>
          <cell r="W14">
            <v>36.184743852458965</v>
          </cell>
          <cell r="X14">
            <v>51.566836419752804</v>
          </cell>
          <cell r="Y14">
            <v>32.044125514403149</v>
          </cell>
          <cell r="AA14">
            <v>8760</v>
          </cell>
          <cell r="AB14">
            <v>976</v>
          </cell>
          <cell r="AC14">
            <v>1952</v>
          </cell>
          <cell r="AD14">
            <v>1944</v>
          </cell>
          <cell r="AE14">
            <v>3888</v>
          </cell>
        </row>
        <row r="15">
          <cell r="T15">
            <v>2032</v>
          </cell>
          <cell r="U15">
            <v>42.647297358833626</v>
          </cell>
          <cell r="V15">
            <v>74.532581967213105</v>
          </cell>
          <cell r="W15">
            <v>36.391168032786794</v>
          </cell>
          <cell r="X15">
            <v>52.747392418032788</v>
          </cell>
          <cell r="Y15">
            <v>32.753993340163689</v>
          </cell>
          <cell r="AA15">
            <v>8784</v>
          </cell>
          <cell r="AB15">
            <v>976</v>
          </cell>
          <cell r="AC15">
            <v>1952</v>
          </cell>
          <cell r="AD15">
            <v>1952</v>
          </cell>
          <cell r="AE15">
            <v>3904</v>
          </cell>
        </row>
        <row r="16">
          <cell r="T16">
            <v>2033</v>
          </cell>
          <cell r="U16">
            <v>43.541905251141408</v>
          </cell>
          <cell r="V16">
            <v>76.342950819671955</v>
          </cell>
          <cell r="W16">
            <v>37.573417008196564</v>
          </cell>
          <cell r="X16">
            <v>53.495252057613072</v>
          </cell>
          <cell r="Y16">
            <v>33.327749485596591</v>
          </cell>
          <cell r="AA16">
            <v>8760</v>
          </cell>
          <cell r="AB16">
            <v>976</v>
          </cell>
          <cell r="AC16">
            <v>1952</v>
          </cell>
          <cell r="AD16">
            <v>1944</v>
          </cell>
          <cell r="AE16">
            <v>3888</v>
          </cell>
        </row>
        <row r="17">
          <cell r="T17">
            <v>2034</v>
          </cell>
          <cell r="U17">
            <v>44.181947488584221</v>
          </cell>
          <cell r="V17">
            <v>78.473770491803123</v>
          </cell>
          <cell r="W17">
            <v>38.231818647541012</v>
          </cell>
          <cell r="X17">
            <v>53.928271604938324</v>
          </cell>
          <cell r="Y17">
            <v>33.687857510287955</v>
          </cell>
          <cell r="AA17">
            <v>8760</v>
          </cell>
          <cell r="AB17">
            <v>976</v>
          </cell>
          <cell r="AC17">
            <v>1952</v>
          </cell>
          <cell r="AD17">
            <v>1944</v>
          </cell>
          <cell r="AE17">
            <v>3888</v>
          </cell>
        </row>
        <row r="18">
          <cell r="T18">
            <v>2035</v>
          </cell>
          <cell r="U18">
            <v>47.505195205479758</v>
          </cell>
          <cell r="V18">
            <v>91.464702868852555</v>
          </cell>
          <cell r="W18">
            <v>42.763621926229405</v>
          </cell>
          <cell r="X18">
            <v>55.737247942386844</v>
          </cell>
          <cell r="Y18">
            <v>34.73460905349782</v>
          </cell>
          <cell r="AA18">
            <v>8760</v>
          </cell>
          <cell r="AB18">
            <v>976</v>
          </cell>
          <cell r="AC18">
            <v>1952</v>
          </cell>
          <cell r="AD18">
            <v>1944</v>
          </cell>
          <cell r="AE18">
            <v>3888</v>
          </cell>
        </row>
        <row r="19">
          <cell r="T19">
            <v>2036</v>
          </cell>
          <cell r="U19">
            <v>48.699228142076748</v>
          </cell>
          <cell r="V19">
            <v>92.26026639344191</v>
          </cell>
          <cell r="W19">
            <v>43.839134221311326</v>
          </cell>
          <cell r="X19">
            <v>57.558442622950835</v>
          </cell>
          <cell r="Y19">
            <v>35.80940829918034</v>
          </cell>
          <cell r="AA19">
            <v>8784</v>
          </cell>
          <cell r="AB19">
            <v>976</v>
          </cell>
          <cell r="AC19">
            <v>1952</v>
          </cell>
          <cell r="AD19">
            <v>1952</v>
          </cell>
          <cell r="AE19">
            <v>3904</v>
          </cell>
        </row>
        <row r="20">
          <cell r="T20">
            <v>2037</v>
          </cell>
          <cell r="U20">
            <v>49.142907534247058</v>
          </cell>
          <cell r="V20">
            <v>93.336782786885664</v>
          </cell>
          <cell r="W20">
            <v>44.598678278688197</v>
          </cell>
          <cell r="X20">
            <v>57.767633744855686</v>
          </cell>
          <cell r="Y20">
            <v>36.018073559670704</v>
          </cell>
          <cell r="AA20">
            <v>8760</v>
          </cell>
          <cell r="AB20">
            <v>976</v>
          </cell>
          <cell r="AC20">
            <v>1952</v>
          </cell>
          <cell r="AD20">
            <v>1944</v>
          </cell>
          <cell r="AE20">
            <v>3888</v>
          </cell>
        </row>
        <row r="21">
          <cell r="T21">
            <v>2038</v>
          </cell>
          <cell r="U21">
            <v>51.832639269406521</v>
          </cell>
          <cell r="V21">
            <v>97.550020491803465</v>
          </cell>
          <cell r="W21">
            <v>46.475881147540498</v>
          </cell>
          <cell r="X21">
            <v>61.165545267489669</v>
          </cell>
          <cell r="Y21">
            <v>38.379207818929864</v>
          </cell>
          <cell r="AA21">
            <v>8760</v>
          </cell>
          <cell r="AB21">
            <v>976</v>
          </cell>
          <cell r="AC21">
            <v>1952</v>
          </cell>
          <cell r="AD21">
            <v>1944</v>
          </cell>
          <cell r="AE21">
            <v>3888</v>
          </cell>
        </row>
        <row r="22">
          <cell r="T22">
            <v>2039</v>
          </cell>
          <cell r="U22">
            <v>54.149666666666334</v>
          </cell>
          <cell r="V22">
            <v>99.334303278688893</v>
          </cell>
          <cell r="W22">
            <v>48.548698770492237</v>
          </cell>
          <cell r="X22">
            <v>64.47462962963013</v>
          </cell>
          <cell r="Y22">
            <v>40.456548353909177</v>
          </cell>
          <cell r="AA22">
            <v>8760</v>
          </cell>
          <cell r="AB22">
            <v>976</v>
          </cell>
          <cell r="AC22">
            <v>1952</v>
          </cell>
          <cell r="AD22">
            <v>1944</v>
          </cell>
          <cell r="AE22">
            <v>3888</v>
          </cell>
        </row>
        <row r="23">
          <cell r="T23">
            <v>2040</v>
          </cell>
          <cell r="U23">
            <v>56.81760473588313</v>
          </cell>
          <cell r="V23">
            <v>103.75231557377036</v>
          </cell>
          <cell r="W23">
            <v>51.01551741803268</v>
          </cell>
          <cell r="X23">
            <v>67.701357581966889</v>
          </cell>
          <cell r="Y23">
            <v>42.54309426229517</v>
          </cell>
          <cell r="AA23">
            <v>8784</v>
          </cell>
          <cell r="AB23">
            <v>976</v>
          </cell>
          <cell r="AC23">
            <v>1952</v>
          </cell>
          <cell r="AD23">
            <v>1952</v>
          </cell>
          <cell r="AE23">
            <v>3904</v>
          </cell>
        </row>
        <row r="29">
          <cell r="T29">
            <v>2021</v>
          </cell>
          <cell r="U29">
            <v>29.045865193702486</v>
          </cell>
          <cell r="V29">
            <v>44.881533682512028</v>
          </cell>
          <cell r="W29">
            <v>23.36040862971581</v>
          </cell>
          <cell r="X29">
            <v>39.022065690187794</v>
          </cell>
          <cell r="Y29">
            <v>23.09088442665896</v>
          </cell>
          <cell r="AA29">
            <v>3326.3940000000412</v>
          </cell>
          <cell r="AB29">
            <v>327.01600000000002</v>
          </cell>
          <cell r="AC29">
            <v>636.61200000000076</v>
          </cell>
          <cell r="AD29">
            <v>785.32400000000553</v>
          </cell>
          <cell r="AE29">
            <v>1577.4420000000348</v>
          </cell>
        </row>
        <row r="30">
          <cell r="T30">
            <v>2022</v>
          </cell>
          <cell r="U30">
            <v>27.885538568274931</v>
          </cell>
          <cell r="V30">
            <v>42.818894345441237</v>
          </cell>
          <cell r="W30">
            <v>22.602690687881239</v>
          </cell>
          <cell r="X30">
            <v>38.014033660702147</v>
          </cell>
          <cell r="Y30">
            <v>21.879313174276533</v>
          </cell>
          <cell r="AA30">
            <v>3326.3940000000412</v>
          </cell>
          <cell r="AB30">
            <v>327.01600000000002</v>
          </cell>
          <cell r="AC30">
            <v>636.61200000000076</v>
          </cell>
          <cell r="AD30">
            <v>785.32400000000553</v>
          </cell>
          <cell r="AE30">
            <v>1577.4420000000348</v>
          </cell>
        </row>
        <row r="31">
          <cell r="T31">
            <v>2023</v>
          </cell>
          <cell r="U31">
            <v>27.768252296056474</v>
          </cell>
          <cell r="V31">
            <v>42.305040628803674</v>
          </cell>
          <cell r="W31">
            <v>21.458334305414699</v>
          </cell>
          <cell r="X31">
            <v>38.153339662598349</v>
          </cell>
          <cell r="Y31">
            <v>22.130991964073431</v>
          </cell>
          <cell r="AA31">
            <v>3326.3940000000412</v>
          </cell>
          <cell r="AB31">
            <v>327.01600000000002</v>
          </cell>
          <cell r="AC31">
            <v>636.61200000000076</v>
          </cell>
          <cell r="AD31">
            <v>785.32400000000553</v>
          </cell>
          <cell r="AE31">
            <v>1577.4420000000348</v>
          </cell>
        </row>
        <row r="32">
          <cell r="T32">
            <v>2024</v>
          </cell>
          <cell r="U32">
            <v>29.575314718653122</v>
          </cell>
          <cell r="V32">
            <v>46.401326721214176</v>
          </cell>
          <cell r="W32">
            <v>24.225339559336636</v>
          </cell>
          <cell r="X32">
            <v>39.65400727601051</v>
          </cell>
          <cell r="Y32">
            <v>23.232060863484321</v>
          </cell>
          <cell r="AA32">
            <v>3336.3686785714699</v>
          </cell>
          <cell r="AB32">
            <v>327.01600000000002</v>
          </cell>
          <cell r="AC32">
            <v>636.61200000000076</v>
          </cell>
          <cell r="AD32">
            <v>788.84557142857716</v>
          </cell>
          <cell r="AE32">
            <v>1583.8951071428919</v>
          </cell>
        </row>
        <row r="33">
          <cell r="T33">
            <v>2025</v>
          </cell>
          <cell r="U33">
            <v>31.070083291591487</v>
          </cell>
          <cell r="V33">
            <v>50.466703676430612</v>
          </cell>
          <cell r="W33">
            <v>26.978972613152624</v>
          </cell>
          <cell r="X33">
            <v>40.527151870254926</v>
          </cell>
          <cell r="Y33">
            <v>23.991903564529327</v>
          </cell>
          <cell r="AA33">
            <v>3326.3940000000412</v>
          </cell>
          <cell r="AB33">
            <v>327.01600000000002</v>
          </cell>
          <cell r="AC33">
            <v>636.61200000000076</v>
          </cell>
          <cell r="AD33">
            <v>785.32400000000553</v>
          </cell>
          <cell r="AE33">
            <v>1577.4420000000348</v>
          </cell>
        </row>
        <row r="34">
          <cell r="T34">
            <v>2026</v>
          </cell>
          <cell r="U34">
            <v>32.834021692083404</v>
          </cell>
          <cell r="V34">
            <v>55.48772050724692</v>
          </cell>
          <cell r="W34">
            <v>28.772310020235416</v>
          </cell>
          <cell r="X34">
            <v>42.325580136223522</v>
          </cell>
          <cell r="Y34">
            <v>25.051588978559337</v>
          </cell>
          <cell r="AA34">
            <v>3326.3940000000412</v>
          </cell>
          <cell r="AB34">
            <v>327.01600000000002</v>
          </cell>
          <cell r="AC34">
            <v>636.61200000000076</v>
          </cell>
          <cell r="AD34">
            <v>785.32400000000553</v>
          </cell>
          <cell r="AE34">
            <v>1577.4420000000348</v>
          </cell>
        </row>
        <row r="35">
          <cell r="T35">
            <v>2027</v>
          </cell>
          <cell r="U35">
            <v>35.791308790755473</v>
          </cell>
          <cell r="V35">
            <v>65.667205781387963</v>
          </cell>
          <cell r="W35">
            <v>32.597950382920935</v>
          </cell>
          <cell r="X35">
            <v>44.672553872488081</v>
          </cell>
          <cell r="Y35">
            <v>26.465057201078551</v>
          </cell>
          <cell r="AA35">
            <v>3326.3940000000412</v>
          </cell>
          <cell r="AB35">
            <v>327.01600000000002</v>
          </cell>
          <cell r="AC35">
            <v>636.61200000000076</v>
          </cell>
          <cell r="AD35">
            <v>785.32400000000553</v>
          </cell>
          <cell r="AE35">
            <v>1577.4420000000348</v>
          </cell>
        </row>
        <row r="36">
          <cell r="T36">
            <v>2028</v>
          </cell>
          <cell r="U36">
            <v>36.810800084488129</v>
          </cell>
          <cell r="V36">
            <v>66.342499082712578</v>
          </cell>
          <cell r="W36">
            <v>33.362380158177828</v>
          </cell>
          <cell r="X36">
            <v>46.011367589587501</v>
          </cell>
          <cell r="Y36">
            <v>27.517344073342681</v>
          </cell>
          <cell r="AA36">
            <v>3336.3686785714699</v>
          </cell>
          <cell r="AB36">
            <v>327.01600000000002</v>
          </cell>
          <cell r="AC36">
            <v>636.61200000000076</v>
          </cell>
          <cell r="AD36">
            <v>788.84557142857716</v>
          </cell>
          <cell r="AE36">
            <v>1583.8951071428919</v>
          </cell>
        </row>
        <row r="37">
          <cell r="T37">
            <v>2029</v>
          </cell>
          <cell r="U37">
            <v>38.306072619742267</v>
          </cell>
          <cell r="V37">
            <v>67.803466331429419</v>
          </cell>
          <cell r="W37">
            <v>35.047584461516458</v>
          </cell>
          <cell r="X37">
            <v>47.960762940849811</v>
          </cell>
          <cell r="Y37">
            <v>28.699515256384625</v>
          </cell>
          <cell r="AA37">
            <v>3326.3940000000412</v>
          </cell>
          <cell r="AB37">
            <v>327.01600000000002</v>
          </cell>
          <cell r="AC37">
            <v>636.61200000000076</v>
          </cell>
          <cell r="AD37">
            <v>785.32400000000553</v>
          </cell>
          <cell r="AE37">
            <v>1577.4420000000348</v>
          </cell>
        </row>
        <row r="38">
          <cell r="T38">
            <v>2030</v>
          </cell>
          <cell r="U38">
            <v>39.308780731641029</v>
          </cell>
          <cell r="V38">
            <v>66.58407668399262</v>
          </cell>
          <cell r="W38">
            <v>34.573678392483387</v>
          </cell>
          <cell r="X38">
            <v>50.36073262399438</v>
          </cell>
          <cell r="Y38">
            <v>30.063180399758494</v>
          </cell>
          <cell r="AA38">
            <v>3326.3940000000412</v>
          </cell>
          <cell r="AB38">
            <v>327.01600000000002</v>
          </cell>
          <cell r="AC38">
            <v>636.61200000000076</v>
          </cell>
          <cell r="AD38">
            <v>785.32400000000553</v>
          </cell>
          <cell r="AE38">
            <v>1577.4420000000348</v>
          </cell>
        </row>
        <row r="39">
          <cell r="T39">
            <v>2031</v>
          </cell>
          <cell r="U39">
            <v>39.88091802670705</v>
          </cell>
          <cell r="V39">
            <v>66.951037698724193</v>
          </cell>
          <cell r="W39">
            <v>34.860833797720133</v>
          </cell>
          <cell r="X39">
            <v>51.255920527679045</v>
          </cell>
          <cell r="Y39">
            <v>30.632033530445767</v>
          </cell>
          <cell r="AA39">
            <v>3326.3940000000412</v>
          </cell>
          <cell r="AB39">
            <v>327.01600000000002</v>
          </cell>
          <cell r="AC39">
            <v>636.61200000000076</v>
          </cell>
          <cell r="AD39">
            <v>785.32400000000553</v>
          </cell>
          <cell r="AE39">
            <v>1577.4420000000348</v>
          </cell>
        </row>
        <row r="40">
          <cell r="T40">
            <v>2032</v>
          </cell>
          <cell r="U40">
            <v>40.685776668975123</v>
          </cell>
          <cell r="V40">
            <v>67.640465477569222</v>
          </cell>
          <cell r="W40">
            <v>35.122125114053041</v>
          </cell>
          <cell r="X40">
            <v>52.577579995175959</v>
          </cell>
          <cell r="Y40">
            <v>31.434202182863892</v>
          </cell>
          <cell r="AA40">
            <v>3336.3686785714699</v>
          </cell>
          <cell r="AB40">
            <v>327.01600000000002</v>
          </cell>
          <cell r="AC40">
            <v>636.61200000000076</v>
          </cell>
          <cell r="AD40">
            <v>788.84557142857716</v>
          </cell>
          <cell r="AE40">
            <v>1583.8951071428919</v>
          </cell>
        </row>
        <row r="41">
          <cell r="T41">
            <v>2033</v>
          </cell>
          <cell r="U41">
            <v>41.357321713168275</v>
          </cell>
          <cell r="V41">
            <v>69.118361969168546</v>
          </cell>
          <cell r="W41">
            <v>36.230462816280387</v>
          </cell>
          <cell r="X41">
            <v>53.092723495868448</v>
          </cell>
          <cell r="Y41">
            <v>31.82887178354321</v>
          </cell>
          <cell r="AA41">
            <v>3326.3940000000412</v>
          </cell>
          <cell r="AB41">
            <v>327.01600000000002</v>
          </cell>
          <cell r="AC41">
            <v>636.61200000000076</v>
          </cell>
          <cell r="AD41">
            <v>785.32400000000553</v>
          </cell>
          <cell r="AE41">
            <v>1577.4420000000348</v>
          </cell>
        </row>
        <row r="42">
          <cell r="T42">
            <v>2034</v>
          </cell>
          <cell r="U42">
            <v>41.923325446443272</v>
          </cell>
          <cell r="V42">
            <v>70.854173330606528</v>
          </cell>
          <cell r="W42">
            <v>36.811048655351428</v>
          </cell>
          <cell r="X42">
            <v>53.611854154621106</v>
          </cell>
          <cell r="Y42">
            <v>32.169815955521898</v>
          </cell>
          <cell r="AA42">
            <v>3326.3940000000412</v>
          </cell>
          <cell r="AB42">
            <v>327.01600000000002</v>
          </cell>
          <cell r="AC42">
            <v>636.61200000000076</v>
          </cell>
          <cell r="AD42">
            <v>785.32400000000553</v>
          </cell>
          <cell r="AE42">
            <v>1577.4420000000348</v>
          </cell>
        </row>
        <row r="43">
          <cell r="T43">
            <v>2035</v>
          </cell>
          <cell r="U43">
            <v>44.75867823383939</v>
          </cell>
          <cell r="V43">
            <v>80.964668265187868</v>
          </cell>
          <cell r="W43">
            <v>41.374937333024739</v>
          </cell>
          <cell r="X43">
            <v>55.499415130740552</v>
          </cell>
          <cell r="Y43">
            <v>33.271240701072514</v>
          </cell>
          <cell r="AA43">
            <v>3326.3940000000412</v>
          </cell>
          <cell r="AB43">
            <v>327.01600000000002</v>
          </cell>
          <cell r="AC43">
            <v>636.61200000000076</v>
          </cell>
          <cell r="AD43">
            <v>785.32400000000553</v>
          </cell>
          <cell r="AE43">
            <v>1577.4420000000348</v>
          </cell>
        </row>
        <row r="44">
          <cell r="T44">
            <v>2036</v>
          </cell>
          <cell r="U44">
            <v>45.895588070491492</v>
          </cell>
          <cell r="V44">
            <v>82.607307815328966</v>
          </cell>
          <cell r="W44">
            <v>42.303683944015717</v>
          </cell>
          <cell r="X44">
            <v>57.115925894180606</v>
          </cell>
          <cell r="Y44">
            <v>34.171463036757252</v>
          </cell>
          <cell r="AA44">
            <v>3336.3686785714699</v>
          </cell>
          <cell r="AB44">
            <v>327.01600000000002</v>
          </cell>
          <cell r="AC44">
            <v>636.61200000000076</v>
          </cell>
          <cell r="AD44">
            <v>788.84557142857716</v>
          </cell>
          <cell r="AE44">
            <v>1583.8951071428919</v>
          </cell>
        </row>
        <row r="45">
          <cell r="T45">
            <v>2037</v>
          </cell>
          <cell r="U45">
            <v>46.367672316788529</v>
          </cell>
          <cell r="V45">
            <v>83.897482921522354</v>
          </cell>
          <cell r="W45">
            <v>42.971961090393279</v>
          </cell>
          <cell r="X45">
            <v>57.536754050122624</v>
          </cell>
          <cell r="Y45">
            <v>34.397377388287261</v>
          </cell>
          <cell r="AA45">
            <v>3326.3940000000412</v>
          </cell>
          <cell r="AB45">
            <v>327.01600000000002</v>
          </cell>
          <cell r="AC45">
            <v>636.61200000000076</v>
          </cell>
          <cell r="AD45">
            <v>785.32400000000553</v>
          </cell>
          <cell r="AE45">
            <v>1577.4420000000348</v>
          </cell>
        </row>
        <row r="46">
          <cell r="T46">
            <v>2038</v>
          </cell>
          <cell r="U46">
            <v>49.035370977380502</v>
          </cell>
          <cell r="V46">
            <v>87.542569096090062</v>
          </cell>
          <cell r="W46">
            <v>44.900372903510423</v>
          </cell>
          <cell r="X46">
            <v>60.985830921528787</v>
          </cell>
          <cell r="Y46">
            <v>36.771805336701405</v>
          </cell>
          <cell r="AA46">
            <v>3326.3940000000412</v>
          </cell>
          <cell r="AB46">
            <v>327.01600000000002</v>
          </cell>
          <cell r="AC46">
            <v>636.61200000000076</v>
          </cell>
          <cell r="AD46">
            <v>785.32400000000553</v>
          </cell>
          <cell r="AE46">
            <v>1577.4420000000348</v>
          </cell>
        </row>
        <row r="47">
          <cell r="T47">
            <v>2039</v>
          </cell>
          <cell r="U47">
            <v>51.164838765493364</v>
          </cell>
          <cell r="V47">
            <v>89.221627012791402</v>
          </cell>
          <cell r="W47">
            <v>46.915340796750783</v>
          </cell>
          <cell r="X47">
            <v>63.988226403921118</v>
          </cell>
          <cell r="Y47">
            <v>38.606271579910199</v>
          </cell>
          <cell r="AA47">
            <v>3326.3940000000412</v>
          </cell>
          <cell r="AB47">
            <v>327.01600000000002</v>
          </cell>
          <cell r="AC47">
            <v>636.61200000000076</v>
          </cell>
          <cell r="AD47">
            <v>785.32400000000553</v>
          </cell>
          <cell r="AE47">
            <v>1577.4420000000348</v>
          </cell>
        </row>
        <row r="48">
          <cell r="T48">
            <v>2040</v>
          </cell>
          <cell r="U48">
            <v>53.777829592485269</v>
          </cell>
          <cell r="V48">
            <v>93.540715568979806</v>
          </cell>
          <cell r="W48">
            <v>49.13993475023252</v>
          </cell>
          <cell r="X48">
            <v>67.37738914723208</v>
          </cell>
          <cell r="Y48">
            <v>40.659212934342399</v>
          </cell>
          <cell r="AA48">
            <v>3336.3686785714699</v>
          </cell>
          <cell r="AB48">
            <v>327.01600000000002</v>
          </cell>
          <cell r="AC48">
            <v>636.61200000000076</v>
          </cell>
          <cell r="AD48">
            <v>788.84557142857716</v>
          </cell>
          <cell r="AE48">
            <v>1583.8951071428919</v>
          </cell>
        </row>
        <row r="54">
          <cell r="T54">
            <v>2021</v>
          </cell>
          <cell r="U54">
            <v>24.071888225294767</v>
          </cell>
          <cell r="V54">
            <v>36.47639760382031</v>
          </cell>
          <cell r="W54">
            <v>26.053052767166744</v>
          </cell>
          <cell r="X54">
            <v>24.856804747858551</v>
          </cell>
          <cell r="Y54">
            <v>18.389708512593074</v>
          </cell>
          <cell r="AA54">
            <v>2169.6683308184001</v>
          </cell>
          <cell r="AB54">
            <v>293.88037833748706</v>
          </cell>
          <cell r="AC54">
            <v>813.82417076811862</v>
          </cell>
          <cell r="AD54">
            <v>120.07051203950799</v>
          </cell>
          <cell r="AE54">
            <v>941.89326967328657</v>
          </cell>
        </row>
        <row r="55">
          <cell r="T55">
            <v>2022</v>
          </cell>
          <cell r="U55">
            <v>23.347498411308692</v>
          </cell>
          <cell r="V55">
            <v>34.595565083080238</v>
          </cell>
          <cell r="W55">
            <v>24.722652570186671</v>
          </cell>
          <cell r="X55">
            <v>25.465796803128089</v>
          </cell>
          <cell r="Y55">
            <v>18.379775310077957</v>
          </cell>
          <cell r="AA55">
            <v>2169.6683308184001</v>
          </cell>
          <cell r="AB55">
            <v>293.88037833748706</v>
          </cell>
          <cell r="AC55">
            <v>813.82417076811862</v>
          </cell>
          <cell r="AD55">
            <v>120.07051203950799</v>
          </cell>
          <cell r="AE55">
            <v>941.89326967328657</v>
          </cell>
        </row>
        <row r="56">
          <cell r="T56">
            <v>2023</v>
          </cell>
          <cell r="U56">
            <v>23.114295979850358</v>
          </cell>
          <cell r="V56">
            <v>34.214455478115319</v>
          </cell>
          <cell r="W56">
            <v>24.359677257805956</v>
          </cell>
          <cell r="X56">
            <v>25.238236606788806</v>
          </cell>
          <cell r="Y56">
            <v>18.304129856710592</v>
          </cell>
          <cell r="AA56">
            <v>2169.6683308184001</v>
          </cell>
          <cell r="AB56">
            <v>293.88037833748706</v>
          </cell>
          <cell r="AC56">
            <v>813.82417076811862</v>
          </cell>
          <cell r="AD56">
            <v>120.07051203950799</v>
          </cell>
          <cell r="AE56">
            <v>941.89326967328657</v>
          </cell>
        </row>
        <row r="57">
          <cell r="T57">
            <v>2024</v>
          </cell>
          <cell r="U57">
            <v>25.116557654145559</v>
          </cell>
          <cell r="V57">
            <v>38.2266379316277</v>
          </cell>
          <cell r="W57">
            <v>27.035367132222522</v>
          </cell>
          <cell r="X57">
            <v>26.742676893522287</v>
          </cell>
          <cell r="Y57">
            <v>19.174100011786809</v>
          </cell>
          <cell r="AA57">
            <v>2172.1054371859564</v>
          </cell>
          <cell r="AB57">
            <v>293.88037833748706</v>
          </cell>
          <cell r="AC57">
            <v>813.82417076811862</v>
          </cell>
          <cell r="AD57">
            <v>120.33811927907573</v>
          </cell>
          <cell r="AE57">
            <v>944.06276880127518</v>
          </cell>
        </row>
        <row r="58">
          <cell r="T58">
            <v>2025</v>
          </cell>
          <cell r="U58">
            <v>26.943889837008157</v>
          </cell>
          <cell r="V58">
            <v>42.011421459118246</v>
          </cell>
          <cell r="W58">
            <v>29.575007293773808</v>
          </cell>
          <cell r="X58">
            <v>28.004452211624155</v>
          </cell>
          <cell r="Y58">
            <v>19.834102179372451</v>
          </cell>
          <cell r="AA58">
            <v>2169.6683308184001</v>
          </cell>
          <cell r="AB58">
            <v>293.88037833748706</v>
          </cell>
          <cell r="AC58">
            <v>813.82417076811862</v>
          </cell>
          <cell r="AD58">
            <v>120.07051203950799</v>
          </cell>
          <cell r="AE58">
            <v>941.89326967328657</v>
          </cell>
        </row>
        <row r="59">
          <cell r="T59">
            <v>2026</v>
          </cell>
          <cell r="U59">
            <v>29.172863224511627</v>
          </cell>
          <cell r="V59">
            <v>46.99558017116518</v>
          </cell>
          <cell r="W59">
            <v>32.670368445985936</v>
          </cell>
          <cell r="X59">
            <v>28.862392004114312</v>
          </cell>
          <cell r="Y59">
            <v>20.629620686753611</v>
          </cell>
          <cell r="AA59">
            <v>2169.6683308184001</v>
          </cell>
          <cell r="AB59">
            <v>293.88037833748706</v>
          </cell>
          <cell r="AC59">
            <v>813.82417076811862</v>
          </cell>
          <cell r="AD59">
            <v>120.07051203950799</v>
          </cell>
          <cell r="AE59">
            <v>941.89326967328657</v>
          </cell>
        </row>
        <row r="60">
          <cell r="T60">
            <v>2027</v>
          </cell>
          <cell r="U60">
            <v>33.628854446915263</v>
          </cell>
          <cell r="V60">
            <v>56.95556056349843</v>
          </cell>
          <cell r="W60">
            <v>39.167378706293803</v>
          </cell>
          <cell r="X60">
            <v>30.55810101770102</v>
          </cell>
          <cell r="Y60">
            <v>21.95668356624147</v>
          </cell>
          <cell r="AA60">
            <v>2169.6683308184001</v>
          </cell>
          <cell r="AB60">
            <v>293.88037833748706</v>
          </cell>
          <cell r="AC60">
            <v>813.82417076811862</v>
          </cell>
          <cell r="AD60">
            <v>120.07051203950799</v>
          </cell>
          <cell r="AE60">
            <v>941.89326967328657</v>
          </cell>
        </row>
        <row r="61">
          <cell r="T61">
            <v>2028</v>
          </cell>
          <cell r="U61">
            <v>33.833603034518376</v>
          </cell>
          <cell r="V61">
            <v>57.261903004792181</v>
          </cell>
          <cell r="W61">
            <v>39.436226913684585</v>
          </cell>
          <cell r="X61">
            <v>30.297659060505261</v>
          </cell>
          <cell r="Y61">
            <v>22.161540637715266</v>
          </cell>
          <cell r="AA61">
            <v>2172.1054371859564</v>
          </cell>
          <cell r="AB61">
            <v>293.88037833748706</v>
          </cell>
          <cell r="AC61">
            <v>813.82417076811862</v>
          </cell>
          <cell r="AD61">
            <v>120.33811927907573</v>
          </cell>
          <cell r="AE61">
            <v>944.06276880127518</v>
          </cell>
        </row>
        <row r="62">
          <cell r="T62">
            <v>2029</v>
          </cell>
          <cell r="U62">
            <v>34.624950769096756</v>
          </cell>
          <cell r="V62">
            <v>57.325363741097988</v>
          </cell>
          <cell r="W62">
            <v>40.544311734377601</v>
          </cell>
          <cell r="X62">
            <v>31.126678081659051</v>
          </cell>
          <cell r="Y62">
            <v>22.873634621908352</v>
          </cell>
          <cell r="AA62">
            <v>2169.6683308184001</v>
          </cell>
          <cell r="AB62">
            <v>293.88037833748706</v>
          </cell>
          <cell r="AC62">
            <v>813.82417076811862</v>
          </cell>
          <cell r="AD62">
            <v>120.07051203950799</v>
          </cell>
          <cell r="AE62">
            <v>941.89326967328657</v>
          </cell>
        </row>
        <row r="63">
          <cell r="T63">
            <v>2030</v>
          </cell>
          <cell r="U63">
            <v>34.630701112469154</v>
          </cell>
          <cell r="V63">
            <v>56.486228288121104</v>
          </cell>
          <cell r="W63">
            <v>39.57462993628878</v>
          </cell>
          <cell r="X63">
            <v>31.462001623897134</v>
          </cell>
          <cell r="Y63">
            <v>23.943787505022915</v>
          </cell>
          <cell r="AA63">
            <v>2169.6683308184001</v>
          </cell>
          <cell r="AB63">
            <v>293.88037833748706</v>
          </cell>
          <cell r="AC63">
            <v>813.82417076811862</v>
          </cell>
          <cell r="AD63">
            <v>120.07051203950799</v>
          </cell>
          <cell r="AE63">
            <v>941.89326967328657</v>
          </cell>
        </row>
        <row r="64">
          <cell r="T64">
            <v>2031</v>
          </cell>
          <cell r="U64">
            <v>34.688053475737028</v>
          </cell>
          <cell r="V64">
            <v>56.502125207939372</v>
          </cell>
          <cell r="W64">
            <v>39.604551358529328</v>
          </cell>
          <cell r="X64">
            <v>31.594816789289602</v>
          </cell>
          <cell r="Y64">
            <v>24.02815571792938</v>
          </cell>
          <cell r="AA64">
            <v>2169.6683308184001</v>
          </cell>
          <cell r="AB64">
            <v>293.88037833748706</v>
          </cell>
          <cell r="AC64">
            <v>813.82417076811862</v>
          </cell>
          <cell r="AD64">
            <v>120.07051203950799</v>
          </cell>
          <cell r="AE64">
            <v>941.89326967328657</v>
          </cell>
        </row>
        <row r="65">
          <cell r="T65">
            <v>2032</v>
          </cell>
          <cell r="U65">
            <v>35.246197111639987</v>
          </cell>
          <cell r="V65">
            <v>56.923634389600338</v>
          </cell>
          <cell r="W65">
            <v>40.011385072395242</v>
          </cell>
          <cell r="X65">
            <v>32.559815298598203</v>
          </cell>
          <cell r="Y65">
            <v>24.73278126440314</v>
          </cell>
          <cell r="AA65">
            <v>2172.1054371859564</v>
          </cell>
          <cell r="AB65">
            <v>293.88037833748706</v>
          </cell>
          <cell r="AC65">
            <v>813.82417076811862</v>
          </cell>
          <cell r="AD65">
            <v>120.33811927907573</v>
          </cell>
          <cell r="AE65">
            <v>944.06276880127518</v>
          </cell>
        </row>
        <row r="66">
          <cell r="T66">
            <v>2033</v>
          </cell>
          <cell r="U66">
            <v>35.916221853308087</v>
          </cell>
          <cell r="V66">
            <v>58.271599631636654</v>
          </cell>
          <cell r="W66">
            <v>41.031564625536042</v>
          </cell>
          <cell r="X66">
            <v>32.084423664759612</v>
          </cell>
          <cell r="Y66">
            <v>25.009773289121785</v>
          </cell>
          <cell r="AA66">
            <v>2169.6683308184001</v>
          </cell>
          <cell r="AB66">
            <v>293.88037833748706</v>
          </cell>
          <cell r="AC66">
            <v>813.82417076811862</v>
          </cell>
          <cell r="AD66">
            <v>120.07051203950799</v>
          </cell>
          <cell r="AE66">
            <v>941.89326967328657</v>
          </cell>
        </row>
        <row r="67">
          <cell r="T67">
            <v>2034</v>
          </cell>
          <cell r="U67">
            <v>36.552268894843998</v>
          </cell>
          <cell r="V67">
            <v>60.260525769230583</v>
          </cell>
          <cell r="W67">
            <v>42.198580993806807</v>
          </cell>
          <cell r="X67">
            <v>31.655683339805091</v>
          </cell>
          <cell r="Y67">
            <v>24.900671436491972</v>
          </cell>
          <cell r="AA67">
            <v>2169.6683308184001</v>
          </cell>
          <cell r="AB67">
            <v>293.88037833748706</v>
          </cell>
          <cell r="AC67">
            <v>813.82417076811862</v>
          </cell>
          <cell r="AD67">
            <v>120.07051203950799</v>
          </cell>
          <cell r="AE67">
            <v>941.89326967328657</v>
          </cell>
        </row>
        <row r="68">
          <cell r="T68">
            <v>2035</v>
          </cell>
          <cell r="U68">
            <v>40.617334873307357</v>
          </cell>
          <cell r="V68">
            <v>68.132353930162395</v>
          </cell>
          <cell r="W68">
            <v>48.783577370584538</v>
          </cell>
          <cell r="X68">
            <v>33.547906419109736</v>
          </cell>
          <cell r="Y68">
            <v>25.877681993610626</v>
          </cell>
          <cell r="AA68">
            <v>2169.6683308184001</v>
          </cell>
          <cell r="AB68">
            <v>293.88037833748706</v>
          </cell>
          <cell r="AC68">
            <v>813.82417076811862</v>
          </cell>
          <cell r="AD68">
            <v>120.07051203950799</v>
          </cell>
          <cell r="AE68">
            <v>941.89326967328657</v>
          </cell>
        </row>
        <row r="69">
          <cell r="T69">
            <v>2036</v>
          </cell>
          <cell r="U69">
            <v>41.47061856719656</v>
          </cell>
          <cell r="V69">
            <v>69.924380779863171</v>
          </cell>
          <cell r="W69">
            <v>49.415827354121816</v>
          </cell>
          <cell r="X69">
            <v>34.045431916980895</v>
          </cell>
          <cell r="Y69">
            <v>26.710506400405261</v>
          </cell>
          <cell r="AA69">
            <v>2172.1054371859564</v>
          </cell>
          <cell r="AB69">
            <v>293.88037833748706</v>
          </cell>
          <cell r="AC69">
            <v>813.82417076811862</v>
          </cell>
          <cell r="AD69">
            <v>120.33811927907573</v>
          </cell>
          <cell r="AE69">
            <v>944.06276880127518</v>
          </cell>
        </row>
        <row r="70">
          <cell r="T70">
            <v>2037</v>
          </cell>
          <cell r="U70">
            <v>41.672447605975165</v>
          </cell>
          <cell r="V70">
            <v>71.075984299157838</v>
          </cell>
          <cell r="W70">
            <v>50.183543628208952</v>
          </cell>
          <cell r="X70">
            <v>32.477327115698714</v>
          </cell>
          <cell r="Y70">
            <v>26.316572592706336</v>
          </cell>
          <cell r="AA70">
            <v>2169.6683308184001</v>
          </cell>
          <cell r="AB70">
            <v>293.88037833748706</v>
          </cell>
          <cell r="AC70">
            <v>813.82417076811862</v>
          </cell>
          <cell r="AD70">
            <v>120.07051203950799</v>
          </cell>
          <cell r="AE70">
            <v>941.89326967328657</v>
          </cell>
        </row>
        <row r="71">
          <cell r="T71">
            <v>2038</v>
          </cell>
          <cell r="U71">
            <v>43.84284673149044</v>
          </cell>
          <cell r="V71">
            <v>74.169894086310421</v>
          </cell>
          <cell r="W71">
            <v>52.382237151609957</v>
          </cell>
          <cell r="X71">
            <v>35.477628443188522</v>
          </cell>
          <cell r="Y71">
            <v>28.068585556476702</v>
          </cell>
          <cell r="AA71">
            <v>2169.6683308184001</v>
          </cell>
          <cell r="AB71">
            <v>293.88037833748706</v>
          </cell>
          <cell r="AC71">
            <v>813.82417076811862</v>
          </cell>
          <cell r="AD71">
            <v>120.07051203950799</v>
          </cell>
          <cell r="AE71">
            <v>941.89326967328657</v>
          </cell>
        </row>
        <row r="72">
          <cell r="T72">
            <v>2039</v>
          </cell>
          <cell r="U72">
            <v>45.095450538517454</v>
          </cell>
          <cell r="V72">
            <v>75.229764187980123</v>
          </cell>
          <cell r="W72">
            <v>53.382651542581897</v>
          </cell>
          <cell r="X72">
            <v>36.387809768414016</v>
          </cell>
          <cell r="Y72">
            <v>29.64287479127761</v>
          </cell>
          <cell r="AA72">
            <v>2169.6683308184001</v>
          </cell>
          <cell r="AB72">
            <v>293.88037833748706</v>
          </cell>
          <cell r="AC72">
            <v>813.82417076811862</v>
          </cell>
          <cell r="AD72">
            <v>120.07051203950799</v>
          </cell>
          <cell r="AE72">
            <v>941.89326967328657</v>
          </cell>
        </row>
        <row r="73">
          <cell r="T73">
            <v>2040</v>
          </cell>
          <cell r="U73">
            <v>47.49948552780598</v>
          </cell>
          <cell r="V73">
            <v>80.077233060535519</v>
          </cell>
          <cell r="W73">
            <v>56.134260085491128</v>
          </cell>
          <cell r="X73">
            <v>38.516501856036051</v>
          </cell>
          <cell r="Y73">
            <v>31.059737910590226</v>
          </cell>
          <cell r="AA73">
            <v>2172.1054371859564</v>
          </cell>
          <cell r="AB73">
            <v>293.88037833748706</v>
          </cell>
          <cell r="AC73">
            <v>813.82417076811862</v>
          </cell>
          <cell r="AD73">
            <v>120.33811927907573</v>
          </cell>
          <cell r="AE73">
            <v>944.06276880127518</v>
          </cell>
        </row>
        <row r="79">
          <cell r="T79">
            <v>2021</v>
          </cell>
          <cell r="U79">
            <v>23.940165505817191</v>
          </cell>
          <cell r="V79">
            <v>35.449942289586495</v>
          </cell>
          <cell r="W79">
            <v>26.044967889999683</v>
          </cell>
          <cell r="X79">
            <v>25.324492709459978</v>
          </cell>
          <cell r="Y79">
            <v>20.282912076125847</v>
          </cell>
          <cell r="AA79">
            <v>2179.578</v>
          </cell>
          <cell r="AB79">
            <v>237.51699999999963</v>
          </cell>
          <cell r="AC79">
            <v>699.42100000000096</v>
          </cell>
          <cell r="AD79">
            <v>67.189000000000163</v>
          </cell>
          <cell r="AE79">
            <v>1175.4509999999993</v>
          </cell>
        </row>
        <row r="80">
          <cell r="T80">
            <v>2022</v>
          </cell>
          <cell r="U80">
            <v>23.201535936817631</v>
          </cell>
          <cell r="V80">
            <v>33.506380149631376</v>
          </cell>
          <cell r="W80">
            <v>24.690976130410093</v>
          </cell>
          <cell r="X80">
            <v>25.954536326270631</v>
          </cell>
          <cell r="Y80">
            <v>20.075678052733412</v>
          </cell>
          <cell r="AA80">
            <v>2179.578</v>
          </cell>
          <cell r="AB80">
            <v>237.51699999999963</v>
          </cell>
          <cell r="AC80">
            <v>699.42100000000096</v>
          </cell>
          <cell r="AD80">
            <v>67.189000000000163</v>
          </cell>
          <cell r="AE80">
            <v>1175.4509999999993</v>
          </cell>
        </row>
        <row r="81">
          <cell r="T81">
            <v>2023</v>
          </cell>
          <cell r="U81">
            <v>23.057220820512267</v>
          </cell>
          <cell r="V81">
            <v>33.157097121288274</v>
          </cell>
          <cell r="W81">
            <v>24.443522143085016</v>
          </cell>
          <cell r="X81">
            <v>25.796592312366077</v>
          </cell>
          <cell r="Y81">
            <v>20.03492877445224</v>
          </cell>
          <cell r="AA81">
            <v>2179.578</v>
          </cell>
          <cell r="AB81">
            <v>237.51699999999963</v>
          </cell>
          <cell r="AC81">
            <v>699.42100000000096</v>
          </cell>
          <cell r="AD81">
            <v>67.189000000000163</v>
          </cell>
          <cell r="AE81">
            <v>1175.4509999999993</v>
          </cell>
        </row>
        <row r="82">
          <cell r="T82">
            <v>2024</v>
          </cell>
          <cell r="U82">
            <v>24.728630185635151</v>
          </cell>
          <cell r="V82">
            <v>36.739213508112897</v>
          </cell>
          <cell r="W82">
            <v>26.8330842420918</v>
          </cell>
          <cell r="X82">
            <v>27.328081861388121</v>
          </cell>
          <cell r="Y82">
            <v>20.91432744687614</v>
          </cell>
          <cell r="AA82">
            <v>2183.9111428571432</v>
          </cell>
          <cell r="AB82">
            <v>237.51699999999963</v>
          </cell>
          <cell r="AC82">
            <v>699.42100000000096</v>
          </cell>
          <cell r="AD82">
            <v>67.310964285714462</v>
          </cell>
          <cell r="AE82">
            <v>1179.6621785714283</v>
          </cell>
        </row>
        <row r="83">
          <cell r="T83">
            <v>2025</v>
          </cell>
          <cell r="U83">
            <v>26.206344699548449</v>
          </cell>
          <cell r="V83">
            <v>40.190590482600939</v>
          </cell>
          <cell r="W83">
            <v>29.144611454746599</v>
          </cell>
          <cell r="X83">
            <v>28.548466383946263</v>
          </cell>
          <cell r="Y83">
            <v>21.498410135117744</v>
          </cell>
          <cell r="AA83">
            <v>2179.578</v>
          </cell>
          <cell r="AB83">
            <v>237.51699999999963</v>
          </cell>
          <cell r="AC83">
            <v>699.42100000000096</v>
          </cell>
          <cell r="AD83">
            <v>67.189000000000163</v>
          </cell>
          <cell r="AE83">
            <v>1175.4509999999993</v>
          </cell>
        </row>
        <row r="84">
          <cell r="T84">
            <v>2026</v>
          </cell>
          <cell r="U84">
            <v>28.145973368662936</v>
          </cell>
          <cell r="V84">
            <v>44.384619004883078</v>
          </cell>
          <cell r="W84">
            <v>32.155220112494483</v>
          </cell>
          <cell r="X84">
            <v>29.593622801708083</v>
          </cell>
          <cell r="Y84">
            <v>22.396374380570062</v>
          </cell>
          <cell r="AA84">
            <v>2179.578</v>
          </cell>
          <cell r="AB84">
            <v>237.51699999999963</v>
          </cell>
          <cell r="AC84">
            <v>699.42100000000096</v>
          </cell>
          <cell r="AD84">
            <v>67.189000000000163</v>
          </cell>
          <cell r="AE84">
            <v>1175.4509999999993</v>
          </cell>
        </row>
        <row r="85">
          <cell r="T85">
            <v>2027</v>
          </cell>
          <cell r="U85">
            <v>32.052423983926722</v>
          </cell>
          <cell r="V85">
            <v>53.481517180185079</v>
          </cell>
          <cell r="W85">
            <v>38.619013916241776</v>
          </cell>
          <cell r="X85">
            <v>31.435318705294236</v>
          </cell>
          <cell r="Y85">
            <v>23.850361848474133</v>
          </cell>
          <cell r="AA85">
            <v>2179.578</v>
          </cell>
          <cell r="AB85">
            <v>237.51699999999963</v>
          </cell>
          <cell r="AC85">
            <v>699.42100000000096</v>
          </cell>
          <cell r="AD85">
            <v>67.189000000000163</v>
          </cell>
          <cell r="AE85">
            <v>1175.4509999999993</v>
          </cell>
        </row>
        <row r="86">
          <cell r="T86">
            <v>2028</v>
          </cell>
          <cell r="U86">
            <v>32.372877202827574</v>
          </cell>
          <cell r="V86">
            <v>53.811947417414146</v>
          </cell>
          <cell r="W86">
            <v>38.832310597645829</v>
          </cell>
          <cell r="X86">
            <v>31.251026899928576</v>
          </cell>
          <cell r="Y86">
            <v>24.290483486967805</v>
          </cell>
          <cell r="AA86">
            <v>2183.9111428571432</v>
          </cell>
          <cell r="AB86">
            <v>237.51699999999963</v>
          </cell>
          <cell r="AC86">
            <v>699.42100000000096</v>
          </cell>
          <cell r="AD86">
            <v>67.310964285714462</v>
          </cell>
          <cell r="AE86">
            <v>1179.6621785714283</v>
          </cell>
        </row>
        <row r="87">
          <cell r="T87">
            <v>2029</v>
          </cell>
          <cell r="U87">
            <v>33.444408851355249</v>
          </cell>
          <cell r="V87">
            <v>55.257055281521211</v>
          </cell>
          <cell r="W87">
            <v>40.14499184735795</v>
          </cell>
          <cell r="X87">
            <v>32.090517082094792</v>
          </cell>
          <cell r="Y87">
            <v>25.127230025766071</v>
          </cell>
          <cell r="AA87">
            <v>2179.578</v>
          </cell>
          <cell r="AB87">
            <v>237.51699999999963</v>
          </cell>
          <cell r="AC87">
            <v>699.42100000000096</v>
          </cell>
          <cell r="AD87">
            <v>67.189000000000163</v>
          </cell>
          <cell r="AE87">
            <v>1175.4509999999993</v>
          </cell>
        </row>
        <row r="88">
          <cell r="T88">
            <v>2030</v>
          </cell>
          <cell r="U88">
            <v>33.828150739160606</v>
          </cell>
          <cell r="V88">
            <v>53.8404210492507</v>
          </cell>
          <cell r="W88">
            <v>39.097893965074213</v>
          </cell>
          <cell r="X88">
            <v>32.901664080592134</v>
          </cell>
          <cell r="Y88">
            <v>26.701716909122741</v>
          </cell>
          <cell r="AA88">
            <v>2179.578</v>
          </cell>
          <cell r="AB88">
            <v>237.51699999999963</v>
          </cell>
          <cell r="AC88">
            <v>699.42100000000096</v>
          </cell>
          <cell r="AD88">
            <v>67.189000000000163</v>
          </cell>
          <cell r="AE88">
            <v>1175.4509999999993</v>
          </cell>
        </row>
        <row r="89">
          <cell r="T89">
            <v>2031</v>
          </cell>
          <cell r="U89">
            <v>33.943198119931253</v>
          </cell>
          <cell r="V89">
            <v>53.950342171455674</v>
          </cell>
          <cell r="W89">
            <v>39.168984037164989</v>
          </cell>
          <cell r="X89">
            <v>32.752472324407229</v>
          </cell>
          <cell r="Y89">
            <v>26.859059716690123</v>
          </cell>
          <cell r="AA89">
            <v>2179.578</v>
          </cell>
          <cell r="AB89">
            <v>237.51699999999963</v>
          </cell>
          <cell r="AC89">
            <v>699.42100000000096</v>
          </cell>
          <cell r="AD89">
            <v>67.189000000000163</v>
          </cell>
          <cell r="AE89">
            <v>1175.4509999999993</v>
          </cell>
        </row>
        <row r="90">
          <cell r="T90">
            <v>2032</v>
          </cell>
          <cell r="U90">
            <v>34.529090156731499</v>
          </cell>
          <cell r="V90">
            <v>54.526260086193631</v>
          </cell>
          <cell r="W90">
            <v>39.613605616738056</v>
          </cell>
          <cell r="X90">
            <v>33.808428090419568</v>
          </cell>
          <cell r="Y90">
            <v>27.529309720368378</v>
          </cell>
          <cell r="AA90">
            <v>2183.9111428571432</v>
          </cell>
          <cell r="AB90">
            <v>237.51699999999963</v>
          </cell>
          <cell r="AC90">
            <v>699.42100000000096</v>
          </cell>
          <cell r="AD90">
            <v>67.310964285714462</v>
          </cell>
          <cell r="AE90">
            <v>1179.6621785714283</v>
          </cell>
        </row>
        <row r="91">
          <cell r="T91">
            <v>2033</v>
          </cell>
          <cell r="U91">
            <v>35.290419167490178</v>
          </cell>
          <cell r="V91">
            <v>55.840376087624527</v>
          </cell>
          <cell r="W91">
            <v>40.526996520085916</v>
          </cell>
          <cell r="X91">
            <v>33.818439365154553</v>
          </cell>
          <cell r="Y91">
            <v>28.106252889702368</v>
          </cell>
          <cell r="AA91">
            <v>2179.578</v>
          </cell>
          <cell r="AB91">
            <v>237.51699999999963</v>
          </cell>
          <cell r="AC91">
            <v>699.42100000000096</v>
          </cell>
          <cell r="AD91">
            <v>67.189000000000163</v>
          </cell>
          <cell r="AE91">
            <v>1175.4509999999993</v>
          </cell>
        </row>
        <row r="92">
          <cell r="T92">
            <v>2034</v>
          </cell>
          <cell r="U92">
            <v>35.808123234630912</v>
          </cell>
          <cell r="V92">
            <v>57.504258333744176</v>
          </cell>
          <cell r="W92">
            <v>41.661123090692186</v>
          </cell>
          <cell r="X92">
            <v>33.310209561998668</v>
          </cell>
          <cell r="Y92">
            <v>28.084211637369933</v>
          </cell>
          <cell r="AA92">
            <v>2179.578</v>
          </cell>
          <cell r="AB92">
            <v>237.51699999999963</v>
          </cell>
          <cell r="AC92">
            <v>699.42100000000096</v>
          </cell>
          <cell r="AD92">
            <v>67.189000000000163</v>
          </cell>
          <cell r="AE92">
            <v>1175.4509999999993</v>
          </cell>
        </row>
        <row r="93">
          <cell r="T93">
            <v>2035</v>
          </cell>
          <cell r="U93">
            <v>39.553642347240434</v>
          </cell>
          <cell r="V93">
            <v>66.588632296789697</v>
          </cell>
          <cell r="W93">
            <v>48.5183442531183</v>
          </cell>
          <cell r="X93">
            <v>35.098329258096754</v>
          </cell>
          <cell r="Y93">
            <v>29.011286733597093</v>
          </cell>
          <cell r="AA93">
            <v>2179.578</v>
          </cell>
          <cell r="AB93">
            <v>237.51699999999963</v>
          </cell>
          <cell r="AC93">
            <v>699.42100000000096</v>
          </cell>
          <cell r="AD93">
            <v>67.189000000000163</v>
          </cell>
          <cell r="AE93">
            <v>1175.4509999999993</v>
          </cell>
        </row>
        <row r="94">
          <cell r="T94">
            <v>2036</v>
          </cell>
          <cell r="U94">
            <v>40.443457932482104</v>
          </cell>
          <cell r="V94">
            <v>67.455236643570544</v>
          </cell>
          <cell r="W94">
            <v>49.045333552869828</v>
          </cell>
          <cell r="X94">
            <v>35.823992373966504</v>
          </cell>
          <cell r="Y94">
            <v>30.168356609949285</v>
          </cell>
          <cell r="AA94">
            <v>2183.9111428571432</v>
          </cell>
          <cell r="AB94">
            <v>237.51699999999963</v>
          </cell>
          <cell r="AC94">
            <v>699.42100000000096</v>
          </cell>
          <cell r="AD94">
            <v>67.310964285714462</v>
          </cell>
          <cell r="AE94">
            <v>1179.6621785714283</v>
          </cell>
        </row>
        <row r="95">
          <cell r="T95">
            <v>2037</v>
          </cell>
          <cell r="U95">
            <v>40.653092529961377</v>
          </cell>
          <cell r="V95">
            <v>68.320035637471904</v>
          </cell>
          <cell r="W95">
            <v>49.768477964914915</v>
          </cell>
          <cell r="X95">
            <v>34.444544242587249</v>
          </cell>
          <cell r="Y95">
            <v>29.993596582033209</v>
          </cell>
          <cell r="AA95">
            <v>2179.578</v>
          </cell>
          <cell r="AB95">
            <v>237.51699999999963</v>
          </cell>
          <cell r="AC95">
            <v>699.42100000000096</v>
          </cell>
          <cell r="AD95">
            <v>67.189000000000163</v>
          </cell>
          <cell r="AE95">
            <v>1175.4509999999993</v>
          </cell>
        </row>
        <row r="96">
          <cell r="T96">
            <v>2038</v>
          </cell>
          <cell r="U96">
            <v>42.718091743499564</v>
          </cell>
          <cell r="V96">
            <v>71.408766834392367</v>
          </cell>
          <cell r="W96">
            <v>51.934812879233661</v>
          </cell>
          <cell r="X96">
            <v>37.212616155074663</v>
          </cell>
          <cell r="Y96">
            <v>31.751250939646294</v>
          </cell>
          <cell r="AA96">
            <v>2179.578</v>
          </cell>
          <cell r="AB96">
            <v>237.51699999999963</v>
          </cell>
          <cell r="AC96">
            <v>699.42100000000096</v>
          </cell>
          <cell r="AD96">
            <v>67.189000000000163</v>
          </cell>
          <cell r="AE96">
            <v>1175.4509999999993</v>
          </cell>
        </row>
        <row r="97">
          <cell r="T97">
            <v>2039</v>
          </cell>
          <cell r="U97">
            <v>44.304338924142201</v>
          </cell>
          <cell r="V97">
            <v>72.631008180965239</v>
          </cell>
          <cell r="W97">
            <v>52.770079300862015</v>
          </cell>
          <cell r="X97">
            <v>38.811104047917986</v>
          </cell>
          <cell r="Y97">
            <v>33.85720234099238</v>
          </cell>
          <cell r="AA97">
            <v>2179.578</v>
          </cell>
          <cell r="AB97">
            <v>237.51699999999963</v>
          </cell>
          <cell r="AC97">
            <v>699.42100000000096</v>
          </cell>
          <cell r="AD97">
            <v>67.189000000000163</v>
          </cell>
          <cell r="AE97">
            <v>1175.4509999999993</v>
          </cell>
        </row>
        <row r="98">
          <cell r="T98">
            <v>2040</v>
          </cell>
          <cell r="U98">
            <v>46.3142221077362</v>
          </cell>
          <cell r="V98">
            <v>76.250087754261898</v>
          </cell>
          <cell r="W98">
            <v>55.181781694299289</v>
          </cell>
          <cell r="X98">
            <v>40.862406530626913</v>
          </cell>
          <cell r="Y98">
            <v>35.340345292905774</v>
          </cell>
          <cell r="AA98">
            <v>2183.9111428571432</v>
          </cell>
          <cell r="AB98">
            <v>237.51699999999963</v>
          </cell>
          <cell r="AC98">
            <v>699.42100000000096</v>
          </cell>
          <cell r="AD98">
            <v>67.310964285714462</v>
          </cell>
          <cell r="AE98">
            <v>1179.6621785714283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Table A - Combined"/>
      <sheetName val="Table B - Energy"/>
      <sheetName val="Table C - Capacity"/>
      <sheetName val="Table D - Integration"/>
      <sheetName val="Exhibit 1 - Market Capacity"/>
      <sheetName val="CONF Exhibit 2 - Planned Cap"/>
      <sheetName val="Exhibit 3 - Levelized Capacity"/>
      <sheetName val="Exhibit 4 - Comparison"/>
      <sheetName val="XX Support Pages - Do Not Print"/>
      <sheetName val="Escalation"/>
      <sheetName val="Profiles"/>
      <sheetName val="Portfol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Exhibit 4</v>
          </cell>
        </row>
        <row r="2">
          <cell r="B2" t="str">
            <v>Comparison between Proposed and Current Standard Fixed Avoided Costs</v>
          </cell>
        </row>
        <row r="3">
          <cell r="B3" t="str">
            <v>Average Combined Energy and Capacity Price at Expected Output</v>
          </cell>
        </row>
        <row r="5">
          <cell r="C5" t="str">
            <v>$/MWh</v>
          </cell>
          <cell r="F5" t="str">
            <v>$/MWh</v>
          </cell>
          <cell r="I5" t="str">
            <v>$/MWh</v>
          </cell>
          <cell r="L5" t="str">
            <v>$/MWh</v>
          </cell>
        </row>
        <row r="6">
          <cell r="C6" t="str">
            <v>Baseload</v>
          </cell>
          <cell r="F6" t="str">
            <v>Wind</v>
          </cell>
          <cell r="I6" t="str">
            <v>Fixed Tilt Solar</v>
          </cell>
          <cell r="L6" t="str">
            <v>Tracking Solar</v>
          </cell>
        </row>
        <row r="7">
          <cell r="B7" t="str">
            <v>Year</v>
          </cell>
          <cell r="C7" t="str">
            <v>Proposed</v>
          </cell>
          <cell r="F7" t="str">
            <v>Proposed</v>
          </cell>
          <cell r="I7" t="str">
            <v>Proposed</v>
          </cell>
          <cell r="L7" t="str">
            <v>Proposed</v>
          </cell>
        </row>
        <row r="10">
          <cell r="B10">
            <v>2020</v>
          </cell>
          <cell r="C10">
            <v>42.967801121393727</v>
          </cell>
          <cell r="F10">
            <v>32.383623403144774</v>
          </cell>
          <cell r="I10">
            <v>24.239988421505956</v>
          </cell>
          <cell r="L10">
            <v>24.662918073805265</v>
          </cell>
        </row>
        <row r="11">
          <cell r="B11">
            <v>2021</v>
          </cell>
          <cell r="C11">
            <v>48.761122478494528</v>
          </cell>
          <cell r="F11">
            <v>38.020795167209386</v>
          </cell>
          <cell r="I11">
            <v>29.287981252310871</v>
          </cell>
          <cell r="L11">
            <v>29.810250883900295</v>
          </cell>
        </row>
        <row r="12">
          <cell r="B12">
            <v>2022</v>
          </cell>
          <cell r="C12">
            <v>48.269304516960965</v>
          </cell>
          <cell r="F12">
            <v>37.117891570595475</v>
          </cell>
          <cell r="I12">
            <v>29.153996115372692</v>
          </cell>
          <cell r="L12">
            <v>30.656577141567748</v>
          </cell>
        </row>
        <row r="13">
          <cell r="B13">
            <v>2023</v>
          </cell>
          <cell r="C13">
            <v>45.93420370035242</v>
          </cell>
          <cell r="F13">
            <v>34.314809164564757</v>
          </cell>
          <cell r="I13">
            <v>27.671372916038187</v>
          </cell>
          <cell r="L13">
            <v>29.98823739647678</v>
          </cell>
        </row>
        <row r="14">
          <cell r="B14">
            <v>2024</v>
          </cell>
          <cell r="C14">
            <v>47.122644253635713</v>
          </cell>
          <cell r="F14">
            <v>34.989778139720137</v>
          </cell>
          <cell r="I14">
            <v>29.158675209167463</v>
          </cell>
          <cell r="L14">
            <v>31.908194003744047</v>
          </cell>
        </row>
        <row r="15">
          <cell r="B15">
            <v>2025</v>
          </cell>
          <cell r="C15">
            <v>50.602807637640169</v>
          </cell>
          <cell r="F15">
            <v>38.037562868601128</v>
          </cell>
          <cell r="I15">
            <v>32.000091332998004</v>
          </cell>
          <cell r="L15">
            <v>34.964534205223181</v>
          </cell>
        </row>
        <row r="16">
          <cell r="B16">
            <v>2026</v>
          </cell>
          <cell r="C16">
            <v>53.115910200188765</v>
          </cell>
          <cell r="F16">
            <v>40.379914671352047</v>
          </cell>
          <cell r="I16">
            <v>33.745074650990169</v>
          </cell>
          <cell r="L16">
            <v>36.928919128957894</v>
          </cell>
        </row>
        <row r="17">
          <cell r="B17">
            <v>2027</v>
          </cell>
          <cell r="C17">
            <v>54.285946135551903</v>
          </cell>
          <cell r="F17">
            <v>41.296088154622169</v>
          </cell>
          <cell r="I17">
            <v>34.364937331752593</v>
          </cell>
          <cell r="L17">
            <v>37.453836107438178</v>
          </cell>
        </row>
        <row r="18">
          <cell r="B18">
            <v>2028</v>
          </cell>
          <cell r="C18">
            <v>56.645262568023298</v>
          </cell>
          <cell r="F18">
            <v>43.314483941209893</v>
          </cell>
          <cell r="I18">
            <v>36.138335483268939</v>
          </cell>
          <cell r="L18">
            <v>39.462248929948608</v>
          </cell>
        </row>
        <row r="19">
          <cell r="B19">
            <v>2029</v>
          </cell>
          <cell r="C19">
            <v>59.057995175629912</v>
          </cell>
          <cell r="F19">
            <v>45.21173033164677</v>
          </cell>
          <cell r="I19">
            <v>37.775545987795574</v>
          </cell>
          <cell r="L19">
            <v>41.207508958048351</v>
          </cell>
        </row>
        <row r="20">
          <cell r="B20">
            <v>2030</v>
          </cell>
          <cell r="C20">
            <v>60.955779894577837</v>
          </cell>
          <cell r="F20">
            <v>46.701718444164399</v>
          </cell>
          <cell r="I20">
            <v>39.216720866235342</v>
          </cell>
          <cell r="L20">
            <v>42.781170594568266</v>
          </cell>
        </row>
        <row r="21">
          <cell r="B21">
            <v>2031</v>
          </cell>
          <cell r="C21">
            <v>63.394987030783383</v>
          </cell>
          <cell r="F21">
            <v>48.818417371438187</v>
          </cell>
          <cell r="I21">
            <v>40.959503844750742</v>
          </cell>
          <cell r="L21">
            <v>44.745983450772563</v>
          </cell>
        </row>
        <row r="22">
          <cell r="B22">
            <v>2032</v>
          </cell>
          <cell r="C22">
            <v>65.798561347064862</v>
          </cell>
          <cell r="F22">
            <v>51.066588899923126</v>
          </cell>
          <cell r="I22">
            <v>42.65773728157194</v>
          </cell>
          <cell r="L22">
            <v>46.53890114665267</v>
          </cell>
        </row>
        <row r="23">
          <cell r="B23">
            <v>2033</v>
          </cell>
          <cell r="C23">
            <v>70.092218870578549</v>
          </cell>
          <cell r="F23">
            <v>54.717823258644621</v>
          </cell>
          <cell r="I23">
            <v>46.314584233700899</v>
          </cell>
          <cell r="L23">
            <v>50.642196399456516</v>
          </cell>
        </row>
        <row r="24">
          <cell r="B24">
            <v>2034</v>
          </cell>
          <cell r="C24">
            <v>72.986639242809133</v>
          </cell>
          <cell r="F24">
            <v>57.115664355652058</v>
          </cell>
          <cell r="I24">
            <v>48.770218235229308</v>
          </cell>
          <cell r="L24">
            <v>53.634746311730346</v>
          </cell>
        </row>
        <row r="25">
          <cell r="B25">
            <v>2035</v>
          </cell>
          <cell r="C25">
            <v>76.232415835831205</v>
          </cell>
          <cell r="F25">
            <v>59.524137452991731</v>
          </cell>
          <cell r="I25">
            <v>51.753596432005153</v>
          </cell>
          <cell r="L25">
            <v>56.956739769455915</v>
          </cell>
        </row>
        <row r="26">
          <cell r="B26">
            <v>2036</v>
          </cell>
          <cell r="C26">
            <v>77.35995957132269</v>
          </cell>
          <cell r="F26">
            <v>60.439147301629141</v>
          </cell>
          <cell r="I26">
            <v>52.217255220813605</v>
          </cell>
          <cell r="L26">
            <v>57.588421539735705</v>
          </cell>
        </row>
        <row r="27">
          <cell r="B27">
            <v>2037</v>
          </cell>
          <cell r="C27">
            <v>85.34886524671721</v>
          </cell>
          <cell r="F27">
            <v>67.394174468710219</v>
          </cell>
          <cell r="I27">
            <v>60.19108914768082</v>
          </cell>
          <cell r="L27">
            <v>67.056480545450427</v>
          </cell>
        </row>
        <row r="28">
          <cell r="B28">
            <v>2038</v>
          </cell>
          <cell r="C28">
            <v>89.149007884884824</v>
          </cell>
          <cell r="F28">
            <v>70.79800317955133</v>
          </cell>
          <cell r="I28">
            <v>63.132990205750609</v>
          </cell>
          <cell r="L28">
            <v>70.20660110519205</v>
          </cell>
        </row>
        <row r="29">
          <cell r="B29">
            <v>2039</v>
          </cell>
          <cell r="C29">
            <v>91.703195425932066</v>
          </cell>
          <cell r="F29">
            <v>72.925816846657568</v>
          </cell>
          <cell r="I29">
            <v>64.923203205031953</v>
          </cell>
          <cell r="L29">
            <v>72.134158357691959</v>
          </cell>
        </row>
        <row r="33">
          <cell r="B33" t="str">
            <v>(x) Extrapolated</v>
          </cell>
        </row>
        <row r="35">
          <cell r="B35" t="str">
            <v xml:space="preserve"> 15 Year Nominal Levelized Price ($/MWh) at 6.910% Discount Rate (2017 IRP Update)</v>
          </cell>
        </row>
        <row r="36">
          <cell r="B36" t="str">
            <v>(2020-2034)</v>
          </cell>
          <cell r="C36">
            <v>53.615005103442115</v>
          </cell>
          <cell r="F36">
            <v>40.970240804258559</v>
          </cell>
          <cell r="I36">
            <v>33.541795917896415</v>
          </cell>
          <cell r="L36">
            <v>36.130750351791058</v>
          </cell>
        </row>
        <row r="37">
          <cell r="B37" t="str">
            <v>(2021-2035)</v>
          </cell>
          <cell r="C37">
            <v>55.683683770898561</v>
          </cell>
          <cell r="F37">
            <v>42.651132168887429</v>
          </cell>
          <cell r="I37">
            <v>35.287057283929556</v>
          </cell>
          <cell r="L37">
            <v>38.217233481124019</v>
          </cell>
        </row>
        <row r="38">
          <cell r="B38" t="str">
            <v>(2022-2036)</v>
          </cell>
          <cell r="C38">
            <v>57.308025781219534</v>
          </cell>
          <cell r="F38">
            <v>43.869421317805553</v>
          </cell>
          <cell r="I38">
            <v>36.620399609842693</v>
          </cell>
          <cell r="L38">
            <v>39.91126381986416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8"/>
  <sheetViews>
    <sheetView workbookViewId="0">
      <selection activeCell="A18" sqref="A18"/>
    </sheetView>
  </sheetViews>
  <sheetFormatPr defaultColWidth="9.33203125" defaultRowHeight="12.75"/>
  <cols>
    <col min="1" max="1" width="1.5" style="3" customWidth="1"/>
    <col min="2" max="2" width="8.832031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4" width="9.33203125" style="3" customWidth="1"/>
    <col min="25" max="25" width="3.33203125" style="3" customWidth="1"/>
    <col min="26" max="16384" width="9.33203125" style="3"/>
  </cols>
  <sheetData>
    <row r="1" spans="2:24" ht="15.75" customHeight="1">
      <c r="B1" s="341" t="s">
        <v>179</v>
      </c>
      <c r="C1" s="341"/>
      <c r="D1" s="341"/>
      <c r="E1" s="341"/>
      <c r="F1" s="341"/>
      <c r="G1" s="341"/>
      <c r="H1" s="341"/>
      <c r="I1" s="341"/>
      <c r="N1" s="341" t="s">
        <v>180</v>
      </c>
      <c r="O1" s="341"/>
      <c r="P1" s="341"/>
      <c r="Q1" s="341"/>
      <c r="R1" s="341"/>
      <c r="S1" s="341"/>
      <c r="T1" s="341"/>
      <c r="U1" s="341"/>
    </row>
    <row r="2" spans="2:24" ht="18.75" customHeight="1">
      <c r="B2" s="341" t="s">
        <v>172</v>
      </c>
      <c r="C2" s="341"/>
      <c r="D2" s="341"/>
      <c r="E2" s="341"/>
      <c r="F2" s="341"/>
      <c r="G2" s="341"/>
      <c r="H2" s="341"/>
      <c r="I2" s="341"/>
      <c r="N2" s="341" t="s">
        <v>172</v>
      </c>
      <c r="O2" s="341"/>
      <c r="P2" s="341"/>
      <c r="Q2" s="341"/>
      <c r="R2" s="341"/>
      <c r="S2" s="341"/>
      <c r="T2" s="341"/>
      <c r="U2" s="341"/>
    </row>
    <row r="3" spans="2:24" ht="15" thickBot="1">
      <c r="B3" s="186"/>
      <c r="C3" s="186"/>
      <c r="D3" s="186"/>
      <c r="E3" s="186"/>
      <c r="F3" s="186"/>
      <c r="G3" s="186"/>
      <c r="H3" s="186"/>
      <c r="I3" s="197"/>
      <c r="J3" s="197"/>
      <c r="N3" s="186"/>
    </row>
    <row r="4" spans="2:24" ht="14.25" thickTop="1" thickBot="1">
      <c r="B4" s="217"/>
      <c r="C4" s="342" t="s">
        <v>189</v>
      </c>
      <c r="D4" s="343"/>
      <c r="E4" s="343"/>
      <c r="F4" s="343"/>
      <c r="G4" s="344"/>
      <c r="H4" s="342" t="s">
        <v>190</v>
      </c>
      <c r="I4" s="343"/>
      <c r="J4" s="343"/>
      <c r="K4" s="343"/>
      <c r="L4" s="344"/>
      <c r="N4" s="217"/>
      <c r="O4" s="342" t="s">
        <v>191</v>
      </c>
      <c r="P4" s="343"/>
      <c r="Q4" s="343"/>
      <c r="R4" s="343"/>
      <c r="S4" s="344"/>
      <c r="T4" s="342" t="s">
        <v>192</v>
      </c>
      <c r="U4" s="343"/>
      <c r="V4" s="343"/>
      <c r="W4" s="343"/>
      <c r="X4" s="344"/>
    </row>
    <row r="5" spans="2:24" ht="13.5" thickBot="1">
      <c r="B5" s="218"/>
      <c r="C5" s="338" t="s">
        <v>151</v>
      </c>
      <c r="D5" s="339"/>
      <c r="E5" s="339"/>
      <c r="F5" s="339"/>
      <c r="G5" s="340"/>
      <c r="H5" s="338" t="s">
        <v>168</v>
      </c>
      <c r="I5" s="339"/>
      <c r="J5" s="339"/>
      <c r="K5" s="339"/>
      <c r="L5" s="340"/>
      <c r="N5" s="218"/>
      <c r="O5" s="338" t="s">
        <v>168</v>
      </c>
      <c r="P5" s="339"/>
      <c r="Q5" s="339"/>
      <c r="R5" s="339"/>
      <c r="S5" s="340"/>
      <c r="T5" s="338" t="s">
        <v>168</v>
      </c>
      <c r="U5" s="339"/>
      <c r="V5" s="339"/>
      <c r="W5" s="339"/>
      <c r="X5" s="340"/>
    </row>
    <row r="6" spans="2:24">
      <c r="B6" s="335" t="s">
        <v>2</v>
      </c>
      <c r="C6" s="336" t="s">
        <v>188</v>
      </c>
      <c r="D6" s="219" t="s">
        <v>0</v>
      </c>
      <c r="E6" s="220" t="s">
        <v>1</v>
      </c>
      <c r="F6" s="229" t="s">
        <v>0</v>
      </c>
      <c r="G6" s="220" t="s">
        <v>1</v>
      </c>
      <c r="H6" s="336" t="s">
        <v>188</v>
      </c>
      <c r="I6" s="219" t="s">
        <v>0</v>
      </c>
      <c r="J6" s="220" t="s">
        <v>1</v>
      </c>
      <c r="K6" s="229" t="s">
        <v>0</v>
      </c>
      <c r="L6" s="230" t="s">
        <v>1</v>
      </c>
      <c r="N6" s="335" t="s">
        <v>2</v>
      </c>
      <c r="O6" s="336" t="s">
        <v>188</v>
      </c>
      <c r="P6" s="219" t="s">
        <v>0</v>
      </c>
      <c r="Q6" s="220" t="s">
        <v>1</v>
      </c>
      <c r="R6" s="229" t="s">
        <v>0</v>
      </c>
      <c r="S6" s="220" t="s">
        <v>1</v>
      </c>
      <c r="T6" s="336" t="s">
        <v>188</v>
      </c>
      <c r="U6" s="219" t="s">
        <v>0</v>
      </c>
      <c r="V6" s="220" t="s">
        <v>1</v>
      </c>
      <c r="W6" s="229" t="s">
        <v>0</v>
      </c>
      <c r="X6" s="230" t="s">
        <v>1</v>
      </c>
    </row>
    <row r="7" spans="2:24" ht="13.5" thickBot="1">
      <c r="B7" s="335" t="s">
        <v>2</v>
      </c>
      <c r="C7" s="337" t="s">
        <v>186</v>
      </c>
      <c r="D7" s="221" t="s">
        <v>111</v>
      </c>
      <c r="E7" s="222" t="s">
        <v>111</v>
      </c>
      <c r="F7" s="222" t="s">
        <v>112</v>
      </c>
      <c r="G7" s="222" t="s">
        <v>112</v>
      </c>
      <c r="H7" s="337" t="s">
        <v>186</v>
      </c>
      <c r="I7" s="221" t="s">
        <v>111</v>
      </c>
      <c r="J7" s="222" t="s">
        <v>111</v>
      </c>
      <c r="K7" s="222" t="s">
        <v>112</v>
      </c>
      <c r="L7" s="243" t="s">
        <v>112</v>
      </c>
      <c r="N7" s="335" t="s">
        <v>2</v>
      </c>
      <c r="O7" s="337" t="s">
        <v>186</v>
      </c>
      <c r="P7" s="221" t="s">
        <v>111</v>
      </c>
      <c r="Q7" s="222" t="s">
        <v>111</v>
      </c>
      <c r="R7" s="222" t="s">
        <v>112</v>
      </c>
      <c r="S7" s="222" t="s">
        <v>112</v>
      </c>
      <c r="T7" s="337" t="s">
        <v>186</v>
      </c>
      <c r="U7" s="221" t="s">
        <v>111</v>
      </c>
      <c r="V7" s="222" t="s">
        <v>111</v>
      </c>
      <c r="W7" s="222" t="s">
        <v>112</v>
      </c>
      <c r="X7" s="243" t="s">
        <v>112</v>
      </c>
    </row>
    <row r="8" spans="2:24" ht="13.5" thickBot="1">
      <c r="B8" s="223"/>
      <c r="C8" s="332" t="s">
        <v>14</v>
      </c>
      <c r="D8" s="333"/>
      <c r="E8" s="333"/>
      <c r="F8" s="333"/>
      <c r="G8" s="334"/>
      <c r="H8" s="332" t="s">
        <v>14</v>
      </c>
      <c r="I8" s="333"/>
      <c r="J8" s="333"/>
      <c r="K8" s="333"/>
      <c r="L8" s="334"/>
      <c r="N8" s="223"/>
      <c r="O8" s="332" t="s">
        <v>14</v>
      </c>
      <c r="P8" s="333"/>
      <c r="Q8" s="333"/>
      <c r="R8" s="333"/>
      <c r="S8" s="334"/>
      <c r="T8" s="332" t="s">
        <v>14</v>
      </c>
      <c r="U8" s="333"/>
      <c r="V8" s="333"/>
      <c r="W8" s="333"/>
      <c r="X8" s="334"/>
    </row>
    <row r="9" spans="2:24" ht="13.5" thickBot="1">
      <c r="B9" s="224"/>
      <c r="C9" s="220" t="s">
        <v>4</v>
      </c>
      <c r="D9" s="220" t="s">
        <v>5</v>
      </c>
      <c r="E9" s="220" t="s">
        <v>6</v>
      </c>
      <c r="F9" s="220" t="s">
        <v>7</v>
      </c>
      <c r="G9" s="225" t="s">
        <v>8</v>
      </c>
      <c r="H9" s="220" t="s">
        <v>4</v>
      </c>
      <c r="I9" s="220" t="s">
        <v>5</v>
      </c>
      <c r="J9" s="220" t="s">
        <v>6</v>
      </c>
      <c r="K9" s="220" t="s">
        <v>7</v>
      </c>
      <c r="L9" s="225" t="s">
        <v>8</v>
      </c>
      <c r="N9" s="224"/>
      <c r="O9" s="220" t="s">
        <v>4</v>
      </c>
      <c r="P9" s="220" t="s">
        <v>5</v>
      </c>
      <c r="Q9" s="220" t="s">
        <v>6</v>
      </c>
      <c r="R9" s="220" t="s">
        <v>7</v>
      </c>
      <c r="S9" s="225" t="s">
        <v>8</v>
      </c>
      <c r="T9" s="220" t="s">
        <v>4</v>
      </c>
      <c r="U9" s="220" t="s">
        <v>5</v>
      </c>
      <c r="V9" s="220" t="s">
        <v>6</v>
      </c>
      <c r="W9" s="220" t="s">
        <v>7</v>
      </c>
      <c r="X9" s="225" t="s">
        <v>8</v>
      </c>
    </row>
    <row r="10" spans="2:24" ht="5.25" customHeight="1">
      <c r="B10" s="239"/>
      <c r="C10" s="226"/>
      <c r="D10" s="227"/>
      <c r="E10" s="228"/>
      <c r="F10" s="229"/>
      <c r="G10" s="230"/>
      <c r="H10" s="226"/>
      <c r="I10" s="227"/>
      <c r="J10" s="228"/>
      <c r="K10" s="229"/>
      <c r="L10" s="230"/>
      <c r="N10" s="239"/>
      <c r="O10" s="226"/>
      <c r="P10" s="227"/>
      <c r="Q10" s="228"/>
      <c r="R10" s="229"/>
      <c r="S10" s="230"/>
      <c r="T10" s="226"/>
      <c r="U10" s="227"/>
      <c r="V10" s="228"/>
      <c r="W10" s="229"/>
      <c r="X10" s="230"/>
    </row>
    <row r="11" spans="2:24">
      <c r="B11" s="240">
        <f>[2]Energy!$T$4</f>
        <v>2021</v>
      </c>
      <c r="C11" s="231">
        <f>SUMPRODUCT(D11:G11,Profiles!D11:G11)/SUM(Profiles!D11:G11)</f>
        <v>44.001598524836503</v>
      </c>
      <c r="D11" s="232">
        <f>'Table B - Energy'!D11+INDEX('Table C - Capacity'!$12:$32,MATCH($B11,'Table C - Capacity'!$B$12:$B$32,0),MATCH(C$4,'Table C - Capacity'!$4:$4,0)+IF(D$7="Winter",2,3))</f>
        <v>46.153543359801873</v>
      </c>
      <c r="E11" s="233">
        <f>'Table B - Energy'!E11+INDEX('Table C - Capacity'!$12:$32,MATCH($B11,'Table C - Capacity'!$B$12:$B$32,0),MATCH(C$4,'Table C - Capacity'!$4:$4,0)+IF(E$7="Winter",2,3))</f>
        <v>31.075922475028239</v>
      </c>
      <c r="F11" s="233">
        <f>'Table B - Energy'!F11+INDEX('Table C - Capacity'!$12:$32,MATCH($B11,'Table C - Capacity'!$B$12:$B$32,0),MATCH(C$4,'Table C - Capacity'!$4:$4,0)+IF(F$7="Winter",2,3))</f>
        <v>76.036396244263258</v>
      </c>
      <c r="G11" s="234">
        <f>'Table B - Energy'!G11+INDEX('Table C - Capacity'!$12:$32,MATCH($B11,'Table C - Capacity'!$B$12:$B$32,0),MATCH(C$4,'Table C - Capacity'!$4:$4,0)+IF(G$7="Winter",2,3))</f>
        <v>51.586478211476553</v>
      </c>
      <c r="H11" s="231">
        <f>SUMPRODUCT(I11:L11,Profiles!I11:L11)/SUM(Profiles!I11:L11)</f>
        <v>33.290912757614848</v>
      </c>
      <c r="I11" s="232">
        <f>'Table B - Energy'!I11+INDEX('Table C - Capacity'!$12:$32,MATCH($B11,'Table C - Capacity'!$B$12:$B$32,0),MATCH(H$4,'Table C - Capacity'!$4:$4,0)+IF(I$7="Winter",2,3))</f>
        <v>41.031833161409963</v>
      </c>
      <c r="J11" s="233">
        <f>'Table B - Energy'!J11+INDEX('Table C - Capacity'!$12:$32,MATCH($B11,'Table C - Capacity'!$B$12:$B$32,0),MATCH(H$4,'Table C - Capacity'!$4:$4,0)+IF(J$7="Winter",2,3))</f>
        <v>25.100651897881132</v>
      </c>
      <c r="K11" s="233">
        <f>'Table B - Energy'!K11+INDEX('Table C - Capacity'!$12:$32,MATCH($B11,'Table C - Capacity'!$B$12:$B$32,0),MATCH(H$4,'Table C - Capacity'!$4:$4,0)+IF(K$7="Winter",2,3))</f>
        <v>54.607372385210788</v>
      </c>
      <c r="L11" s="234">
        <f>'Table B - Energy'!L11+INDEX('Table C - Capacity'!$12:$32,MATCH($B11,'Table C - Capacity'!$B$12:$B$32,0),MATCH(H$4,'Table C - Capacity'!$4:$4,0)+IF(L$7="Winter",2,3))</f>
        <v>33.086247332414572</v>
      </c>
      <c r="N11" s="240">
        <f>$B$11</f>
        <v>2021</v>
      </c>
      <c r="O11" s="231">
        <f>SUMPRODUCT(P11:S11,Profiles!N11:Q11)/SUM(Profiles!N11:Q11)</f>
        <v>25.040509361127949</v>
      </c>
      <c r="P11" s="232">
        <f>'Table B - Energy'!P11+INDEX('Table C - Capacity'!$12:$32,MATCH($B11,'Table C - Capacity'!$B$12:$B$32,0),MATCH(O$4,'Table C - Capacity'!$4:$4,0)+IF(P$7="Winter",2,3))</f>
        <v>25.973607413161108</v>
      </c>
      <c r="Q11" s="233">
        <f>'Table B - Energy'!Q11+INDEX('Table C - Capacity'!$12:$32,MATCH($B11,'Table C - Capacity'!$B$12:$B$32,0),MATCH(O$4,'Table C - Capacity'!$4:$4,0)+IF(Q$7="Winter",2,3))</f>
        <v>20.932026779826977</v>
      </c>
      <c r="R11" s="233">
        <f>'Table B - Energy'!R11+INDEX('Table C - Capacity'!$12:$32,MATCH($B11,'Table C - Capacity'!$B$12:$B$32,0),MATCH(O$4,'Table C - Capacity'!$4:$4,0)+IF(R$7="Winter",2,3))</f>
        <v>37.148741317979045</v>
      </c>
      <c r="S11" s="234">
        <f>'Table B - Energy'!S11+INDEX('Table C - Capacity'!$12:$32,MATCH($B11,'Table C - Capacity'!$B$12:$B$32,0),MATCH(O$4,'Table C - Capacity'!$4:$4,0)+IF(S$7="Winter",2,3))</f>
        <v>27.743766918392236</v>
      </c>
      <c r="T11" s="231">
        <f>SUMPRODUCT(U11:X11,Profiles!S11:V11)/SUM(Profiles!S11:V11)</f>
        <v>25.177374315126407</v>
      </c>
      <c r="U11" s="232">
        <f>'Table B - Energy'!U11+INDEX('Table C - Capacity'!$12:$32,MATCH($B11,'Table C - Capacity'!$B$12:$B$32,0),MATCH(T$4,'Table C - Capacity'!$4:$4,0)+IF(U$7="Winter",2,3))</f>
        <v>25.616594120243452</v>
      </c>
      <c r="V11" s="233">
        <f>'Table B - Energy'!V11+INDEX('Table C - Capacity'!$12:$32,MATCH($B11,'Table C - Capacity'!$B$12:$B$32,0),MATCH(T$4,'Table C - Capacity'!$4:$4,0)+IF(V$7="Winter",2,3))</f>
        <v>19.149497884977976</v>
      </c>
      <c r="W11" s="233">
        <f>'Table B - Energy'!W11+INDEX('Table C - Capacity'!$12:$32,MATCH($B11,'Table C - Capacity'!$B$12:$B$32,0),MATCH(T$4,'Table C - Capacity'!$4:$4,0)+IF(W$7="Winter",2,3))</f>
        <v>37.913305455601929</v>
      </c>
      <c r="X11" s="234">
        <f>'Table B - Energy'!X11+INDEX('Table C - Capacity'!$12:$32,MATCH($B11,'Table C - Capacity'!$B$12:$B$32,0),MATCH(T$4,'Table C - Capacity'!$4:$4,0)+IF(X$7="Winter",2,3))</f>
        <v>27.489960618948363</v>
      </c>
    </row>
    <row r="12" spans="2:24">
      <c r="B12" s="240">
        <f t="shared" ref="B12:B30" si="0">B11+1</f>
        <v>2022</v>
      </c>
      <c r="C12" s="231">
        <f>SUMPRODUCT(D12:G12,Profiles!D12:G12)/SUM(Profiles!D12:G12)</f>
        <v>43.036355609488396</v>
      </c>
      <c r="D12" s="232">
        <f>'Table B - Energy'!D12+INDEX('Table C - Capacity'!$12:$32,MATCH($B12,'Table C - Capacity'!$B$12:$B$32,0),MATCH(C$4,'Table C - Capacity'!$4:$4,0)+IF(D$7="Winter",2,3))</f>
        <v>45.372647045927721</v>
      </c>
      <c r="E12" s="233">
        <f>'Table B - Energy'!E12+INDEX('Table C - Capacity'!$12:$32,MATCH($B12,'Table C - Capacity'!$B$12:$B$32,0),MATCH(C$4,'Table C - Capacity'!$4:$4,0)+IF(E$7="Winter",2,3))</f>
        <v>29.925278218767357</v>
      </c>
      <c r="F12" s="233">
        <f>'Table B - Energy'!F12+INDEX('Table C - Capacity'!$12:$32,MATCH($B12,'Table C - Capacity'!$B$12:$B$32,0),MATCH(C$4,'Table C - Capacity'!$4:$4,0)+IF(F$7="Winter",2,3))</f>
        <v>73.923769660951947</v>
      </c>
      <c r="G12" s="234">
        <f>'Table B - Energy'!G12+INDEX('Table C - Capacity'!$12:$32,MATCH($B12,'Table C - Capacity'!$B$12:$B$32,0),MATCH(C$4,'Table C - Capacity'!$4:$4,0)+IF(G$7="Winter",2,3))</f>
        <v>51.380619046197872</v>
      </c>
      <c r="H12" s="231">
        <f>SUMPRODUCT(I12:L12,Profiles!I12:L12)/SUM(Profiles!I12:L12)</f>
        <v>32.215487083465334</v>
      </c>
      <c r="I12" s="232">
        <f>'Table B - Energy'!I12+INDEX('Table C - Capacity'!$12:$32,MATCH($B12,'Table C - Capacity'!$B$12:$B$32,0),MATCH(H$4,'Table C - Capacity'!$4:$4,0)+IF(I$7="Winter",2,3))</f>
        <v>40.063996481348759</v>
      </c>
      <c r="J12" s="233">
        <f>'Table B - Energy'!J12+INDEX('Table C - Capacity'!$12:$32,MATCH($B12,'Table C - Capacity'!$B$12:$B$32,0),MATCH(H$4,'Table C - Capacity'!$4:$4,0)+IF(J$7="Winter",2,3))</f>
        <v>23.929275994923145</v>
      </c>
      <c r="K12" s="233">
        <f>'Table B - Energy'!K12+INDEX('Table C - Capacity'!$12:$32,MATCH($B12,'Table C - Capacity'!$B$12:$B$32,0),MATCH(H$4,'Table C - Capacity'!$4:$4,0)+IF(K$7="Winter",2,3))</f>
        <v>52.739249822193969</v>
      </c>
      <c r="L12" s="234">
        <f>'Table B - Energy'!L12+INDEX('Table C - Capacity'!$12:$32,MATCH($B12,'Table C - Capacity'!$B$12:$B$32,0),MATCH(H$4,'Table C - Capacity'!$4:$4,0)+IF(L$7="Winter",2,3))</f>
        <v>32.523046164633975</v>
      </c>
      <c r="N12" s="240">
        <f t="shared" ref="N12:N30" si="1">N11+1</f>
        <v>2022</v>
      </c>
      <c r="O12" s="231">
        <f>SUMPRODUCT(P12:S12,Profiles!N12:Q12)/SUM(Profiles!N12:Q12)</f>
        <v>24.323886669234849</v>
      </c>
      <c r="P12" s="232">
        <f>'Table B - Energy'!P12+INDEX('Table C - Capacity'!$12:$32,MATCH($B12,'Table C - Capacity'!$B$12:$B$32,0),MATCH(O$4,'Table C - Capacity'!$4:$4,0)+IF(P$7="Winter",2,3))</f>
        <v>26.616633324045786</v>
      </c>
      <c r="Q12" s="233">
        <f>'Table B - Energy'!Q12+INDEX('Table C - Capacity'!$12:$32,MATCH($B12,'Table C - Capacity'!$B$12:$B$32,0),MATCH(O$4,'Table C - Capacity'!$4:$4,0)+IF(Q$7="Winter",2,3))</f>
        <v>20.737775050508567</v>
      </c>
      <c r="R12" s="233">
        <f>'Table B - Energy'!R12+INDEX('Table C - Capacity'!$12:$32,MATCH($B12,'Table C - Capacity'!$B$12:$B$32,0),MATCH(O$4,'Table C - Capacity'!$4:$4,0)+IF(R$7="Winter",2,3))</f>
        <v>35.239155158591778</v>
      </c>
      <c r="S12" s="234">
        <f>'Table B - Energy'!S12+INDEX('Table C - Capacity'!$12:$32,MATCH($B12,'Table C - Capacity'!$B$12:$B$32,0),MATCH(O$4,'Table C - Capacity'!$4:$4,0)+IF(S$7="Winter",2,3))</f>
        <v>26.423751139370495</v>
      </c>
      <c r="T12" s="231">
        <f>SUMPRODUCT(U12:X12,Profiles!S12:V12)/SUM(Profiles!S12:V12)</f>
        <v>24.475094222937113</v>
      </c>
      <c r="U12" s="232">
        <f>'Table B - Energy'!U12+INDEX('Table C - Capacity'!$12:$32,MATCH($B12,'Table C - Capacity'!$B$12:$B$32,0),MATCH(T$4,'Table C - Capacity'!$4:$4,0)+IF(U$7="Winter",2,3))</f>
        <v>26.240781962960689</v>
      </c>
      <c r="V12" s="233">
        <f>'Table B - Energy'!V12+INDEX('Table C - Capacity'!$12:$32,MATCH($B12,'Table C - Capacity'!$B$12:$B$32,0),MATCH(T$4,'Table C - Capacity'!$4:$4,0)+IF(V$7="Winter",2,3))</f>
        <v>19.154760469910556</v>
      </c>
      <c r="W12" s="233">
        <f>'Table B - Energy'!W12+INDEX('Table C - Capacity'!$12:$32,MATCH($B12,'Table C - Capacity'!$B$12:$B$32,0),MATCH(T$4,'Table C - Capacity'!$4:$4,0)+IF(W$7="Winter",2,3))</f>
        <v>36.061211091897491</v>
      </c>
      <c r="X12" s="234">
        <f>'Table B - Energy'!X12+INDEX('Table C - Capacity'!$12:$32,MATCH($B12,'Table C - Capacity'!$B$12:$B$32,0),MATCH(T$4,'Table C - Capacity'!$4:$4,0)+IF(X$7="Winter",2,3))</f>
        <v>26.18829857900392</v>
      </c>
    </row>
    <row r="13" spans="2:24">
      <c r="B13" s="240">
        <f t="shared" si="0"/>
        <v>2023</v>
      </c>
      <c r="C13" s="231">
        <f>SUMPRODUCT(D13:G13,Profiles!D13:G13)/SUM(Profiles!D13:G13)</f>
        <v>43.12029503273537</v>
      </c>
      <c r="D13" s="232">
        <f>'Table B - Energy'!D13+INDEX('Table C - Capacity'!$12:$32,MATCH($B13,'Table C - Capacity'!$B$12:$B$32,0),MATCH(C$4,'Table C - Capacity'!$4:$4,0)+IF(D$7="Winter",2,3))</f>
        <v>45.602839387125499</v>
      </c>
      <c r="E13" s="233">
        <f>'Table B - Energy'!E13+INDEX('Table C - Capacity'!$12:$32,MATCH($B13,'Table C - Capacity'!$B$12:$B$32,0),MATCH(C$4,'Table C - Capacity'!$4:$4,0)+IF(E$7="Winter",2,3))</f>
        <v>30.322191238977556</v>
      </c>
      <c r="F13" s="233">
        <f>'Table B - Energy'!F13+INDEX('Table C - Capacity'!$12:$32,MATCH($B13,'Table C - Capacity'!$B$12:$B$32,0),MATCH(C$4,'Table C - Capacity'!$4:$4,0)+IF(F$7="Winter",2,3))</f>
        <v>74.014424583690129</v>
      </c>
      <c r="G13" s="234">
        <f>'Table B - Energy'!G13+INDEX('Table C - Capacity'!$12:$32,MATCH($B13,'Table C - Capacity'!$B$12:$B$32,0),MATCH(C$4,'Table C - Capacity'!$4:$4,0)+IF(G$7="Winter",2,3))</f>
        <v>50.692165362378887</v>
      </c>
      <c r="H13" s="231">
        <f>SUMPRODUCT(I13:L13,Profiles!I13:L13)/SUM(Profiles!I13:L13)</f>
        <v>32.180469833036426</v>
      </c>
      <c r="I13" s="232">
        <f>'Table B - Energy'!I13+INDEX('Table C - Capacity'!$12:$32,MATCH($B13,'Table C - Capacity'!$B$12:$B$32,0),MATCH(H$4,'Table C - Capacity'!$4:$4,0)+IF(I$7="Winter",2,3))</f>
        <v>40.24225177683725</v>
      </c>
      <c r="J13" s="233">
        <f>'Table B - Energy'!J13+INDEX('Table C - Capacity'!$12:$32,MATCH($B13,'Table C - Capacity'!$B$12:$B$32,0),MATCH(H$4,'Table C - Capacity'!$4:$4,0)+IF(J$7="Winter",2,3))</f>
        <v>24.219904078312332</v>
      </c>
      <c r="K13" s="233">
        <f>'Table B - Energy'!K13+INDEX('Table C - Capacity'!$12:$32,MATCH($B13,'Table C - Capacity'!$B$12:$B$32,0),MATCH(H$4,'Table C - Capacity'!$4:$4,0)+IF(K$7="Winter",2,3))</f>
        <v>52.413882859614709</v>
      </c>
      <c r="L13" s="234">
        <f>'Table B - Energy'!L13+INDEX('Table C - Capacity'!$12:$32,MATCH($B13,'Table C - Capacity'!$B$12:$B$32,0),MATCH(H$4,'Table C - Capacity'!$4:$4,0)+IF(L$7="Winter",2,3))</f>
        <v>31.567176536225734</v>
      </c>
      <c r="N13" s="240">
        <f t="shared" si="1"/>
        <v>2023</v>
      </c>
      <c r="O13" s="231">
        <f>SUMPRODUCT(P13:S13,Profiles!N13:Q13)/SUM(Profiles!N13:Q13)</f>
        <v>24.200896216845251</v>
      </c>
      <c r="P13" s="232">
        <f>'Table B - Energy'!P13+INDEX('Table C - Capacity'!$12:$32,MATCH($B13,'Table C - Capacity'!$B$12:$B$32,0),MATCH(O$4,'Table C - Capacity'!$4:$4,0)+IF(P$7="Winter",2,3))</f>
        <v>26.471269153098959</v>
      </c>
      <c r="Q13" s="233">
        <f>'Table B - Energy'!Q13+INDEX('Table C - Capacity'!$12:$32,MATCH($B13,'Table C - Capacity'!$B$12:$B$32,0),MATCH(O$4,'Table C - Capacity'!$4:$4,0)+IF(Q$7="Winter",2,3))</f>
        <v>20.709605615185122</v>
      </c>
      <c r="R13" s="233">
        <f>'Table B - Energy'!R13+INDEX('Table C - Capacity'!$12:$32,MATCH($B13,'Table C - Capacity'!$B$12:$B$32,0),MATCH(O$4,'Table C - Capacity'!$4:$4,0)+IF(R$7="Winter",2,3))</f>
        <v>34.922794855418921</v>
      </c>
      <c r="S13" s="234">
        <f>'Table B - Energy'!S13+INDEX('Table C - Capacity'!$12:$32,MATCH($B13,'Table C - Capacity'!$B$12:$B$32,0),MATCH(O$4,'Table C - Capacity'!$4:$4,0)+IF(S$7="Winter",2,3))</f>
        <v>26.209219877215666</v>
      </c>
      <c r="T13" s="231">
        <f>SUMPRODUCT(U13:X13,Profiles!S13:V13)/SUM(Profiles!S13:V13)</f>
        <v>24.263316111899684</v>
      </c>
      <c r="U13" s="232">
        <f>'Table B - Energy'!U13+INDEX('Table C - Capacity'!$12:$32,MATCH($B13,'Table C - Capacity'!$B$12:$B$32,0),MATCH(T$4,'Table C - Capacity'!$4:$4,0)+IF(U$7="Winter",2,3))</f>
        <v>26.027946484658223</v>
      </c>
      <c r="V13" s="233">
        <f>'Table B - Energy'!V13+INDEX('Table C - Capacity'!$12:$32,MATCH($B13,'Table C - Capacity'!$B$12:$B$32,0),MATCH(T$4,'Table C - Capacity'!$4:$4,0)+IF(V$7="Winter",2,3))</f>
        <v>19.093839734580008</v>
      </c>
      <c r="W13" s="233">
        <f>'Table B - Energy'!W13+INDEX('Table C - Capacity'!$12:$32,MATCH($B13,'Table C - Capacity'!$B$12:$B$32,0),MATCH(T$4,'Table C - Capacity'!$4:$4,0)+IF(W$7="Winter",2,3))</f>
        <v>35.707948761100099</v>
      </c>
      <c r="X13" s="234">
        <f>'Table B - Energy'!X13+INDEX('Table C - Capacity'!$12:$32,MATCH($B13,'Table C - Capacity'!$B$12:$B$32,0),MATCH(T$4,'Table C - Capacity'!$4:$4,0)+IF(X$7="Winter",2,3))</f>
        <v>25.853170540790735</v>
      </c>
    </row>
    <row r="14" spans="2:24">
      <c r="B14" s="240">
        <f t="shared" si="0"/>
        <v>2024</v>
      </c>
      <c r="C14" s="231">
        <f>SUMPRODUCT(D14:G14,Profiles!D14:G14)/SUM(Profiles!D14:G14)</f>
        <v>45.391784279020392</v>
      </c>
      <c r="D14" s="232">
        <f>'Table B - Energy'!D14+INDEX('Table C - Capacity'!$12:$32,MATCH($B14,'Table C - Capacity'!$B$12:$B$32,0),MATCH(C$4,'Table C - Capacity'!$4:$4,0)+IF(D$7="Winter",2,3))</f>
        <v>47.28968043412732</v>
      </c>
      <c r="E14" s="233">
        <f>'Table B - Energy'!E14+INDEX('Table C - Capacity'!$12:$32,MATCH($B14,'Table C - Capacity'!$B$12:$B$32,0),MATCH(C$4,'Table C - Capacity'!$4:$4,0)+IF(E$7="Winter",2,3))</f>
        <v>31.627505741504184</v>
      </c>
      <c r="F14" s="233">
        <f>'Table B - Energy'!F14+INDEX('Table C - Capacity'!$12:$32,MATCH($B14,'Table C - Capacity'!$B$12:$B$32,0),MATCH(C$4,'Table C - Capacity'!$4:$4,0)+IF(F$7="Winter",2,3))</f>
        <v>79.324096477003607</v>
      </c>
      <c r="G14" s="234">
        <f>'Table B - Energy'!G14+INDEX('Table C - Capacity'!$12:$32,MATCH($B14,'Table C - Capacity'!$B$12:$B$32,0),MATCH(C$4,'Table C - Capacity'!$4:$4,0)+IF(G$7="Winter",2,3))</f>
        <v>54.05628909995427</v>
      </c>
      <c r="H14" s="231">
        <f>SUMPRODUCT(I14:L14,Profiles!I14:L14)/SUM(Profiles!I14:L14)</f>
        <v>34.068691745079214</v>
      </c>
      <c r="I14" s="232">
        <f>'Table B - Energy'!I14+INDEX('Table C - Capacity'!$12:$32,MATCH($B14,'Table C - Capacity'!$B$12:$B$32,0),MATCH(H$4,'Table C - Capacity'!$4:$4,0)+IF(I$7="Winter",2,3))</f>
        <v>41.78469763253419</v>
      </c>
      <c r="J14" s="233">
        <f>'Table B - Energy'!J14+INDEX('Table C - Capacity'!$12:$32,MATCH($B14,'Table C - Capacity'!$B$12:$B$32,0),MATCH(H$4,'Table C - Capacity'!$4:$4,0)+IF(J$7="Winter",2,3))</f>
        <v>25.362751220008001</v>
      </c>
      <c r="K14" s="233">
        <f>'Table B - Energy'!K14+INDEX('Table C - Capacity'!$12:$32,MATCH($B14,'Table C - Capacity'!$B$12:$B$32,0),MATCH(H$4,'Table C - Capacity'!$4:$4,0)+IF(K$7="Winter",2,3))</f>
        <v>56.712345796641429</v>
      </c>
      <c r="L14" s="234">
        <f>'Table B - Energy'!L14+INDEX('Table C - Capacity'!$12:$32,MATCH($B14,'Table C - Capacity'!$B$12:$B$32,0),MATCH(H$4,'Table C - Capacity'!$4:$4,0)+IF(L$7="Winter",2,3))</f>
        <v>34.536358634763893</v>
      </c>
      <c r="N14" s="240">
        <f t="shared" si="1"/>
        <v>2024</v>
      </c>
      <c r="O14" s="231">
        <f>SUMPRODUCT(P14:S14,Profiles!N14:Q14)/SUM(Profiles!N14:Q14)</f>
        <v>25.894229929255772</v>
      </c>
      <c r="P14" s="232">
        <f>'Table B - Energy'!P14+INDEX('Table C - Capacity'!$12:$32,MATCH($B14,'Table C - Capacity'!$B$12:$B$32,0),MATCH(O$4,'Table C - Capacity'!$4:$4,0)+IF(P$7="Winter",2,3))</f>
        <v>28.01625223893566</v>
      </c>
      <c r="Q14" s="233">
        <f>'Table B - Energy'!Q14+INDEX('Table C - Capacity'!$12:$32,MATCH($B14,'Table C - Capacity'!$B$12:$B$32,0),MATCH(O$4,'Table C - Capacity'!$4:$4,0)+IF(Q$7="Winter",2,3))</f>
        <v>21.602497824423679</v>
      </c>
      <c r="R14" s="233">
        <f>'Table B - Energy'!R14+INDEX('Table C - Capacity'!$12:$32,MATCH($B14,'Table C - Capacity'!$B$12:$B$32,0),MATCH(O$4,'Table C - Capacity'!$4:$4,0)+IF(R$7="Winter",2,3))</f>
        <v>38.540225196926158</v>
      </c>
      <c r="S14" s="234">
        <f>'Table B - Energy'!S14+INDEX('Table C - Capacity'!$12:$32,MATCH($B14,'Table C - Capacity'!$B$12:$B$32,0),MATCH(O$4,'Table C - Capacity'!$4:$4,0)+IF(S$7="Winter",2,3))</f>
        <v>28.634095930905065</v>
      </c>
      <c r="T14" s="231">
        <f>SUMPRODUCT(U14:X14,Profiles!S14:V14)/SUM(Profiles!S14:V14)</f>
        <v>26.28814697912177</v>
      </c>
      <c r="U14" s="232">
        <f>'Table B - Energy'!U14+INDEX('Table C - Capacity'!$12:$32,MATCH($B14,'Table C - Capacity'!$B$12:$B$32,0),MATCH(T$4,'Table C - Capacity'!$4:$4,0)+IF(U$7="Winter",2,3))</f>
        <v>27.548180968949094</v>
      </c>
      <c r="V14" s="233">
        <f>'Table B - Energy'!V14+INDEX('Table C - Capacity'!$12:$32,MATCH($B14,'Table C - Capacity'!$B$12:$B$32,0),MATCH(T$4,'Table C - Capacity'!$4:$4,0)+IF(V$7="Winter",2,3))</f>
        <v>19.979604087213616</v>
      </c>
      <c r="W14" s="233">
        <f>'Table B - Energy'!W14+INDEX('Table C - Capacity'!$12:$32,MATCH($B14,'Table C - Capacity'!$B$12:$B$32,0),MATCH(T$4,'Table C - Capacity'!$4:$4,0)+IF(W$7="Winter",2,3))</f>
        <v>39.75000108027217</v>
      </c>
      <c r="X14" s="234">
        <f>'Table B - Energy'!X14+INDEX('Table C - Capacity'!$12:$32,MATCH($B14,'Table C - Capacity'!$B$12:$B$32,0),MATCH(T$4,'Table C - Capacity'!$4:$4,0)+IF(X$7="Winter",2,3))</f>
        <v>28.558730280866996</v>
      </c>
    </row>
    <row r="15" spans="2:24">
      <c r="B15" s="240">
        <f t="shared" si="0"/>
        <v>2025</v>
      </c>
      <c r="C15" s="231">
        <f>SUMPRODUCT(D15:G15,Profiles!D15:G15)/SUM(Profiles!D15:G15)</f>
        <v>47.404602859338148</v>
      </c>
      <c r="D15" s="232">
        <f>'Table B - Energy'!D15+INDEX('Table C - Capacity'!$12:$32,MATCH($B15,'Table C - Capacity'!$B$12:$B$32,0),MATCH(C$4,'Table C - Capacity'!$4:$4,0)+IF(D$7="Winter",2,3))</f>
        <v>48.39278094289412</v>
      </c>
      <c r="E15" s="233">
        <f>'Table B - Energy'!E15+INDEX('Table C - Capacity'!$12:$32,MATCH($B15,'Table C - Capacity'!$B$12:$B$32,0),MATCH(C$4,'Table C - Capacity'!$4:$4,0)+IF(E$7="Winter",2,3))</f>
        <v>32.576759852359167</v>
      </c>
      <c r="F15" s="233">
        <f>'Table B - Energy'!F15+INDEX('Table C - Capacity'!$12:$32,MATCH($B15,'Table C - Capacity'!$B$12:$B$32,0),MATCH(C$4,'Table C - Capacity'!$4:$4,0)+IF(F$7="Winter",2,3))</f>
        <v>84.505656621872745</v>
      </c>
      <c r="G15" s="234">
        <f>'Table B - Energy'!G15+INDEX('Table C - Capacity'!$12:$32,MATCH($B15,'Table C - Capacity'!$B$12:$B$32,0),MATCH(C$4,'Table C - Capacity'!$4:$4,0)+IF(G$7="Winter",2,3))</f>
        <v>57.404094121872831</v>
      </c>
      <c r="H15" s="231">
        <f>SUMPRODUCT(I15:L15,Profiles!I15:L15)/SUM(Profiles!I15:L15)</f>
        <v>35.665054878952752</v>
      </c>
      <c r="I15" s="232">
        <f>'Table B - Energy'!I15+INDEX('Table C - Capacity'!$12:$32,MATCH($B15,'Table C - Capacity'!$B$12:$B$32,0),MATCH(H$4,'Table C - Capacity'!$4:$4,0)+IF(I$7="Winter",2,3))</f>
        <v>42.702586724265601</v>
      </c>
      <c r="J15" s="233">
        <f>'Table B - Energy'!J15+INDEX('Table C - Capacity'!$12:$32,MATCH($B15,'Table C - Capacity'!$B$12:$B$32,0),MATCH(H$4,'Table C - Capacity'!$4:$4,0)+IF(J$7="Winter",2,3))</f>
        <v>26.167338418540002</v>
      </c>
      <c r="K15" s="233">
        <f>'Table B - Energy'!K15+INDEX('Table C - Capacity'!$12:$32,MATCH($B15,'Table C - Capacity'!$B$12:$B$32,0),MATCH(H$4,'Table C - Capacity'!$4:$4,0)+IF(K$7="Winter",2,3))</f>
        <v>60.99425415244184</v>
      </c>
      <c r="L15" s="234">
        <f>'Table B - Energy'!L15+INDEX('Table C - Capacity'!$12:$32,MATCH($B15,'Table C - Capacity'!$B$12:$B$32,0),MATCH(H$4,'Table C - Capacity'!$4:$4,0)+IF(L$7="Winter",2,3))</f>
        <v>37.506523089163849</v>
      </c>
      <c r="N15" s="240">
        <f t="shared" si="1"/>
        <v>2025</v>
      </c>
      <c r="O15" s="231">
        <f>SUMPRODUCT(P15:S15,Profiles!N15:Q15)/SUM(Profiles!N15:Q15)</f>
        <v>27.397391130797399</v>
      </c>
      <c r="P15" s="232">
        <f>'Table B - Energy'!P15+INDEX('Table C - Capacity'!$12:$32,MATCH($B15,'Table C - Capacity'!$B$12:$B$32,0),MATCH(O$4,'Table C - Capacity'!$4:$4,0)+IF(P$7="Winter",2,3))</f>
        <v>29.251088339422299</v>
      </c>
      <c r="Q15" s="233">
        <f>'Table B - Energy'!Q15+INDEX('Table C - Capacity'!$12:$32,MATCH($B15,'Table C - Capacity'!$B$12:$B$32,0),MATCH(O$4,'Table C - Capacity'!$4:$4,0)+IF(Q$7="Winter",2,3))</f>
        <v>22.201032090593781</v>
      </c>
      <c r="R15" s="233">
        <f>'Table B - Energy'!R15+INDEX('Table C - Capacity'!$12:$32,MATCH($B15,'Table C - Capacity'!$B$12:$B$32,0),MATCH(O$4,'Table C - Capacity'!$4:$4,0)+IF(R$7="Winter",2,3))</f>
        <v>42.029423416879283</v>
      </c>
      <c r="S15" s="234">
        <f>'Table B - Energy'!S15+INDEX('Table C - Capacity'!$12:$32,MATCH($B15,'Table C - Capacity'!$B$12:$B$32,0),MATCH(O$4,'Table C - Capacity'!$4:$4,0)+IF(S$7="Winter",2,3))</f>
        <v>30.983444389024942</v>
      </c>
      <c r="T15" s="231">
        <f>SUMPRODUCT(U15:X15,Profiles!S15:V15)/SUM(Profiles!S15:V15)</f>
        <v>28.140502382926559</v>
      </c>
      <c r="U15" s="232">
        <f>'Table B - Energy'!U15+INDEX('Table C - Capacity'!$12:$32,MATCH($B15,'Table C - Capacity'!$B$12:$B$32,0),MATCH(T$4,'Table C - Capacity'!$4:$4,0)+IF(U$7="Winter",2,3))</f>
        <v>28.826871872634925</v>
      </c>
      <c r="V15" s="233">
        <f>'Table B - Energy'!V15+INDEX('Table C - Capacity'!$12:$32,MATCH($B15,'Table C - Capacity'!$B$12:$B$32,0),MATCH(T$4,'Table C - Capacity'!$4:$4,0)+IF(V$7="Winter",2,3))</f>
        <v>20.65652184038322</v>
      </c>
      <c r="W15" s="233">
        <f>'Table B - Energy'!W15+INDEX('Table C - Capacity'!$12:$32,MATCH($B15,'Table C - Capacity'!$B$12:$B$32,0),MATCH(T$4,'Table C - Capacity'!$4:$4,0)+IF(W$7="Winter",2,3))</f>
        <v>43.56677523388425</v>
      </c>
      <c r="X15" s="234">
        <f>'Table B - Energy'!X15+INDEX('Table C - Capacity'!$12:$32,MATCH($B15,'Table C - Capacity'!$B$12:$B$32,0),MATCH(T$4,'Table C - Capacity'!$4:$4,0)+IF(X$7="Winter",2,3))</f>
        <v>31.130361068539816</v>
      </c>
    </row>
    <row r="16" spans="2:24">
      <c r="B16" s="240">
        <f t="shared" si="0"/>
        <v>2026</v>
      </c>
      <c r="C16" s="231">
        <f>SUMPRODUCT(D16:G16,Profiles!D16:G16)/SUM(Profiles!D16:G16)</f>
        <v>49.588961259349709</v>
      </c>
      <c r="D16" s="232">
        <f>'Table B - Energy'!D16+INDEX('Table C - Capacity'!$12:$32,MATCH($B16,'Table C - Capacity'!$B$12:$B$32,0),MATCH(C$4,'Table C - Capacity'!$4:$4,0)+IF(D$7="Winter",2,3))</f>
        <v>50.239229204992405</v>
      </c>
      <c r="E16" s="233">
        <f>'Table B - Energy'!E16+INDEX('Table C - Capacity'!$12:$32,MATCH($B16,'Table C - Capacity'!$B$12:$B$32,0),MATCH(C$4,'Table C - Capacity'!$4:$4,0)+IF(E$7="Winter",2,3))</f>
        <v>33.774293505403932</v>
      </c>
      <c r="F16" s="233">
        <f>'Table B - Energy'!F16+INDEX('Table C - Capacity'!$12:$32,MATCH($B16,'Table C - Capacity'!$B$12:$B$32,0),MATCH(C$4,'Table C - Capacity'!$4:$4,0)+IF(F$7="Winter",2,3))</f>
        <v>90.564851744667806</v>
      </c>
      <c r="G16" s="234">
        <f>'Table B - Energy'!G16+INDEX('Table C - Capacity'!$12:$32,MATCH($B16,'Table C - Capacity'!$B$12:$B$32,0),MATCH(C$4,'Table C - Capacity'!$4:$4,0)+IF(G$7="Winter",2,3))</f>
        <v>59.953120187290963</v>
      </c>
      <c r="H16" s="231">
        <f>SUMPRODUCT(I16:L16,Profiles!I16:L16)/SUM(Profiles!I16:L16)</f>
        <v>37.534677625953954</v>
      </c>
      <c r="I16" s="232">
        <f>'Table B - Energy'!I16+INDEX('Table C - Capacity'!$12:$32,MATCH($B16,'Table C - Capacity'!$B$12:$B$32,0),MATCH(H$4,'Table C - Capacity'!$4:$4,0)+IF(I$7="Winter",2,3))</f>
        <v>44.55104999187644</v>
      </c>
      <c r="J16" s="233">
        <f>'Table B - Energy'!J16+INDEX('Table C - Capacity'!$12:$32,MATCH($B16,'Table C - Capacity'!$B$12:$B$32,0),MATCH(H$4,'Table C - Capacity'!$4:$4,0)+IF(J$7="Winter",2,3))</f>
        <v>27.277058834212259</v>
      </c>
      <c r="K16" s="233">
        <f>'Table B - Energy'!K16+INDEX('Table C - Capacity'!$12:$32,MATCH($B16,'Table C - Capacity'!$B$12:$B$32,0),MATCH(H$4,'Table C - Capacity'!$4:$4,0)+IF(K$7="Winter",2,3))</f>
        <v>66.257404644206403</v>
      </c>
      <c r="L16" s="234">
        <f>'Table B - Energy'!L16+INDEX('Table C - Capacity'!$12:$32,MATCH($B16,'Table C - Capacity'!$B$12:$B$32,0),MATCH(H$4,'Table C - Capacity'!$4:$4,0)+IF(L$7="Winter",2,3))</f>
        <v>39.541994157194907</v>
      </c>
      <c r="N16" s="240">
        <f t="shared" si="1"/>
        <v>2026</v>
      </c>
      <c r="O16" s="231">
        <f>SUMPRODUCT(P16:S16,Profiles!N16:Q16)/SUM(Profiles!N16:Q16)</f>
        <v>29.364413867830859</v>
      </c>
      <c r="P16" s="232">
        <f>'Table B - Energy'!P16+INDEX('Table C - Capacity'!$12:$32,MATCH($B16,'Table C - Capacity'!$B$12:$B$32,0),MATCH(O$4,'Table C - Capacity'!$4:$4,0)+IF(P$7="Winter",2,3))</f>
        <v>30.312405062160067</v>
      </c>
      <c r="Q16" s="233">
        <f>'Table B - Energy'!Q16+INDEX('Table C - Capacity'!$12:$32,MATCH($B16,'Table C - Capacity'!$B$12:$B$32,0),MATCH(O$4,'Table C - Capacity'!$4:$4,0)+IF(Q$7="Winter",2,3))</f>
        <v>23.115156641022047</v>
      </c>
      <c r="R16" s="233">
        <f>'Table B - Energy'!R16+INDEX('Table C - Capacity'!$12:$32,MATCH($B16,'Table C - Capacity'!$B$12:$B$32,0),MATCH(O$4,'Table C - Capacity'!$4:$4,0)+IF(R$7="Winter",2,3))</f>
        <v>46.265745096649823</v>
      </c>
      <c r="S16" s="234">
        <f>'Table B - Energy'!S16+INDEX('Table C - Capacity'!$12:$32,MATCH($B16,'Table C - Capacity'!$B$12:$B$32,0),MATCH(O$4,'Table C - Capacity'!$4:$4,0)+IF(S$7="Winter",2,3))</f>
        <v>34.036346204261228</v>
      </c>
      <c r="T16" s="231">
        <f>SUMPRODUCT(U16:X16,Profiles!S16:V16)/SUM(Profiles!S16:V16)</f>
        <v>30.396997858986261</v>
      </c>
      <c r="U16" s="232">
        <f>'Table B - Energy'!U16+INDEX('Table C - Capacity'!$12:$32,MATCH($B16,'Table C - Capacity'!$B$12:$B$32,0),MATCH(T$4,'Table C - Capacity'!$4:$4,0)+IF(U$7="Winter",2,3))</f>
        <v>29.70372731732833</v>
      </c>
      <c r="V16" s="233">
        <f>'Table B - Energy'!V16+INDEX('Table C - Capacity'!$12:$32,MATCH($B16,'Table C - Capacity'!$B$12:$B$32,0),MATCH(T$4,'Table C - Capacity'!$4:$4,0)+IF(V$7="Winter",2,3))</f>
        <v>21.470955999967629</v>
      </c>
      <c r="W16" s="233">
        <f>'Table B - Energy'!W16+INDEX('Table C - Capacity'!$12:$32,MATCH($B16,'Table C - Capacity'!$B$12:$B$32,0),MATCH(T$4,'Table C - Capacity'!$4:$4,0)+IF(W$7="Winter",2,3))</f>
        <v>48.586707082750806</v>
      </c>
      <c r="X16" s="234">
        <f>'Table B - Energy'!X16+INDEX('Table C - Capacity'!$12:$32,MATCH($B16,'Table C - Capacity'!$B$12:$B$32,0),MATCH(T$4,'Table C - Capacity'!$4:$4,0)+IF(X$7="Winter",2,3))</f>
        <v>34.261495357571562</v>
      </c>
    </row>
    <row r="17" spans="2:24">
      <c r="B17" s="240">
        <f t="shared" si="0"/>
        <v>2027</v>
      </c>
      <c r="C17" s="231">
        <f>SUMPRODUCT(D17:G17,Profiles!D17:G17)/SUM(Profiles!D17:G17)</f>
        <v>53.378142347838931</v>
      </c>
      <c r="D17" s="232">
        <f>'Table B - Energy'!D17+INDEX('Table C - Capacity'!$12:$32,MATCH($B17,'Table C - Capacity'!$B$12:$B$32,0),MATCH(C$4,'Table C - Capacity'!$4:$4,0)+IF(D$7="Winter",2,3))</f>
        <v>52.869931899327582</v>
      </c>
      <c r="E17" s="233">
        <f>'Table B - Energy'!E17+INDEX('Table C - Capacity'!$12:$32,MATCH($B17,'Table C - Capacity'!$B$12:$B$32,0),MATCH(C$4,'Table C - Capacity'!$4:$4,0)+IF(E$7="Winter",2,3))</f>
        <v>35.420230253237449</v>
      </c>
      <c r="F17" s="233">
        <f>'Table B - Energy'!F17+INDEX('Table C - Capacity'!$12:$32,MATCH($B17,'Table C - Capacity'!$B$12:$B$32,0),MATCH(C$4,'Table C - Capacity'!$4:$4,0)+IF(F$7="Winter",2,3))</f>
        <v>103.28024048162203</v>
      </c>
      <c r="G17" s="234">
        <f>'Table B - Energy'!G17+INDEX('Table C - Capacity'!$12:$32,MATCH($B17,'Table C - Capacity'!$B$12:$B$32,0),MATCH(C$4,'Table C - Capacity'!$4:$4,0)+IF(G$7="Winter",2,3))</f>
        <v>64.701849088179273</v>
      </c>
      <c r="H17" s="231">
        <f>SUMPRODUCT(I17:L17,Profiles!I17:L17)/SUM(Profiles!I17:L17)</f>
        <v>40.604780467039994</v>
      </c>
      <c r="I17" s="232">
        <f>'Table B - Energy'!I17+INDEX('Table C - Capacity'!$12:$32,MATCH($B17,'Table C - Capacity'!$B$12:$B$32,0),MATCH(H$4,'Table C - Capacity'!$4:$4,0)+IF(I$7="Winter",2,3))</f>
        <v>46.951435004676668</v>
      </c>
      <c r="J17" s="233">
        <f>'Table B - Energy'!J17+INDEX('Table C - Capacity'!$12:$32,MATCH($B17,'Table C - Capacity'!$B$12:$B$32,0),MATCH(H$4,'Table C - Capacity'!$4:$4,0)+IF(J$7="Winter",2,3))</f>
        <v>28.743938333267142</v>
      </c>
      <c r="K17" s="233">
        <f>'Table B - Energy'!K17+INDEX('Table C - Capacity'!$12:$32,MATCH($B17,'Table C - Capacity'!$B$12:$B$32,0),MATCH(H$4,'Table C - Capacity'!$4:$4,0)+IF(K$7="Winter",2,3))</f>
        <v>76.695362337634478</v>
      </c>
      <c r="L17" s="234">
        <f>'Table B - Energy'!L17+INDEX('Table C - Capacity'!$12:$32,MATCH($B17,'Table C - Capacity'!$B$12:$B$32,0),MATCH(H$4,'Table C - Capacity'!$4:$4,0)+IF(L$7="Winter",2,3))</f>
        <v>43.62610693916745</v>
      </c>
      <c r="N17" s="240">
        <f t="shared" si="1"/>
        <v>2027</v>
      </c>
      <c r="O17" s="231">
        <f>SUMPRODUCT(P17:S17,Profiles!N17:Q17)/SUM(Profiles!N17:Q17)</f>
        <v>33.300107055074626</v>
      </c>
      <c r="P17" s="232">
        <f>'Table B - Energy'!P17+INDEX('Table C - Capacity'!$12:$32,MATCH($B17,'Table C - Capacity'!$B$12:$B$32,0),MATCH(O$4,'Table C - Capacity'!$4:$4,0)+IF(P$7="Winter",2,3))</f>
        <v>32.171351739997071</v>
      </c>
      <c r="Q17" s="233">
        <f>'Table B - Energy'!Q17+INDEX('Table C - Capacity'!$12:$32,MATCH($B17,'Table C - Capacity'!$B$12:$B$32,0),MATCH(O$4,'Table C - Capacity'!$4:$4,0)+IF(Q$7="Winter",2,3))</f>
        <v>24.586394883176968</v>
      </c>
      <c r="R17" s="233">
        <f>'Table B - Energy'!R17+INDEX('Table C - Capacity'!$12:$32,MATCH($B17,'Table C - Capacity'!$B$12:$B$32,0),MATCH(O$4,'Table C - Capacity'!$4:$4,0)+IF(R$7="Winter",2,3))</f>
        <v>55.407790298154225</v>
      </c>
      <c r="S17" s="234">
        <f>'Table B - Energy'!S17+INDEX('Table C - Capacity'!$12:$32,MATCH($B17,'Table C - Capacity'!$B$12:$B$32,0),MATCH(O$4,'Table C - Capacity'!$4:$4,0)+IF(S$7="Winter",2,3))</f>
        <v>40.545287034210922</v>
      </c>
      <c r="T17" s="231">
        <f>SUMPRODUCT(U17:X17,Profiles!S17:V17)/SUM(Profiles!S17:V17)</f>
        <v>34.882368312617352</v>
      </c>
      <c r="U17" s="232">
        <f>'Table B - Energy'!U17+INDEX('Table C - Capacity'!$12:$32,MATCH($B17,'Table C - Capacity'!$B$12:$B$32,0),MATCH(T$4,'Table C - Capacity'!$4:$4,0)+IF(U$7="Winter",2,3))</f>
        <v>31.419628378432172</v>
      </c>
      <c r="V17" s="233">
        <f>'Table B - Energy'!V17+INDEX('Table C - Capacity'!$12:$32,MATCH($B17,'Table C - Capacity'!$B$12:$B$32,0),MATCH(T$4,'Table C - Capacity'!$4:$4,0)+IF(V$7="Winter",2,3))</f>
        <v>22.818210926972622</v>
      </c>
      <c r="W17" s="233">
        <f>'Table B - Energy'!W17+INDEX('Table C - Capacity'!$12:$32,MATCH($B17,'Table C - Capacity'!$B$12:$B$32,0),MATCH(T$4,'Table C - Capacity'!$4:$4,0)+IF(W$7="Winter",2,3))</f>
        <v>58.58487452096211</v>
      </c>
      <c r="X17" s="234">
        <f>'Table B - Energy'!X17+INDEX('Table C - Capacity'!$12:$32,MATCH($B17,'Table C - Capacity'!$B$12:$B$32,0),MATCH(T$4,'Table C - Capacity'!$4:$4,0)+IF(X$7="Winter",2,3))</f>
        <v>40.796692663757483</v>
      </c>
    </row>
    <row r="18" spans="2:24">
      <c r="B18" s="241">
        <f t="shared" si="0"/>
        <v>2028</v>
      </c>
      <c r="C18" s="231">
        <f>SUMPRODUCT(D18:G18,Profiles!D18:G18)/SUM(Profiles!D18:G18)</f>
        <v>54.759279787244644</v>
      </c>
      <c r="D18" s="232">
        <f>'Table B - Energy'!D18+INDEX('Table C - Capacity'!$12:$32,MATCH($B18,'Table C - Capacity'!$B$12:$B$32,0),MATCH(C$4,'Table C - Capacity'!$4:$4,0)+IF(D$7="Winter",2,3))</f>
        <v>54.359619436084913</v>
      </c>
      <c r="E18" s="233">
        <f>'Table B - Energy'!E18+INDEX('Table C - Capacity'!$12:$32,MATCH($B18,'Table C - Capacity'!$B$12:$B$32,0),MATCH(C$4,'Table C - Capacity'!$4:$4,0)+IF(E$7="Winter",2,3))</f>
        <v>36.766942694281674</v>
      </c>
      <c r="F18" s="233">
        <f>'Table B - Energy'!F18+INDEX('Table C - Capacity'!$12:$32,MATCH($B18,'Table C - Capacity'!$B$12:$B$32,0),MATCH(C$4,'Table C - Capacity'!$4:$4,0)+IF(F$7="Winter",2,3))</f>
        <v>104.54845704694102</v>
      </c>
      <c r="G18" s="234">
        <f>'Table B - Energy'!G18+INDEX('Table C - Capacity'!$12:$32,MATCH($B18,'Table C - Capacity'!$B$12:$B$32,0),MATCH(C$4,'Table C - Capacity'!$4:$4,0)+IF(G$7="Winter",2,3))</f>
        <v>66.249025694482128</v>
      </c>
      <c r="H18" s="231">
        <f>SUMPRODUCT(I18:L18,Profiles!I18:L18)/SUM(Profiles!I18:L18)</f>
        <v>41.73684149464875</v>
      </c>
      <c r="I18" s="232">
        <f>'Table B - Energy'!I18+INDEX('Table C - Capacity'!$12:$32,MATCH($B18,'Table C - Capacity'!$B$12:$B$32,0),MATCH(H$4,'Table C - Capacity'!$4:$4,0)+IF(I$7="Winter",2,3))</f>
        <v>48.347220750080808</v>
      </c>
      <c r="J18" s="233">
        <f>'Table B - Energy'!J18+INDEX('Table C - Capacity'!$12:$32,MATCH($B18,'Table C - Capacity'!$B$12:$B$32,0),MATCH(H$4,'Table C - Capacity'!$4:$4,0)+IF(J$7="Winter",2,3))</f>
        <v>29.853197233835985</v>
      </c>
      <c r="K18" s="233">
        <f>'Table B - Energy'!K18+INDEX('Table C - Capacity'!$12:$32,MATCH($B18,'Table C - Capacity'!$B$12:$B$32,0),MATCH(H$4,'Table C - Capacity'!$4:$4,0)+IF(K$7="Winter",2,3))</f>
        <v>77.646359552865249</v>
      </c>
      <c r="L18" s="234">
        <f>'Table B - Energy'!L18+INDEX('Table C - Capacity'!$12:$32,MATCH($B18,'Table C - Capacity'!$B$12:$B$32,0),MATCH(H$4,'Table C - Capacity'!$4:$4,0)+IF(L$7="Winter",2,3))</f>
        <v>44.666240628330499</v>
      </c>
      <c r="N18" s="241">
        <f t="shared" si="1"/>
        <v>2028</v>
      </c>
      <c r="O18" s="231">
        <f>SUMPRODUCT(P18:S18,Profiles!N18:Q18)/SUM(Profiles!N18:Q18)</f>
        <v>33.65071179604773</v>
      </c>
      <c r="P18" s="232">
        <f>'Table B - Energy'!P18+INDEX('Table C - Capacity'!$12:$32,MATCH($B18,'Table C - Capacity'!$B$12:$B$32,0),MATCH(O$4,'Table C - Capacity'!$4:$4,0)+IF(P$7="Winter",2,3))</f>
        <v>32.005460760498977</v>
      </c>
      <c r="Q18" s="233">
        <f>'Table B - Energy'!Q18+INDEX('Table C - Capacity'!$12:$32,MATCH($B18,'Table C - Capacity'!$B$12:$B$32,0),MATCH(O$4,'Table C - Capacity'!$4:$4,0)+IF(Q$7="Winter",2,3))</f>
        <v>25.04491734753821</v>
      </c>
      <c r="R18" s="233">
        <f>'Table B - Energy'!R18+INDEX('Table C - Capacity'!$12:$32,MATCH($B18,'Table C - Capacity'!$B$12:$B$32,0),MATCH(O$4,'Table C - Capacity'!$4:$4,0)+IF(R$7="Winter",2,3))</f>
        <v>55.78637736333252</v>
      </c>
      <c r="S18" s="234">
        <f>'Table B - Energy'!S18+INDEX('Table C - Capacity'!$12:$32,MATCH($B18,'Table C - Capacity'!$B$12:$B$32,0),MATCH(O$4,'Table C - Capacity'!$4:$4,0)+IF(S$7="Winter",2,3))</f>
        <v>40.806740543564203</v>
      </c>
      <c r="T18" s="231">
        <f>SUMPRODUCT(U18:X18,Profiles!S18:V18)/SUM(Profiles!S18:V18)</f>
        <v>35.118003942030441</v>
      </c>
      <c r="U18" s="232">
        <f>'Table B - Energy'!U18+INDEX('Table C - Capacity'!$12:$32,MATCH($B18,'Table C - Capacity'!$B$12:$B$32,0),MATCH(T$4,'Table C - Capacity'!$4:$4,0)+IF(U$7="Winter",2,3))</f>
        <v>31.180724605254692</v>
      </c>
      <c r="V18" s="233">
        <f>'Table B - Energy'!V18+INDEX('Table C - Capacity'!$12:$32,MATCH($B18,'Table C - Capacity'!$B$12:$B$32,0),MATCH(T$4,'Table C - Capacity'!$4:$4,0)+IF(V$7="Winter",2,3))</f>
        <v>23.044606182464697</v>
      </c>
      <c r="W18" s="233">
        <f>'Table B - Energy'!W18+INDEX('Table C - Capacity'!$12:$32,MATCH($B18,'Table C - Capacity'!$B$12:$B$32,0),MATCH(T$4,'Table C - Capacity'!$4:$4,0)+IF(W$7="Winter",2,3))</f>
        <v>58.931949811192453</v>
      </c>
      <c r="X18" s="234">
        <f>'Table B - Energy'!X18+INDEX('Table C - Capacity'!$12:$32,MATCH($B18,'Table C - Capacity'!$B$12:$B$32,0),MATCH(T$4,'Table C - Capacity'!$4:$4,0)+IF(X$7="Winter",2,3))</f>
        <v>41.106273720084857</v>
      </c>
    </row>
    <row r="19" spans="2:24">
      <c r="B19" s="240">
        <f t="shared" si="0"/>
        <v>2029</v>
      </c>
      <c r="C19" s="231">
        <f>SUMPRODUCT(D19:G19,Profiles!D19:G19)/SUM(Profiles!D19:G19)</f>
        <v>56.761707806465225</v>
      </c>
      <c r="D19" s="232">
        <f>'Table B - Energy'!D19+INDEX('Table C - Capacity'!$12:$32,MATCH($B19,'Table C - Capacity'!$B$12:$B$32,0),MATCH(C$4,'Table C - Capacity'!$4:$4,0)+IF(D$7="Winter",2,3))</f>
        <v>56.38770679313928</v>
      </c>
      <c r="E19" s="233">
        <f>'Table B - Energy'!E19+INDEX('Table C - Capacity'!$12:$32,MATCH($B19,'Table C - Capacity'!$B$12:$B$32,0),MATCH(C$4,'Table C - Capacity'!$4:$4,0)+IF(E$7="Winter",2,3))</f>
        <v>38.131695990670423</v>
      </c>
      <c r="F19" s="233">
        <f>'Table B - Energy'!F19+INDEX('Table C - Capacity'!$12:$32,MATCH($B19,'Table C - Capacity'!$B$12:$B$32,0),MATCH(C$4,'Table C - Capacity'!$4:$4,0)+IF(F$7="Winter",2,3))</f>
        <v>107.97385395049392</v>
      </c>
      <c r="G19" s="234">
        <f>'Table B - Energy'!G19+INDEX('Table C - Capacity'!$12:$32,MATCH($B19,'Table C - Capacity'!$B$12:$B$32,0),MATCH(C$4,'Table C - Capacity'!$4:$4,0)+IF(G$7="Winter",2,3))</f>
        <v>68.635421573444617</v>
      </c>
      <c r="H19" s="231">
        <f>SUMPRODUCT(I19:L19,Profiles!I19:L19)/SUM(Profiles!I19:L19)</f>
        <v>43.358292491169472</v>
      </c>
      <c r="I19" s="232">
        <f>'Table B - Energy'!I19+INDEX('Table C - Capacity'!$12:$32,MATCH($B19,'Table C - Capacity'!$B$12:$B$32,0),MATCH(H$4,'Table C - Capacity'!$4:$4,0)+IF(I$7="Winter",2,3))</f>
        <v>50.352676577194956</v>
      </c>
      <c r="J19" s="233">
        <f>'Table B - Energy'!J19+INDEX('Table C - Capacity'!$12:$32,MATCH($B19,'Table C - Capacity'!$B$12:$B$32,0),MATCH(H$4,'Table C - Capacity'!$4:$4,0)+IF(J$7="Winter",2,3))</f>
        <v>31.09142889272977</v>
      </c>
      <c r="K19" s="233">
        <f>'Table B - Energy'!K19+INDEX('Table C - Capacity'!$12:$32,MATCH($B19,'Table C - Capacity'!$B$12:$B$32,0),MATCH(H$4,'Table C - Capacity'!$4:$4,0)+IF(K$7="Winter",2,3))</f>
        <v>79.378619452865763</v>
      </c>
      <c r="L19" s="234">
        <f>'Table B - Energy'!L19+INDEX('Table C - Capacity'!$12:$32,MATCH($B19,'Table C - Capacity'!$B$12:$B$32,0),MATCH(H$4,'Table C - Capacity'!$4:$4,0)+IF(L$7="Winter",2,3))</f>
        <v>46.622737582952794</v>
      </c>
      <c r="N19" s="240">
        <f t="shared" si="1"/>
        <v>2029</v>
      </c>
      <c r="O19" s="231">
        <f>SUMPRODUCT(P19:S19,Profiles!N19:Q19)/SUM(Profiles!N19:Q19)</f>
        <v>34.753977002831633</v>
      </c>
      <c r="P19" s="232">
        <f>'Table B - Energy'!P19+INDEX('Table C - Capacity'!$12:$32,MATCH($B19,'Table C - Capacity'!$B$12:$B$32,0),MATCH(O$4,'Table C - Capacity'!$4:$4,0)+IF(P$7="Winter",2,3))</f>
        <v>32.863057355318887</v>
      </c>
      <c r="Q19" s="233">
        <f>'Table B - Energy'!Q19+INDEX('Table C - Capacity'!$12:$32,MATCH($B19,'Table C - Capacity'!$B$12:$B$32,0),MATCH(O$4,'Table C - Capacity'!$4:$4,0)+IF(Q$7="Winter",2,3))</f>
        <v>25.899770298990166</v>
      </c>
      <c r="R19" s="233">
        <f>'Table B - Energy'!R19+INDEX('Table C - Capacity'!$12:$32,MATCH($B19,'Table C - Capacity'!$B$12:$B$32,0),MATCH(O$4,'Table C - Capacity'!$4:$4,0)+IF(R$7="Winter",2,3))</f>
        <v>57.278871546141623</v>
      </c>
      <c r="S19" s="234">
        <f>'Table B - Energy'!S19+INDEX('Table C - Capacity'!$12:$32,MATCH($B19,'Table C - Capacity'!$B$12:$B$32,0),MATCH(O$4,'Table C - Capacity'!$4:$4,0)+IF(S$7="Winter",2,3))</f>
        <v>42.166808111978362</v>
      </c>
      <c r="T19" s="231">
        <f>SUMPRODUCT(U19:X19,Profiles!S19:V19)/SUM(Profiles!S19:V19)</f>
        <v>35.940638922538035</v>
      </c>
      <c r="U19" s="232">
        <f>'Table B - Energy'!U19+INDEX('Table C - Capacity'!$12:$32,MATCH($B19,'Table C - Capacity'!$B$12:$B$32,0),MATCH(T$4,'Table C - Capacity'!$4:$4,0)+IF(U$7="Winter",2,3))</f>
        <v>32.030937199482466</v>
      </c>
      <c r="V19" s="233">
        <f>'Table B - Energy'!V19+INDEX('Table C - Capacity'!$12:$32,MATCH($B19,'Table C - Capacity'!$B$12:$B$32,0),MATCH(T$4,'Table C - Capacity'!$4:$4,0)+IF(V$7="Winter",2,3))</f>
        <v>23.77789373973177</v>
      </c>
      <c r="W19" s="233">
        <f>'Table B - Energy'!W19+INDEX('Table C - Capacity'!$12:$32,MATCH($B19,'Table C - Capacity'!$B$12:$B$32,0),MATCH(T$4,'Table C - Capacity'!$4:$4,0)+IF(W$7="Winter",2,3))</f>
        <v>59.035491670851869</v>
      </c>
      <c r="X19" s="234">
        <f>'Table B - Energy'!X19+INDEX('Table C - Capacity'!$12:$32,MATCH($B19,'Table C - Capacity'!$B$12:$B$32,0),MATCH(T$4,'Table C - Capacity'!$4:$4,0)+IF(X$7="Winter",2,3))</f>
        <v>42.254439664131482</v>
      </c>
    </row>
    <row r="20" spans="2:24">
      <c r="B20" s="240">
        <f t="shared" si="0"/>
        <v>2030</v>
      </c>
      <c r="C20" s="231">
        <f>SUMPRODUCT(D20:G20,Profiles!D20:G20)/SUM(Profiles!D20:G20)</f>
        <v>58.091193752724358</v>
      </c>
      <c r="D20" s="232">
        <f>'Table B - Energy'!D20+INDEX('Table C - Capacity'!$12:$32,MATCH($B20,'Table C - Capacity'!$B$12:$B$32,0),MATCH(C$4,'Table C - Capacity'!$4:$4,0)+IF(D$7="Winter",2,3))</f>
        <v>59.18623681790293</v>
      </c>
      <c r="E20" s="233">
        <f>'Table B - Energy'!E20+INDEX('Table C - Capacity'!$12:$32,MATCH($B20,'Table C - Capacity'!$B$12:$B$32,0),MATCH(C$4,'Table C - Capacity'!$4:$4,0)+IF(E$7="Winter",2,3))</f>
        <v>39.87100533642144</v>
      </c>
      <c r="F20" s="233">
        <f>'Table B - Energy'!F20+INDEX('Table C - Capacity'!$12:$32,MATCH($B20,'Table C - Capacity'!$B$12:$B$32,0),MATCH(C$4,'Table C - Capacity'!$4:$4,0)+IF(F$7="Winter",2,3))</f>
        <v>106.59334841251913</v>
      </c>
      <c r="G20" s="234">
        <f>'Table B - Energy'!G20+INDEX('Table C - Capacity'!$12:$32,MATCH($B20,'Table C - Capacity'!$B$12:$B$32,0),MATCH(C$4,'Table C - Capacity'!$4:$4,0)+IF(G$7="Winter",2,3))</f>
        <v>69.040592264977889</v>
      </c>
      <c r="H20" s="231">
        <f>SUMPRODUCT(I20:L20,Profiles!I20:L20)/SUM(Profiles!I20:L20)</f>
        <v>44.482253879983375</v>
      </c>
      <c r="I20" s="232">
        <f>'Table B - Energy'!I20+INDEX('Table C - Capacity'!$12:$32,MATCH($B20,'Table C - Capacity'!$B$12:$B$32,0),MATCH(H$4,'Table C - Capacity'!$4:$4,0)+IF(I$7="Winter",2,3))</f>
        <v>52.810052187611809</v>
      </c>
      <c r="J20" s="233">
        <f>'Table B - Energy'!J20+INDEX('Table C - Capacity'!$12:$32,MATCH($B20,'Table C - Capacity'!$B$12:$B$32,0),MATCH(H$4,'Table C - Capacity'!$4:$4,0)+IF(J$7="Winter",2,3))</f>
        <v>32.512499963375923</v>
      </c>
      <c r="K20" s="233">
        <f>'Table B - Energy'!K20+INDEX('Table C - Capacity'!$12:$32,MATCH($B20,'Table C - Capacity'!$B$12:$B$32,0),MATCH(H$4,'Table C - Capacity'!$4:$4,0)+IF(K$7="Winter",2,3))</f>
        <v>78.43703348034343</v>
      </c>
      <c r="L20" s="234">
        <f>'Table B - Energy'!L20+INDEX('Table C - Capacity'!$12:$32,MATCH($B20,'Table C - Capacity'!$B$12:$B$32,0),MATCH(H$4,'Table C - Capacity'!$4:$4,0)+IF(L$7="Winter",2,3))</f>
        <v>46.426635188834197</v>
      </c>
      <c r="N20" s="240">
        <f t="shared" si="1"/>
        <v>2030</v>
      </c>
      <c r="O20" s="231">
        <f>SUMPRODUCT(P20:S20,Profiles!N20:Q20)/SUM(Profiles!N20:Q20)</f>
        <v>35.169148526272679</v>
      </c>
      <c r="P20" s="232">
        <f>'Table B - Energy'!P20+INDEX('Table C - Capacity'!$12:$32,MATCH($B20,'Table C - Capacity'!$B$12:$B$32,0),MATCH(O$4,'Table C - Capacity'!$4:$4,0)+IF(P$7="Winter",2,3))</f>
        <v>33.692745320373604</v>
      </c>
      <c r="Q20" s="233">
        <f>'Table B - Energy'!Q20+INDEX('Table C - Capacity'!$12:$32,MATCH($B20,'Table C - Capacity'!$B$12:$B$32,0),MATCH(O$4,'Table C - Capacity'!$4:$4,0)+IF(Q$7="Winter",2,3))</f>
        <v>27.492798148904214</v>
      </c>
      <c r="R20" s="233">
        <f>'Table B - Energy'!R20+INDEX('Table C - Capacity'!$12:$32,MATCH($B20,'Table C - Capacity'!$B$12:$B$32,0),MATCH(O$4,'Table C - Capacity'!$4:$4,0)+IF(R$7="Winter",2,3))</f>
        <v>55.910760904222002</v>
      </c>
      <c r="S20" s="234">
        <f>'Table B - Energy'!S20+INDEX('Table C - Capacity'!$12:$32,MATCH($B20,'Table C - Capacity'!$B$12:$B$32,0),MATCH(O$4,'Table C - Capacity'!$4:$4,0)+IF(S$7="Winter",2,3))</f>
        <v>41.168233820045515</v>
      </c>
      <c r="T20" s="231">
        <f>SUMPRODUCT(U20:X20,Profiles!S20:V20)/SUM(Profiles!S20:V20)</f>
        <v>35.977965781593127</v>
      </c>
      <c r="U20" s="232">
        <f>'Table B - Energy'!U20+INDEX('Table C - Capacity'!$12:$32,MATCH($B20,'Table C - Capacity'!$B$12:$B$32,0),MATCH(T$4,'Table C - Capacity'!$4:$4,0)+IF(U$7="Winter",2,3))</f>
        <v>32.387962960548315</v>
      </c>
      <c r="V20" s="233">
        <f>'Table B - Energy'!V20+INDEX('Table C - Capacity'!$12:$32,MATCH($B20,'Table C - Capacity'!$B$12:$B$32,0),MATCH(T$4,'Table C - Capacity'!$4:$4,0)+IF(V$7="Winter",2,3))</f>
        <v>24.869748841674095</v>
      </c>
      <c r="W20" s="233">
        <f>'Table B - Energy'!W20+INDEX('Table C - Capacity'!$12:$32,MATCH($B20,'Table C - Capacity'!$B$12:$B$32,0),MATCH(T$4,'Table C - Capacity'!$4:$4,0)+IF(W$7="Winter",2,3))</f>
        <v>58.237399288189074</v>
      </c>
      <c r="X20" s="234">
        <f>'Table B - Energy'!X20+INDEX('Table C - Capacity'!$12:$32,MATCH($B20,'Table C - Capacity'!$B$12:$B$32,0),MATCH(T$4,'Table C - Capacity'!$4:$4,0)+IF(X$7="Winter",2,3))</f>
        <v>41.32580093635675</v>
      </c>
    </row>
    <row r="21" spans="2:24">
      <c r="B21" s="240">
        <f t="shared" si="0"/>
        <v>2031</v>
      </c>
      <c r="C21" s="231">
        <f>SUMPRODUCT(D21:G21,Profiles!D21:G21)/SUM(Profiles!D21:G21)</f>
        <v>58.986668825786566</v>
      </c>
      <c r="D21" s="232">
        <f>'Table B - Energy'!D21+INDEX('Table C - Capacity'!$12:$32,MATCH($B21,'Table C - Capacity'!$B$12:$B$32,0),MATCH(C$4,'Table C - Capacity'!$4:$4,0)+IF(D$7="Winter",2,3))</f>
        <v>60.17871856493376</v>
      </c>
      <c r="E21" s="233">
        <f>'Table B - Energy'!E21+INDEX('Table C - Capacity'!$12:$32,MATCH($B21,'Table C - Capacity'!$B$12:$B$32,0),MATCH(C$4,'Table C - Capacity'!$4:$4,0)+IF(E$7="Winter",2,3))</f>
        <v>40.656007659584105</v>
      </c>
      <c r="F21" s="233">
        <f>'Table B - Energy'!F21+INDEX('Table C - Capacity'!$12:$32,MATCH($B21,'Table C - Capacity'!$B$12:$B$32,0),MATCH(C$4,'Table C - Capacity'!$4:$4,0)+IF(F$7="Winter",2,3))</f>
        <v>107.53152740546318</v>
      </c>
      <c r="G21" s="234">
        <f>'Table B - Energy'!G21+INDEX('Table C - Capacity'!$12:$32,MATCH($B21,'Table C - Capacity'!$B$12:$B$32,0),MATCH(C$4,'Table C - Capacity'!$4:$4,0)+IF(G$7="Winter",2,3))</f>
        <v>70.038146257922108</v>
      </c>
      <c r="H21" s="231">
        <f>SUMPRODUCT(I21:L21,Profiles!I21:L21)/SUM(Profiles!I21:L21)</f>
        <v>45.168207584312626</v>
      </c>
      <c r="I21" s="232">
        <f>'Table B - Energy'!I21+INDEX('Table C - Capacity'!$12:$32,MATCH($B21,'Table C - Capacity'!$B$12:$B$32,0),MATCH(H$4,'Table C - Capacity'!$4:$4,0)+IF(I$7="Winter",2,3))</f>
        <v>53.759125121696059</v>
      </c>
      <c r="J21" s="233">
        <f>'Table B - Energy'!J21+INDEX('Table C - Capacity'!$12:$32,MATCH($B21,'Table C - Capacity'!$B$12:$B$32,0),MATCH(H$4,'Table C - Capacity'!$4:$4,0)+IF(J$7="Winter",2,3))</f>
        <v>33.135238124462781</v>
      </c>
      <c r="K21" s="233">
        <f>'Table B - Energy'!K21+INDEX('Table C - Capacity'!$12:$32,MATCH($B21,'Table C - Capacity'!$B$12:$B$32,0),MATCH(H$4,'Table C - Capacity'!$4:$4,0)+IF(K$7="Winter",2,3))</f>
        <v>79.064759544594722</v>
      </c>
      <c r="L21" s="234">
        <f>'Table B - Energy'!L21+INDEX('Table C - Capacity'!$12:$32,MATCH($B21,'Table C - Capacity'!$B$12:$B$32,0),MATCH(H$4,'Table C - Capacity'!$4:$4,0)+IF(L$7="Winter",2,3))</f>
        <v>46.974555643590662</v>
      </c>
      <c r="N21" s="240">
        <f t="shared" si="1"/>
        <v>2031</v>
      </c>
      <c r="O21" s="231">
        <f>SUMPRODUCT(P21:S21,Profiles!N21:Q21)/SUM(Profiles!N21:Q21)</f>
        <v>35.313697858360172</v>
      </c>
      <c r="P21" s="232">
        <f>'Table B - Energy'!P21+INDEX('Table C - Capacity'!$12:$32,MATCH($B21,'Table C - Capacity'!$B$12:$B$32,0),MATCH(O$4,'Table C - Capacity'!$4:$4,0)+IF(P$7="Winter",2,3))</f>
        <v>33.560957351463891</v>
      </c>
      <c r="Q21" s="233">
        <f>'Table B - Energy'!Q21+INDEX('Table C - Capacity'!$12:$32,MATCH($B21,'Table C - Capacity'!$B$12:$B$32,0),MATCH(O$4,'Table C - Capacity'!$4:$4,0)+IF(Q$7="Winter",2,3))</f>
        <v>27.667544743746788</v>
      </c>
      <c r="R21" s="233">
        <f>'Table B - Energy'!R21+INDEX('Table C - Capacity'!$12:$32,MATCH($B21,'Table C - Capacity'!$B$12:$B$32,0),MATCH(O$4,'Table C - Capacity'!$4:$4,0)+IF(R$7="Winter",2,3))</f>
        <v>56.06622950323635</v>
      </c>
      <c r="S21" s="234">
        <f>'Table B - Energy'!S21+INDEX('Table C - Capacity'!$12:$32,MATCH($B21,'Table C - Capacity'!$B$12:$B$32,0),MATCH(O$4,'Table C - Capacity'!$4:$4,0)+IF(S$7="Winter",2,3))</f>
        <v>41.284871368945666</v>
      </c>
      <c r="T21" s="231">
        <f>SUMPRODUCT(U21:X21,Profiles!S21:V21)/SUM(Profiles!S21:V21)</f>
        <v>36.064957967581741</v>
      </c>
      <c r="U21" s="232">
        <f>'Table B - Energy'!U21+INDEX('Table C - Capacity'!$12:$32,MATCH($B21,'Table C - Capacity'!$B$12:$B$32,0),MATCH(T$4,'Table C - Capacity'!$4:$4,0)+IF(U$7="Winter",2,3))</f>
        <v>32.541149275347109</v>
      </c>
      <c r="V21" s="233">
        <f>'Table B - Energy'!V21+INDEX('Table C - Capacity'!$12:$32,MATCH($B21,'Table C - Capacity'!$B$12:$B$32,0),MATCH(T$4,'Table C - Capacity'!$4:$4,0)+IF(V$7="Winter",2,3))</f>
        <v>24.974488203986887</v>
      </c>
      <c r="W21" s="233">
        <f>'Table B - Energy'!W21+INDEX('Table C - Capacity'!$12:$32,MATCH($B21,'Table C - Capacity'!$B$12:$B$32,0),MATCH(T$4,'Table C - Capacity'!$4:$4,0)+IF(W$7="Winter",2,3))</f>
        <v>58.29182197000884</v>
      </c>
      <c r="X21" s="234">
        <f>'Table B - Energy'!X21+INDEX('Table C - Capacity'!$12:$32,MATCH($B21,'Table C - Capacity'!$B$12:$B$32,0),MATCH(T$4,'Table C - Capacity'!$4:$4,0)+IF(X$7="Winter",2,3))</f>
        <v>41.394248120598796</v>
      </c>
    </row>
    <row r="22" spans="2:24">
      <c r="B22" s="240">
        <f t="shared" si="0"/>
        <v>2032</v>
      </c>
      <c r="C22" s="231">
        <f>SUMPRODUCT(D22:G22,Profiles!D22:G22)/SUM(Profiles!D22:G22)</f>
        <v>60.047585479878521</v>
      </c>
      <c r="D22" s="232">
        <f>'Table B - Energy'!D22+INDEX('Table C - Capacity'!$12:$32,MATCH($B22,'Table C - Capacity'!$B$12:$B$32,0),MATCH(C$4,'Table C - Capacity'!$4:$4,0)+IF(D$7="Winter",2,3))</f>
        <v>61.548735970407726</v>
      </c>
      <c r="E22" s="233">
        <f>'Table B - Energy'!E22+INDEX('Table C - Capacity'!$12:$32,MATCH($B22,'Table C - Capacity'!$B$12:$B$32,0),MATCH(C$4,'Table C - Capacity'!$4:$4,0)+IF(E$7="Winter",2,3))</f>
        <v>41.555336892538627</v>
      </c>
      <c r="F22" s="233">
        <f>'Table B - Energy'!F22+INDEX('Table C - Capacity'!$12:$32,MATCH($B22,'Table C - Capacity'!$B$12:$B$32,0),MATCH(C$4,'Table C - Capacity'!$4:$4,0)+IF(F$7="Winter",2,3))</f>
        <v>109.13075922559645</v>
      </c>
      <c r="G22" s="234">
        <f>'Table B - Energy'!G22+INDEX('Table C - Capacity'!$12:$32,MATCH($B22,'Table C - Capacity'!$B$12:$B$32,0),MATCH(C$4,'Table C - Capacity'!$4:$4,0)+IF(G$7="Winter",2,3))</f>
        <v>70.989345291170139</v>
      </c>
      <c r="H22" s="231">
        <f>SUMPRODUCT(I22:L22,Profiles!I22:L22)/SUM(Profiles!I22:L22)</f>
        <v>46.080879952912959</v>
      </c>
      <c r="I22" s="232">
        <f>'Table B - Energy'!I22+INDEX('Table C - Capacity'!$12:$32,MATCH($B22,'Table C - Capacity'!$B$12:$B$32,0),MATCH(H$4,'Table C - Capacity'!$4:$4,0)+IF(I$7="Winter",2,3))</f>
        <v>55.135855090261344</v>
      </c>
      <c r="J22" s="233">
        <f>'Table B - Energy'!J22+INDEX('Table C - Capacity'!$12:$32,MATCH($B22,'Table C - Capacity'!$B$12:$B$32,0),MATCH(H$4,'Table C - Capacity'!$4:$4,0)+IF(J$7="Winter",2,3))</f>
        <v>33.992477277949277</v>
      </c>
      <c r="K22" s="233">
        <f>'Table B - Energy'!K22+INDEX('Table C - Capacity'!$12:$32,MATCH($B22,'Table C - Capacity'!$B$12:$B$32,0),MATCH(H$4,'Table C - Capacity'!$4:$4,0)+IF(K$7="Winter",2,3))</f>
        <v>80.020689204048907</v>
      </c>
      <c r="L22" s="234">
        <f>'Table B - Energy'!L22+INDEX('Table C - Capacity'!$12:$32,MATCH($B22,'Table C - Capacity'!$B$12:$B$32,0),MATCH(H$4,'Table C - Capacity'!$4:$4,0)+IF(L$7="Winter",2,3))</f>
        <v>47.502348840532726</v>
      </c>
      <c r="N22" s="240">
        <f t="shared" si="1"/>
        <v>2032</v>
      </c>
      <c r="O22" s="231">
        <f>SUMPRODUCT(P22:S22,Profiles!N22:Q22)/SUM(Profiles!N22:Q22)</f>
        <v>35.928601252190795</v>
      </c>
      <c r="P22" s="232">
        <f>'Table B - Energy'!P22+INDEX('Table C - Capacity'!$12:$32,MATCH($B22,'Table C - Capacity'!$B$12:$B$32,0),MATCH(O$4,'Table C - Capacity'!$4:$4,0)+IF(P$7="Winter",2,3))</f>
        <v>34.63469978807148</v>
      </c>
      <c r="Q22" s="233">
        <f>'Table B - Energy'!Q22+INDEX('Table C - Capacity'!$12:$32,MATCH($B22,'Table C - Capacity'!$B$12:$B$32,0),MATCH(O$4,'Table C - Capacity'!$4:$4,0)+IF(Q$7="Winter",2,3))</f>
        <v>28.355581418020289</v>
      </c>
      <c r="R22" s="233">
        <f>'Table B - Energy'!R22+INDEX('Table C - Capacity'!$12:$32,MATCH($B22,'Table C - Capacity'!$B$12:$B$32,0),MATCH(O$4,'Table C - Capacity'!$4:$4,0)+IF(R$7="Winter",2,3))</f>
        <v>56.688696939273477</v>
      </c>
      <c r="S22" s="234">
        <f>'Table B - Energy'!S22+INDEX('Table C - Capacity'!$12:$32,MATCH($B22,'Table C - Capacity'!$B$12:$B$32,0),MATCH(O$4,'Table C - Capacity'!$4:$4,0)+IF(S$7="Winter",2,3))</f>
        <v>41.776042469817902</v>
      </c>
      <c r="T22" s="231">
        <f>SUMPRODUCT(U22:X22,Profiles!S22:V22)/SUM(Profiles!S22:V22)</f>
        <v>36.652899771451253</v>
      </c>
      <c r="U22" s="232">
        <f>'Table B - Energy'!U22+INDEX('Table C - Capacity'!$12:$32,MATCH($B22,'Table C - Capacity'!$B$12:$B$32,0),MATCH(T$4,'Table C - Capacity'!$4:$4,0)+IF(U$7="Winter",2,3))</f>
        <v>33.526967099348973</v>
      </c>
      <c r="V22" s="233">
        <f>'Table B - Energy'!V22+INDEX('Table C - Capacity'!$12:$32,MATCH($B22,'Table C - Capacity'!$B$12:$B$32,0),MATCH(T$4,'Table C - Capacity'!$4:$4,0)+IF(V$7="Winter",2,3))</f>
        <v>25.69993306515391</v>
      </c>
      <c r="W22" s="233">
        <f>'Table B - Energy'!W22+INDEX('Table C - Capacity'!$12:$32,MATCH($B22,'Table C - Capacity'!$B$12:$B$32,0),MATCH(T$4,'Table C - Capacity'!$4:$4,0)+IF(W$7="Winter",2,3))</f>
        <v>58.752704480435334</v>
      </c>
      <c r="X22" s="234">
        <f>'Table B - Energy'!X22+INDEX('Table C - Capacity'!$12:$32,MATCH($B22,'Table C - Capacity'!$B$12:$B$32,0),MATCH(T$4,'Table C - Capacity'!$4:$4,0)+IF(X$7="Winter",2,3))</f>
        <v>41.840455163230239</v>
      </c>
    </row>
    <row r="23" spans="2:24">
      <c r="B23" s="240">
        <f t="shared" si="0"/>
        <v>2033</v>
      </c>
      <c r="C23" s="231">
        <f>SUMPRODUCT(D23:G23,Profiles!D23:G23)/SUM(Profiles!D23:G23)</f>
        <v>61.331652908767794</v>
      </c>
      <c r="D23" s="232">
        <f>'Table B - Energy'!D23+INDEX('Table C - Capacity'!$12:$32,MATCH($B23,'Table C - Capacity'!$B$12:$B$32,0),MATCH(C$4,'Table C - Capacity'!$4:$4,0)+IF(D$7="Winter",2,3))</f>
        <v>62.481423824587885</v>
      </c>
      <c r="E23" s="233">
        <f>'Table B - Energy'!E23+INDEX('Table C - Capacity'!$12:$32,MATCH($B23,'Table C - Capacity'!$B$12:$B$32,0),MATCH(C$4,'Table C - Capacity'!$4:$4,0)+IF(E$7="Winter",2,3))</f>
        <v>42.313921252571404</v>
      </c>
      <c r="F23" s="233">
        <f>'Table B - Energy'!F23+INDEX('Table C - Capacity'!$12:$32,MATCH($B23,'Table C - Capacity'!$B$12:$B$32,0),MATCH(C$4,'Table C - Capacity'!$4:$4,0)+IF(F$7="Winter",2,3))</f>
        <v>111.66768980048134</v>
      </c>
      <c r="G23" s="234">
        <f>'Table B - Energy'!G23+INDEX('Table C - Capacity'!$12:$32,MATCH($B23,'Table C - Capacity'!$B$12:$B$32,0),MATCH(C$4,'Table C - Capacity'!$4:$4,0)+IF(G$7="Winter",2,3))</f>
        <v>72.898155989005943</v>
      </c>
      <c r="H23" s="231">
        <f>SUMPRODUCT(I23:L23,Profiles!I23:L23)/SUM(Profiles!I23:L23)</f>
        <v>46.874407449525783</v>
      </c>
      <c r="I23" s="232">
        <f>'Table B - Energy'!I23+INDEX('Table C - Capacity'!$12:$32,MATCH($B23,'Table C - Capacity'!$B$12:$B$32,0),MATCH(H$4,'Table C - Capacity'!$4:$4,0)+IF(I$7="Winter",2,3))</f>
        <v>55.704722367950623</v>
      </c>
      <c r="J23" s="233">
        <f>'Table B - Energy'!J23+INDEX('Table C - Capacity'!$12:$32,MATCH($B23,'Table C - Capacity'!$B$12:$B$32,0),MATCH(H$4,'Table C - Capacity'!$4:$4,0)+IF(J$7="Winter",2,3))</f>
        <v>34.440870655625389</v>
      </c>
      <c r="K23" s="233">
        <f>'Table B - Energy'!K23+INDEX('Table C - Capacity'!$12:$32,MATCH($B23,'Table C - Capacity'!$B$12:$B$32,0),MATCH(H$4,'Table C - Capacity'!$4:$4,0)+IF(K$7="Winter",2,3))</f>
        <v>81.758570393904307</v>
      </c>
      <c r="L23" s="234">
        <f>'Table B - Energy'!L23+INDEX('Table C - Capacity'!$12:$32,MATCH($B23,'Table C - Capacity'!$B$12:$B$32,0),MATCH(H$4,'Table C - Capacity'!$4:$4,0)+IF(L$7="Winter",2,3))</f>
        <v>48.87067124101614</v>
      </c>
      <c r="N23" s="240">
        <f t="shared" si="1"/>
        <v>2033</v>
      </c>
      <c r="O23" s="231">
        <f>SUMPRODUCT(P23:S23,Profiles!N23:Q23)/SUM(Profiles!N23:Q23)</f>
        <v>36.720483565550026</v>
      </c>
      <c r="P23" s="232">
        <f>'Table B - Energy'!P23+INDEX('Table C - Capacity'!$12:$32,MATCH($B23,'Table C - Capacity'!$B$12:$B$32,0),MATCH(O$4,'Table C - Capacity'!$4:$4,0)+IF(P$7="Winter",2,3))</f>
        <v>34.662062768457155</v>
      </c>
      <c r="Q23" s="233">
        <f>'Table B - Energy'!Q23+INDEX('Table C - Capacity'!$12:$32,MATCH($B23,'Table C - Capacity'!$B$12:$B$32,0),MATCH(O$4,'Table C - Capacity'!$4:$4,0)+IF(Q$7="Winter",2,3))</f>
        <v>28.949876293004969</v>
      </c>
      <c r="R23" s="233">
        <f>'Table B - Energy'!R23+INDEX('Table C - Capacity'!$12:$32,MATCH($B23,'Table C - Capacity'!$B$12:$B$32,0),MATCH(O$4,'Table C - Capacity'!$4:$4,0)+IF(R$7="Winter",2,3))</f>
        <v>58.048224114619053</v>
      </c>
      <c r="S23" s="234">
        <f>'Table B - Energy'!S23+INDEX('Table C - Capacity'!$12:$32,MATCH($B23,'Table C - Capacity'!$B$12:$B$32,0),MATCH(O$4,'Table C - Capacity'!$4:$4,0)+IF(S$7="Winter",2,3))</f>
        <v>42.734844547080442</v>
      </c>
      <c r="T23" s="231">
        <f>SUMPRODUCT(U23:X23,Profiles!S23:V23)/SUM(Profiles!S23:V23)</f>
        <v>37.352969368176339</v>
      </c>
      <c r="U23" s="232">
        <f>'Table B - Energy'!U23+INDEX('Table C - Capacity'!$12:$32,MATCH($B23,'Table C - Capacity'!$B$12:$B$32,0),MATCH(T$4,'Table C - Capacity'!$4:$4,0)+IF(U$7="Winter",2,3))</f>
        <v>33.071885653326149</v>
      </c>
      <c r="V23" s="233">
        <f>'Table B - Energy'!V23+INDEX('Table C - Capacity'!$12:$32,MATCH($B23,'Table C - Capacity'!$B$12:$B$32,0),MATCH(T$4,'Table C - Capacity'!$4:$4,0)+IF(V$7="Winter",2,3))</f>
        <v>25.997235277688322</v>
      </c>
      <c r="W23" s="233">
        <f>'Table B - Energy'!W23+INDEX('Table C - Capacity'!$12:$32,MATCH($B23,'Table C - Capacity'!$B$12:$B$32,0),MATCH(T$4,'Table C - Capacity'!$4:$4,0)+IF(W$7="Winter",2,3))</f>
        <v>60.139080194379183</v>
      </c>
      <c r="X23" s="234">
        <f>'Table B - Energy'!X23+INDEX('Table C - Capacity'!$12:$32,MATCH($B23,'Table C - Capacity'!$B$12:$B$32,0),MATCH(T$4,'Table C - Capacity'!$4:$4,0)+IF(X$7="Winter",2,3))</f>
        <v>42.899045188278571</v>
      </c>
    </row>
    <row r="24" spans="2:24">
      <c r="B24" s="240">
        <f t="shared" si="0"/>
        <v>2034</v>
      </c>
      <c r="C24" s="231">
        <f>SUMPRODUCT(D24:G24,Profiles!D24:G24)/SUM(Profiles!D24:G24)</f>
        <v>62.34527984702094</v>
      </c>
      <c r="D24" s="232">
        <f>'Table B - Energy'!D24+INDEX('Table C - Capacity'!$12:$32,MATCH($B24,'Table C - Capacity'!$B$12:$B$32,0),MATCH(C$4,'Table C - Capacity'!$4:$4,0)+IF(D$7="Winter",2,3))</f>
        <v>63.103152979019605</v>
      </c>
      <c r="E24" s="233">
        <f>'Table B - Energy'!E24+INDEX('Table C - Capacity'!$12:$32,MATCH($B24,'Table C - Capacity'!$B$12:$B$32,0),MATCH(C$4,'Table C - Capacity'!$4:$4,0)+IF(E$7="Winter",2,3))</f>
        <v>42.862738884369236</v>
      </c>
      <c r="F24" s="233">
        <f>'Table B - Energy'!F24+INDEX('Table C - Capacity'!$12:$32,MATCH($B24,'Table C - Capacity'!$B$12:$B$32,0),MATCH(C$4,'Table C - Capacity'!$4:$4,0)+IF(F$7="Winter",2,3))</f>
        <v>114.54032899120951</v>
      </c>
      <c r="G24" s="234">
        <f>'Table B - Energy'!G24+INDEX('Table C - Capacity'!$12:$32,MATCH($B24,'Table C - Capacity'!$B$12:$B$32,0),MATCH(C$4,'Table C - Capacity'!$4:$4,0)+IF(G$7="Winter",2,3))</f>
        <v>74.298377146947388</v>
      </c>
      <c r="H24" s="231">
        <f>SUMPRODUCT(I24:L24,Profiles!I24:L24)/SUM(Profiles!I24:L24)</f>
        <v>47.556269983264237</v>
      </c>
      <c r="I24" s="232">
        <f>'Table B - Energy'!I24+INDEX('Table C - Capacity'!$12:$32,MATCH($B24,'Table C - Capacity'!$B$12:$B$32,0),MATCH(H$4,'Table C - Capacity'!$4:$4,0)+IF(I$7="Winter",2,3))</f>
        <v>56.278705003017009</v>
      </c>
      <c r="J24" s="233">
        <f>'Table B - Energy'!J24+INDEX('Table C - Capacity'!$12:$32,MATCH($B24,'Table C - Capacity'!$B$12:$B$32,0),MATCH(H$4,'Table C - Capacity'!$4:$4,0)+IF(J$7="Winter",2,3))</f>
        <v>34.836666803917801</v>
      </c>
      <c r="K24" s="233">
        <f>'Table B - Energy'!K24+INDEX('Table C - Capacity'!$12:$32,MATCH($B24,'Table C - Capacity'!$B$12:$B$32,0),MATCH(H$4,'Table C - Capacity'!$4:$4,0)+IF(K$7="Winter",2,3))</f>
        <v>83.759826132261736</v>
      </c>
      <c r="L24" s="234">
        <f>'Table B - Energy'!L24+INDEX('Table C - Capacity'!$12:$32,MATCH($B24,'Table C - Capacity'!$B$12:$B$32,0),MATCH(H$4,'Table C - Capacity'!$4:$4,0)+IF(L$7="Winter",2,3))</f>
        <v>49.716701457006636</v>
      </c>
      <c r="N24" s="240">
        <f t="shared" si="1"/>
        <v>2034</v>
      </c>
      <c r="O24" s="231">
        <f>SUMPRODUCT(P24:S24,Profiles!N24:Q24)/SUM(Profiles!N24:Q24)</f>
        <v>37.268218985050709</v>
      </c>
      <c r="P24" s="232">
        <f>'Table B - Energy'!P24+INDEX('Table C - Capacity'!$12:$32,MATCH($B24,'Table C - Capacity'!$B$12:$B$32,0),MATCH(O$4,'Table C - Capacity'!$4:$4,0)+IF(P$7="Winter",2,3))</f>
        <v>34.171549056770623</v>
      </c>
      <c r="Q24" s="233">
        <f>'Table B - Energy'!Q24+INDEX('Table C - Capacity'!$12:$32,MATCH($B24,'Table C - Capacity'!$B$12:$B$32,0),MATCH(O$4,'Table C - Capacity'!$4:$4,0)+IF(Q$7="Winter",2,3))</f>
        <v>28.94555113214189</v>
      </c>
      <c r="R24" s="233">
        <f>'Table B - Energy'!R24+INDEX('Table C - Capacity'!$12:$32,MATCH($B24,'Table C - Capacity'!$B$12:$B$32,0),MATCH(O$4,'Table C - Capacity'!$4:$4,0)+IF(R$7="Winter",2,3))</f>
        <v>59.758471169305587</v>
      </c>
      <c r="S24" s="234">
        <f>'Table B - Energy'!S24+INDEX('Table C - Capacity'!$12:$32,MATCH($B24,'Table C - Capacity'!$B$12:$B$32,0),MATCH(O$4,'Table C - Capacity'!$4:$4,0)+IF(S$7="Winter",2,3))</f>
        <v>43.915335926253597</v>
      </c>
      <c r="T24" s="231">
        <f>SUMPRODUCT(U24:X24,Profiles!S24:V24)/SUM(Profiles!S24:V24)</f>
        <v>38.019188107524855</v>
      </c>
      <c r="U24" s="232">
        <f>'Table B - Energy'!U24+INDEX('Table C - Capacity'!$12:$32,MATCH($B24,'Table C - Capacity'!$B$12:$B$32,0),MATCH(T$4,'Table C - Capacity'!$4:$4,0)+IF(U$7="Winter",2,3))</f>
        <v>32.663882030131525</v>
      </c>
      <c r="V24" s="233">
        <f>'Table B - Energy'!V24+INDEX('Table C - Capacity'!$12:$32,MATCH($B24,'Table C - Capacity'!$B$12:$B$32,0),MATCH(T$4,'Table C - Capacity'!$4:$4,0)+IF(V$7="Winter",2,3))</f>
        <v>25.908870126818407</v>
      </c>
      <c r="W24" s="233">
        <f>'Table B - Energy'!W24+INDEX('Table C - Capacity'!$12:$32,MATCH($B24,'Table C - Capacity'!$B$12:$B$32,0),MATCH(T$4,'Table C - Capacity'!$4:$4,0)+IF(W$7="Winter",2,3))</f>
        <v>62.167223423790709</v>
      </c>
      <c r="X24" s="234">
        <f>'Table B - Energy'!X24+INDEX('Table C - Capacity'!$12:$32,MATCH($B24,'Table C - Capacity'!$B$12:$B$32,0),MATCH(T$4,'Table C - Capacity'!$4:$4,0)+IF(X$7="Winter",2,3))</f>
        <v>44.105278648366934</v>
      </c>
    </row>
    <row r="25" spans="2:24">
      <c r="B25" s="240">
        <f t="shared" si="0"/>
        <v>2035</v>
      </c>
      <c r="C25" s="231">
        <f>SUMPRODUCT(D25:G25,Profiles!D25:G25)/SUM(Profiles!D25:G25)</f>
        <v>66.049957543443071</v>
      </c>
      <c r="D25" s="232">
        <f>'Table B - Energy'!D25+INDEX('Table C - Capacity'!$12:$32,MATCH($B25,'Table C - Capacity'!$B$12:$B$32,0),MATCH(C$4,'Table C - Capacity'!$4:$4,0)+IF(D$7="Winter",2,3))</f>
        <v>65.104801825323833</v>
      </c>
      <c r="E25" s="233">
        <f>'Table B - Energy'!E25+INDEX('Table C - Capacity'!$12:$32,MATCH($B25,'Table C - Capacity'!$B$12:$B$32,0),MATCH(C$4,'Table C - Capacity'!$4:$4,0)+IF(E$7="Winter",2,3))</f>
        <v>44.102162936434809</v>
      </c>
      <c r="F25" s="233">
        <f>'Table B - Energy'!F25+INDEX('Table C - Capacity'!$12:$32,MATCH($B25,'Table C - Capacity'!$B$12:$B$32,0),MATCH(C$4,'Table C - Capacity'!$4:$4,0)+IF(F$7="Winter",2,3))</f>
        <v>128.28865909674647</v>
      </c>
      <c r="G25" s="234">
        <f>'Table B - Energy'!G25+INDEX('Table C - Capacity'!$12:$32,MATCH($B25,'Table C - Capacity'!$B$12:$B$32,0),MATCH(C$4,'Table C - Capacity'!$4:$4,0)+IF(G$7="Winter",2,3))</f>
        <v>79.587578154123321</v>
      </c>
      <c r="H25" s="231">
        <f>SUMPRODUCT(I25:L25,Profiles!I25:L25)/SUM(Profiles!I25:L25)</f>
        <v>50.509914605933929</v>
      </c>
      <c r="I25" s="232">
        <f>'Table B - Energy'!I25+INDEX('Table C - Capacity'!$12:$32,MATCH($B25,'Table C - Capacity'!$B$12:$B$32,0),MATCH(H$4,'Table C - Capacity'!$4:$4,0)+IF(I$7="Winter",2,3))</f>
        <v>58.22226984695277</v>
      </c>
      <c r="J25" s="233">
        <f>'Table B - Energy'!J25+INDEX('Table C - Capacity'!$12:$32,MATCH($B25,'Table C - Capacity'!$B$12:$B$32,0),MATCH(H$4,'Table C - Capacity'!$4:$4,0)+IF(J$7="Winter",2,3))</f>
        <v>35.994095417284733</v>
      </c>
      <c r="K25" s="233">
        <f>'Table B - Energy'!K25+INDEX('Table C - Capacity'!$12:$32,MATCH($B25,'Table C - Capacity'!$B$12:$B$32,0),MATCH(H$4,'Table C - Capacity'!$4:$4,0)+IF(K$7="Winter",2,3))</f>
        <v>94.141339775677835</v>
      </c>
      <c r="L25" s="234">
        <f>'Table B - Energy'!L25+INDEX('Table C - Capacity'!$12:$32,MATCH($B25,'Table C - Capacity'!$B$12:$B$32,0),MATCH(H$4,'Table C - Capacity'!$4:$4,0)+IF(L$7="Winter",2,3))</f>
        <v>54.5516088435147</v>
      </c>
      <c r="N25" s="240">
        <f t="shared" si="1"/>
        <v>2035</v>
      </c>
      <c r="O25" s="231">
        <f>SUMPRODUCT(P25:S25,Profiles!N25:Q25)/SUM(Profiles!N25:Q25)</f>
        <v>41.04440010841865</v>
      </c>
      <c r="P25" s="232">
        <f>'Table B - Energy'!P25+INDEX('Table C - Capacity'!$12:$32,MATCH($B25,'Table C - Capacity'!$B$12:$B$32,0),MATCH(O$4,'Table C - Capacity'!$4:$4,0)+IF(P$7="Winter",2,3))</f>
        <v>35.977756882258923</v>
      </c>
      <c r="Q25" s="233">
        <f>'Table B - Energy'!Q25+INDEX('Table C - Capacity'!$12:$32,MATCH($B25,'Table C - Capacity'!$B$12:$B$32,0),MATCH(O$4,'Table C - Capacity'!$4:$4,0)+IF(Q$7="Winter",2,3))</f>
        <v>29.890714357759258</v>
      </c>
      <c r="R25" s="233">
        <f>'Table B - Energy'!R25+INDEX('Table C - Capacity'!$12:$32,MATCH($B25,'Table C - Capacity'!$B$12:$B$32,0),MATCH(O$4,'Table C - Capacity'!$4:$4,0)+IF(R$7="Winter",2,3))</f>
        <v>68.890183601897903</v>
      </c>
      <c r="S25" s="234">
        <f>'Table B - Energy'!S25+INDEX('Table C - Capacity'!$12:$32,MATCH($B25,'Table C - Capacity'!$B$12:$B$32,0),MATCH(O$4,'Table C - Capacity'!$4:$4,0)+IF(S$7="Winter",2,3))</f>
        <v>50.819895558226499</v>
      </c>
      <c r="T25" s="231">
        <f>SUMPRODUCT(U25:X25,Profiles!S25:V25)/SUM(Profiles!S25:V25)</f>
        <v>42.115059389454579</v>
      </c>
      <c r="U25" s="232">
        <f>'Table B - Energy'!U25+INDEX('Table C - Capacity'!$12:$32,MATCH($B25,'Table C - Capacity'!$B$12:$B$32,0),MATCH(T$4,'Table C - Capacity'!$4:$4,0)+IF(U$7="Winter",2,3))</f>
        <v>34.577277281933029</v>
      </c>
      <c r="V25" s="233">
        <f>'Table B - Energy'!V25+INDEX('Table C - Capacity'!$12:$32,MATCH($B25,'Table C - Capacity'!$B$12:$B$32,0),MATCH(T$4,'Table C - Capacity'!$4:$4,0)+IF(V$7="Winter",2,3))</f>
        <v>26.907052856433914</v>
      </c>
      <c r="W25" s="233">
        <f>'Table B - Energy'!W25+INDEX('Table C - Capacity'!$12:$32,MATCH($B25,'Table C - Capacity'!$B$12:$B$32,0),MATCH(T$4,'Table C - Capacity'!$4:$4,0)+IF(W$7="Winter",2,3))</f>
        <v>70.079092235468281</v>
      </c>
      <c r="X25" s="234">
        <f>'Table B - Energy'!X25+INDEX('Table C - Capacity'!$12:$32,MATCH($B25,'Table C - Capacity'!$B$12:$B$32,0),MATCH(T$4,'Table C - Capacity'!$4:$4,0)+IF(X$7="Winter",2,3))</f>
        <v>50.730315675890424</v>
      </c>
    </row>
    <row r="26" spans="2:24">
      <c r="B26" s="240">
        <f t="shared" si="0"/>
        <v>2036</v>
      </c>
      <c r="C26" s="231">
        <f>SUMPRODUCT(D26:G26,Profiles!D26:G26)/SUM(Profiles!D26:G26)</f>
        <v>67.607829587955393</v>
      </c>
      <c r="D26" s="232">
        <f>'Table B - Energy'!D26+INDEX('Table C - Capacity'!$12:$32,MATCH($B26,'Table C - Capacity'!$B$12:$B$32,0),MATCH(C$4,'Table C - Capacity'!$4:$4,0)+IF(D$7="Winter",2,3))</f>
        <v>67.122715137429495</v>
      </c>
      <c r="E26" s="233">
        <f>'Table B - Energy'!E26+INDEX('Table C - Capacity'!$12:$32,MATCH($B26,'Table C - Capacity'!$B$12:$B$32,0),MATCH(C$4,'Table C - Capacity'!$4:$4,0)+IF(E$7="Winter",2,3))</f>
        <v>45.373680813659007</v>
      </c>
      <c r="F26" s="233">
        <f>'Table B - Energy'!F26+INDEX('Table C - Capacity'!$12:$32,MATCH($B26,'Table C - Capacity'!$B$12:$B$32,0),MATCH(C$4,'Table C - Capacity'!$4:$4,0)+IF(F$7="Winter",2,3))</f>
        <v>129.85752570212159</v>
      </c>
      <c r="G26" s="234">
        <f>'Table B - Energy'!G26+INDEX('Table C - Capacity'!$12:$32,MATCH($B26,'Table C - Capacity'!$B$12:$B$32,0),MATCH(C$4,'Table C - Capacity'!$4:$4,0)+IF(G$7="Winter",2,3))</f>
        <v>81.436393529991008</v>
      </c>
      <c r="H26" s="231">
        <f>SUMPRODUCT(I26:L26,Profiles!I26:L26)/SUM(Profiles!I26:L26)</f>
        <v>51.758356379019752</v>
      </c>
      <c r="I26" s="232">
        <f>'Table B - Energy'!I26+INDEX('Table C - Capacity'!$12:$32,MATCH($B26,'Table C - Capacity'!$B$12:$B$32,0),MATCH(H$4,'Table C - Capacity'!$4:$4,0)+IF(I$7="Winter",2,3))</f>
        <v>59.895960559433277</v>
      </c>
      <c r="J26" s="233">
        <f>'Table B - Energy'!J26+INDEX('Table C - Capacity'!$12:$32,MATCH($B26,'Table C - Capacity'!$B$12:$B$32,0),MATCH(H$4,'Table C - Capacity'!$4:$4,0)+IF(J$7="Winter",2,3))</f>
        <v>36.951497702009924</v>
      </c>
      <c r="K26" s="233">
        <f>'Table B - Energy'!K26+INDEX('Table C - Capacity'!$12:$32,MATCH($B26,'Table C - Capacity'!$B$12:$B$32,0),MATCH(H$4,'Table C - Capacity'!$4:$4,0)+IF(K$7="Winter",2,3))</f>
        <v>96.060689427539216</v>
      </c>
      <c r="L26" s="234">
        <f>'Table B - Energy'!L26+INDEX('Table C - Capacity'!$12:$32,MATCH($B26,'Table C - Capacity'!$B$12:$B$32,0),MATCH(H$4,'Table C - Capacity'!$4:$4,0)+IF(L$7="Winter",2,3))</f>
        <v>55.757065556225967</v>
      </c>
      <c r="N26" s="240">
        <f t="shared" si="1"/>
        <v>2036</v>
      </c>
      <c r="O26" s="231">
        <f>SUMPRODUCT(P26:S26,Profiles!N26:Q26)/SUM(Profiles!N26:Q26)</f>
        <v>41.964283181985593</v>
      </c>
      <c r="P26" s="232">
        <f>'Table B - Energy'!P26+INDEX('Table C - Capacity'!$12:$32,MATCH($B26,'Table C - Capacity'!$B$12:$B$32,0),MATCH(O$4,'Table C - Capacity'!$4:$4,0)+IF(P$7="Winter",2,3))</f>
        <v>36.721887978236076</v>
      </c>
      <c r="Q26" s="233">
        <f>'Table B - Energy'!Q26+INDEX('Table C - Capacity'!$12:$32,MATCH($B26,'Table C - Capacity'!$B$12:$B$32,0),MATCH(O$4,'Table C - Capacity'!$4:$4,0)+IF(Q$7="Winter",2,3))</f>
        <v>31.066252214218856</v>
      </c>
      <c r="R26" s="233">
        <f>'Table B - Energy'!R26+INDEX('Table C - Capacity'!$12:$32,MATCH($B26,'Table C - Capacity'!$B$12:$B$32,0),MATCH(O$4,'Table C - Capacity'!$4:$4,0)+IF(R$7="Winter",2,3))</f>
        <v>69.805120526086014</v>
      </c>
      <c r="S26" s="234">
        <f>'Table B - Energy'!S26+INDEX('Table C - Capacity'!$12:$32,MATCH($B26,'Table C - Capacity'!$B$12:$B$32,0),MATCH(O$4,'Table C - Capacity'!$4:$4,0)+IF(S$7="Winter",2,3))</f>
        <v>51.395217435385298</v>
      </c>
      <c r="T26" s="231">
        <f>SUMPRODUCT(U26:X26,Profiles!S26:V26)/SUM(Profiles!S26:V26)</f>
        <v>42.999258769139821</v>
      </c>
      <c r="U26" s="232">
        <f>'Table B - Energy'!U26+INDEX('Table C - Capacity'!$12:$32,MATCH($B26,'Table C - Capacity'!$B$12:$B$32,0),MATCH(T$4,'Table C - Capacity'!$4:$4,0)+IF(U$7="Winter",2,3))</f>
        <v>35.096419567923476</v>
      </c>
      <c r="V26" s="233">
        <f>'Table B - Energy'!V26+INDEX('Table C - Capacity'!$12:$32,MATCH($B26,'Table C - Capacity'!$B$12:$B$32,0),MATCH(T$4,'Table C - Capacity'!$4:$4,0)+IF(V$7="Winter",2,3))</f>
        <v>27.761494051347839</v>
      </c>
      <c r="W26" s="233">
        <f>'Table B - Energy'!W26+INDEX('Table C - Capacity'!$12:$32,MATCH($B26,'Table C - Capacity'!$B$12:$B$32,0),MATCH(T$4,'Table C - Capacity'!$4:$4,0)+IF(W$7="Winter",2,3))</f>
        <v>71.912000589580487</v>
      </c>
      <c r="X26" s="234">
        <f>'Table B - Energy'!X26+INDEX('Table C - Capacity'!$12:$32,MATCH($B26,'Table C - Capacity'!$B$12:$B$32,0),MATCH(T$4,'Table C - Capacity'!$4:$4,0)+IF(X$7="Winter",2,3))</f>
        <v>51.403447163839125</v>
      </c>
    </row>
    <row r="27" spans="2:24">
      <c r="B27" s="240">
        <f t="shared" si="0"/>
        <v>2037</v>
      </c>
      <c r="C27" s="231">
        <f>SUMPRODUCT(D27:G27,Profiles!D27:G27)/SUM(Profiles!D27:G27)</f>
        <v>68.474728130595651</v>
      </c>
      <c r="D27" s="232">
        <f>'Table B - Energy'!D27+INDEX('Table C - Capacity'!$12:$32,MATCH($B27,'Table C - Capacity'!$B$12:$B$32,0),MATCH(C$4,'Table C - Capacity'!$4:$4,0)+IF(D$7="Winter",2,3))</f>
        <v>67.532755982138397</v>
      </c>
      <c r="E27" s="233">
        <f>'Table B - Energy'!E27+INDEX('Table C - Capacity'!$12:$32,MATCH($B27,'Table C - Capacity'!$B$12:$B$32,0),MATCH(C$4,'Table C - Capacity'!$4:$4,0)+IF(E$7="Winter",2,3))</f>
        <v>45.783195796953422</v>
      </c>
      <c r="F27" s="233">
        <f>'Table B - Energy'!F27+INDEX('Table C - Capacity'!$12:$32,MATCH($B27,'Table C - Capacity'!$B$12:$B$32,0),MATCH(C$4,'Table C - Capacity'!$4:$4,0)+IF(F$7="Winter",2,3))</f>
        <v>131.72358454104761</v>
      </c>
      <c r="G27" s="234">
        <f>'Table B - Energy'!G27+INDEX('Table C - Capacity'!$12:$32,MATCH($B27,'Table C - Capacity'!$B$12:$B$32,0),MATCH(C$4,'Table C - Capacity'!$4:$4,0)+IF(G$7="Winter",2,3))</f>
        <v>82.985480032850148</v>
      </c>
      <c r="H27" s="231">
        <f>SUMPRODUCT(I27:L27,Profiles!I27:L27)/SUM(Profiles!I27:L27)</f>
        <v>52.362996911751864</v>
      </c>
      <c r="I27" s="232">
        <f>'Table B - Energy'!I27+INDEX('Table C - Capacity'!$12:$32,MATCH($B27,'Table C - Capacity'!$B$12:$B$32,0),MATCH(H$4,'Table C - Capacity'!$4:$4,0)+IF(I$7="Winter",2,3))</f>
        <v>60.375169443345605</v>
      </c>
      <c r="J27" s="233">
        <f>'Table B - Energy'!J27+INDEX('Table C - Capacity'!$12:$32,MATCH($B27,'Table C - Capacity'!$B$12:$B$32,0),MATCH(H$4,'Table C - Capacity'!$4:$4,0)+IF(J$7="Winter",2,3))</f>
        <v>37.235792781510241</v>
      </c>
      <c r="K27" s="233">
        <f>'Table B - Energy'!K27+INDEX('Table C - Capacity'!$12:$32,MATCH($B27,'Table C - Capacity'!$B$12:$B$32,0),MATCH(H$4,'Table C - Capacity'!$4:$4,0)+IF(K$7="Winter",2,3))</f>
        <v>97.633385547589015</v>
      </c>
      <c r="L27" s="234">
        <f>'Table B - Energy'!L27+INDEX('Table C - Capacity'!$12:$32,MATCH($B27,'Table C - Capacity'!$B$12:$B$32,0),MATCH(H$4,'Table C - Capacity'!$4:$4,0)+IF(L$7="Winter",2,3))</f>
        <v>56.70786371645994</v>
      </c>
      <c r="N27" s="240">
        <f t="shared" si="1"/>
        <v>2037</v>
      </c>
      <c r="O27" s="231">
        <f>SUMPRODUCT(P27:S27,Profiles!N27:Q27)/SUM(Profiles!N27:Q27)</f>
        <v>42.207119541281685</v>
      </c>
      <c r="P27" s="232">
        <f>'Table B - Energy'!P27+INDEX('Table C - Capacity'!$12:$32,MATCH($B27,'Table C - Capacity'!$B$12:$B$32,0),MATCH(O$4,'Table C - Capacity'!$4:$4,0)+IF(P$7="Winter",2,3))</f>
        <v>35.361295654546481</v>
      </c>
      <c r="Q27" s="233">
        <f>'Table B - Energy'!Q27+INDEX('Table C - Capacity'!$12:$32,MATCH($B27,'Table C - Capacity'!$B$12:$B$32,0),MATCH(O$4,'Table C - Capacity'!$4:$4,0)+IF(Q$7="Winter",2,3))</f>
        <v>30.910347993992442</v>
      </c>
      <c r="R27" s="233">
        <f>'Table B - Energy'!R27+INDEX('Table C - Capacity'!$12:$32,MATCH($B27,'Table C - Capacity'!$B$12:$B$32,0),MATCH(O$4,'Table C - Capacity'!$4:$4,0)+IF(R$7="Winter",2,3))</f>
        <v>70.719267081520201</v>
      </c>
      <c r="S27" s="234">
        <f>'Table B - Energy'!S27+INDEX('Table C - Capacity'!$12:$32,MATCH($B27,'Table C - Capacity'!$B$12:$B$32,0),MATCH(O$4,'Table C - Capacity'!$4:$4,0)+IF(S$7="Winter",2,3))</f>
        <v>52.167709408963212</v>
      </c>
      <c r="T27" s="231">
        <f>SUMPRODUCT(U27:X27,Profiles!S27:V27)/SUM(Profiles!S27:V27)</f>
        <v>43.233737048312037</v>
      </c>
      <c r="U27" s="232">
        <f>'Table B - Energy'!U27+INDEX('Table C - Capacity'!$12:$32,MATCH($B27,'Table C - Capacity'!$B$12:$B$32,0),MATCH(T$4,'Table C - Capacity'!$4:$4,0)+IF(U$7="Winter",2,3))</f>
        <v>33.550385507311084</v>
      </c>
      <c r="V27" s="233">
        <f>'Table B - Energy'!V27+INDEX('Table C - Capacity'!$12:$32,MATCH($B27,'Table C - Capacity'!$B$12:$B$32,0),MATCH(T$4,'Table C - Capacity'!$4:$4,0)+IF(V$7="Winter",2,3))</f>
        <v>27.389630984318707</v>
      </c>
      <c r="W27" s="233">
        <f>'Table B - Energy'!W27+INDEX('Table C - Capacity'!$12:$32,MATCH($B27,'Table C - Capacity'!$B$12:$B$32,0),MATCH(T$4,'Table C - Capacity'!$4:$4,0)+IF(W$7="Winter",2,3))</f>
        <v>73.10534412487921</v>
      </c>
      <c r="X27" s="234">
        <f>'Table B - Energy'!X27+INDEX('Table C - Capacity'!$12:$32,MATCH($B27,'Table C - Capacity'!$B$12:$B$32,0),MATCH(T$4,'Table C - Capacity'!$4:$4,0)+IF(X$7="Winter",2,3))</f>
        <v>52.212903453930323</v>
      </c>
    </row>
    <row r="28" spans="2:24">
      <c r="B28" s="240">
        <f t="shared" si="0"/>
        <v>2038</v>
      </c>
      <c r="C28" s="231">
        <f>SUMPRODUCT(D28:G28,Profiles!D28:G28)/SUM(Profiles!D28:G28)</f>
        <v>71.570428098278754</v>
      </c>
      <c r="D28" s="232">
        <f>'Table B - Energy'!D28+INDEX('Table C - Capacity'!$12:$32,MATCH($B28,'Table C - Capacity'!$B$12:$B$32,0),MATCH(C$4,'Table C - Capacity'!$4:$4,0)+IF(D$7="Winter",2,3))</f>
        <v>71.13573507175532</v>
      </c>
      <c r="E28" s="233">
        <f>'Table B - Energy'!E28+INDEX('Table C - Capacity'!$12:$32,MATCH($B28,'Table C - Capacity'!$B$12:$B$32,0),MATCH(C$4,'Table C - Capacity'!$4:$4,0)+IF(E$7="Winter",2,3))</f>
        <v>48.349397623195514</v>
      </c>
      <c r="F28" s="233">
        <f>'Table B - Energy'!F28+INDEX('Table C - Capacity'!$12:$32,MATCH($B28,'Table C - Capacity'!$B$12:$B$32,0),MATCH(C$4,'Table C - Capacity'!$4:$4,0)+IF(F$7="Winter",2,3))</f>
        <v>136.74294508280281</v>
      </c>
      <c r="G28" s="234">
        <f>'Table B - Energy'!G28+INDEX('Table C - Capacity'!$12:$32,MATCH($B28,'Table C - Capacity'!$B$12:$B$32,0),MATCH(C$4,'Table C - Capacity'!$4:$4,0)+IF(G$7="Winter",2,3))</f>
        <v>85.668805738539845</v>
      </c>
      <c r="H28" s="231">
        <f>SUMPRODUCT(I28:L28,Profiles!I28:L28)/SUM(Profiles!I28:L28)</f>
        <v>55.156597388836786</v>
      </c>
      <c r="I28" s="232">
        <f>'Table B - Energy'!I28+INDEX('Table C - Capacity'!$12:$32,MATCH($B28,'Table C - Capacity'!$B$12:$B$32,0),MATCH(H$4,'Table C - Capacity'!$4:$4,0)+IF(I$7="Winter",2,3))</f>
        <v>63.883853038009448</v>
      </c>
      <c r="J28" s="233">
        <f>'Table B - Energy'!J28+INDEX('Table C - Capacity'!$12:$32,MATCH($B28,'Table C - Capacity'!$B$12:$B$32,0),MATCH(H$4,'Table C - Capacity'!$4:$4,0)+IF(J$7="Winter",2,3))</f>
        <v>39.669827453182066</v>
      </c>
      <c r="K28" s="233">
        <f>'Table B - Energy'!K28+INDEX('Table C - Capacity'!$12:$32,MATCH($B28,'Table C - Capacity'!$B$12:$B$32,0),MATCH(H$4,'Table C - Capacity'!$4:$4,0)+IF(K$7="Winter",2,3))</f>
        <v>101.56692567730413</v>
      </c>
      <c r="L28" s="234">
        <f>'Table B - Energy'!L28+INDEX('Table C - Capacity'!$12:$32,MATCH($B28,'Table C - Capacity'!$B$12:$B$32,0),MATCH(H$4,'Table C - Capacity'!$4:$4,0)+IF(L$7="Winter",2,3))</f>
        <v>58.92472948472448</v>
      </c>
      <c r="N28" s="240">
        <f t="shared" si="1"/>
        <v>2038</v>
      </c>
      <c r="O28" s="231">
        <f>SUMPRODUCT(P28:S28,Profiles!N28:Q28)/SUM(Profiles!N28:Q28)</f>
        <v>44.304753322057756</v>
      </c>
      <c r="P28" s="232">
        <f>'Table B - Energy'!P28+INDEX('Table C - Capacity'!$12:$32,MATCH($B28,'Table C - Capacity'!$B$12:$B$32,0),MATCH(O$4,'Table C - Capacity'!$4:$4,0)+IF(P$7="Winter",2,3))</f>
        <v>38.148619346685038</v>
      </c>
      <c r="Q28" s="233">
        <f>'Table B - Energy'!Q28+INDEX('Table C - Capacity'!$12:$32,MATCH($B28,'Table C - Capacity'!$B$12:$B$32,0),MATCH(O$4,'Table C - Capacity'!$4:$4,0)+IF(Q$7="Winter",2,3))</f>
        <v>32.687254131256672</v>
      </c>
      <c r="R28" s="233">
        <f>'Table B - Energy'!R28+INDEX('Table C - Capacity'!$12:$32,MATCH($B28,'Table C - Capacity'!$B$12:$B$32,0),MATCH(O$4,'Table C - Capacity'!$4:$4,0)+IF(R$7="Winter",2,3))</f>
        <v>73.858382138765677</v>
      </c>
      <c r="S28" s="234">
        <f>'Table B - Energy'!S28+INDEX('Table C - Capacity'!$12:$32,MATCH($B28,'Table C - Capacity'!$B$12:$B$32,0),MATCH(O$4,'Table C - Capacity'!$4:$4,0)+IF(S$7="Winter",2,3))</f>
        <v>54.384428183606971</v>
      </c>
      <c r="T28" s="231">
        <f>SUMPRODUCT(U28:X28,Profiles!S28:V28)/SUM(Profiles!S28:V28)</f>
        <v>45.436923252116038</v>
      </c>
      <c r="U28" s="232">
        <f>'Table B - Energy'!U28+INDEX('Table C - Capacity'!$12:$32,MATCH($B28,'Table C - Capacity'!$B$12:$B$32,0),MATCH(T$4,'Table C - Capacity'!$4:$4,0)+IF(U$7="Winter",2,3))</f>
        <v>36.573221061024753</v>
      </c>
      <c r="V28" s="233">
        <f>'Table B - Energy'!V28+INDEX('Table C - Capacity'!$12:$32,MATCH($B28,'Table C - Capacity'!$B$12:$B$32,0),MATCH(T$4,'Table C - Capacity'!$4:$4,0)+IF(V$7="Winter",2,3))</f>
        <v>29.164178174312934</v>
      </c>
      <c r="W28" s="233">
        <f>'Table B - Energy'!W28+INDEX('Table C - Capacity'!$12:$32,MATCH($B28,'Table C - Capacity'!$B$12:$B$32,0),MATCH(T$4,'Table C - Capacity'!$4:$4,0)+IF(W$7="Winter",2,3))</f>
        <v>76.241870468371943</v>
      </c>
      <c r="X28" s="234">
        <f>'Table B - Energy'!X28+INDEX('Table C - Capacity'!$12:$32,MATCH($B28,'Table C - Capacity'!$B$12:$B$32,0),MATCH(T$4,'Table C - Capacity'!$4:$4,0)+IF(X$7="Winter",2,3))</f>
        <v>54.454213533671478</v>
      </c>
    </row>
    <row r="29" spans="2:24">
      <c r="B29" s="240">
        <f t="shared" si="0"/>
        <v>2039</v>
      </c>
      <c r="C29" s="231">
        <f>SUMPRODUCT(D29:G29,Profiles!D29:G29)/SUM(Profiles!D29:G29)</f>
        <v>74.301949060945631</v>
      </c>
      <c r="D29" s="232">
        <f>'Table B - Energy'!D29+INDEX('Table C - Capacity'!$12:$32,MATCH($B29,'Table C - Capacity'!$B$12:$B$32,0),MATCH(C$4,'Table C - Capacity'!$4:$4,0)+IF(D$7="Winter",2,3))</f>
        <v>74.654193419785358</v>
      </c>
      <c r="E29" s="233">
        <f>'Table B - Energy'!E29+INDEX('Table C - Capacity'!$12:$32,MATCH($B29,'Table C - Capacity'!$B$12:$B$32,0),MATCH(C$4,'Table C - Capacity'!$4:$4,0)+IF(E$7="Winter",2,3))</f>
        <v>50.636112144064406</v>
      </c>
      <c r="F29" s="233">
        <f>'Table B - Energy'!F29+INDEX('Table C - Capacity'!$12:$32,MATCH($B29,'Table C - Capacity'!$B$12:$B$32,0),MATCH(C$4,'Table C - Capacity'!$4:$4,0)+IF(F$7="Winter",2,3))</f>
        <v>139.35027928609921</v>
      </c>
      <c r="G29" s="234">
        <f>'Table B - Energy'!G29+INDEX('Table C - Capacity'!$12:$32,MATCH($B29,'Table C - Capacity'!$B$12:$B$32,0),MATCH(C$4,'Table C - Capacity'!$4:$4,0)+IF(G$7="Winter",2,3))</f>
        <v>88.564674777902553</v>
      </c>
      <c r="H29" s="231">
        <f>SUMPRODUCT(I29:L29,Profiles!I29:L29)/SUM(Profiles!I29:L29)</f>
        <v>57.414610931590744</v>
      </c>
      <c r="I29" s="232">
        <f>'Table B - Energy'!I29+INDEX('Table C - Capacity'!$12:$32,MATCH($B29,'Table C - Capacity'!$B$12:$B$32,0),MATCH(H$4,'Table C - Capacity'!$4:$4,0)+IF(I$7="Winter",2,3))</f>
        <v>66.947106984847878</v>
      </c>
      <c r="J29" s="233">
        <f>'Table B - Energy'!J29+INDEX('Table C - Capacity'!$12:$32,MATCH($B29,'Table C - Capacity'!$B$12:$B$32,0),MATCH(H$4,'Table C - Capacity'!$4:$4,0)+IF(J$7="Winter",2,3))</f>
        <v>41.565152160836952</v>
      </c>
      <c r="K29" s="233">
        <f>'Table B - Energy'!K29+INDEX('Table C - Capacity'!$12:$32,MATCH($B29,'Table C - Capacity'!$B$12:$B$32,0),MATCH(H$4,'Table C - Capacity'!$4:$4,0)+IF(K$7="Winter",2,3))</f>
        <v>103.54049508221095</v>
      </c>
      <c r="L29" s="234">
        <f>'Table B - Energy'!L29+INDEX('Table C - Capacity'!$12:$32,MATCH($B29,'Table C - Capacity'!$B$12:$B$32,0),MATCH(H$4,'Table C - Capacity'!$4:$4,0)+IF(L$7="Winter",2,3))</f>
        <v>61.234208866170334</v>
      </c>
      <c r="N29" s="240">
        <f t="shared" si="1"/>
        <v>2039</v>
      </c>
      <c r="O29" s="231">
        <f>SUMPRODUCT(P29:S29,Profiles!N29:Q29)/SUM(Profiles!N29:Q29)</f>
        <v>45.924320395850522</v>
      </c>
      <c r="P29" s="232">
        <f>'Table B - Energy'!P29+INDEX('Table C - Capacity'!$12:$32,MATCH($B29,'Table C - Capacity'!$B$12:$B$32,0),MATCH(O$4,'Table C - Capacity'!$4:$4,0)+IF(P$7="Winter",2,3))</f>
        <v>39.766763306552178</v>
      </c>
      <c r="Q29" s="233">
        <f>'Table B - Energy'!Q29+INDEX('Table C - Capacity'!$12:$32,MATCH($B29,'Table C - Capacity'!$B$12:$B$32,0),MATCH(O$4,'Table C - Capacity'!$4:$4,0)+IF(Q$7="Winter",2,3))</f>
        <v>34.812861599626572</v>
      </c>
      <c r="R29" s="233">
        <f>'Table B - Energy'!R29+INDEX('Table C - Capacity'!$12:$32,MATCH($B29,'Table C - Capacity'!$B$12:$B$32,0),MATCH(O$4,'Table C - Capacity'!$4:$4,0)+IF(R$7="Winter",2,3))</f>
        <v>75.132065406730391</v>
      </c>
      <c r="S29" s="234">
        <f>'Table B - Energy'!S29+INDEX('Table C - Capacity'!$12:$32,MATCH($B29,'Table C - Capacity'!$B$12:$B$32,0),MATCH(O$4,'Table C - Capacity'!$4:$4,0)+IF(S$7="Winter",2,3))</f>
        <v>55.271136526627167</v>
      </c>
      <c r="T29" s="231">
        <f>SUMPRODUCT(U29:X29,Profiles!S29:V29)/SUM(Profiles!S29:V29)</f>
        <v>46.723002666077178</v>
      </c>
      <c r="U29" s="232">
        <f>'Table B - Energy'!U29+INDEX('Table C - Capacity'!$12:$32,MATCH($B29,'Table C - Capacity'!$B$12:$B$32,0),MATCH(T$4,'Table C - Capacity'!$4:$4,0)+IF(U$7="Winter",2,3))</f>
        <v>37.506409831224808</v>
      </c>
      <c r="V29" s="233">
        <f>'Table B - Energy'!V29+INDEX('Table C - Capacity'!$12:$32,MATCH($B29,'Table C - Capacity'!$B$12:$B$32,0),MATCH(T$4,'Table C - Capacity'!$4:$4,0)+IF(V$7="Winter",2,3))</f>
        <v>30.761474854088402</v>
      </c>
      <c r="W29" s="233">
        <f>'Table B - Energy'!W29+INDEX('Table C - Capacity'!$12:$32,MATCH($B29,'Table C - Capacity'!$B$12:$B$32,0),MATCH(T$4,'Table C - Capacity'!$4:$4,0)+IF(W$7="Winter",2,3))</f>
        <v>77.345252074064931</v>
      </c>
      <c r="X29" s="234">
        <f>'Table B - Energy'!X29+INDEX('Table C - Capacity'!$12:$32,MATCH($B29,'Table C - Capacity'!$B$12:$B$32,0),MATCH(T$4,'Table C - Capacity'!$4:$4,0)+IF(X$7="Winter",2,3))</f>
        <v>55.498139428666711</v>
      </c>
    </row>
    <row r="30" spans="2:24" ht="13.5" thickBot="1">
      <c r="B30" s="242">
        <f t="shared" si="0"/>
        <v>2040</v>
      </c>
      <c r="C30" s="235">
        <f>SUMPRODUCT(D30:G30,Profiles!D30:G30)/SUM(Profiles!D30:G30)</f>
        <v>77.365264990237662</v>
      </c>
      <c r="D30" s="236">
        <f>'Table B - Energy'!D30+INDEX('Table C - Capacity'!$12:$32,MATCH($B30,'Table C - Capacity'!$B$12:$B$32,0),MATCH(C$4,'Table C - Capacity'!$4:$4,0)+IF(D$7="Winter",2,3))</f>
        <v>78.094692211715369</v>
      </c>
      <c r="E30" s="237">
        <f>'Table B - Energy'!E30+INDEX('Table C - Capacity'!$12:$32,MATCH($B30,'Table C - Capacity'!$B$12:$B$32,0),MATCH(C$4,'Table C - Capacity'!$4:$4,0)+IF(E$7="Winter",2,3))</f>
        <v>52.936428892043658</v>
      </c>
      <c r="F30" s="237">
        <f>'Table B - Energy'!F30+INDEX('Table C - Capacity'!$12:$32,MATCH($B30,'Table C - Capacity'!$B$12:$B$32,0),MATCH(C$4,'Table C - Capacity'!$4:$4,0)+IF(F$7="Winter",2,3))</f>
        <v>144.60862707733631</v>
      </c>
      <c r="G30" s="238">
        <f>'Table B - Energy'!G30+INDEX('Table C - Capacity'!$12:$32,MATCH($B30,'Table C - Capacity'!$B$12:$B$32,0),MATCH(C$4,'Table C - Capacity'!$4:$4,0)+IF(G$7="Winter",2,3))</f>
        <v>91.87182892159862</v>
      </c>
      <c r="H30" s="235">
        <f>SUMPRODUCT(I30:L30,Profiles!I30:L30)/SUM(Profiles!I30:L30)</f>
        <v>60.148801644460001</v>
      </c>
      <c r="I30" s="236">
        <f>'Table B - Energy'!I30+INDEX('Table C - Capacity'!$12:$32,MATCH($B30,'Table C - Capacity'!$B$12:$B$32,0),MATCH(H$4,'Table C - Capacity'!$4:$4,0)+IF(I$7="Winter",2,3))</f>
        <v>70.398406220358297</v>
      </c>
      <c r="J30" s="237">
        <f>'Table B - Energy'!J30+INDEX('Table C - Capacity'!$12:$32,MATCH($B30,'Table C - Capacity'!$B$12:$B$32,0),MATCH(H$4,'Table C - Capacity'!$4:$4,0)+IF(J$7="Winter",2,3))</f>
        <v>43.680230007468616</v>
      </c>
      <c r="K30" s="237">
        <f>'Table B - Energy'!K30+INDEX('Table C - Capacity'!$12:$32,MATCH($B30,'Table C - Capacity'!$B$12:$B$32,0),MATCH(H$4,'Table C - Capacity'!$4:$4,0)+IF(K$7="Winter",2,3))</f>
        <v>108.16027986785717</v>
      </c>
      <c r="L30" s="238">
        <f>'Table B - Energy'!L30+INDEX('Table C - Capacity'!$12:$32,MATCH($B30,'Table C - Capacity'!$B$12:$B$32,0),MATCH(H$4,'Table C - Capacity'!$4:$4,0)+IF(L$7="Winter",2,3))</f>
        <v>63.759499049109884</v>
      </c>
      <c r="N30" s="242">
        <f t="shared" si="1"/>
        <v>2040</v>
      </c>
      <c r="O30" s="235">
        <f>SUMPRODUCT(P30:S30,Profiles!N30:Q30)/SUM(Profiles!N30:Q30)</f>
        <v>47.966877415030211</v>
      </c>
      <c r="P30" s="236">
        <f>'Table B - Energy'!P30+INDEX('Table C - Capacity'!$12:$32,MATCH($B30,'Table C - Capacity'!$B$12:$B$32,0),MATCH(O$4,'Table C - Capacity'!$4:$4,0)+IF(P$7="Winter",2,3))</f>
        <v>41.838134633692427</v>
      </c>
      <c r="Q30" s="237">
        <f>'Table B - Energy'!Q30+INDEX('Table C - Capacity'!$12:$32,MATCH($B30,'Table C - Capacity'!$B$12:$B$32,0),MATCH(O$4,'Table C - Capacity'!$4:$4,0)+IF(Q$7="Winter",2,3))</f>
        <v>36.316073395971287</v>
      </c>
      <c r="R30" s="237">
        <f>'Table B - Energy'!R30+INDEX('Table C - Capacity'!$12:$32,MATCH($B30,'Table C - Capacity'!$B$12:$B$32,0),MATCH(O$4,'Table C - Capacity'!$4:$4,0)+IF(R$7="Winter",2,3))</f>
        <v>78.80366718176812</v>
      </c>
      <c r="S30" s="238">
        <f>'Table B - Energy'!S30+INDEX('Table C - Capacity'!$12:$32,MATCH($B30,'Table C - Capacity'!$B$12:$B$32,0),MATCH(O$4,'Table C - Capacity'!$4:$4,0)+IF(S$7="Winter",2,3))</f>
        <v>57.735361121805504</v>
      </c>
      <c r="T30" s="235">
        <f>SUMPRODUCT(U30:X30,Profiles!S30:V30)/SUM(Profiles!S30:V30)</f>
        <v>49.160633212925987</v>
      </c>
      <c r="U30" s="236">
        <f>'Table B - Energy'!U30+INDEX('Table C - Capacity'!$12:$32,MATCH($B30,'Table C - Capacity'!$B$12:$B$32,0),MATCH(T$4,'Table C - Capacity'!$4:$4,0)+IF(U$7="Winter",2,3))</f>
        <v>39.658592520165868</v>
      </c>
      <c r="V30" s="237">
        <f>'Table B - Energy'!V30+INDEX('Table C - Capacity'!$12:$32,MATCH($B30,'Table C - Capacity'!$B$12:$B$32,0),MATCH(T$4,'Table C - Capacity'!$4:$4,0)+IF(V$7="Winter",2,3))</f>
        <v>32.201828574720047</v>
      </c>
      <c r="W30" s="237">
        <f>'Table B - Energy'!W30+INDEX('Table C - Capacity'!$12:$32,MATCH($B30,'Table C - Capacity'!$B$12:$B$32,0),MATCH(T$4,'Table C - Capacity'!$4:$4,0)+IF(W$7="Winter",2,3))</f>
        <v>82.23714619222811</v>
      </c>
      <c r="X30" s="238">
        <f>'Table B - Energy'!X30+INDEX('Table C - Capacity'!$12:$32,MATCH($B30,'Table C - Capacity'!$B$12:$B$32,0),MATCH(T$4,'Table C - Capacity'!$4:$4,0)+IF(X$7="Winter",2,3))</f>
        <v>58.294173217183719</v>
      </c>
    </row>
    <row r="31" spans="2:24" ht="4.5" customHeight="1" thickTop="1">
      <c r="B31" s="205"/>
      <c r="D31" s="30"/>
      <c r="E31" s="30"/>
      <c r="F31" s="30"/>
      <c r="G31" s="30"/>
      <c r="H31" s="30"/>
      <c r="I31" s="30"/>
      <c r="J31" s="30"/>
      <c r="K31" s="30"/>
      <c r="L31" s="30"/>
      <c r="N31" s="205"/>
      <c r="P31" s="30"/>
      <c r="Q31" s="30"/>
      <c r="R31" s="30"/>
      <c r="S31" s="30"/>
      <c r="T31" s="30"/>
      <c r="U31" s="30"/>
      <c r="V31" s="30"/>
      <c r="W31" s="30"/>
      <c r="X31" s="30"/>
    </row>
    <row r="32" spans="2:24">
      <c r="B32" s="48" t="str">
        <f>'Table B - Energy'!B32</f>
        <v>(1) Avoided cost prices have been reduced by wind and solar integration charges.</v>
      </c>
      <c r="D32" s="30"/>
      <c r="E32" s="30"/>
      <c r="F32" s="30"/>
      <c r="G32" s="30"/>
      <c r="H32" s="30"/>
      <c r="I32" s="30"/>
      <c r="J32" s="30"/>
      <c r="K32" s="30"/>
      <c r="L32" s="30"/>
      <c r="N32" s="48" t="str">
        <f t="shared" ref="N32:O39" si="2">B32</f>
        <v>(1) Avoided cost prices have been reduced by wind and solar integration charges.</v>
      </c>
      <c r="P32" s="30"/>
      <c r="Q32" s="30"/>
      <c r="R32" s="30"/>
      <c r="S32" s="30"/>
      <c r="T32" s="30"/>
      <c r="U32" s="30"/>
      <c r="V32" s="30"/>
      <c r="W32" s="30"/>
      <c r="X32" s="30"/>
    </row>
    <row r="33" spans="2:24">
      <c r="B33" s="1" t="str">
        <f>'Table B - Energy'!B33</f>
        <v xml:space="preserve">      If the QF resource is not in PacifiCorp's BAA, prices will be increased by the applicable integration charges.</v>
      </c>
      <c r="D33" s="30"/>
      <c r="E33" s="30"/>
      <c r="F33" s="30"/>
      <c r="G33" s="30"/>
      <c r="H33" s="30"/>
      <c r="I33" s="30"/>
      <c r="J33" s="30"/>
      <c r="K33" s="30"/>
      <c r="L33" s="30"/>
      <c r="N33" s="1" t="str">
        <f t="shared" si="2"/>
        <v xml:space="preserve">      If the QF resource is not in PacifiCorp's BAA, prices will be increased by the applicable integration charges.</v>
      </c>
      <c r="P33" s="30"/>
      <c r="Q33" s="30"/>
      <c r="R33" s="30"/>
      <c r="S33" s="30"/>
      <c r="T33" s="30"/>
      <c r="U33" s="30"/>
      <c r="V33" s="30"/>
      <c r="W33" s="30"/>
      <c r="X33" s="30"/>
    </row>
    <row r="34" spans="2:24">
      <c r="B34" s="48" t="s">
        <v>213</v>
      </c>
      <c r="D34" s="30"/>
      <c r="E34" s="30"/>
      <c r="F34" s="30"/>
      <c r="G34" s="30"/>
      <c r="H34" s="30"/>
      <c r="I34" s="30"/>
      <c r="J34" s="30"/>
      <c r="K34" s="30"/>
      <c r="L34" s="30"/>
      <c r="N34" s="1" t="str">
        <f t="shared" si="2"/>
        <v>(2) Capacity costs are based on a renewable resource starting in 2028.</v>
      </c>
      <c r="P34" s="30"/>
      <c r="Q34" s="30"/>
      <c r="R34" s="30"/>
      <c r="S34" s="30"/>
      <c r="T34" s="30"/>
      <c r="U34" s="30"/>
      <c r="V34" s="30"/>
      <c r="W34" s="30"/>
      <c r="X34" s="30"/>
    </row>
    <row r="35" spans="2:24">
      <c r="B35" s="7" t="str">
        <f>'Table B - Energy'!B34</f>
        <v>(a)</v>
      </c>
      <c r="C35" s="3" t="str">
        <f>'Table B - Energy'!C34</f>
        <v>Illustrative price for all hours</v>
      </c>
      <c r="D35" s="29"/>
      <c r="E35" s="29"/>
      <c r="F35" s="29"/>
      <c r="G35" s="29"/>
      <c r="H35" s="13"/>
      <c r="N35" s="7" t="str">
        <f t="shared" si="2"/>
        <v>(a)</v>
      </c>
      <c r="O35" s="3" t="str">
        <f t="shared" si="2"/>
        <v>Illustrative price for all hours</v>
      </c>
    </row>
    <row r="36" spans="2:24">
      <c r="B36" s="7" t="str">
        <f>'Table B - Energy'!B35</f>
        <v>(b)</v>
      </c>
      <c r="C36" s="3" t="str">
        <f>'Table B - Energy'!C35</f>
        <v>On-peak Winter hours:  6:00a - 8:00a and 5:00p - 11:00p Pacific Prevailing Time (PPT), Oct. through May</v>
      </c>
      <c r="N36" s="7" t="str">
        <f t="shared" si="2"/>
        <v>(b)</v>
      </c>
      <c r="O36" s="3" t="str">
        <f t="shared" si="2"/>
        <v>On-peak Winter hours:  6:00a - 8:00a and 5:00p - 11:00p Pacific Prevailing Time (PPT), Oct. through May</v>
      </c>
    </row>
    <row r="37" spans="2:24">
      <c r="B37" s="7" t="str">
        <f>'Table B - Energy'!B36</f>
        <v>(c)</v>
      </c>
      <c r="C37" s="3" t="str">
        <f>'Table B - Energy'!C36</f>
        <v>Off-peak Winter hours:  All other hours, Oct. through May</v>
      </c>
      <c r="N37" s="7" t="str">
        <f t="shared" si="2"/>
        <v>(c)</v>
      </c>
      <c r="O37" s="3" t="str">
        <f t="shared" si="2"/>
        <v>Off-peak Winter hours:  All other hours, Oct. through May</v>
      </c>
    </row>
    <row r="38" spans="2:24">
      <c r="B38" s="7" t="str">
        <f>'Table B - Energy'!B37</f>
        <v>(d)</v>
      </c>
      <c r="C38" s="3" t="str">
        <f>'Table B - Energy'!C37</f>
        <v>On-peak Summer hours:  2:00p - 10:00p PPT, June through September</v>
      </c>
      <c r="N38" s="7" t="str">
        <f t="shared" si="2"/>
        <v>(d)</v>
      </c>
      <c r="O38" s="3" t="str">
        <f t="shared" si="2"/>
        <v>On-peak Summer hours:  2:00p - 10:00p PPT, June through September</v>
      </c>
    </row>
    <row r="39" spans="2:24">
      <c r="B39" s="7" t="str">
        <f>'Table B - Energy'!B38</f>
        <v>(e)</v>
      </c>
      <c r="C39" s="3" t="str">
        <f>'Table B - Energy'!C38</f>
        <v>Off-peak Summer hours:  All other hours, June through September</v>
      </c>
      <c r="H39" s="13"/>
      <c r="N39" s="7" t="str">
        <f>B39</f>
        <v>(e)</v>
      </c>
      <c r="O39" s="3" t="str">
        <f t="shared" si="2"/>
        <v>Off-peak Summer hours:  All other hours, June through September</v>
      </c>
    </row>
    <row r="40" spans="2:24">
      <c r="B40" s="7"/>
      <c r="H40" s="13"/>
    </row>
    <row r="41" spans="2:24">
      <c r="B41" s="7"/>
    </row>
    <row r="42" spans="2:24">
      <c r="B42" s="7"/>
    </row>
    <row r="43" spans="2:24">
      <c r="B43" s="7"/>
      <c r="F43" s="185"/>
      <c r="G43" s="7"/>
    </row>
    <row r="44" spans="2:24">
      <c r="B44" s="7"/>
      <c r="G44" s="7"/>
    </row>
    <row r="45" spans="2:24">
      <c r="B45" s="7"/>
    </row>
    <row r="46" spans="2:24">
      <c r="B46" s="7"/>
    </row>
    <row r="48" spans="2:24">
      <c r="B48" s="10"/>
    </row>
  </sheetData>
  <mergeCells count="22">
    <mergeCell ref="C5:G5"/>
    <mergeCell ref="H5:L5"/>
    <mergeCell ref="O5:S5"/>
    <mergeCell ref="T5:X5"/>
    <mergeCell ref="B1:I1"/>
    <mergeCell ref="B2:I2"/>
    <mergeCell ref="C4:G4"/>
    <mergeCell ref="H4:L4"/>
    <mergeCell ref="O4:S4"/>
    <mergeCell ref="T4:X4"/>
    <mergeCell ref="N1:U1"/>
    <mergeCell ref="N2:U2"/>
    <mergeCell ref="C8:G8"/>
    <mergeCell ref="H8:L8"/>
    <mergeCell ref="O8:S8"/>
    <mergeCell ref="T8:X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AB37"/>
  <sheetViews>
    <sheetView workbookViewId="0">
      <selection activeCell="G15" sqref="G15"/>
    </sheetView>
  </sheetViews>
  <sheetFormatPr defaultColWidth="9.33203125" defaultRowHeight="12.75"/>
  <cols>
    <col min="1" max="1" width="1.5" style="3" customWidth="1"/>
    <col min="2" max="2" width="8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0.5" style="3" customWidth="1"/>
    <col min="14" max="17" width="9.33203125" style="3" customWidth="1"/>
    <col min="18" max="18" width="10.5" style="3" customWidth="1"/>
    <col min="19" max="22" width="9.33203125" style="3" customWidth="1"/>
    <col min="23" max="24" width="9.33203125" style="3"/>
    <col min="26" max="26" width="24.83203125" customWidth="1"/>
    <col min="27" max="16384" width="9.33203125" style="3"/>
  </cols>
  <sheetData>
    <row r="1" spans="2:28" ht="15.75" customHeight="1">
      <c r="B1" s="341"/>
      <c r="C1" s="341"/>
      <c r="D1" s="341"/>
      <c r="E1" s="341"/>
      <c r="F1" s="341"/>
      <c r="G1" s="341"/>
      <c r="H1" s="341"/>
      <c r="I1" s="341"/>
    </row>
    <row r="2" spans="2:28" ht="18.75" customHeight="1">
      <c r="B2" s="341" t="s">
        <v>154</v>
      </c>
      <c r="C2" s="341"/>
      <c r="D2" s="341"/>
      <c r="E2" s="341"/>
      <c r="F2" s="341"/>
      <c r="G2" s="341"/>
      <c r="H2" s="341"/>
      <c r="I2" s="341"/>
    </row>
    <row r="3" spans="2:28" ht="14.25">
      <c r="B3" s="186"/>
      <c r="C3" s="186"/>
      <c r="D3" s="186"/>
      <c r="E3" s="186"/>
      <c r="F3" s="186"/>
      <c r="G3" s="186"/>
      <c r="H3" s="186"/>
      <c r="I3" s="197"/>
      <c r="J3" s="197"/>
    </row>
    <row r="4" spans="2:28" ht="14.25">
      <c r="B4" s="4"/>
      <c r="C4" s="372" t="s">
        <v>126</v>
      </c>
      <c r="D4" s="373"/>
      <c r="E4" s="373"/>
      <c r="F4" s="373"/>
      <c r="G4" s="374"/>
      <c r="H4" s="372" t="s">
        <v>141</v>
      </c>
      <c r="I4" s="373"/>
      <c r="J4" s="373"/>
      <c r="K4" s="373"/>
      <c r="L4" s="374"/>
      <c r="M4" s="372" t="s">
        <v>142</v>
      </c>
      <c r="N4" s="373"/>
      <c r="O4" s="373"/>
      <c r="P4" s="373"/>
      <c r="Q4" s="374"/>
      <c r="R4" s="372" t="s">
        <v>143</v>
      </c>
      <c r="S4" s="373"/>
      <c r="T4" s="373"/>
      <c r="U4" s="373"/>
      <c r="V4" s="374"/>
    </row>
    <row r="5" spans="2:28">
      <c r="C5" s="369" t="s">
        <v>153</v>
      </c>
      <c r="D5" s="370"/>
      <c r="E5" s="370"/>
      <c r="F5" s="370"/>
      <c r="G5" s="371"/>
      <c r="H5" s="369" t="s">
        <v>153</v>
      </c>
      <c r="I5" s="370"/>
      <c r="J5" s="370"/>
      <c r="K5" s="370"/>
      <c r="L5" s="371"/>
      <c r="M5" s="369" t="s">
        <v>153</v>
      </c>
      <c r="N5" s="370"/>
      <c r="O5" s="370"/>
      <c r="P5" s="370"/>
      <c r="Q5" s="371"/>
      <c r="R5" s="369" t="s">
        <v>153</v>
      </c>
      <c r="S5" s="370"/>
      <c r="T5" s="370"/>
      <c r="U5" s="370"/>
      <c r="V5" s="371"/>
    </row>
    <row r="6" spans="2:28">
      <c r="B6" s="204"/>
      <c r="C6" s="15" t="s">
        <v>144</v>
      </c>
      <c r="D6" s="15" t="s">
        <v>0</v>
      </c>
      <c r="E6" s="17" t="s">
        <v>1</v>
      </c>
      <c r="F6" s="15" t="s">
        <v>0</v>
      </c>
      <c r="G6" s="17" t="s">
        <v>1</v>
      </c>
      <c r="H6" s="15" t="s">
        <v>144</v>
      </c>
      <c r="I6" s="15" t="s">
        <v>0</v>
      </c>
      <c r="J6" s="17" t="s">
        <v>1</v>
      </c>
      <c r="K6" s="15" t="s">
        <v>0</v>
      </c>
      <c r="L6" s="17" t="s">
        <v>1</v>
      </c>
      <c r="M6" s="15" t="s">
        <v>144</v>
      </c>
      <c r="N6" s="15" t="s">
        <v>0</v>
      </c>
      <c r="O6" s="17" t="s">
        <v>1</v>
      </c>
      <c r="P6" s="15" t="s">
        <v>0</v>
      </c>
      <c r="Q6" s="17" t="s">
        <v>1</v>
      </c>
      <c r="R6" s="15" t="s">
        <v>144</v>
      </c>
      <c r="S6" s="15" t="s">
        <v>0</v>
      </c>
      <c r="T6" s="17" t="s">
        <v>1</v>
      </c>
      <c r="U6" s="15" t="s">
        <v>0</v>
      </c>
      <c r="V6" s="17" t="s">
        <v>1</v>
      </c>
    </row>
    <row r="7" spans="2:28">
      <c r="B7" s="15" t="s">
        <v>2</v>
      </c>
      <c r="C7" s="75" t="s">
        <v>146</v>
      </c>
      <c r="D7" s="75" t="s">
        <v>111</v>
      </c>
      <c r="E7" s="75" t="s">
        <v>111</v>
      </c>
      <c r="F7" s="75" t="s">
        <v>112</v>
      </c>
      <c r="G7" s="76" t="s">
        <v>112</v>
      </c>
      <c r="H7" s="75" t="s">
        <v>145</v>
      </c>
      <c r="I7" s="75" t="s">
        <v>111</v>
      </c>
      <c r="J7" s="75" t="s">
        <v>111</v>
      </c>
      <c r="K7" s="75" t="s">
        <v>112</v>
      </c>
      <c r="L7" s="76" t="s">
        <v>112</v>
      </c>
      <c r="M7" s="75" t="s">
        <v>145</v>
      </c>
      <c r="N7" s="75" t="s">
        <v>111</v>
      </c>
      <c r="O7" s="75" t="s">
        <v>111</v>
      </c>
      <c r="P7" s="75" t="s">
        <v>112</v>
      </c>
      <c r="Q7" s="76" t="s">
        <v>112</v>
      </c>
      <c r="R7" s="75" t="s">
        <v>145</v>
      </c>
      <c r="S7" s="75" t="s">
        <v>111</v>
      </c>
      <c r="T7" s="75" t="s">
        <v>111</v>
      </c>
      <c r="U7" s="75" t="s">
        <v>112</v>
      </c>
      <c r="V7" s="76" t="s">
        <v>112</v>
      </c>
    </row>
    <row r="8" spans="2:28">
      <c r="B8" s="18"/>
      <c r="C8" s="77" t="s">
        <v>147</v>
      </c>
      <c r="D8" s="77" t="s">
        <v>147</v>
      </c>
      <c r="E8" s="77" t="s">
        <v>147</v>
      </c>
      <c r="F8" s="77" t="s">
        <v>147</v>
      </c>
      <c r="G8" s="78" t="s">
        <v>147</v>
      </c>
      <c r="H8" s="77" t="s">
        <v>147</v>
      </c>
      <c r="I8" s="77" t="s">
        <v>147</v>
      </c>
      <c r="J8" s="77" t="s">
        <v>147</v>
      </c>
      <c r="K8" s="77" t="s">
        <v>147</v>
      </c>
      <c r="L8" s="78" t="s">
        <v>147</v>
      </c>
      <c r="M8" s="77" t="s">
        <v>147</v>
      </c>
      <c r="N8" s="77" t="s">
        <v>147</v>
      </c>
      <c r="O8" s="77" t="s">
        <v>147</v>
      </c>
      <c r="P8" s="77" t="s">
        <v>147</v>
      </c>
      <c r="Q8" s="78" t="s">
        <v>147</v>
      </c>
      <c r="R8" s="77" t="s">
        <v>147</v>
      </c>
      <c r="S8" s="77" t="s">
        <v>147</v>
      </c>
      <c r="T8" s="77" t="s">
        <v>147</v>
      </c>
      <c r="U8" s="77" t="s">
        <v>147</v>
      </c>
      <c r="V8" s="78" t="s">
        <v>147</v>
      </c>
      <c r="Y8" s="3"/>
      <c r="Z8" s="3"/>
    </row>
    <row r="9" spans="2:28"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3"/>
      <c r="Z9" s="3"/>
    </row>
    <row r="10" spans="2:28"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3"/>
      <c r="Z10" s="3"/>
    </row>
    <row r="11" spans="2:28">
      <c r="B11" s="331">
        <f>'Table A - Combined'!B11</f>
        <v>2021</v>
      </c>
      <c r="C11" s="198">
        <f>INDEX([2]Energy!$AA$4:$AE$24,MATCH($B11,[2]Energy!$T$4:$T$24,0),1)</f>
        <v>8760</v>
      </c>
      <c r="D11" s="199">
        <f>INDEX([2]Energy!$AA$4:$AE$24,MATCH($B11,[2]Energy!$T$4:$T$24,0),4)</f>
        <v>1944</v>
      </c>
      <c r="E11" s="199">
        <f>INDEX([2]Energy!$AA$4:$AE$24,MATCH($B11,[2]Energy!$T$4:$T$24,0),5)</f>
        <v>3888</v>
      </c>
      <c r="F11" s="199">
        <f>INDEX([2]Energy!$AA$4:$AE$24,MATCH($B11,[2]Energy!$T$4:$T$24,0),2)</f>
        <v>976</v>
      </c>
      <c r="G11" s="200">
        <f>INDEX([2]Energy!$AA$4:$AE$24,MATCH($B11,[2]Energy!$T$4:$T$24,0),3)</f>
        <v>1952</v>
      </c>
      <c r="H11" s="198">
        <f>INDEX([2]Energy!$AA$29:$AE$49,MATCH($B11,[2]Energy!$T$29:$T$49,0),1)</f>
        <v>3326.3940000000412</v>
      </c>
      <c r="I11" s="199">
        <f>INDEX([2]Energy!$AA$29:$AE$49,MATCH($B11,[2]Energy!$T$29:$T$49,0),4)</f>
        <v>785.32400000000553</v>
      </c>
      <c r="J11" s="199">
        <f>INDEX([2]Energy!$AA$29:$AE$49,MATCH($B11,[2]Energy!$T$29:$T$49,0),5)</f>
        <v>1577.4420000000348</v>
      </c>
      <c r="K11" s="199">
        <f>INDEX([2]Energy!$AA$29:$AE$49,MATCH($B11,[2]Energy!$T$29:$T$49,0),2)</f>
        <v>327.01600000000002</v>
      </c>
      <c r="L11" s="200">
        <f>INDEX([2]Energy!$AA$29:$AE$49,MATCH($B11,[2]Energy!$T$29:$T$49,0),3)</f>
        <v>636.61200000000076</v>
      </c>
      <c r="M11" s="198">
        <f>INDEX([2]Energy!$AA$79:$AE$99,MATCH($B11,[2]Energy!$T$79:$T$99,0),1)</f>
        <v>2179.578</v>
      </c>
      <c r="N11" s="199">
        <f>INDEX([2]Energy!$AA$79:$AE$99,MATCH($B11,[2]Energy!$T$79:$T$99,0),4)</f>
        <v>67.189000000000163</v>
      </c>
      <c r="O11" s="199">
        <f>INDEX([2]Energy!$AA$79:$AE$99,MATCH($B11,[2]Energy!$T$79:$T$99,0),5)</f>
        <v>1175.4509999999993</v>
      </c>
      <c r="P11" s="199">
        <f>INDEX([2]Energy!$AA$79:$AE$99,MATCH($B11,[2]Energy!$T$79:$T$99,0),2)</f>
        <v>237.51699999999963</v>
      </c>
      <c r="Q11" s="200">
        <f>INDEX([2]Energy!$AA$79:$AE$99,MATCH($B11,[2]Energy!$T$79:$T$99,0),3)</f>
        <v>699.42100000000096</v>
      </c>
      <c r="R11" s="198">
        <f>INDEX([2]Energy!$AA$54:$AE$74,MATCH($B11,[2]Energy!$T$54:$T$74,0),1)</f>
        <v>2169.6683308184001</v>
      </c>
      <c r="S11" s="199">
        <f>INDEX([2]Energy!$AA$54:$AE$74,MATCH($B11,[2]Energy!$T$54:$T$74,0),4)</f>
        <v>120.07051203950799</v>
      </c>
      <c r="T11" s="199">
        <f>INDEX([2]Energy!$AA$54:$AE$74,MATCH($B11,[2]Energy!$T$54:$T$74,0),5)</f>
        <v>941.89326967328657</v>
      </c>
      <c r="U11" s="199">
        <f>INDEX([2]Energy!$AA$54:$AE$74,MATCH($B11,[2]Energy!$T$54:$T$74,0),2)</f>
        <v>293.88037833748706</v>
      </c>
      <c r="V11" s="200">
        <f>INDEX([2]Energy!$AA$54:$AE$74,MATCH($B11,[2]Energy!$T$54:$T$74,0),3)</f>
        <v>813.82417076811862</v>
      </c>
      <c r="Y11" s="207"/>
      <c r="Z11" s="208" t="s">
        <v>160</v>
      </c>
      <c r="AA11" s="3" t="s">
        <v>203</v>
      </c>
      <c r="AB11" s="3" t="s">
        <v>145</v>
      </c>
    </row>
    <row r="12" spans="2:28">
      <c r="B12" s="14">
        <f t="shared" ref="B12:B30" si="0">B11+1</f>
        <v>2022</v>
      </c>
      <c r="C12" s="201">
        <f>INDEX([2]Energy!$AA$4:$AE$24,MATCH($B12,[2]Energy!$T$4:$T$24,0),1)</f>
        <v>8760</v>
      </c>
      <c r="D12" s="202">
        <f>INDEX([2]Energy!$AA$4:$AE$24,MATCH($B12,[2]Energy!$T$4:$T$24,0),4)</f>
        <v>1944</v>
      </c>
      <c r="E12" s="202">
        <f>INDEX([2]Energy!$AA$4:$AE$24,MATCH($B12,[2]Energy!$T$4:$T$24,0),5)</f>
        <v>3888</v>
      </c>
      <c r="F12" s="202">
        <f>INDEX([2]Energy!$AA$4:$AE$24,MATCH($B12,[2]Energy!$T$4:$T$24,0),2)</f>
        <v>976</v>
      </c>
      <c r="G12" s="203">
        <f>INDEX([2]Energy!$AA$4:$AE$24,MATCH($B12,[2]Energy!$T$4:$T$24,0),3)</f>
        <v>1952</v>
      </c>
      <c r="H12" s="201">
        <f>INDEX([2]Energy!$AA$29:$AE$49,MATCH($B12,[2]Energy!$T$29:$T$49,0),1)</f>
        <v>3326.3940000000412</v>
      </c>
      <c r="I12" s="202">
        <f>INDEX([2]Energy!$AA$29:$AE$49,MATCH($B12,[2]Energy!$T$29:$T$49,0),4)</f>
        <v>785.32400000000553</v>
      </c>
      <c r="J12" s="202">
        <f>INDEX([2]Energy!$AA$29:$AE$49,MATCH($B12,[2]Energy!$T$29:$T$49,0),5)</f>
        <v>1577.4420000000348</v>
      </c>
      <c r="K12" s="202">
        <f>INDEX([2]Energy!$AA$29:$AE$49,MATCH($B12,[2]Energy!$T$29:$T$49,0),2)</f>
        <v>327.01600000000002</v>
      </c>
      <c r="L12" s="203">
        <f>INDEX([2]Energy!$AA$29:$AE$49,MATCH($B12,[2]Energy!$T$29:$T$49,0),3)</f>
        <v>636.61200000000076</v>
      </c>
      <c r="M12" s="201">
        <f>INDEX([2]Energy!$AA$79:$AE$99,MATCH($B12,[2]Energy!$T$79:$T$99,0),1)</f>
        <v>2179.578</v>
      </c>
      <c r="N12" s="202">
        <f>INDEX([2]Energy!$AA$79:$AE$99,MATCH($B12,[2]Energy!$T$79:$T$99,0),4)</f>
        <v>67.189000000000163</v>
      </c>
      <c r="O12" s="202">
        <f>INDEX([2]Energy!$AA$79:$AE$99,MATCH($B12,[2]Energy!$T$79:$T$99,0),5)</f>
        <v>1175.4509999999993</v>
      </c>
      <c r="P12" s="202">
        <f>INDEX([2]Energy!$AA$79:$AE$99,MATCH($B12,[2]Energy!$T$79:$T$99,0),2)</f>
        <v>237.51699999999963</v>
      </c>
      <c r="Q12" s="203">
        <f>INDEX([2]Energy!$AA$79:$AE$99,MATCH($B12,[2]Energy!$T$79:$T$99,0),3)</f>
        <v>699.42100000000096</v>
      </c>
      <c r="R12" s="201">
        <f>INDEX([2]Energy!$AA$54:$AE$74,MATCH($B12,[2]Energy!$T$54:$T$74,0),1)</f>
        <v>2169.6683308184001</v>
      </c>
      <c r="S12" s="202">
        <f>INDEX([2]Energy!$AA$54:$AE$74,MATCH($B12,[2]Energy!$T$54:$T$74,0),4)</f>
        <v>120.07051203950799</v>
      </c>
      <c r="T12" s="202">
        <f>INDEX([2]Energy!$AA$54:$AE$74,MATCH($B12,[2]Energy!$T$54:$T$74,0),5)</f>
        <v>941.89326967328657</v>
      </c>
      <c r="U12" s="202">
        <f>INDEX([2]Energy!$AA$54:$AE$74,MATCH($B12,[2]Energy!$T$54:$T$74,0),2)</f>
        <v>293.88037833748706</v>
      </c>
      <c r="V12" s="203">
        <f>INDEX([2]Energy!$AA$54:$AE$74,MATCH($B12,[2]Energy!$T$54:$T$74,0),3)</f>
        <v>813.82417076811862</v>
      </c>
      <c r="Y12" s="207"/>
      <c r="Z12" s="208"/>
    </row>
    <row r="13" spans="2:28">
      <c r="B13" s="14">
        <f t="shared" si="0"/>
        <v>2023</v>
      </c>
      <c r="C13" s="201">
        <f>INDEX([2]Energy!$AA$4:$AE$24,MATCH($B13,[2]Energy!$T$4:$T$24,0),1)</f>
        <v>8760</v>
      </c>
      <c r="D13" s="202">
        <f>INDEX([2]Energy!$AA$4:$AE$24,MATCH($B13,[2]Energy!$T$4:$T$24,0),4)</f>
        <v>1944</v>
      </c>
      <c r="E13" s="202">
        <f>INDEX([2]Energy!$AA$4:$AE$24,MATCH($B13,[2]Energy!$T$4:$T$24,0),5)</f>
        <v>3888</v>
      </c>
      <c r="F13" s="202">
        <f>INDEX([2]Energy!$AA$4:$AE$24,MATCH($B13,[2]Energy!$T$4:$T$24,0),2)</f>
        <v>976</v>
      </c>
      <c r="G13" s="203">
        <f>INDEX([2]Energy!$AA$4:$AE$24,MATCH($B13,[2]Energy!$T$4:$T$24,0),3)</f>
        <v>1952</v>
      </c>
      <c r="H13" s="201">
        <f>INDEX([2]Energy!$AA$29:$AE$49,MATCH($B13,[2]Energy!$T$29:$T$49,0),1)</f>
        <v>3326.3940000000412</v>
      </c>
      <c r="I13" s="202">
        <f>INDEX([2]Energy!$AA$29:$AE$49,MATCH($B13,[2]Energy!$T$29:$T$49,0),4)</f>
        <v>785.32400000000553</v>
      </c>
      <c r="J13" s="202">
        <f>INDEX([2]Energy!$AA$29:$AE$49,MATCH($B13,[2]Energy!$T$29:$T$49,0),5)</f>
        <v>1577.4420000000348</v>
      </c>
      <c r="K13" s="202">
        <f>INDEX([2]Energy!$AA$29:$AE$49,MATCH($B13,[2]Energy!$T$29:$T$49,0),2)</f>
        <v>327.01600000000002</v>
      </c>
      <c r="L13" s="203">
        <f>INDEX([2]Energy!$AA$29:$AE$49,MATCH($B13,[2]Energy!$T$29:$T$49,0),3)</f>
        <v>636.61200000000076</v>
      </c>
      <c r="M13" s="201">
        <f>INDEX([2]Energy!$AA$79:$AE$99,MATCH($B13,[2]Energy!$T$79:$T$99,0),1)</f>
        <v>2179.578</v>
      </c>
      <c r="N13" s="202">
        <f>INDEX([2]Energy!$AA$79:$AE$99,MATCH($B13,[2]Energy!$T$79:$T$99,0),4)</f>
        <v>67.189000000000163</v>
      </c>
      <c r="O13" s="202">
        <f>INDEX([2]Energy!$AA$79:$AE$99,MATCH($B13,[2]Energy!$T$79:$T$99,0),5)</f>
        <v>1175.4509999999993</v>
      </c>
      <c r="P13" s="202">
        <f>INDEX([2]Energy!$AA$79:$AE$99,MATCH($B13,[2]Energy!$T$79:$T$99,0),2)</f>
        <v>237.51699999999963</v>
      </c>
      <c r="Q13" s="203">
        <f>INDEX([2]Energy!$AA$79:$AE$99,MATCH($B13,[2]Energy!$T$79:$T$99,0),3)</f>
        <v>699.42100000000096</v>
      </c>
      <c r="R13" s="201">
        <f>INDEX([2]Energy!$AA$54:$AE$74,MATCH($B13,[2]Energy!$T$54:$T$74,0),1)</f>
        <v>2169.6683308184001</v>
      </c>
      <c r="S13" s="202">
        <f>INDEX([2]Energy!$AA$54:$AE$74,MATCH($B13,[2]Energy!$T$54:$T$74,0),4)</f>
        <v>120.07051203950799</v>
      </c>
      <c r="T13" s="202">
        <f>INDEX([2]Energy!$AA$54:$AE$74,MATCH($B13,[2]Energy!$T$54:$T$74,0),5)</f>
        <v>941.89326967328657</v>
      </c>
      <c r="U13" s="202">
        <f>INDEX([2]Energy!$AA$54:$AE$74,MATCH($B13,[2]Energy!$T$54:$T$74,0),2)</f>
        <v>293.88037833748706</v>
      </c>
      <c r="V13" s="203">
        <f>INDEX([2]Energy!$AA$54:$AE$74,MATCH($B13,[2]Energy!$T$54:$T$74,0),3)</f>
        <v>813.82417076811862</v>
      </c>
      <c r="Y13" s="183" t="s">
        <v>122</v>
      </c>
      <c r="Z13" s="208" t="s">
        <v>123</v>
      </c>
    </row>
    <row r="14" spans="2:28">
      <c r="B14" s="14">
        <f t="shared" si="0"/>
        <v>2024</v>
      </c>
      <c r="C14" s="201">
        <f>INDEX([2]Energy!$AA$4:$AE$24,MATCH($B14,[2]Energy!$T$4:$T$24,0),1)</f>
        <v>8784</v>
      </c>
      <c r="D14" s="202">
        <f>INDEX([2]Energy!$AA$4:$AE$24,MATCH($B14,[2]Energy!$T$4:$T$24,0),4)</f>
        <v>1952</v>
      </c>
      <c r="E14" s="202">
        <f>INDEX([2]Energy!$AA$4:$AE$24,MATCH($B14,[2]Energy!$T$4:$T$24,0),5)</f>
        <v>3904</v>
      </c>
      <c r="F14" s="202">
        <f>INDEX([2]Energy!$AA$4:$AE$24,MATCH($B14,[2]Energy!$T$4:$T$24,0),2)</f>
        <v>976</v>
      </c>
      <c r="G14" s="203">
        <f>INDEX([2]Energy!$AA$4:$AE$24,MATCH($B14,[2]Energy!$T$4:$T$24,0),3)</f>
        <v>1952</v>
      </c>
      <c r="H14" s="201">
        <f>INDEX([2]Energy!$AA$29:$AE$49,MATCH($B14,[2]Energy!$T$29:$T$49,0),1)</f>
        <v>3336.3686785714699</v>
      </c>
      <c r="I14" s="202">
        <f>INDEX([2]Energy!$AA$29:$AE$49,MATCH($B14,[2]Energy!$T$29:$T$49,0),4)</f>
        <v>788.84557142857716</v>
      </c>
      <c r="J14" s="202">
        <f>INDEX([2]Energy!$AA$29:$AE$49,MATCH($B14,[2]Energy!$T$29:$T$49,0),5)</f>
        <v>1583.8951071428919</v>
      </c>
      <c r="K14" s="202">
        <f>INDEX([2]Energy!$AA$29:$AE$49,MATCH($B14,[2]Energy!$T$29:$T$49,0),2)</f>
        <v>327.01600000000002</v>
      </c>
      <c r="L14" s="203">
        <f>INDEX([2]Energy!$AA$29:$AE$49,MATCH($B14,[2]Energy!$T$29:$T$49,0),3)</f>
        <v>636.61200000000076</v>
      </c>
      <c r="M14" s="201">
        <f>INDEX([2]Energy!$AA$79:$AE$99,MATCH($B14,[2]Energy!$T$79:$T$99,0),1)</f>
        <v>2183.9111428571432</v>
      </c>
      <c r="N14" s="202">
        <f>INDEX([2]Energy!$AA$79:$AE$99,MATCH($B14,[2]Energy!$T$79:$T$99,0),4)</f>
        <v>67.310964285714462</v>
      </c>
      <c r="O14" s="202">
        <f>INDEX([2]Energy!$AA$79:$AE$99,MATCH($B14,[2]Energy!$T$79:$T$99,0),5)</f>
        <v>1179.6621785714283</v>
      </c>
      <c r="P14" s="202">
        <f>INDEX([2]Energy!$AA$79:$AE$99,MATCH($B14,[2]Energy!$T$79:$T$99,0),2)</f>
        <v>237.51699999999963</v>
      </c>
      <c r="Q14" s="203">
        <f>INDEX([2]Energy!$AA$79:$AE$99,MATCH($B14,[2]Energy!$T$79:$T$99,0),3)</f>
        <v>699.42100000000096</v>
      </c>
      <c r="R14" s="201">
        <f>INDEX([2]Energy!$AA$54:$AE$74,MATCH($B14,[2]Energy!$T$54:$T$74,0),1)</f>
        <v>2172.1054371859564</v>
      </c>
      <c r="S14" s="202">
        <f>INDEX([2]Energy!$AA$54:$AE$74,MATCH($B14,[2]Energy!$T$54:$T$74,0),4)</f>
        <v>120.33811927907573</v>
      </c>
      <c r="T14" s="202">
        <f>INDEX([2]Energy!$AA$54:$AE$74,MATCH($B14,[2]Energy!$T$54:$T$74,0),5)</f>
        <v>944.06276880127518</v>
      </c>
      <c r="U14" s="202">
        <f>INDEX([2]Energy!$AA$54:$AE$74,MATCH($B14,[2]Energy!$T$54:$T$74,0),2)</f>
        <v>293.88037833748706</v>
      </c>
      <c r="V14" s="203">
        <f>INDEX([2]Energy!$AA$54:$AE$74,MATCH($B14,[2]Energy!$T$54:$T$74,0),3)</f>
        <v>813.82417076811862</v>
      </c>
      <c r="Y14" s="183">
        <v>1</v>
      </c>
      <c r="Z14" s="209">
        <v>1.5832527047233706E-3</v>
      </c>
      <c r="AA14" s="329">
        <f>1/12</f>
        <v>8.3333333333333329E-2</v>
      </c>
      <c r="AB14" s="329">
        <f>AVERAGE(Z14:AA14)</f>
        <v>4.2458293019028349E-2</v>
      </c>
    </row>
    <row r="15" spans="2:28">
      <c r="B15" s="14">
        <f t="shared" si="0"/>
        <v>2025</v>
      </c>
      <c r="C15" s="201">
        <f>INDEX([2]Energy!$AA$4:$AE$24,MATCH($B15,[2]Energy!$T$4:$T$24,0),1)</f>
        <v>8760</v>
      </c>
      <c r="D15" s="202">
        <f>INDEX([2]Energy!$AA$4:$AE$24,MATCH($B15,[2]Energy!$T$4:$T$24,0),4)</f>
        <v>1944</v>
      </c>
      <c r="E15" s="202">
        <f>INDEX([2]Energy!$AA$4:$AE$24,MATCH($B15,[2]Energy!$T$4:$T$24,0),5)</f>
        <v>3888</v>
      </c>
      <c r="F15" s="202">
        <f>INDEX([2]Energy!$AA$4:$AE$24,MATCH($B15,[2]Energy!$T$4:$T$24,0),2)</f>
        <v>976</v>
      </c>
      <c r="G15" s="203">
        <f>INDEX([2]Energy!$AA$4:$AE$24,MATCH($B15,[2]Energy!$T$4:$T$24,0),3)</f>
        <v>1952</v>
      </c>
      <c r="H15" s="201">
        <f>INDEX([2]Energy!$AA$29:$AE$49,MATCH($B15,[2]Energy!$T$29:$T$49,0),1)</f>
        <v>3326.3940000000412</v>
      </c>
      <c r="I15" s="202">
        <f>INDEX([2]Energy!$AA$29:$AE$49,MATCH($B15,[2]Energy!$T$29:$T$49,0),4)</f>
        <v>785.32400000000553</v>
      </c>
      <c r="J15" s="202">
        <f>INDEX([2]Energy!$AA$29:$AE$49,MATCH($B15,[2]Energy!$T$29:$T$49,0),5)</f>
        <v>1577.4420000000348</v>
      </c>
      <c r="K15" s="202">
        <f>INDEX([2]Energy!$AA$29:$AE$49,MATCH($B15,[2]Energy!$T$29:$T$49,0),2)</f>
        <v>327.01600000000002</v>
      </c>
      <c r="L15" s="203">
        <f>INDEX([2]Energy!$AA$29:$AE$49,MATCH($B15,[2]Energy!$T$29:$T$49,0),3)</f>
        <v>636.61200000000076</v>
      </c>
      <c r="M15" s="201">
        <f>INDEX([2]Energy!$AA$79:$AE$99,MATCH($B15,[2]Energy!$T$79:$T$99,0),1)</f>
        <v>2179.578</v>
      </c>
      <c r="N15" s="202">
        <f>INDEX([2]Energy!$AA$79:$AE$99,MATCH($B15,[2]Energy!$T$79:$T$99,0),4)</f>
        <v>67.189000000000163</v>
      </c>
      <c r="O15" s="202">
        <f>INDEX([2]Energy!$AA$79:$AE$99,MATCH($B15,[2]Energy!$T$79:$T$99,0),5)</f>
        <v>1175.4509999999993</v>
      </c>
      <c r="P15" s="202">
        <f>INDEX([2]Energy!$AA$79:$AE$99,MATCH($B15,[2]Energy!$T$79:$T$99,0),2)</f>
        <v>237.51699999999963</v>
      </c>
      <c r="Q15" s="203">
        <f>INDEX([2]Energy!$AA$79:$AE$99,MATCH($B15,[2]Energy!$T$79:$T$99,0),3)</f>
        <v>699.42100000000096</v>
      </c>
      <c r="R15" s="201">
        <f>INDEX([2]Energy!$AA$54:$AE$74,MATCH($B15,[2]Energy!$T$54:$T$74,0),1)</f>
        <v>2169.6683308184001</v>
      </c>
      <c r="S15" s="202">
        <f>INDEX([2]Energy!$AA$54:$AE$74,MATCH($B15,[2]Energy!$T$54:$T$74,0),4)</f>
        <v>120.07051203950799</v>
      </c>
      <c r="T15" s="202">
        <f>INDEX([2]Energy!$AA$54:$AE$74,MATCH($B15,[2]Energy!$T$54:$T$74,0),5)</f>
        <v>941.89326967328657</v>
      </c>
      <c r="U15" s="202">
        <f>INDEX([2]Energy!$AA$54:$AE$74,MATCH($B15,[2]Energy!$T$54:$T$74,0),2)</f>
        <v>293.88037833748706</v>
      </c>
      <c r="V15" s="203">
        <f>INDEX([2]Energy!$AA$54:$AE$74,MATCH($B15,[2]Energy!$T$54:$T$74,0),3)</f>
        <v>813.82417076811862</v>
      </c>
      <c r="Y15" s="183">
        <v>2</v>
      </c>
      <c r="Z15" s="209">
        <v>0</v>
      </c>
      <c r="AA15" s="329">
        <f t="shared" ref="AA15:AA25" si="1">1/12</f>
        <v>8.3333333333333329E-2</v>
      </c>
      <c r="AB15" s="329">
        <f t="shared" ref="AB15:AB25" si="2">AVERAGE(Z15:AA15)</f>
        <v>4.1666666666666664E-2</v>
      </c>
    </row>
    <row r="16" spans="2:28">
      <c r="B16" s="14">
        <f t="shared" si="0"/>
        <v>2026</v>
      </c>
      <c r="C16" s="201">
        <f>INDEX([2]Energy!$AA$4:$AE$24,MATCH($B16,[2]Energy!$T$4:$T$24,0),1)</f>
        <v>8760</v>
      </c>
      <c r="D16" s="202">
        <f>INDEX([2]Energy!$AA$4:$AE$24,MATCH($B16,[2]Energy!$T$4:$T$24,0),4)</f>
        <v>1944</v>
      </c>
      <c r="E16" s="202">
        <f>INDEX([2]Energy!$AA$4:$AE$24,MATCH($B16,[2]Energy!$T$4:$T$24,0),5)</f>
        <v>3888</v>
      </c>
      <c r="F16" s="202">
        <f>INDEX([2]Energy!$AA$4:$AE$24,MATCH($B16,[2]Energy!$T$4:$T$24,0),2)</f>
        <v>976</v>
      </c>
      <c r="G16" s="203">
        <f>INDEX([2]Energy!$AA$4:$AE$24,MATCH($B16,[2]Energy!$T$4:$T$24,0),3)</f>
        <v>1952</v>
      </c>
      <c r="H16" s="201">
        <f>INDEX([2]Energy!$AA$29:$AE$49,MATCH($B16,[2]Energy!$T$29:$T$49,0),1)</f>
        <v>3326.3940000000412</v>
      </c>
      <c r="I16" s="202">
        <f>INDEX([2]Energy!$AA$29:$AE$49,MATCH($B16,[2]Energy!$T$29:$T$49,0),4)</f>
        <v>785.32400000000553</v>
      </c>
      <c r="J16" s="202">
        <f>INDEX([2]Energy!$AA$29:$AE$49,MATCH($B16,[2]Energy!$T$29:$T$49,0),5)</f>
        <v>1577.4420000000348</v>
      </c>
      <c r="K16" s="202">
        <f>INDEX([2]Energy!$AA$29:$AE$49,MATCH($B16,[2]Energy!$T$29:$T$49,0),2)</f>
        <v>327.01600000000002</v>
      </c>
      <c r="L16" s="203">
        <f>INDEX([2]Energy!$AA$29:$AE$49,MATCH($B16,[2]Energy!$T$29:$T$49,0),3)</f>
        <v>636.61200000000076</v>
      </c>
      <c r="M16" s="201">
        <f>INDEX([2]Energy!$AA$79:$AE$99,MATCH($B16,[2]Energy!$T$79:$T$99,0),1)</f>
        <v>2179.578</v>
      </c>
      <c r="N16" s="202">
        <f>INDEX([2]Energy!$AA$79:$AE$99,MATCH($B16,[2]Energy!$T$79:$T$99,0),4)</f>
        <v>67.189000000000163</v>
      </c>
      <c r="O16" s="202">
        <f>INDEX([2]Energy!$AA$79:$AE$99,MATCH($B16,[2]Energy!$T$79:$T$99,0),5)</f>
        <v>1175.4509999999993</v>
      </c>
      <c r="P16" s="202">
        <f>INDEX([2]Energy!$AA$79:$AE$99,MATCH($B16,[2]Energy!$T$79:$T$99,0),2)</f>
        <v>237.51699999999963</v>
      </c>
      <c r="Q16" s="203">
        <f>INDEX([2]Energy!$AA$79:$AE$99,MATCH($B16,[2]Energy!$T$79:$T$99,0),3)</f>
        <v>699.42100000000096</v>
      </c>
      <c r="R16" s="201">
        <f>INDEX([2]Energy!$AA$54:$AE$74,MATCH($B16,[2]Energy!$T$54:$T$74,0),1)</f>
        <v>2169.6683308184001</v>
      </c>
      <c r="S16" s="202">
        <f>INDEX([2]Energy!$AA$54:$AE$74,MATCH($B16,[2]Energy!$T$54:$T$74,0),4)</f>
        <v>120.07051203950799</v>
      </c>
      <c r="T16" s="202">
        <f>INDEX([2]Energy!$AA$54:$AE$74,MATCH($B16,[2]Energy!$T$54:$T$74,0),5)</f>
        <v>941.89326967328657</v>
      </c>
      <c r="U16" s="202">
        <f>INDEX([2]Energy!$AA$54:$AE$74,MATCH($B16,[2]Energy!$T$54:$T$74,0),2)</f>
        <v>293.88037833748706</v>
      </c>
      <c r="V16" s="203">
        <f>INDEX([2]Energy!$AA$54:$AE$74,MATCH($B16,[2]Energy!$T$54:$T$74,0),3)</f>
        <v>813.82417076811862</v>
      </c>
      <c r="Y16" s="183">
        <v>3</v>
      </c>
      <c r="Z16" s="209">
        <v>0</v>
      </c>
      <c r="AA16" s="329">
        <f t="shared" si="1"/>
        <v>8.3333333333333329E-2</v>
      </c>
      <c r="AB16" s="329">
        <f t="shared" si="2"/>
        <v>4.1666666666666664E-2</v>
      </c>
    </row>
    <row r="17" spans="2:28">
      <c r="B17" s="14">
        <f t="shared" si="0"/>
        <v>2027</v>
      </c>
      <c r="C17" s="201">
        <f>INDEX([2]Energy!$AA$4:$AE$24,MATCH($B17,[2]Energy!$T$4:$T$24,0),1)</f>
        <v>8760</v>
      </c>
      <c r="D17" s="202">
        <f>INDEX([2]Energy!$AA$4:$AE$24,MATCH($B17,[2]Energy!$T$4:$T$24,0),4)</f>
        <v>1944</v>
      </c>
      <c r="E17" s="202">
        <f>INDEX([2]Energy!$AA$4:$AE$24,MATCH($B17,[2]Energy!$T$4:$T$24,0),5)</f>
        <v>3888</v>
      </c>
      <c r="F17" s="202">
        <f>INDEX([2]Energy!$AA$4:$AE$24,MATCH($B17,[2]Energy!$T$4:$T$24,0),2)</f>
        <v>976</v>
      </c>
      <c r="G17" s="203">
        <f>INDEX([2]Energy!$AA$4:$AE$24,MATCH($B17,[2]Energy!$T$4:$T$24,0),3)</f>
        <v>1952</v>
      </c>
      <c r="H17" s="201">
        <f>INDEX([2]Energy!$AA$29:$AE$49,MATCH($B17,[2]Energy!$T$29:$T$49,0),1)</f>
        <v>3326.3940000000412</v>
      </c>
      <c r="I17" s="202">
        <f>INDEX([2]Energy!$AA$29:$AE$49,MATCH($B17,[2]Energy!$T$29:$T$49,0),4)</f>
        <v>785.32400000000553</v>
      </c>
      <c r="J17" s="202">
        <f>INDEX([2]Energy!$AA$29:$AE$49,MATCH($B17,[2]Energy!$T$29:$T$49,0),5)</f>
        <v>1577.4420000000348</v>
      </c>
      <c r="K17" s="202">
        <f>INDEX([2]Energy!$AA$29:$AE$49,MATCH($B17,[2]Energy!$T$29:$T$49,0),2)</f>
        <v>327.01600000000002</v>
      </c>
      <c r="L17" s="203">
        <f>INDEX([2]Energy!$AA$29:$AE$49,MATCH($B17,[2]Energy!$T$29:$T$49,0),3)</f>
        <v>636.61200000000076</v>
      </c>
      <c r="M17" s="201">
        <f>INDEX([2]Energy!$AA$79:$AE$99,MATCH($B17,[2]Energy!$T$79:$T$99,0),1)</f>
        <v>2179.578</v>
      </c>
      <c r="N17" s="202">
        <f>INDEX([2]Energy!$AA$79:$AE$99,MATCH($B17,[2]Energy!$T$79:$T$99,0),4)</f>
        <v>67.189000000000163</v>
      </c>
      <c r="O17" s="202">
        <f>INDEX([2]Energy!$AA$79:$AE$99,MATCH($B17,[2]Energy!$T$79:$T$99,0),5)</f>
        <v>1175.4509999999993</v>
      </c>
      <c r="P17" s="202">
        <f>INDEX([2]Energy!$AA$79:$AE$99,MATCH($B17,[2]Energy!$T$79:$T$99,0),2)</f>
        <v>237.51699999999963</v>
      </c>
      <c r="Q17" s="203">
        <f>INDEX([2]Energy!$AA$79:$AE$99,MATCH($B17,[2]Energy!$T$79:$T$99,0),3)</f>
        <v>699.42100000000096</v>
      </c>
      <c r="R17" s="201">
        <f>INDEX([2]Energy!$AA$54:$AE$74,MATCH($B17,[2]Energy!$T$54:$T$74,0),1)</f>
        <v>2169.6683308184001</v>
      </c>
      <c r="S17" s="202">
        <f>INDEX([2]Energy!$AA$54:$AE$74,MATCH($B17,[2]Energy!$T$54:$T$74,0),4)</f>
        <v>120.07051203950799</v>
      </c>
      <c r="T17" s="202">
        <f>INDEX([2]Energy!$AA$54:$AE$74,MATCH($B17,[2]Energy!$T$54:$T$74,0),5)</f>
        <v>941.89326967328657</v>
      </c>
      <c r="U17" s="202">
        <f>INDEX([2]Energy!$AA$54:$AE$74,MATCH($B17,[2]Energy!$T$54:$T$74,0),2)</f>
        <v>293.88037833748706</v>
      </c>
      <c r="V17" s="203">
        <f>INDEX([2]Energy!$AA$54:$AE$74,MATCH($B17,[2]Energy!$T$54:$T$74,0),3)</f>
        <v>813.82417076811862</v>
      </c>
      <c r="Y17" s="183">
        <v>4</v>
      </c>
      <c r="Z17" s="209">
        <v>2.1813703931744216E-3</v>
      </c>
      <c r="AA17" s="329">
        <f t="shared" si="1"/>
        <v>8.3333333333333329E-2</v>
      </c>
      <c r="AB17" s="329">
        <f t="shared" si="2"/>
        <v>4.2757351863253877E-2</v>
      </c>
    </row>
    <row r="18" spans="2:28">
      <c r="B18" s="14">
        <f t="shared" si="0"/>
        <v>2028</v>
      </c>
      <c r="C18" s="201">
        <f>INDEX([2]Energy!$AA$4:$AE$24,MATCH($B18,[2]Energy!$T$4:$T$24,0),1)</f>
        <v>8784</v>
      </c>
      <c r="D18" s="202">
        <f>INDEX([2]Energy!$AA$4:$AE$24,MATCH($B18,[2]Energy!$T$4:$T$24,0),4)</f>
        <v>1952</v>
      </c>
      <c r="E18" s="202">
        <f>INDEX([2]Energy!$AA$4:$AE$24,MATCH($B18,[2]Energy!$T$4:$T$24,0),5)</f>
        <v>3904</v>
      </c>
      <c r="F18" s="202">
        <f>INDEX([2]Energy!$AA$4:$AE$24,MATCH($B18,[2]Energy!$T$4:$T$24,0),2)</f>
        <v>976</v>
      </c>
      <c r="G18" s="203">
        <f>INDEX([2]Energy!$AA$4:$AE$24,MATCH($B18,[2]Energy!$T$4:$T$24,0),3)</f>
        <v>1952</v>
      </c>
      <c r="H18" s="201">
        <f>INDEX([2]Energy!$AA$29:$AE$49,MATCH($B18,[2]Energy!$T$29:$T$49,0),1)</f>
        <v>3336.3686785714699</v>
      </c>
      <c r="I18" s="202">
        <f>INDEX([2]Energy!$AA$29:$AE$49,MATCH($B18,[2]Energy!$T$29:$T$49,0),4)</f>
        <v>788.84557142857716</v>
      </c>
      <c r="J18" s="202">
        <f>INDEX([2]Energy!$AA$29:$AE$49,MATCH($B18,[2]Energy!$T$29:$T$49,0),5)</f>
        <v>1583.8951071428919</v>
      </c>
      <c r="K18" s="202">
        <f>INDEX([2]Energy!$AA$29:$AE$49,MATCH($B18,[2]Energy!$T$29:$T$49,0),2)</f>
        <v>327.01600000000002</v>
      </c>
      <c r="L18" s="203">
        <f>INDEX([2]Energy!$AA$29:$AE$49,MATCH($B18,[2]Energy!$T$29:$T$49,0),3)</f>
        <v>636.61200000000076</v>
      </c>
      <c r="M18" s="201">
        <f>INDEX([2]Energy!$AA$79:$AE$99,MATCH($B18,[2]Energy!$T$79:$T$99,0),1)</f>
        <v>2183.9111428571432</v>
      </c>
      <c r="N18" s="202">
        <f>INDEX([2]Energy!$AA$79:$AE$99,MATCH($B18,[2]Energy!$T$79:$T$99,0),4)</f>
        <v>67.310964285714462</v>
      </c>
      <c r="O18" s="202">
        <f>INDEX([2]Energy!$AA$79:$AE$99,MATCH($B18,[2]Energy!$T$79:$T$99,0),5)</f>
        <v>1179.6621785714283</v>
      </c>
      <c r="P18" s="202">
        <f>INDEX([2]Energy!$AA$79:$AE$99,MATCH($B18,[2]Energy!$T$79:$T$99,0),2)</f>
        <v>237.51699999999963</v>
      </c>
      <c r="Q18" s="203">
        <f>INDEX([2]Energy!$AA$79:$AE$99,MATCH($B18,[2]Energy!$T$79:$T$99,0),3)</f>
        <v>699.42100000000096</v>
      </c>
      <c r="R18" s="201">
        <f>INDEX([2]Energy!$AA$54:$AE$74,MATCH($B18,[2]Energy!$T$54:$T$74,0),1)</f>
        <v>2172.1054371859564</v>
      </c>
      <c r="S18" s="202">
        <f>INDEX([2]Energy!$AA$54:$AE$74,MATCH($B18,[2]Energy!$T$54:$T$74,0),4)</f>
        <v>120.33811927907573</v>
      </c>
      <c r="T18" s="202">
        <f>INDEX([2]Energy!$AA$54:$AE$74,MATCH($B18,[2]Energy!$T$54:$T$74,0),5)</f>
        <v>944.06276880127518</v>
      </c>
      <c r="U18" s="202">
        <f>INDEX([2]Energy!$AA$54:$AE$74,MATCH($B18,[2]Energy!$T$54:$T$74,0),2)</f>
        <v>293.88037833748706</v>
      </c>
      <c r="V18" s="203">
        <f>INDEX([2]Energy!$AA$54:$AE$74,MATCH($B18,[2]Energy!$T$54:$T$74,0),3)</f>
        <v>813.82417076811862</v>
      </c>
      <c r="Y18" s="183">
        <v>5</v>
      </c>
      <c r="Z18" s="209">
        <v>0</v>
      </c>
      <c r="AA18" s="329">
        <f t="shared" si="1"/>
        <v>8.3333333333333329E-2</v>
      </c>
      <c r="AB18" s="329">
        <f t="shared" si="2"/>
        <v>4.1666666666666664E-2</v>
      </c>
    </row>
    <row r="19" spans="2:28">
      <c r="B19" s="14">
        <f t="shared" si="0"/>
        <v>2029</v>
      </c>
      <c r="C19" s="201">
        <f>INDEX([2]Energy!$AA$4:$AE$24,MATCH($B19,[2]Energy!$T$4:$T$24,0),1)</f>
        <v>8760</v>
      </c>
      <c r="D19" s="202">
        <f>INDEX([2]Energy!$AA$4:$AE$24,MATCH($B19,[2]Energy!$T$4:$T$24,0),4)</f>
        <v>1944</v>
      </c>
      <c r="E19" s="202">
        <f>INDEX([2]Energy!$AA$4:$AE$24,MATCH($B19,[2]Energy!$T$4:$T$24,0),5)</f>
        <v>3888</v>
      </c>
      <c r="F19" s="202">
        <f>INDEX([2]Energy!$AA$4:$AE$24,MATCH($B19,[2]Energy!$T$4:$T$24,0),2)</f>
        <v>976</v>
      </c>
      <c r="G19" s="203">
        <f>INDEX([2]Energy!$AA$4:$AE$24,MATCH($B19,[2]Energy!$T$4:$T$24,0),3)</f>
        <v>1952</v>
      </c>
      <c r="H19" s="201">
        <f>INDEX([2]Energy!$AA$29:$AE$49,MATCH($B19,[2]Energy!$T$29:$T$49,0),1)</f>
        <v>3326.3940000000412</v>
      </c>
      <c r="I19" s="202">
        <f>INDEX([2]Energy!$AA$29:$AE$49,MATCH($B19,[2]Energy!$T$29:$T$49,0),4)</f>
        <v>785.32400000000553</v>
      </c>
      <c r="J19" s="202">
        <f>INDEX([2]Energy!$AA$29:$AE$49,MATCH($B19,[2]Energy!$T$29:$T$49,0),5)</f>
        <v>1577.4420000000348</v>
      </c>
      <c r="K19" s="202">
        <f>INDEX([2]Energy!$AA$29:$AE$49,MATCH($B19,[2]Energy!$T$29:$T$49,0),2)</f>
        <v>327.01600000000002</v>
      </c>
      <c r="L19" s="203">
        <f>INDEX([2]Energy!$AA$29:$AE$49,MATCH($B19,[2]Energy!$T$29:$T$49,0),3)</f>
        <v>636.61200000000076</v>
      </c>
      <c r="M19" s="201">
        <f>INDEX([2]Energy!$AA$79:$AE$99,MATCH($B19,[2]Energy!$T$79:$T$99,0),1)</f>
        <v>2179.578</v>
      </c>
      <c r="N19" s="202">
        <f>INDEX([2]Energy!$AA$79:$AE$99,MATCH($B19,[2]Energy!$T$79:$T$99,0),4)</f>
        <v>67.189000000000163</v>
      </c>
      <c r="O19" s="202">
        <f>INDEX([2]Energy!$AA$79:$AE$99,MATCH($B19,[2]Energy!$T$79:$T$99,0),5)</f>
        <v>1175.4509999999993</v>
      </c>
      <c r="P19" s="202">
        <f>INDEX([2]Energy!$AA$79:$AE$99,MATCH($B19,[2]Energy!$T$79:$T$99,0),2)</f>
        <v>237.51699999999963</v>
      </c>
      <c r="Q19" s="203">
        <f>INDEX([2]Energy!$AA$79:$AE$99,MATCH($B19,[2]Energy!$T$79:$T$99,0),3)</f>
        <v>699.42100000000096</v>
      </c>
      <c r="R19" s="201">
        <f>INDEX([2]Energy!$AA$54:$AE$74,MATCH($B19,[2]Energy!$T$54:$T$74,0),1)</f>
        <v>2169.6683308184001</v>
      </c>
      <c r="S19" s="202">
        <f>INDEX([2]Energy!$AA$54:$AE$74,MATCH($B19,[2]Energy!$T$54:$T$74,0),4)</f>
        <v>120.07051203950799</v>
      </c>
      <c r="T19" s="202">
        <f>INDEX([2]Energy!$AA$54:$AE$74,MATCH($B19,[2]Energy!$T$54:$T$74,0),5)</f>
        <v>941.89326967328657</v>
      </c>
      <c r="U19" s="202">
        <f>INDEX([2]Energy!$AA$54:$AE$74,MATCH($B19,[2]Energy!$T$54:$T$74,0),2)</f>
        <v>293.88037833748706</v>
      </c>
      <c r="V19" s="203">
        <f>INDEX([2]Energy!$AA$54:$AE$74,MATCH($B19,[2]Energy!$T$54:$T$74,0),3)</f>
        <v>813.82417076811862</v>
      </c>
      <c r="Y19" s="183">
        <v>6</v>
      </c>
      <c r="Z19" s="209">
        <v>0.38773858738675343</v>
      </c>
      <c r="AA19" s="329">
        <f t="shared" si="1"/>
        <v>8.3333333333333329E-2</v>
      </c>
      <c r="AB19" s="329">
        <f t="shared" si="2"/>
        <v>0.23553596036004337</v>
      </c>
    </row>
    <row r="20" spans="2:28">
      <c r="B20" s="14">
        <f t="shared" si="0"/>
        <v>2030</v>
      </c>
      <c r="C20" s="201">
        <f>INDEX([2]Energy!$AA$4:$AE$24,MATCH($B20,[2]Energy!$T$4:$T$24,0),1)</f>
        <v>8760</v>
      </c>
      <c r="D20" s="202">
        <f>INDEX([2]Energy!$AA$4:$AE$24,MATCH($B20,[2]Energy!$T$4:$T$24,0),4)</f>
        <v>1944</v>
      </c>
      <c r="E20" s="202">
        <f>INDEX([2]Energy!$AA$4:$AE$24,MATCH($B20,[2]Energy!$T$4:$T$24,0),5)</f>
        <v>3888</v>
      </c>
      <c r="F20" s="202">
        <f>INDEX([2]Energy!$AA$4:$AE$24,MATCH($B20,[2]Energy!$T$4:$T$24,0),2)</f>
        <v>976</v>
      </c>
      <c r="G20" s="203">
        <f>INDEX([2]Energy!$AA$4:$AE$24,MATCH($B20,[2]Energy!$T$4:$T$24,0),3)</f>
        <v>1952</v>
      </c>
      <c r="H20" s="201">
        <f>INDEX([2]Energy!$AA$29:$AE$49,MATCH($B20,[2]Energy!$T$29:$T$49,0),1)</f>
        <v>3326.3940000000412</v>
      </c>
      <c r="I20" s="202">
        <f>INDEX([2]Energy!$AA$29:$AE$49,MATCH($B20,[2]Energy!$T$29:$T$49,0),4)</f>
        <v>785.32400000000553</v>
      </c>
      <c r="J20" s="202">
        <f>INDEX([2]Energy!$AA$29:$AE$49,MATCH($B20,[2]Energy!$T$29:$T$49,0),5)</f>
        <v>1577.4420000000348</v>
      </c>
      <c r="K20" s="202">
        <f>INDEX([2]Energy!$AA$29:$AE$49,MATCH($B20,[2]Energy!$T$29:$T$49,0),2)</f>
        <v>327.01600000000002</v>
      </c>
      <c r="L20" s="203">
        <f>INDEX([2]Energy!$AA$29:$AE$49,MATCH($B20,[2]Energy!$T$29:$T$49,0),3)</f>
        <v>636.61200000000076</v>
      </c>
      <c r="M20" s="201">
        <f>INDEX([2]Energy!$AA$79:$AE$99,MATCH($B20,[2]Energy!$T$79:$T$99,0),1)</f>
        <v>2179.578</v>
      </c>
      <c r="N20" s="202">
        <f>INDEX([2]Energy!$AA$79:$AE$99,MATCH($B20,[2]Energy!$T$79:$T$99,0),4)</f>
        <v>67.189000000000163</v>
      </c>
      <c r="O20" s="202">
        <f>INDEX([2]Energy!$AA$79:$AE$99,MATCH($B20,[2]Energy!$T$79:$T$99,0),5)</f>
        <v>1175.4509999999993</v>
      </c>
      <c r="P20" s="202">
        <f>INDEX([2]Energy!$AA$79:$AE$99,MATCH($B20,[2]Energy!$T$79:$T$99,0),2)</f>
        <v>237.51699999999963</v>
      </c>
      <c r="Q20" s="203">
        <f>INDEX([2]Energy!$AA$79:$AE$99,MATCH($B20,[2]Energy!$T$79:$T$99,0),3)</f>
        <v>699.42100000000096</v>
      </c>
      <c r="R20" s="201">
        <f>INDEX([2]Energy!$AA$54:$AE$74,MATCH($B20,[2]Energy!$T$54:$T$74,0),1)</f>
        <v>2169.6683308184001</v>
      </c>
      <c r="S20" s="202">
        <f>INDEX([2]Energy!$AA$54:$AE$74,MATCH($B20,[2]Energy!$T$54:$T$74,0),4)</f>
        <v>120.07051203950799</v>
      </c>
      <c r="T20" s="202">
        <f>INDEX([2]Energy!$AA$54:$AE$74,MATCH($B20,[2]Energy!$T$54:$T$74,0),5)</f>
        <v>941.89326967328657</v>
      </c>
      <c r="U20" s="202">
        <f>INDEX([2]Energy!$AA$54:$AE$74,MATCH($B20,[2]Energy!$T$54:$T$74,0),2)</f>
        <v>293.88037833748706</v>
      </c>
      <c r="V20" s="203">
        <f>INDEX([2]Energy!$AA$54:$AE$74,MATCH($B20,[2]Energy!$T$54:$T$74,0),3)</f>
        <v>813.82417076811862</v>
      </c>
      <c r="Y20" s="183">
        <v>7</v>
      </c>
      <c r="Z20" s="209">
        <v>0.50083560559415963</v>
      </c>
      <c r="AA20" s="329">
        <f t="shared" si="1"/>
        <v>8.3333333333333329E-2</v>
      </c>
      <c r="AB20" s="329">
        <f t="shared" si="2"/>
        <v>0.2920844694637465</v>
      </c>
    </row>
    <row r="21" spans="2:28">
      <c r="B21" s="14">
        <f t="shared" si="0"/>
        <v>2031</v>
      </c>
      <c r="C21" s="201">
        <f>INDEX([2]Energy!$AA$4:$AE$24,MATCH($B21,[2]Energy!$T$4:$T$24,0),1)</f>
        <v>8760</v>
      </c>
      <c r="D21" s="202">
        <f>INDEX([2]Energy!$AA$4:$AE$24,MATCH($B21,[2]Energy!$T$4:$T$24,0),4)</f>
        <v>1944</v>
      </c>
      <c r="E21" s="202">
        <f>INDEX([2]Energy!$AA$4:$AE$24,MATCH($B21,[2]Energy!$T$4:$T$24,0),5)</f>
        <v>3888</v>
      </c>
      <c r="F21" s="202">
        <f>INDEX([2]Energy!$AA$4:$AE$24,MATCH($B21,[2]Energy!$T$4:$T$24,0),2)</f>
        <v>976</v>
      </c>
      <c r="G21" s="203">
        <f>INDEX([2]Energy!$AA$4:$AE$24,MATCH($B21,[2]Energy!$T$4:$T$24,0),3)</f>
        <v>1952</v>
      </c>
      <c r="H21" s="201">
        <f>INDEX([2]Energy!$AA$29:$AE$49,MATCH($B21,[2]Energy!$T$29:$T$49,0),1)</f>
        <v>3326.3940000000412</v>
      </c>
      <c r="I21" s="202">
        <f>INDEX([2]Energy!$AA$29:$AE$49,MATCH($B21,[2]Energy!$T$29:$T$49,0),4)</f>
        <v>785.32400000000553</v>
      </c>
      <c r="J21" s="202">
        <f>INDEX([2]Energy!$AA$29:$AE$49,MATCH($B21,[2]Energy!$T$29:$T$49,0),5)</f>
        <v>1577.4420000000348</v>
      </c>
      <c r="K21" s="202">
        <f>INDEX([2]Energy!$AA$29:$AE$49,MATCH($B21,[2]Energy!$T$29:$T$49,0),2)</f>
        <v>327.01600000000002</v>
      </c>
      <c r="L21" s="203">
        <f>INDEX([2]Energy!$AA$29:$AE$49,MATCH($B21,[2]Energy!$T$29:$T$49,0),3)</f>
        <v>636.61200000000076</v>
      </c>
      <c r="M21" s="201">
        <f>INDEX([2]Energy!$AA$79:$AE$99,MATCH($B21,[2]Energy!$T$79:$T$99,0),1)</f>
        <v>2179.578</v>
      </c>
      <c r="N21" s="202">
        <f>INDEX([2]Energy!$AA$79:$AE$99,MATCH($B21,[2]Energy!$T$79:$T$99,0),4)</f>
        <v>67.189000000000163</v>
      </c>
      <c r="O21" s="202">
        <f>INDEX([2]Energy!$AA$79:$AE$99,MATCH($B21,[2]Energy!$T$79:$T$99,0),5)</f>
        <v>1175.4509999999993</v>
      </c>
      <c r="P21" s="202">
        <f>INDEX([2]Energy!$AA$79:$AE$99,MATCH($B21,[2]Energy!$T$79:$T$99,0),2)</f>
        <v>237.51699999999963</v>
      </c>
      <c r="Q21" s="203">
        <f>INDEX([2]Energy!$AA$79:$AE$99,MATCH($B21,[2]Energy!$T$79:$T$99,0),3)</f>
        <v>699.42100000000096</v>
      </c>
      <c r="R21" s="201">
        <f>INDEX([2]Energy!$AA$54:$AE$74,MATCH($B21,[2]Energy!$T$54:$T$74,0),1)</f>
        <v>2169.6683308184001</v>
      </c>
      <c r="S21" s="202">
        <f>INDEX([2]Energy!$AA$54:$AE$74,MATCH($B21,[2]Energy!$T$54:$T$74,0),4)</f>
        <v>120.07051203950799</v>
      </c>
      <c r="T21" s="202">
        <f>INDEX([2]Energy!$AA$54:$AE$74,MATCH($B21,[2]Energy!$T$54:$T$74,0),5)</f>
        <v>941.89326967328657</v>
      </c>
      <c r="U21" s="202">
        <f>INDEX([2]Energy!$AA$54:$AE$74,MATCH($B21,[2]Energy!$T$54:$T$74,0),2)</f>
        <v>293.88037833748706</v>
      </c>
      <c r="V21" s="203">
        <f>INDEX([2]Energy!$AA$54:$AE$74,MATCH($B21,[2]Energy!$T$54:$T$74,0),3)</f>
        <v>813.82417076811862</v>
      </c>
      <c r="Y21" s="183">
        <v>8</v>
      </c>
      <c r="Z21" s="209">
        <v>0.1050224294133169</v>
      </c>
      <c r="AA21" s="329">
        <f t="shared" si="1"/>
        <v>8.3333333333333329E-2</v>
      </c>
      <c r="AB21" s="329">
        <f t="shared" si="2"/>
        <v>9.4177881373325112E-2</v>
      </c>
    </row>
    <row r="22" spans="2:28">
      <c r="B22" s="14">
        <f t="shared" si="0"/>
        <v>2032</v>
      </c>
      <c r="C22" s="201">
        <f>INDEX([2]Energy!$AA$4:$AE$24,MATCH($B22,[2]Energy!$T$4:$T$24,0),1)</f>
        <v>8784</v>
      </c>
      <c r="D22" s="202">
        <f>INDEX([2]Energy!$AA$4:$AE$24,MATCH($B22,[2]Energy!$T$4:$T$24,0),4)</f>
        <v>1952</v>
      </c>
      <c r="E22" s="202">
        <f>INDEX([2]Energy!$AA$4:$AE$24,MATCH($B22,[2]Energy!$T$4:$T$24,0),5)</f>
        <v>3904</v>
      </c>
      <c r="F22" s="202">
        <f>INDEX([2]Energy!$AA$4:$AE$24,MATCH($B22,[2]Energy!$T$4:$T$24,0),2)</f>
        <v>976</v>
      </c>
      <c r="G22" s="203">
        <f>INDEX([2]Energy!$AA$4:$AE$24,MATCH($B22,[2]Energy!$T$4:$T$24,0),3)</f>
        <v>1952</v>
      </c>
      <c r="H22" s="201">
        <f>INDEX([2]Energy!$AA$29:$AE$49,MATCH($B22,[2]Energy!$T$29:$T$49,0),1)</f>
        <v>3336.3686785714699</v>
      </c>
      <c r="I22" s="202">
        <f>INDEX([2]Energy!$AA$29:$AE$49,MATCH($B22,[2]Energy!$T$29:$T$49,0),4)</f>
        <v>788.84557142857716</v>
      </c>
      <c r="J22" s="202">
        <f>INDEX([2]Energy!$AA$29:$AE$49,MATCH($B22,[2]Energy!$T$29:$T$49,0),5)</f>
        <v>1583.8951071428919</v>
      </c>
      <c r="K22" s="202">
        <f>INDEX([2]Energy!$AA$29:$AE$49,MATCH($B22,[2]Energy!$T$29:$T$49,0),2)</f>
        <v>327.01600000000002</v>
      </c>
      <c r="L22" s="203">
        <f>INDEX([2]Energy!$AA$29:$AE$49,MATCH($B22,[2]Energy!$T$29:$T$49,0),3)</f>
        <v>636.61200000000076</v>
      </c>
      <c r="M22" s="201">
        <f>INDEX([2]Energy!$AA$79:$AE$99,MATCH($B22,[2]Energy!$T$79:$T$99,0),1)</f>
        <v>2183.9111428571432</v>
      </c>
      <c r="N22" s="202">
        <f>INDEX([2]Energy!$AA$79:$AE$99,MATCH($B22,[2]Energy!$T$79:$T$99,0),4)</f>
        <v>67.310964285714462</v>
      </c>
      <c r="O22" s="202">
        <f>INDEX([2]Energy!$AA$79:$AE$99,MATCH($B22,[2]Energy!$T$79:$T$99,0),5)</f>
        <v>1179.6621785714283</v>
      </c>
      <c r="P22" s="202">
        <f>INDEX([2]Energy!$AA$79:$AE$99,MATCH($B22,[2]Energy!$T$79:$T$99,0),2)</f>
        <v>237.51699999999963</v>
      </c>
      <c r="Q22" s="203">
        <f>INDEX([2]Energy!$AA$79:$AE$99,MATCH($B22,[2]Energy!$T$79:$T$99,0),3)</f>
        <v>699.42100000000096</v>
      </c>
      <c r="R22" s="201">
        <f>INDEX([2]Energy!$AA$54:$AE$74,MATCH($B22,[2]Energy!$T$54:$T$74,0),1)</f>
        <v>2172.1054371859564</v>
      </c>
      <c r="S22" s="202">
        <f>INDEX([2]Energy!$AA$54:$AE$74,MATCH($B22,[2]Energy!$T$54:$T$74,0),4)</f>
        <v>120.33811927907573</v>
      </c>
      <c r="T22" s="202">
        <f>INDEX([2]Energy!$AA$54:$AE$74,MATCH($B22,[2]Energy!$T$54:$T$74,0),5)</f>
        <v>944.06276880127518</v>
      </c>
      <c r="U22" s="202">
        <f>INDEX([2]Energy!$AA$54:$AE$74,MATCH($B22,[2]Energy!$T$54:$T$74,0),2)</f>
        <v>293.88037833748706</v>
      </c>
      <c r="V22" s="203">
        <f>INDEX([2]Energy!$AA$54:$AE$74,MATCH($B22,[2]Energy!$T$54:$T$74,0),3)</f>
        <v>813.82417076811862</v>
      </c>
      <c r="Y22" s="183">
        <v>9</v>
      </c>
      <c r="Z22" s="209">
        <v>0</v>
      </c>
      <c r="AA22" s="329">
        <f t="shared" si="1"/>
        <v>8.3333333333333329E-2</v>
      </c>
      <c r="AB22" s="329">
        <f t="shared" si="2"/>
        <v>4.1666666666666664E-2</v>
      </c>
    </row>
    <row r="23" spans="2:28">
      <c r="B23" s="14">
        <f t="shared" si="0"/>
        <v>2033</v>
      </c>
      <c r="C23" s="201">
        <f>INDEX([2]Energy!$AA$4:$AE$24,MATCH($B23,[2]Energy!$T$4:$T$24,0),1)</f>
        <v>8760</v>
      </c>
      <c r="D23" s="202">
        <f>INDEX([2]Energy!$AA$4:$AE$24,MATCH($B23,[2]Energy!$T$4:$T$24,0),4)</f>
        <v>1944</v>
      </c>
      <c r="E23" s="202">
        <f>INDEX([2]Energy!$AA$4:$AE$24,MATCH($B23,[2]Energy!$T$4:$T$24,0),5)</f>
        <v>3888</v>
      </c>
      <c r="F23" s="202">
        <f>INDEX([2]Energy!$AA$4:$AE$24,MATCH($B23,[2]Energy!$T$4:$T$24,0),2)</f>
        <v>976</v>
      </c>
      <c r="G23" s="203">
        <f>INDEX([2]Energy!$AA$4:$AE$24,MATCH($B23,[2]Energy!$T$4:$T$24,0),3)</f>
        <v>1952</v>
      </c>
      <c r="H23" s="201">
        <f>INDEX([2]Energy!$AA$29:$AE$49,MATCH($B23,[2]Energy!$T$29:$T$49,0),1)</f>
        <v>3326.3940000000412</v>
      </c>
      <c r="I23" s="202">
        <f>INDEX([2]Energy!$AA$29:$AE$49,MATCH($B23,[2]Energy!$T$29:$T$49,0),4)</f>
        <v>785.32400000000553</v>
      </c>
      <c r="J23" s="202">
        <f>INDEX([2]Energy!$AA$29:$AE$49,MATCH($B23,[2]Energy!$T$29:$T$49,0),5)</f>
        <v>1577.4420000000348</v>
      </c>
      <c r="K23" s="202">
        <f>INDEX([2]Energy!$AA$29:$AE$49,MATCH($B23,[2]Energy!$T$29:$T$49,0),2)</f>
        <v>327.01600000000002</v>
      </c>
      <c r="L23" s="203">
        <f>INDEX([2]Energy!$AA$29:$AE$49,MATCH($B23,[2]Energy!$T$29:$T$49,0),3)</f>
        <v>636.61200000000076</v>
      </c>
      <c r="M23" s="201">
        <f>INDEX([2]Energy!$AA$79:$AE$99,MATCH($B23,[2]Energy!$T$79:$T$99,0),1)</f>
        <v>2179.578</v>
      </c>
      <c r="N23" s="202">
        <f>INDEX([2]Energy!$AA$79:$AE$99,MATCH($B23,[2]Energy!$T$79:$T$99,0),4)</f>
        <v>67.189000000000163</v>
      </c>
      <c r="O23" s="202">
        <f>INDEX([2]Energy!$AA$79:$AE$99,MATCH($B23,[2]Energy!$T$79:$T$99,0),5)</f>
        <v>1175.4509999999993</v>
      </c>
      <c r="P23" s="202">
        <f>INDEX([2]Energy!$AA$79:$AE$99,MATCH($B23,[2]Energy!$T$79:$T$99,0),2)</f>
        <v>237.51699999999963</v>
      </c>
      <c r="Q23" s="203">
        <f>INDEX([2]Energy!$AA$79:$AE$99,MATCH($B23,[2]Energy!$T$79:$T$99,0),3)</f>
        <v>699.42100000000096</v>
      </c>
      <c r="R23" s="201">
        <f>INDEX([2]Energy!$AA$54:$AE$74,MATCH($B23,[2]Energy!$T$54:$T$74,0),1)</f>
        <v>2169.6683308184001</v>
      </c>
      <c r="S23" s="202">
        <f>INDEX([2]Energy!$AA$54:$AE$74,MATCH($B23,[2]Energy!$T$54:$T$74,0),4)</f>
        <v>120.07051203950799</v>
      </c>
      <c r="T23" s="202">
        <f>INDEX([2]Energy!$AA$54:$AE$74,MATCH($B23,[2]Energy!$T$54:$T$74,0),5)</f>
        <v>941.89326967328657</v>
      </c>
      <c r="U23" s="202">
        <f>INDEX([2]Energy!$AA$54:$AE$74,MATCH($B23,[2]Energy!$T$54:$T$74,0),2)</f>
        <v>293.88037833748706</v>
      </c>
      <c r="V23" s="203">
        <f>INDEX([2]Energy!$AA$54:$AE$74,MATCH($B23,[2]Energy!$T$54:$T$74,0),3)</f>
        <v>813.82417076811862</v>
      </c>
      <c r="Y23" s="183">
        <v>10</v>
      </c>
      <c r="Z23" s="209">
        <v>2.1110036062978277E-3</v>
      </c>
      <c r="AA23" s="329">
        <f t="shared" si="1"/>
        <v>8.3333333333333329E-2</v>
      </c>
      <c r="AB23" s="329">
        <f t="shared" si="2"/>
        <v>4.272216846981558E-2</v>
      </c>
    </row>
    <row r="24" spans="2:28">
      <c r="B24" s="14">
        <f t="shared" si="0"/>
        <v>2034</v>
      </c>
      <c r="C24" s="201">
        <f>INDEX([2]Energy!$AA$4:$AE$24,MATCH($B24,[2]Energy!$T$4:$T$24,0),1)</f>
        <v>8760</v>
      </c>
      <c r="D24" s="202">
        <f>INDEX([2]Energy!$AA$4:$AE$24,MATCH($B24,[2]Energy!$T$4:$T$24,0),4)</f>
        <v>1944</v>
      </c>
      <c r="E24" s="202">
        <f>INDEX([2]Energy!$AA$4:$AE$24,MATCH($B24,[2]Energy!$T$4:$T$24,0),5)</f>
        <v>3888</v>
      </c>
      <c r="F24" s="202">
        <f>INDEX([2]Energy!$AA$4:$AE$24,MATCH($B24,[2]Energy!$T$4:$T$24,0),2)</f>
        <v>976</v>
      </c>
      <c r="G24" s="203">
        <f>INDEX([2]Energy!$AA$4:$AE$24,MATCH($B24,[2]Energy!$T$4:$T$24,0),3)</f>
        <v>1952</v>
      </c>
      <c r="H24" s="201">
        <f>INDEX([2]Energy!$AA$29:$AE$49,MATCH($B24,[2]Energy!$T$29:$T$49,0),1)</f>
        <v>3326.3940000000412</v>
      </c>
      <c r="I24" s="202">
        <f>INDEX([2]Energy!$AA$29:$AE$49,MATCH($B24,[2]Energy!$T$29:$T$49,0),4)</f>
        <v>785.32400000000553</v>
      </c>
      <c r="J24" s="202">
        <f>INDEX([2]Energy!$AA$29:$AE$49,MATCH($B24,[2]Energy!$T$29:$T$49,0),5)</f>
        <v>1577.4420000000348</v>
      </c>
      <c r="K24" s="202">
        <f>INDEX([2]Energy!$AA$29:$AE$49,MATCH($B24,[2]Energy!$T$29:$T$49,0),2)</f>
        <v>327.01600000000002</v>
      </c>
      <c r="L24" s="203">
        <f>INDEX([2]Energy!$AA$29:$AE$49,MATCH($B24,[2]Energy!$T$29:$T$49,0),3)</f>
        <v>636.61200000000076</v>
      </c>
      <c r="M24" s="201">
        <f>INDEX([2]Energy!$AA$79:$AE$99,MATCH($B24,[2]Energy!$T$79:$T$99,0),1)</f>
        <v>2179.578</v>
      </c>
      <c r="N24" s="202">
        <f>INDEX([2]Energy!$AA$79:$AE$99,MATCH($B24,[2]Energy!$T$79:$T$99,0),4)</f>
        <v>67.189000000000163</v>
      </c>
      <c r="O24" s="202">
        <f>INDEX([2]Energy!$AA$79:$AE$99,MATCH($B24,[2]Energy!$T$79:$T$99,0),5)</f>
        <v>1175.4509999999993</v>
      </c>
      <c r="P24" s="202">
        <f>INDEX([2]Energy!$AA$79:$AE$99,MATCH($B24,[2]Energy!$T$79:$T$99,0),2)</f>
        <v>237.51699999999963</v>
      </c>
      <c r="Q24" s="203">
        <f>INDEX([2]Energy!$AA$79:$AE$99,MATCH($B24,[2]Energy!$T$79:$T$99,0),3)</f>
        <v>699.42100000000096</v>
      </c>
      <c r="R24" s="201">
        <f>INDEX([2]Energy!$AA$54:$AE$74,MATCH($B24,[2]Energy!$T$54:$T$74,0),1)</f>
        <v>2169.6683308184001</v>
      </c>
      <c r="S24" s="202">
        <f>INDEX([2]Energy!$AA$54:$AE$74,MATCH($B24,[2]Energy!$T$54:$T$74,0),4)</f>
        <v>120.07051203950799</v>
      </c>
      <c r="T24" s="202">
        <f>INDEX([2]Energy!$AA$54:$AE$74,MATCH($B24,[2]Energy!$T$54:$T$74,0),5)</f>
        <v>941.89326967328657</v>
      </c>
      <c r="U24" s="202">
        <f>INDEX([2]Energy!$AA$54:$AE$74,MATCH($B24,[2]Energy!$T$54:$T$74,0),2)</f>
        <v>293.88037833748706</v>
      </c>
      <c r="V24" s="203">
        <f>INDEX([2]Energy!$AA$54:$AE$74,MATCH($B24,[2]Energy!$T$54:$T$74,0),3)</f>
        <v>813.82417076811862</v>
      </c>
      <c r="Y24" s="183">
        <v>11</v>
      </c>
      <c r="Z24" s="209">
        <v>0</v>
      </c>
      <c r="AA24" s="329">
        <f t="shared" si="1"/>
        <v>8.3333333333333329E-2</v>
      </c>
      <c r="AB24" s="329">
        <f t="shared" si="2"/>
        <v>4.1666666666666664E-2</v>
      </c>
    </row>
    <row r="25" spans="2:28">
      <c r="B25" s="14">
        <f t="shared" si="0"/>
        <v>2035</v>
      </c>
      <c r="C25" s="201">
        <f>INDEX([2]Energy!$AA$4:$AE$24,MATCH($B25,[2]Energy!$T$4:$T$24,0),1)</f>
        <v>8760</v>
      </c>
      <c r="D25" s="202">
        <f>INDEX([2]Energy!$AA$4:$AE$24,MATCH($B25,[2]Energy!$T$4:$T$24,0),4)</f>
        <v>1944</v>
      </c>
      <c r="E25" s="202">
        <f>INDEX([2]Energy!$AA$4:$AE$24,MATCH($B25,[2]Energy!$T$4:$T$24,0),5)</f>
        <v>3888</v>
      </c>
      <c r="F25" s="202">
        <f>INDEX([2]Energy!$AA$4:$AE$24,MATCH($B25,[2]Energy!$T$4:$T$24,0),2)</f>
        <v>976</v>
      </c>
      <c r="G25" s="203">
        <f>INDEX([2]Energy!$AA$4:$AE$24,MATCH($B25,[2]Energy!$T$4:$T$24,0),3)</f>
        <v>1952</v>
      </c>
      <c r="H25" s="201">
        <f>INDEX([2]Energy!$AA$29:$AE$49,MATCH($B25,[2]Energy!$T$29:$T$49,0),1)</f>
        <v>3326.3940000000412</v>
      </c>
      <c r="I25" s="202">
        <f>INDEX([2]Energy!$AA$29:$AE$49,MATCH($B25,[2]Energy!$T$29:$T$49,0),4)</f>
        <v>785.32400000000553</v>
      </c>
      <c r="J25" s="202">
        <f>INDEX([2]Energy!$AA$29:$AE$49,MATCH($B25,[2]Energy!$T$29:$T$49,0),5)</f>
        <v>1577.4420000000348</v>
      </c>
      <c r="K25" s="202">
        <f>INDEX([2]Energy!$AA$29:$AE$49,MATCH($B25,[2]Energy!$T$29:$T$49,0),2)</f>
        <v>327.01600000000002</v>
      </c>
      <c r="L25" s="203">
        <f>INDEX([2]Energy!$AA$29:$AE$49,MATCH($B25,[2]Energy!$T$29:$T$49,0),3)</f>
        <v>636.61200000000076</v>
      </c>
      <c r="M25" s="201">
        <f>INDEX([2]Energy!$AA$79:$AE$99,MATCH($B25,[2]Energy!$T$79:$T$99,0),1)</f>
        <v>2179.578</v>
      </c>
      <c r="N25" s="202">
        <f>INDEX([2]Energy!$AA$79:$AE$99,MATCH($B25,[2]Energy!$T$79:$T$99,0),4)</f>
        <v>67.189000000000163</v>
      </c>
      <c r="O25" s="202">
        <f>INDEX([2]Energy!$AA$79:$AE$99,MATCH($B25,[2]Energy!$T$79:$T$99,0),5)</f>
        <v>1175.4509999999993</v>
      </c>
      <c r="P25" s="202">
        <f>INDEX([2]Energy!$AA$79:$AE$99,MATCH($B25,[2]Energy!$T$79:$T$99,0),2)</f>
        <v>237.51699999999963</v>
      </c>
      <c r="Q25" s="203">
        <f>INDEX([2]Energy!$AA$79:$AE$99,MATCH($B25,[2]Energy!$T$79:$T$99,0),3)</f>
        <v>699.42100000000096</v>
      </c>
      <c r="R25" s="201">
        <f>INDEX([2]Energy!$AA$54:$AE$74,MATCH($B25,[2]Energy!$T$54:$T$74,0),1)</f>
        <v>2169.6683308184001</v>
      </c>
      <c r="S25" s="202">
        <f>INDEX([2]Energy!$AA$54:$AE$74,MATCH($B25,[2]Energy!$T$54:$T$74,0),4)</f>
        <v>120.07051203950799</v>
      </c>
      <c r="T25" s="202">
        <f>INDEX([2]Energy!$AA$54:$AE$74,MATCH($B25,[2]Energy!$T$54:$T$74,0),5)</f>
        <v>941.89326967328657</v>
      </c>
      <c r="U25" s="202">
        <f>INDEX([2]Energy!$AA$54:$AE$74,MATCH($B25,[2]Energy!$T$54:$T$74,0),2)</f>
        <v>293.88037833748706</v>
      </c>
      <c r="V25" s="203">
        <f>INDEX([2]Energy!$AA$54:$AE$74,MATCH($B25,[2]Energy!$T$54:$T$74,0),3)</f>
        <v>813.82417076811862</v>
      </c>
      <c r="Y25" s="184">
        <v>12</v>
      </c>
      <c r="Z25" s="210">
        <v>5.2775090157445692E-4</v>
      </c>
      <c r="AA25" s="329">
        <f t="shared" si="1"/>
        <v>8.3333333333333329E-2</v>
      </c>
      <c r="AB25" s="329">
        <f t="shared" si="2"/>
        <v>4.1930542117453895E-2</v>
      </c>
    </row>
    <row r="26" spans="2:28">
      <c r="B26" s="14">
        <f t="shared" si="0"/>
        <v>2036</v>
      </c>
      <c r="C26" s="201">
        <f>INDEX([2]Energy!$AA$4:$AE$24,MATCH($B26,[2]Energy!$T$4:$T$24,0),1)</f>
        <v>8784</v>
      </c>
      <c r="D26" s="202">
        <f>INDEX([2]Energy!$AA$4:$AE$24,MATCH($B26,[2]Energy!$T$4:$T$24,0),4)</f>
        <v>1952</v>
      </c>
      <c r="E26" s="202">
        <f>INDEX([2]Energy!$AA$4:$AE$24,MATCH($B26,[2]Energy!$T$4:$T$24,0),5)</f>
        <v>3904</v>
      </c>
      <c r="F26" s="202">
        <f>INDEX([2]Energy!$AA$4:$AE$24,MATCH($B26,[2]Energy!$T$4:$T$24,0),2)</f>
        <v>976</v>
      </c>
      <c r="G26" s="203">
        <f>INDEX([2]Energy!$AA$4:$AE$24,MATCH($B26,[2]Energy!$T$4:$T$24,0),3)</f>
        <v>1952</v>
      </c>
      <c r="H26" s="201">
        <f>INDEX([2]Energy!$AA$29:$AE$49,MATCH($B26,[2]Energy!$T$29:$T$49,0),1)</f>
        <v>3336.3686785714699</v>
      </c>
      <c r="I26" s="202">
        <f>INDEX([2]Energy!$AA$29:$AE$49,MATCH($B26,[2]Energy!$T$29:$T$49,0),4)</f>
        <v>788.84557142857716</v>
      </c>
      <c r="J26" s="202">
        <f>INDEX([2]Energy!$AA$29:$AE$49,MATCH($B26,[2]Energy!$T$29:$T$49,0),5)</f>
        <v>1583.8951071428919</v>
      </c>
      <c r="K26" s="202">
        <f>INDEX([2]Energy!$AA$29:$AE$49,MATCH($B26,[2]Energy!$T$29:$T$49,0),2)</f>
        <v>327.01600000000002</v>
      </c>
      <c r="L26" s="203">
        <f>INDEX([2]Energy!$AA$29:$AE$49,MATCH($B26,[2]Energy!$T$29:$T$49,0),3)</f>
        <v>636.61200000000076</v>
      </c>
      <c r="M26" s="201">
        <f>INDEX([2]Energy!$AA$79:$AE$99,MATCH($B26,[2]Energy!$T$79:$T$99,0),1)</f>
        <v>2183.9111428571432</v>
      </c>
      <c r="N26" s="202">
        <f>INDEX([2]Energy!$AA$79:$AE$99,MATCH($B26,[2]Energy!$T$79:$T$99,0),4)</f>
        <v>67.310964285714462</v>
      </c>
      <c r="O26" s="202">
        <f>INDEX([2]Energy!$AA$79:$AE$99,MATCH($B26,[2]Energy!$T$79:$T$99,0),5)</f>
        <v>1179.6621785714283</v>
      </c>
      <c r="P26" s="202">
        <f>INDEX([2]Energy!$AA$79:$AE$99,MATCH($B26,[2]Energy!$T$79:$T$99,0),2)</f>
        <v>237.51699999999963</v>
      </c>
      <c r="Q26" s="203">
        <f>INDEX([2]Energy!$AA$79:$AE$99,MATCH($B26,[2]Energy!$T$79:$T$99,0),3)</f>
        <v>699.42100000000096</v>
      </c>
      <c r="R26" s="201">
        <f>INDEX([2]Energy!$AA$54:$AE$74,MATCH($B26,[2]Energy!$T$54:$T$74,0),1)</f>
        <v>2172.1054371859564</v>
      </c>
      <c r="S26" s="202">
        <f>INDEX([2]Energy!$AA$54:$AE$74,MATCH($B26,[2]Energy!$T$54:$T$74,0),4)</f>
        <v>120.33811927907573</v>
      </c>
      <c r="T26" s="202">
        <f>INDEX([2]Energy!$AA$54:$AE$74,MATCH($B26,[2]Energy!$T$54:$T$74,0),5)</f>
        <v>944.06276880127518</v>
      </c>
      <c r="U26" s="202">
        <f>INDEX([2]Energy!$AA$54:$AE$74,MATCH($B26,[2]Energy!$T$54:$T$74,0),2)</f>
        <v>293.88037833748706</v>
      </c>
      <c r="V26" s="203">
        <f>INDEX([2]Energy!$AA$54:$AE$74,MATCH($B26,[2]Energy!$T$54:$T$74,0),3)</f>
        <v>813.82417076811862</v>
      </c>
      <c r="Y26" s="207"/>
      <c r="Z26" s="209">
        <v>0.99999999999999989</v>
      </c>
      <c r="AA26" s="329">
        <v>0.99999999999999989</v>
      </c>
      <c r="AB26" s="329">
        <v>0.99999999999999989</v>
      </c>
    </row>
    <row r="27" spans="2:28">
      <c r="B27" s="14">
        <f t="shared" si="0"/>
        <v>2037</v>
      </c>
      <c r="C27" s="201">
        <f>INDEX([2]Energy!$AA$4:$AE$24,MATCH($B27,[2]Energy!$T$4:$T$24,0),1)</f>
        <v>8760</v>
      </c>
      <c r="D27" s="202">
        <f>INDEX([2]Energy!$AA$4:$AE$24,MATCH($B27,[2]Energy!$T$4:$T$24,0),4)</f>
        <v>1944</v>
      </c>
      <c r="E27" s="202">
        <f>INDEX([2]Energy!$AA$4:$AE$24,MATCH($B27,[2]Energy!$T$4:$T$24,0),5)</f>
        <v>3888</v>
      </c>
      <c r="F27" s="202">
        <f>INDEX([2]Energy!$AA$4:$AE$24,MATCH($B27,[2]Energy!$T$4:$T$24,0),2)</f>
        <v>976</v>
      </c>
      <c r="G27" s="203">
        <f>INDEX([2]Energy!$AA$4:$AE$24,MATCH($B27,[2]Energy!$T$4:$T$24,0),3)</f>
        <v>1952</v>
      </c>
      <c r="H27" s="201">
        <f>INDEX([2]Energy!$AA$29:$AE$49,MATCH($B27,[2]Energy!$T$29:$T$49,0),1)</f>
        <v>3326.3940000000412</v>
      </c>
      <c r="I27" s="202">
        <f>INDEX([2]Energy!$AA$29:$AE$49,MATCH($B27,[2]Energy!$T$29:$T$49,0),4)</f>
        <v>785.32400000000553</v>
      </c>
      <c r="J27" s="202">
        <f>INDEX([2]Energy!$AA$29:$AE$49,MATCH($B27,[2]Energy!$T$29:$T$49,0),5)</f>
        <v>1577.4420000000348</v>
      </c>
      <c r="K27" s="202">
        <f>INDEX([2]Energy!$AA$29:$AE$49,MATCH($B27,[2]Energy!$T$29:$T$49,0),2)</f>
        <v>327.01600000000002</v>
      </c>
      <c r="L27" s="203">
        <f>INDEX([2]Energy!$AA$29:$AE$49,MATCH($B27,[2]Energy!$T$29:$T$49,0),3)</f>
        <v>636.61200000000076</v>
      </c>
      <c r="M27" s="201">
        <f>INDEX([2]Energy!$AA$79:$AE$99,MATCH($B27,[2]Energy!$T$79:$T$99,0),1)</f>
        <v>2179.578</v>
      </c>
      <c r="N27" s="202">
        <f>INDEX([2]Energy!$AA$79:$AE$99,MATCH($B27,[2]Energy!$T$79:$T$99,0),4)</f>
        <v>67.189000000000163</v>
      </c>
      <c r="O27" s="202">
        <f>INDEX([2]Energy!$AA$79:$AE$99,MATCH($B27,[2]Energy!$T$79:$T$99,0),5)</f>
        <v>1175.4509999999993</v>
      </c>
      <c r="P27" s="202">
        <f>INDEX([2]Energy!$AA$79:$AE$99,MATCH($B27,[2]Energy!$T$79:$T$99,0),2)</f>
        <v>237.51699999999963</v>
      </c>
      <c r="Q27" s="203">
        <f>INDEX([2]Energy!$AA$79:$AE$99,MATCH($B27,[2]Energy!$T$79:$T$99,0),3)</f>
        <v>699.42100000000096</v>
      </c>
      <c r="R27" s="201">
        <f>INDEX([2]Energy!$AA$54:$AE$74,MATCH($B27,[2]Energy!$T$54:$T$74,0),1)</f>
        <v>2169.6683308184001</v>
      </c>
      <c r="S27" s="202">
        <f>INDEX([2]Energy!$AA$54:$AE$74,MATCH($B27,[2]Energy!$T$54:$T$74,0),4)</f>
        <v>120.07051203950799</v>
      </c>
      <c r="T27" s="202">
        <f>INDEX([2]Energy!$AA$54:$AE$74,MATCH($B27,[2]Energy!$T$54:$T$74,0),5)</f>
        <v>941.89326967328657</v>
      </c>
      <c r="U27" s="202">
        <f>INDEX([2]Energy!$AA$54:$AE$74,MATCH($B27,[2]Energy!$T$54:$T$74,0),2)</f>
        <v>293.88037833748706</v>
      </c>
      <c r="V27" s="203">
        <f>INDEX([2]Energy!$AA$54:$AE$74,MATCH($B27,[2]Energy!$T$54:$T$74,0),3)</f>
        <v>813.82417076811862</v>
      </c>
    </row>
    <row r="28" spans="2:28">
      <c r="B28" s="14">
        <f t="shared" si="0"/>
        <v>2038</v>
      </c>
      <c r="C28" s="201">
        <f>INDEX([2]Energy!$AA$4:$AE$24,MATCH($B28,[2]Energy!$T$4:$T$24,0),1)</f>
        <v>8760</v>
      </c>
      <c r="D28" s="202">
        <f>INDEX([2]Energy!$AA$4:$AE$24,MATCH($B28,[2]Energy!$T$4:$T$24,0),4)</f>
        <v>1944</v>
      </c>
      <c r="E28" s="202">
        <f>INDEX([2]Energy!$AA$4:$AE$24,MATCH($B28,[2]Energy!$T$4:$T$24,0),5)</f>
        <v>3888</v>
      </c>
      <c r="F28" s="202">
        <f>INDEX([2]Energy!$AA$4:$AE$24,MATCH($B28,[2]Energy!$T$4:$T$24,0),2)</f>
        <v>976</v>
      </c>
      <c r="G28" s="203">
        <f>INDEX([2]Energy!$AA$4:$AE$24,MATCH($B28,[2]Energy!$T$4:$T$24,0),3)</f>
        <v>1952</v>
      </c>
      <c r="H28" s="201">
        <f>INDEX([2]Energy!$AA$29:$AE$49,MATCH($B28,[2]Energy!$T$29:$T$49,0),1)</f>
        <v>3326.3940000000412</v>
      </c>
      <c r="I28" s="202">
        <f>INDEX([2]Energy!$AA$29:$AE$49,MATCH($B28,[2]Energy!$T$29:$T$49,0),4)</f>
        <v>785.32400000000553</v>
      </c>
      <c r="J28" s="202">
        <f>INDEX([2]Energy!$AA$29:$AE$49,MATCH($B28,[2]Energy!$T$29:$T$49,0),5)</f>
        <v>1577.4420000000348</v>
      </c>
      <c r="K28" s="202">
        <f>INDEX([2]Energy!$AA$29:$AE$49,MATCH($B28,[2]Energy!$T$29:$T$49,0),2)</f>
        <v>327.01600000000002</v>
      </c>
      <c r="L28" s="203">
        <f>INDEX([2]Energy!$AA$29:$AE$49,MATCH($B28,[2]Energy!$T$29:$T$49,0),3)</f>
        <v>636.61200000000076</v>
      </c>
      <c r="M28" s="201">
        <f>INDEX([2]Energy!$AA$79:$AE$99,MATCH($B28,[2]Energy!$T$79:$T$99,0),1)</f>
        <v>2179.578</v>
      </c>
      <c r="N28" s="202">
        <f>INDEX([2]Energy!$AA$79:$AE$99,MATCH($B28,[2]Energy!$T$79:$T$99,0),4)</f>
        <v>67.189000000000163</v>
      </c>
      <c r="O28" s="202">
        <f>INDEX([2]Energy!$AA$79:$AE$99,MATCH($B28,[2]Energy!$T$79:$T$99,0),5)</f>
        <v>1175.4509999999993</v>
      </c>
      <c r="P28" s="202">
        <f>INDEX([2]Energy!$AA$79:$AE$99,MATCH($B28,[2]Energy!$T$79:$T$99,0),2)</f>
        <v>237.51699999999963</v>
      </c>
      <c r="Q28" s="203">
        <f>INDEX([2]Energy!$AA$79:$AE$99,MATCH($B28,[2]Energy!$T$79:$T$99,0),3)</f>
        <v>699.42100000000096</v>
      </c>
      <c r="R28" s="201">
        <f>INDEX([2]Energy!$AA$54:$AE$74,MATCH($B28,[2]Energy!$T$54:$T$74,0),1)</f>
        <v>2169.6683308184001</v>
      </c>
      <c r="S28" s="202">
        <f>INDEX([2]Energy!$AA$54:$AE$74,MATCH($B28,[2]Energy!$T$54:$T$74,0),4)</f>
        <v>120.07051203950799</v>
      </c>
      <c r="T28" s="202">
        <f>INDEX([2]Energy!$AA$54:$AE$74,MATCH($B28,[2]Energy!$T$54:$T$74,0),5)</f>
        <v>941.89326967328657</v>
      </c>
      <c r="U28" s="202">
        <f>INDEX([2]Energy!$AA$54:$AE$74,MATCH($B28,[2]Energy!$T$54:$T$74,0),2)</f>
        <v>293.88037833748706</v>
      </c>
      <c r="V28" s="203">
        <f>INDEX([2]Energy!$AA$54:$AE$74,MATCH($B28,[2]Energy!$T$54:$T$74,0),3)</f>
        <v>813.82417076811862</v>
      </c>
      <c r="Y28" t="s">
        <v>112</v>
      </c>
      <c r="Z28" s="320">
        <f>SUM(Z19:Z22)</f>
        <v>0.99359662239422986</v>
      </c>
      <c r="AA28" s="330">
        <f>SUM(AA19:AA22)</f>
        <v>0.33333333333333331</v>
      </c>
      <c r="AB28" s="330">
        <f>SUM(AB19:AB22)</f>
        <v>0.66346497786378167</v>
      </c>
    </row>
    <row r="29" spans="2:28">
      <c r="B29" s="14">
        <f t="shared" si="0"/>
        <v>2039</v>
      </c>
      <c r="C29" s="201">
        <f>INDEX([2]Energy!$AA$4:$AE$24,MATCH($B29,[2]Energy!$T$4:$T$24,0),1)</f>
        <v>8760</v>
      </c>
      <c r="D29" s="202">
        <f>INDEX([2]Energy!$AA$4:$AE$24,MATCH($B29,[2]Energy!$T$4:$T$24,0),4)</f>
        <v>1944</v>
      </c>
      <c r="E29" s="202">
        <f>INDEX([2]Energy!$AA$4:$AE$24,MATCH($B29,[2]Energy!$T$4:$T$24,0),5)</f>
        <v>3888</v>
      </c>
      <c r="F29" s="202">
        <f>INDEX([2]Energy!$AA$4:$AE$24,MATCH($B29,[2]Energy!$T$4:$T$24,0),2)</f>
        <v>976</v>
      </c>
      <c r="G29" s="203">
        <f>INDEX([2]Energy!$AA$4:$AE$24,MATCH($B29,[2]Energy!$T$4:$T$24,0),3)</f>
        <v>1952</v>
      </c>
      <c r="H29" s="201">
        <f>INDEX([2]Energy!$AA$29:$AE$49,MATCH($B29,[2]Energy!$T$29:$T$49,0),1)</f>
        <v>3326.3940000000412</v>
      </c>
      <c r="I29" s="202">
        <f>INDEX([2]Energy!$AA$29:$AE$49,MATCH($B29,[2]Energy!$T$29:$T$49,0),4)</f>
        <v>785.32400000000553</v>
      </c>
      <c r="J29" s="202">
        <f>INDEX([2]Energy!$AA$29:$AE$49,MATCH($B29,[2]Energy!$T$29:$T$49,0),5)</f>
        <v>1577.4420000000348</v>
      </c>
      <c r="K29" s="202">
        <f>INDEX([2]Energy!$AA$29:$AE$49,MATCH($B29,[2]Energy!$T$29:$T$49,0),2)</f>
        <v>327.01600000000002</v>
      </c>
      <c r="L29" s="203">
        <f>INDEX([2]Energy!$AA$29:$AE$49,MATCH($B29,[2]Energy!$T$29:$T$49,0),3)</f>
        <v>636.61200000000076</v>
      </c>
      <c r="M29" s="201">
        <f>INDEX([2]Energy!$AA$79:$AE$99,MATCH($B29,[2]Energy!$T$79:$T$99,0),1)</f>
        <v>2179.578</v>
      </c>
      <c r="N29" s="202">
        <f>INDEX([2]Energy!$AA$79:$AE$99,MATCH($B29,[2]Energy!$T$79:$T$99,0),4)</f>
        <v>67.189000000000163</v>
      </c>
      <c r="O29" s="202">
        <f>INDEX([2]Energy!$AA$79:$AE$99,MATCH($B29,[2]Energy!$T$79:$T$99,0),5)</f>
        <v>1175.4509999999993</v>
      </c>
      <c r="P29" s="202">
        <f>INDEX([2]Energy!$AA$79:$AE$99,MATCH($B29,[2]Energy!$T$79:$T$99,0),2)</f>
        <v>237.51699999999963</v>
      </c>
      <c r="Q29" s="203">
        <f>INDEX([2]Energy!$AA$79:$AE$99,MATCH($B29,[2]Energy!$T$79:$T$99,0),3)</f>
        <v>699.42100000000096</v>
      </c>
      <c r="R29" s="201">
        <f>INDEX([2]Energy!$AA$54:$AE$74,MATCH($B29,[2]Energy!$T$54:$T$74,0),1)</f>
        <v>2169.6683308184001</v>
      </c>
      <c r="S29" s="202">
        <f>INDEX([2]Energy!$AA$54:$AE$74,MATCH($B29,[2]Energy!$T$54:$T$74,0),4)</f>
        <v>120.07051203950799</v>
      </c>
      <c r="T29" s="202">
        <f>INDEX([2]Energy!$AA$54:$AE$74,MATCH($B29,[2]Energy!$T$54:$T$74,0),5)</f>
        <v>941.89326967328657</v>
      </c>
      <c r="U29" s="202">
        <f>INDEX([2]Energy!$AA$54:$AE$74,MATCH($B29,[2]Energy!$T$54:$T$74,0),2)</f>
        <v>293.88037833748706</v>
      </c>
      <c r="V29" s="203">
        <f>INDEX([2]Energy!$AA$54:$AE$74,MATCH($B29,[2]Energy!$T$54:$T$74,0),3)</f>
        <v>813.82417076811862</v>
      </c>
      <c r="Y29" t="s">
        <v>111</v>
      </c>
      <c r="Z29" s="320">
        <f>1-Z28</f>
        <v>6.4033776057701441E-3</v>
      </c>
      <c r="AA29" s="330">
        <f t="shared" ref="AA29:AB29" si="3">1-AA28</f>
        <v>0.66666666666666674</v>
      </c>
      <c r="AB29" s="330">
        <f t="shared" si="3"/>
        <v>0.33653502213621833</v>
      </c>
    </row>
    <row r="30" spans="2:28">
      <c r="B30" s="14">
        <f t="shared" si="0"/>
        <v>2040</v>
      </c>
      <c r="C30" s="201">
        <f>INDEX([2]Energy!$AA$4:$AE$24,MATCH($B30,[2]Energy!$T$4:$T$24,0),1)</f>
        <v>8784</v>
      </c>
      <c r="D30" s="202">
        <f>INDEX([2]Energy!$AA$4:$AE$24,MATCH($B30,[2]Energy!$T$4:$T$24,0),4)</f>
        <v>1952</v>
      </c>
      <c r="E30" s="202">
        <f>INDEX([2]Energy!$AA$4:$AE$24,MATCH($B30,[2]Energy!$T$4:$T$24,0),5)</f>
        <v>3904</v>
      </c>
      <c r="F30" s="202">
        <f>INDEX([2]Energy!$AA$4:$AE$24,MATCH($B30,[2]Energy!$T$4:$T$24,0),2)</f>
        <v>976</v>
      </c>
      <c r="G30" s="203">
        <f>INDEX([2]Energy!$AA$4:$AE$24,MATCH($B30,[2]Energy!$T$4:$T$24,0),3)</f>
        <v>1952</v>
      </c>
      <c r="H30" s="201">
        <f>INDEX([2]Energy!$AA$29:$AE$49,MATCH($B30,[2]Energy!$T$29:$T$49,0),1)</f>
        <v>3336.3686785714699</v>
      </c>
      <c r="I30" s="202">
        <f>INDEX([2]Energy!$AA$29:$AE$49,MATCH($B30,[2]Energy!$T$29:$T$49,0),4)</f>
        <v>788.84557142857716</v>
      </c>
      <c r="J30" s="202">
        <f>INDEX([2]Energy!$AA$29:$AE$49,MATCH($B30,[2]Energy!$T$29:$T$49,0),5)</f>
        <v>1583.8951071428919</v>
      </c>
      <c r="K30" s="202">
        <f>INDEX([2]Energy!$AA$29:$AE$49,MATCH($B30,[2]Energy!$T$29:$T$49,0),2)</f>
        <v>327.01600000000002</v>
      </c>
      <c r="L30" s="203">
        <f>INDEX([2]Energy!$AA$29:$AE$49,MATCH($B30,[2]Energy!$T$29:$T$49,0),3)</f>
        <v>636.61200000000076</v>
      </c>
      <c r="M30" s="201">
        <f>INDEX([2]Energy!$AA$79:$AE$99,MATCH($B30,[2]Energy!$T$79:$T$99,0),1)</f>
        <v>2183.9111428571432</v>
      </c>
      <c r="N30" s="202">
        <f>INDEX([2]Energy!$AA$79:$AE$99,MATCH($B30,[2]Energy!$T$79:$T$99,0),4)</f>
        <v>67.310964285714462</v>
      </c>
      <c r="O30" s="202">
        <f>INDEX([2]Energy!$AA$79:$AE$99,MATCH($B30,[2]Energy!$T$79:$T$99,0),5)</f>
        <v>1179.6621785714283</v>
      </c>
      <c r="P30" s="202">
        <f>INDEX([2]Energy!$AA$79:$AE$99,MATCH($B30,[2]Energy!$T$79:$T$99,0),2)</f>
        <v>237.51699999999963</v>
      </c>
      <c r="Q30" s="203">
        <f>INDEX([2]Energy!$AA$79:$AE$99,MATCH($B30,[2]Energy!$T$79:$T$99,0),3)</f>
        <v>699.42100000000096</v>
      </c>
      <c r="R30" s="201">
        <f>INDEX([2]Energy!$AA$54:$AE$74,MATCH($B30,[2]Energy!$T$54:$T$74,0),1)</f>
        <v>2172.1054371859564</v>
      </c>
      <c r="S30" s="202">
        <f>INDEX([2]Energy!$AA$54:$AE$74,MATCH($B30,[2]Energy!$T$54:$T$74,0),4)</f>
        <v>120.33811927907573</v>
      </c>
      <c r="T30" s="202">
        <f>INDEX([2]Energy!$AA$54:$AE$74,MATCH($B30,[2]Energy!$T$54:$T$74,0),5)</f>
        <v>944.06276880127518</v>
      </c>
      <c r="U30" s="202">
        <f>INDEX([2]Energy!$AA$54:$AE$74,MATCH($B30,[2]Energy!$T$54:$T$74,0),2)</f>
        <v>293.88037833748706</v>
      </c>
      <c r="V30" s="203">
        <f>INDEX([2]Energy!$AA$54:$AE$74,MATCH($B30,[2]Energy!$T$54:$T$74,0),3)</f>
        <v>813.82417076811862</v>
      </c>
    </row>
    <row r="31" spans="2:28">
      <c r="B31" s="28"/>
    </row>
    <row r="32" spans="2:28">
      <c r="B32" s="28"/>
    </row>
    <row r="33" spans="2:7">
      <c r="B33" s="28"/>
    </row>
    <row r="34" spans="2:7">
      <c r="B34" s="7"/>
      <c r="F34" s="185"/>
      <c r="G34" s="7"/>
    </row>
    <row r="35" spans="2:7">
      <c r="B35" s="7"/>
      <c r="G35" s="7"/>
    </row>
    <row r="37" spans="2:7">
      <c r="B37" s="10"/>
    </row>
  </sheetData>
  <mergeCells count="10">
    <mergeCell ref="C5:G5"/>
    <mergeCell ref="H5:L5"/>
    <mergeCell ref="M5:Q5"/>
    <mergeCell ref="R5:V5"/>
    <mergeCell ref="B1:I1"/>
    <mergeCell ref="B2:I2"/>
    <mergeCell ref="C4:G4"/>
    <mergeCell ref="H4:L4"/>
    <mergeCell ref="M4:Q4"/>
    <mergeCell ref="R4:V4"/>
  </mergeCells>
  <printOptions horizontalCentered="1"/>
  <pageMargins left="0.8" right="0.3" top="0.4" bottom="0.4" header="0.5" footer="0.2"/>
  <pageSetup scale="5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X87"/>
  <sheetViews>
    <sheetView workbookViewId="0">
      <selection activeCell="B1" sqref="B1"/>
    </sheetView>
  </sheetViews>
  <sheetFormatPr defaultRowHeight="12.75"/>
  <cols>
    <col min="2" max="2" width="51.5" customWidth="1"/>
    <col min="3" max="3" width="9.33203125" customWidth="1"/>
    <col min="4" max="4" width="11" customWidth="1"/>
    <col min="5" max="5" width="10.5" customWidth="1"/>
    <col min="6" max="6" width="10.33203125" customWidth="1"/>
    <col min="7" max="7" width="10.83203125" customWidth="1"/>
    <col min="8" max="8" width="11" customWidth="1"/>
    <col min="9" max="10" width="11.33203125" customWidth="1"/>
    <col min="11" max="14" width="10.5" customWidth="1"/>
    <col min="15" max="16" width="11" customWidth="1"/>
    <col min="17" max="17" width="10.5" customWidth="1"/>
    <col min="18" max="18" width="12.83203125" customWidth="1"/>
    <col min="19" max="19" width="11.6640625" customWidth="1"/>
    <col min="20" max="20" width="11" customWidth="1"/>
    <col min="21" max="21" width="11.6640625" customWidth="1"/>
    <col min="22" max="22" width="11.1640625" customWidth="1"/>
    <col min="23" max="23" width="13" customWidth="1"/>
    <col min="24" max="24" width="13.6640625" customWidth="1"/>
    <col min="25" max="25" width="8.6640625" customWidth="1"/>
  </cols>
  <sheetData>
    <row r="1" spans="1:24" s="60" customFormat="1" ht="15.75"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6"/>
      <c r="N1" s="96"/>
      <c r="O1" s="96"/>
      <c r="P1" s="96"/>
      <c r="Q1" s="96"/>
      <c r="R1" s="96"/>
    </row>
    <row r="2" spans="1:24" s="60" customFormat="1" ht="15.75">
      <c r="B2" s="97" t="s">
        <v>66</v>
      </c>
      <c r="C2" s="95"/>
      <c r="D2" s="95"/>
      <c r="E2" s="95"/>
      <c r="F2" s="95"/>
      <c r="G2" s="95"/>
      <c r="H2" s="95"/>
      <c r="I2" s="95"/>
      <c r="J2" s="95"/>
      <c r="K2" s="95"/>
      <c r="L2" s="96"/>
      <c r="M2" s="96"/>
      <c r="N2" s="96"/>
      <c r="O2" s="96"/>
      <c r="P2" s="96"/>
      <c r="Q2" s="96"/>
      <c r="R2" s="96"/>
    </row>
    <row r="3" spans="1:24" s="60" customFormat="1" ht="15.75">
      <c r="B3" s="97" t="s">
        <v>67</v>
      </c>
      <c r="C3" s="95"/>
      <c r="D3" s="95"/>
      <c r="E3" s="95"/>
      <c r="F3" s="95"/>
      <c r="G3" s="95"/>
      <c r="H3" s="95"/>
      <c r="I3" s="95"/>
      <c r="J3" s="95"/>
      <c r="K3" s="95"/>
      <c r="L3" s="96"/>
      <c r="M3" s="96"/>
      <c r="N3" s="96"/>
      <c r="O3" s="96"/>
      <c r="P3" s="96"/>
      <c r="Q3" s="96"/>
      <c r="R3" s="96"/>
    </row>
    <row r="7" spans="1:24" ht="18.75">
      <c r="A7" s="98"/>
      <c r="B7" s="99"/>
      <c r="C7" s="100" t="s">
        <v>17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318" t="s">
        <v>33</v>
      </c>
      <c r="X7" s="317"/>
    </row>
    <row r="8" spans="1:24" ht="15.75">
      <c r="A8" s="102"/>
      <c r="B8" s="103" t="s">
        <v>18</v>
      </c>
      <c r="C8" s="104">
        <v>2017</v>
      </c>
      <c r="D8" s="105">
        <v>2018</v>
      </c>
      <c r="E8" s="105">
        <v>2019</v>
      </c>
      <c r="F8" s="105">
        <v>2020</v>
      </c>
      <c r="G8" s="105">
        <v>2021</v>
      </c>
      <c r="H8" s="105">
        <v>2022</v>
      </c>
      <c r="I8" s="105">
        <v>2023</v>
      </c>
      <c r="J8" s="105">
        <v>2024</v>
      </c>
      <c r="K8" s="105">
        <v>2025</v>
      </c>
      <c r="L8" s="105">
        <v>2026</v>
      </c>
      <c r="M8" s="105">
        <v>2027</v>
      </c>
      <c r="N8" s="105">
        <v>2028</v>
      </c>
      <c r="O8" s="105">
        <v>2029</v>
      </c>
      <c r="P8" s="105">
        <v>2030</v>
      </c>
      <c r="Q8" s="105">
        <v>2031</v>
      </c>
      <c r="R8" s="105">
        <v>2032</v>
      </c>
      <c r="S8" s="105">
        <v>2033</v>
      </c>
      <c r="T8" s="105">
        <v>2034</v>
      </c>
      <c r="U8" s="105">
        <v>2035</v>
      </c>
      <c r="V8" s="105">
        <v>2036</v>
      </c>
      <c r="W8" s="106" t="s">
        <v>34</v>
      </c>
      <c r="X8" s="106" t="s">
        <v>35</v>
      </c>
    </row>
    <row r="9" spans="1:24" hidden="1">
      <c r="A9" s="107" t="s">
        <v>19</v>
      </c>
      <c r="B9" s="315" t="s">
        <v>29</v>
      </c>
      <c r="C9" s="314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1"/>
      <c r="W9" s="314"/>
      <c r="X9" s="311"/>
    </row>
    <row r="10" spans="1:24" ht="15.75" hidden="1">
      <c r="A10" s="108"/>
      <c r="B10" s="316" t="s">
        <v>68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-82.3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-82.3</v>
      </c>
      <c r="X10" s="61">
        <v>-82.3</v>
      </c>
    </row>
    <row r="11" spans="1:24" ht="15.75" hidden="1">
      <c r="A11" s="108"/>
      <c r="B11" s="316" t="s">
        <v>69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-81.540000000000006</v>
      </c>
      <c r="V11" s="61">
        <v>0</v>
      </c>
      <c r="W11" s="61">
        <v>0</v>
      </c>
      <c r="X11" s="61">
        <v>-81.540000000000006</v>
      </c>
    </row>
    <row r="12" spans="1:24" ht="15.75" hidden="1">
      <c r="A12" s="108"/>
      <c r="B12" s="316" t="s">
        <v>36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-45.1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-45.1</v>
      </c>
    </row>
    <row r="13" spans="1:24" ht="15.75" hidden="1">
      <c r="A13" s="108"/>
      <c r="B13" s="316" t="s">
        <v>37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-32.68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-32.68</v>
      </c>
    </row>
    <row r="14" spans="1:24" ht="15.75" hidden="1">
      <c r="A14" s="108"/>
      <c r="B14" s="316" t="s">
        <v>70</v>
      </c>
      <c r="C14" s="62">
        <v>0</v>
      </c>
      <c r="D14" s="62">
        <v>0</v>
      </c>
      <c r="E14" s="62">
        <v>-482.5</v>
      </c>
      <c r="F14" s="62">
        <v>-111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1">
        <v>-593.5</v>
      </c>
      <c r="X14" s="61">
        <v>-593.5</v>
      </c>
    </row>
    <row r="15" spans="1:24" ht="15.75" hidden="1">
      <c r="A15" s="108"/>
      <c r="B15" s="316" t="s">
        <v>71</v>
      </c>
      <c r="C15" s="62">
        <v>0</v>
      </c>
      <c r="D15" s="62">
        <v>0</v>
      </c>
      <c r="E15" s="62">
        <v>483</v>
      </c>
      <c r="F15" s="62">
        <v>111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1">
        <v>594</v>
      </c>
      <c r="X15" s="61">
        <v>594</v>
      </c>
    </row>
    <row r="16" spans="1:24" ht="15.75" hidden="1">
      <c r="A16" s="108"/>
      <c r="B16" s="316" t="s">
        <v>38</v>
      </c>
      <c r="C16" s="61">
        <v>0</v>
      </c>
      <c r="D16" s="61">
        <v>0</v>
      </c>
      <c r="E16" s="61">
        <v>0</v>
      </c>
      <c r="F16" s="61">
        <v>0</v>
      </c>
      <c r="G16" s="61">
        <v>-387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-387</v>
      </c>
      <c r="X16" s="61">
        <v>-387</v>
      </c>
    </row>
    <row r="17" spans="1:24" ht="15.75" hidden="1">
      <c r="A17" s="108"/>
      <c r="B17" s="316" t="s">
        <v>39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-106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-106</v>
      </c>
    </row>
    <row r="18" spans="1:24" ht="15.75" hidden="1">
      <c r="A18" s="108"/>
      <c r="B18" s="316" t="s">
        <v>40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-106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-106</v>
      </c>
    </row>
    <row r="19" spans="1:24" ht="15.75" hidden="1">
      <c r="A19" s="108"/>
      <c r="B19" s="316" t="s">
        <v>41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-220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-220</v>
      </c>
    </row>
    <row r="20" spans="1:24" ht="15.75" hidden="1">
      <c r="A20" s="108"/>
      <c r="B20" s="316" t="s">
        <v>42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-330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-330</v>
      </c>
    </row>
    <row r="21" spans="1:24" ht="15.75" hidden="1">
      <c r="A21" s="108"/>
      <c r="B21" s="316" t="s">
        <v>43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-156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-156</v>
      </c>
    </row>
    <row r="22" spans="1:24" ht="15.75" hidden="1">
      <c r="A22" s="108"/>
      <c r="B22" s="316" t="s">
        <v>44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-201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-201</v>
      </c>
    </row>
    <row r="23" spans="1:24" ht="15.75" hidden="1">
      <c r="A23" s="108"/>
      <c r="B23" s="316" t="s">
        <v>45</v>
      </c>
      <c r="C23" s="61">
        <v>0</v>
      </c>
      <c r="D23" s="61">
        <v>0</v>
      </c>
      <c r="E23" s="61">
        <v>-280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-280</v>
      </c>
      <c r="X23" s="61">
        <v>-280</v>
      </c>
    </row>
    <row r="24" spans="1:24" ht="15.75" hidden="1">
      <c r="A24" s="108"/>
      <c r="B24" s="316" t="s">
        <v>46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-357.5</v>
      </c>
      <c r="T24" s="62">
        <v>0</v>
      </c>
      <c r="U24" s="62">
        <v>0</v>
      </c>
      <c r="V24" s="62">
        <v>0</v>
      </c>
      <c r="W24" s="61">
        <v>0</v>
      </c>
      <c r="X24" s="61">
        <v>-357.5</v>
      </c>
    </row>
    <row r="25" spans="1:24">
      <c r="A25" s="108" t="s">
        <v>19</v>
      </c>
      <c r="B25" s="315" t="s">
        <v>30</v>
      </c>
      <c r="C25" s="314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1"/>
      <c r="W25" s="110"/>
      <c r="X25" s="111"/>
    </row>
    <row r="26" spans="1:24" ht="16.5" thickBot="1">
      <c r="A26" s="109"/>
      <c r="B26" s="112" t="s">
        <v>62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476.577</v>
      </c>
      <c r="T26" s="62">
        <v>0</v>
      </c>
      <c r="U26" s="62">
        <v>0</v>
      </c>
      <c r="V26" s="62">
        <v>0</v>
      </c>
      <c r="W26" s="61">
        <v>0</v>
      </c>
      <c r="X26" s="61">
        <v>476.577</v>
      </c>
    </row>
    <row r="27" spans="1:24" ht="16.5" thickBot="1">
      <c r="A27" s="109"/>
      <c r="B27" s="114" t="s">
        <v>47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476.577</v>
      </c>
      <c r="T27" s="63">
        <v>0</v>
      </c>
      <c r="U27" s="63">
        <v>0</v>
      </c>
      <c r="V27" s="63">
        <v>0</v>
      </c>
      <c r="W27" s="63">
        <v>0</v>
      </c>
      <c r="X27" s="63">
        <v>476.577</v>
      </c>
    </row>
    <row r="28" spans="1:24" ht="15.75">
      <c r="A28" s="109"/>
      <c r="B28" s="112" t="s">
        <v>72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113">
        <v>0</v>
      </c>
      <c r="R28" s="113">
        <v>0</v>
      </c>
      <c r="S28" s="113">
        <v>199.92400000000001</v>
      </c>
      <c r="T28" s="113">
        <v>0</v>
      </c>
      <c r="U28" s="113">
        <v>0</v>
      </c>
      <c r="V28" s="113">
        <v>0</v>
      </c>
      <c r="W28" s="126">
        <v>0</v>
      </c>
      <c r="X28" s="61">
        <v>199.92400000000001</v>
      </c>
    </row>
    <row r="29" spans="1:24" ht="15.75">
      <c r="A29" s="109"/>
      <c r="B29" s="112" t="s">
        <v>73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113">
        <v>199.92400000000001</v>
      </c>
      <c r="P29" s="62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  <c r="W29" s="126">
        <v>0</v>
      </c>
      <c r="X29" s="61">
        <v>199.92400000000001</v>
      </c>
    </row>
    <row r="30" spans="1:24" ht="15.75">
      <c r="A30" s="109"/>
      <c r="B30" s="112" t="s">
        <v>74</v>
      </c>
      <c r="C30" s="62">
        <v>0</v>
      </c>
      <c r="D30" s="62">
        <v>0</v>
      </c>
      <c r="E30" s="62">
        <v>0</v>
      </c>
      <c r="F30" s="62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85.498999999999995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  <c r="W30" s="126">
        <v>0</v>
      </c>
      <c r="X30" s="61">
        <v>85.498999999999995</v>
      </c>
    </row>
    <row r="31" spans="1:24" ht="15.75">
      <c r="A31" s="109"/>
      <c r="B31" s="112" t="s">
        <v>75</v>
      </c>
      <c r="C31" s="62">
        <v>0</v>
      </c>
      <c r="D31" s="62">
        <v>0</v>
      </c>
      <c r="E31" s="62">
        <v>0</v>
      </c>
      <c r="F31" s="62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773.98800000000006</v>
      </c>
      <c r="W31" s="126">
        <v>0</v>
      </c>
      <c r="X31" s="61">
        <v>773.98800000000006</v>
      </c>
    </row>
    <row r="32" spans="1:24" ht="16.5" thickBot="1">
      <c r="A32" s="109"/>
      <c r="B32" s="112" t="s">
        <v>76</v>
      </c>
      <c r="C32" s="62">
        <v>0</v>
      </c>
      <c r="D32" s="62">
        <v>0</v>
      </c>
      <c r="E32" s="62">
        <v>0</v>
      </c>
      <c r="F32" s="62">
        <v>0</v>
      </c>
      <c r="G32" s="113">
        <v>1100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  <c r="W32" s="126">
        <v>1100</v>
      </c>
      <c r="X32" s="61">
        <v>1100</v>
      </c>
    </row>
    <row r="33" spans="1:24" ht="16.5" thickBot="1">
      <c r="A33" s="109"/>
      <c r="B33" s="114" t="s">
        <v>77</v>
      </c>
      <c r="C33" s="63">
        <v>0</v>
      </c>
      <c r="D33" s="63">
        <v>0</v>
      </c>
      <c r="E33" s="63">
        <v>0</v>
      </c>
      <c r="F33" s="63">
        <v>0</v>
      </c>
      <c r="G33" s="127">
        <v>1100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  <c r="P33" s="127">
        <v>0</v>
      </c>
      <c r="Q33" s="127">
        <v>85.498999999999995</v>
      </c>
      <c r="R33" s="127">
        <v>0</v>
      </c>
      <c r="S33" s="127">
        <v>0</v>
      </c>
      <c r="T33" s="127">
        <v>0</v>
      </c>
      <c r="U33" s="127">
        <v>0</v>
      </c>
      <c r="V33" s="127">
        <v>773.98800000000006</v>
      </c>
      <c r="W33" s="127">
        <v>1100</v>
      </c>
      <c r="X33" s="63">
        <v>1959.4870000000001</v>
      </c>
    </row>
    <row r="34" spans="1:24" ht="16.5" thickBot="1">
      <c r="A34" s="109"/>
      <c r="B34" s="115" t="s">
        <v>78</v>
      </c>
      <c r="C34" s="128">
        <v>0</v>
      </c>
      <c r="D34" s="128">
        <v>0</v>
      </c>
      <c r="E34" s="128">
        <v>0</v>
      </c>
      <c r="F34" s="128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79.44</v>
      </c>
      <c r="R34" s="129">
        <v>166.625</v>
      </c>
      <c r="S34" s="129">
        <v>209.99100000000001</v>
      </c>
      <c r="T34" s="129">
        <v>40.779000000000003</v>
      </c>
      <c r="U34" s="129">
        <v>290.57600000000002</v>
      </c>
      <c r="V34" s="129">
        <v>12.589</v>
      </c>
      <c r="W34" s="113">
        <v>0</v>
      </c>
      <c r="X34" s="62">
        <v>800.00000000000011</v>
      </c>
    </row>
    <row r="35" spans="1:24" ht="16.5" hidden="1" thickBot="1">
      <c r="A35" s="109"/>
      <c r="B35" s="115" t="s">
        <v>79</v>
      </c>
      <c r="C35" s="64">
        <v>0</v>
      </c>
      <c r="D35" s="64">
        <v>0</v>
      </c>
      <c r="E35" s="64">
        <v>0</v>
      </c>
      <c r="F35" s="64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3.35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1.34</v>
      </c>
      <c r="W35" s="131">
        <v>0</v>
      </c>
      <c r="X35" s="65">
        <v>4.6900000000000004</v>
      </c>
    </row>
    <row r="36" spans="1:24" ht="16.5" hidden="1" thickBot="1">
      <c r="A36" s="109"/>
      <c r="B36" s="115" t="s">
        <v>80</v>
      </c>
      <c r="C36" s="64">
        <v>0</v>
      </c>
      <c r="D36" s="64">
        <v>0</v>
      </c>
      <c r="E36" s="64">
        <v>0</v>
      </c>
      <c r="F36" s="64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1.93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1">
        <v>0</v>
      </c>
      <c r="X36" s="65">
        <v>1.93</v>
      </c>
    </row>
    <row r="37" spans="1:24" ht="16.5" hidden="1" thickBot="1">
      <c r="A37" s="109"/>
      <c r="B37" s="115" t="s">
        <v>81</v>
      </c>
      <c r="C37" s="64">
        <v>0</v>
      </c>
      <c r="D37" s="64">
        <v>0</v>
      </c>
      <c r="E37" s="64">
        <v>0</v>
      </c>
      <c r="F37" s="64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10.93</v>
      </c>
      <c r="O37" s="130">
        <v>3.94</v>
      </c>
      <c r="P37" s="130">
        <v>0</v>
      </c>
      <c r="Q37" s="130">
        <v>0</v>
      </c>
      <c r="R37" s="130">
        <v>3.36</v>
      </c>
      <c r="S37" s="130">
        <v>0</v>
      </c>
      <c r="T37" s="130">
        <v>0</v>
      </c>
      <c r="U37" s="130">
        <v>3.05</v>
      </c>
      <c r="V37" s="130">
        <v>0</v>
      </c>
      <c r="W37" s="131">
        <v>0</v>
      </c>
      <c r="X37" s="65">
        <v>21.28</v>
      </c>
    </row>
    <row r="38" spans="1:24" ht="16.5" hidden="1" thickBot="1">
      <c r="A38" s="109"/>
      <c r="B38" s="115" t="s">
        <v>82</v>
      </c>
      <c r="C38" s="65">
        <v>0</v>
      </c>
      <c r="D38" s="65">
        <v>0</v>
      </c>
      <c r="E38" s="65">
        <v>0</v>
      </c>
      <c r="F38" s="65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68.37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0</v>
      </c>
      <c r="X38" s="65">
        <v>68.37</v>
      </c>
    </row>
    <row r="39" spans="1:24" ht="16.5" hidden="1" thickBot="1">
      <c r="A39" s="109"/>
      <c r="B39" s="115" t="s">
        <v>83</v>
      </c>
      <c r="C39" s="64">
        <v>0</v>
      </c>
      <c r="D39" s="64">
        <v>0</v>
      </c>
      <c r="E39" s="64">
        <v>0</v>
      </c>
      <c r="F39" s="64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34.75</v>
      </c>
      <c r="O39" s="130">
        <v>40.54</v>
      </c>
      <c r="P39" s="130">
        <v>4.75</v>
      </c>
      <c r="Q39" s="130">
        <v>0</v>
      </c>
      <c r="R39" s="130">
        <v>0</v>
      </c>
      <c r="S39" s="130">
        <v>0</v>
      </c>
      <c r="T39" s="130">
        <v>3.67</v>
      </c>
      <c r="U39" s="130">
        <v>0</v>
      </c>
      <c r="V39" s="130">
        <v>2.2200000000000002</v>
      </c>
      <c r="W39" s="131">
        <v>0</v>
      </c>
      <c r="X39" s="65">
        <v>85.929999999999993</v>
      </c>
    </row>
    <row r="40" spans="1:24" ht="16.5" hidden="1" thickBot="1">
      <c r="A40" s="109"/>
      <c r="B40" s="115" t="s">
        <v>84</v>
      </c>
      <c r="C40" s="64">
        <v>0</v>
      </c>
      <c r="D40" s="64">
        <v>0</v>
      </c>
      <c r="E40" s="64">
        <v>0</v>
      </c>
      <c r="F40" s="64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3.05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3.25</v>
      </c>
      <c r="W40" s="131">
        <v>0</v>
      </c>
      <c r="X40" s="65">
        <v>6.3</v>
      </c>
    </row>
    <row r="41" spans="1:24" ht="16.5" hidden="1" thickBot="1">
      <c r="A41" s="109"/>
      <c r="B41" s="115" t="s">
        <v>85</v>
      </c>
      <c r="C41" s="64">
        <v>0</v>
      </c>
      <c r="D41" s="64">
        <v>0</v>
      </c>
      <c r="E41" s="64">
        <v>0</v>
      </c>
      <c r="F41" s="64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4.78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2.87</v>
      </c>
      <c r="W41" s="131">
        <v>0</v>
      </c>
      <c r="X41" s="65">
        <v>7.65</v>
      </c>
    </row>
    <row r="42" spans="1:24" ht="16.5" hidden="1" thickBot="1">
      <c r="A42" s="109"/>
      <c r="B42" s="115" t="s">
        <v>86</v>
      </c>
      <c r="C42" s="64">
        <v>0</v>
      </c>
      <c r="D42" s="64">
        <v>0</v>
      </c>
      <c r="E42" s="64">
        <v>0</v>
      </c>
      <c r="F42" s="64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40.71</v>
      </c>
      <c r="P42" s="130">
        <v>0</v>
      </c>
      <c r="Q42" s="130">
        <v>0</v>
      </c>
      <c r="R42" s="130">
        <v>0</v>
      </c>
      <c r="S42" s="130">
        <v>3.11</v>
      </c>
      <c r="T42" s="130">
        <v>0</v>
      </c>
      <c r="U42" s="130">
        <v>0</v>
      </c>
      <c r="V42" s="130">
        <v>1.95</v>
      </c>
      <c r="W42" s="131">
        <v>0</v>
      </c>
      <c r="X42" s="65">
        <v>45.77</v>
      </c>
    </row>
    <row r="43" spans="1:24" ht="16.5" hidden="1" thickBot="1">
      <c r="A43" s="109"/>
      <c r="B43" s="115" t="s">
        <v>87</v>
      </c>
      <c r="C43" s="64">
        <v>0</v>
      </c>
      <c r="D43" s="64">
        <v>0</v>
      </c>
      <c r="E43" s="64">
        <v>0</v>
      </c>
      <c r="F43" s="64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1.88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1">
        <v>0</v>
      </c>
      <c r="X43" s="65">
        <v>1.88</v>
      </c>
    </row>
    <row r="44" spans="1:24" ht="16.5" thickBot="1">
      <c r="A44" s="109"/>
      <c r="B44" s="114" t="s">
        <v>20</v>
      </c>
      <c r="C44" s="66">
        <v>0</v>
      </c>
      <c r="D44" s="66">
        <v>0</v>
      </c>
      <c r="E44" s="66">
        <v>0</v>
      </c>
      <c r="F44" s="66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123.76</v>
      </c>
      <c r="O44" s="132">
        <v>90.47</v>
      </c>
      <c r="P44" s="132">
        <v>4.75</v>
      </c>
      <c r="Q44" s="132">
        <v>0</v>
      </c>
      <c r="R44" s="132">
        <v>3.36</v>
      </c>
      <c r="S44" s="132">
        <v>3.11</v>
      </c>
      <c r="T44" s="132">
        <v>3.67</v>
      </c>
      <c r="U44" s="132">
        <v>3.05</v>
      </c>
      <c r="V44" s="132">
        <v>11.629999999999999</v>
      </c>
      <c r="W44" s="132">
        <v>0</v>
      </c>
      <c r="X44" s="66">
        <v>243.80000000000004</v>
      </c>
    </row>
    <row r="45" spans="1:24" ht="16.5" hidden="1" thickBot="1">
      <c r="A45" s="109"/>
      <c r="B45" s="310" t="s">
        <v>48</v>
      </c>
      <c r="C45" s="62">
        <v>4.57</v>
      </c>
      <c r="D45" s="62">
        <v>6.5</v>
      </c>
      <c r="E45" s="62">
        <v>6.5299999999999994</v>
      </c>
      <c r="F45" s="62">
        <v>5.59</v>
      </c>
      <c r="G45" s="113">
        <v>5.7900000000000009</v>
      </c>
      <c r="H45" s="113">
        <v>5.42</v>
      </c>
      <c r="I45" s="113">
        <v>5.24</v>
      </c>
      <c r="J45" s="113">
        <v>5.5400000000000009</v>
      </c>
      <c r="K45" s="113">
        <v>5.33</v>
      </c>
      <c r="L45" s="113">
        <v>5.58</v>
      </c>
      <c r="M45" s="113">
        <v>5.25</v>
      </c>
      <c r="N45" s="113">
        <v>4.93</v>
      </c>
      <c r="O45" s="113">
        <v>4.76</v>
      </c>
      <c r="P45" s="113">
        <v>4.57</v>
      </c>
      <c r="Q45" s="113">
        <v>4.43</v>
      </c>
      <c r="R45" s="62">
        <v>3.7300000000000004</v>
      </c>
      <c r="S45" s="62">
        <v>3.48</v>
      </c>
      <c r="T45" s="62">
        <v>2.86</v>
      </c>
      <c r="U45" s="62">
        <v>2.56</v>
      </c>
      <c r="V45" s="62">
        <v>2.64</v>
      </c>
      <c r="W45" s="62">
        <v>56.09</v>
      </c>
      <c r="X45" s="62">
        <v>95.30000000000004</v>
      </c>
    </row>
    <row r="46" spans="1:24" ht="16.5" hidden="1" thickBot="1">
      <c r="A46" s="109"/>
      <c r="B46" s="310" t="s">
        <v>49</v>
      </c>
      <c r="C46" s="62">
        <v>84.4</v>
      </c>
      <c r="D46" s="62">
        <v>57.6</v>
      </c>
      <c r="E46" s="62">
        <v>61.5</v>
      </c>
      <c r="F46" s="62">
        <v>59.4</v>
      </c>
      <c r="G46" s="113">
        <v>61.5</v>
      </c>
      <c r="H46" s="113">
        <v>58.400000000000006</v>
      </c>
      <c r="I46" s="113">
        <v>65.8</v>
      </c>
      <c r="J46" s="113">
        <v>65.7</v>
      </c>
      <c r="K46" s="113">
        <v>62.6</v>
      </c>
      <c r="L46" s="113">
        <v>64.700000000000017</v>
      </c>
      <c r="M46" s="113">
        <v>64.600000000000009</v>
      </c>
      <c r="N46" s="113">
        <v>60.70000000000001</v>
      </c>
      <c r="O46" s="113">
        <v>56.800000000000011</v>
      </c>
      <c r="P46" s="113">
        <v>56.999999999999993</v>
      </c>
      <c r="Q46" s="113">
        <v>59.000000000000007</v>
      </c>
      <c r="R46" s="62">
        <v>49.300000000000011</v>
      </c>
      <c r="S46" s="62">
        <v>43.900000000000006</v>
      </c>
      <c r="T46" s="62">
        <v>37.000000000000007</v>
      </c>
      <c r="U46" s="62">
        <v>34.200000000000003</v>
      </c>
      <c r="V46" s="62">
        <v>34.800000000000004</v>
      </c>
      <c r="W46" s="62">
        <v>641.6</v>
      </c>
      <c r="X46" s="62">
        <v>1138.9000000000001</v>
      </c>
    </row>
    <row r="47" spans="1:24" ht="16.5" hidden="1" thickBot="1">
      <c r="A47" s="109"/>
      <c r="B47" s="310" t="s">
        <v>50</v>
      </c>
      <c r="C47" s="62">
        <v>7.5449999999999999</v>
      </c>
      <c r="D47" s="62">
        <v>10.210000000000001</v>
      </c>
      <c r="E47" s="62">
        <v>10.809999999999999</v>
      </c>
      <c r="F47" s="62">
        <v>10.28</v>
      </c>
      <c r="G47" s="113">
        <v>13.26</v>
      </c>
      <c r="H47" s="113">
        <v>13.489999999999998</v>
      </c>
      <c r="I47" s="113">
        <v>13.71</v>
      </c>
      <c r="J47" s="113">
        <v>13.75</v>
      </c>
      <c r="K47" s="113">
        <v>14.48</v>
      </c>
      <c r="L47" s="113">
        <v>13.88</v>
      </c>
      <c r="M47" s="113">
        <v>12.49</v>
      </c>
      <c r="N47" s="113">
        <v>11.32</v>
      </c>
      <c r="O47" s="113">
        <v>11.48</v>
      </c>
      <c r="P47" s="113">
        <v>11.030000000000001</v>
      </c>
      <c r="Q47" s="113">
        <v>10.64</v>
      </c>
      <c r="R47" s="62">
        <v>8.92</v>
      </c>
      <c r="S47" s="62">
        <v>7.62</v>
      </c>
      <c r="T47" s="62">
        <v>6.8900000000000006</v>
      </c>
      <c r="U47" s="62">
        <v>6.96</v>
      </c>
      <c r="V47" s="62">
        <v>6.98</v>
      </c>
      <c r="W47" s="67">
        <v>121.41500000000001</v>
      </c>
      <c r="X47" s="67">
        <v>215.745</v>
      </c>
    </row>
    <row r="48" spans="1:24" ht="16.5" thickBot="1">
      <c r="A48" s="109"/>
      <c r="B48" s="114" t="s">
        <v>21</v>
      </c>
      <c r="C48" s="63">
        <v>96.515000000000001</v>
      </c>
      <c r="D48" s="63">
        <v>74.31</v>
      </c>
      <c r="E48" s="63">
        <v>78.84</v>
      </c>
      <c r="F48" s="63">
        <v>75.27</v>
      </c>
      <c r="G48" s="127">
        <v>80.550000000000011</v>
      </c>
      <c r="H48" s="127">
        <v>77.31</v>
      </c>
      <c r="I48" s="127">
        <v>84.75</v>
      </c>
      <c r="J48" s="127">
        <v>84.990000000000009</v>
      </c>
      <c r="K48" s="127">
        <v>82.410000000000011</v>
      </c>
      <c r="L48" s="127">
        <v>84.160000000000011</v>
      </c>
      <c r="M48" s="127">
        <v>82.34</v>
      </c>
      <c r="N48" s="127">
        <v>76.950000000000017</v>
      </c>
      <c r="O48" s="127">
        <v>73.040000000000006</v>
      </c>
      <c r="P48" s="127">
        <v>72.599999999999994</v>
      </c>
      <c r="Q48" s="127">
        <v>74.070000000000007</v>
      </c>
      <c r="R48" s="63">
        <v>61.950000000000017</v>
      </c>
      <c r="S48" s="63">
        <v>55</v>
      </c>
      <c r="T48" s="63">
        <v>46.750000000000007</v>
      </c>
      <c r="U48" s="63">
        <v>43.720000000000006</v>
      </c>
      <c r="V48" s="63">
        <v>44.42</v>
      </c>
      <c r="W48" s="63">
        <v>819.10500000000002</v>
      </c>
      <c r="X48" s="63">
        <v>1449.9450000000002</v>
      </c>
    </row>
    <row r="49" spans="1:24" ht="15.75">
      <c r="A49" s="109"/>
      <c r="B49" s="116" t="s">
        <v>88</v>
      </c>
      <c r="C49" s="62">
        <v>0</v>
      </c>
      <c r="D49" s="62">
        <v>0</v>
      </c>
      <c r="E49" s="62">
        <v>0</v>
      </c>
      <c r="F49" s="62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27.126000000000001</v>
      </c>
      <c r="M49" s="113">
        <v>27.126000000000001</v>
      </c>
      <c r="N49" s="113">
        <v>300</v>
      </c>
      <c r="O49" s="113">
        <v>300</v>
      </c>
      <c r="P49" s="113">
        <v>290.67500000000001</v>
      </c>
      <c r="Q49" s="113">
        <v>300</v>
      </c>
      <c r="R49" s="62">
        <v>300</v>
      </c>
      <c r="S49" s="62">
        <v>300</v>
      </c>
      <c r="T49" s="62">
        <v>300</v>
      </c>
      <c r="U49" s="62">
        <v>300</v>
      </c>
      <c r="V49" s="62">
        <v>300</v>
      </c>
      <c r="W49" s="61">
        <v>2.7126000000000001</v>
      </c>
      <c r="X49" s="61">
        <v>137.24634999999998</v>
      </c>
    </row>
    <row r="50" spans="1:24" hidden="1">
      <c r="A50" s="107" t="s">
        <v>22</v>
      </c>
      <c r="B50" s="315" t="s">
        <v>29</v>
      </c>
      <c r="C50" s="314"/>
      <c r="D50" s="312"/>
      <c r="E50" s="312"/>
      <c r="F50" s="312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2"/>
      <c r="S50" s="312"/>
      <c r="T50" s="312"/>
      <c r="U50" s="312"/>
      <c r="V50" s="311"/>
      <c r="W50" s="314"/>
      <c r="X50" s="111"/>
    </row>
    <row r="51" spans="1:24" ht="15.75" hidden="1">
      <c r="A51" s="108"/>
      <c r="B51" s="316" t="s">
        <v>89</v>
      </c>
      <c r="C51" s="61">
        <v>0</v>
      </c>
      <c r="D51" s="61">
        <v>0</v>
      </c>
      <c r="E51" s="61">
        <v>0</v>
      </c>
      <c r="F51" s="61">
        <v>0</v>
      </c>
      <c r="G51" s="126">
        <v>0</v>
      </c>
      <c r="H51" s="126">
        <v>0</v>
      </c>
      <c r="I51" s="126">
        <v>0</v>
      </c>
      <c r="J51" s="126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-354</v>
      </c>
      <c r="P51" s="126">
        <v>0</v>
      </c>
      <c r="Q51" s="126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-354</v>
      </c>
    </row>
    <row r="52" spans="1:24" ht="15.75" hidden="1">
      <c r="A52" s="108"/>
      <c r="B52" s="316" t="s">
        <v>90</v>
      </c>
      <c r="C52" s="61">
        <v>0</v>
      </c>
      <c r="D52" s="61">
        <v>0</v>
      </c>
      <c r="E52" s="61">
        <v>0</v>
      </c>
      <c r="F52" s="61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61">
        <v>0</v>
      </c>
      <c r="S52" s="61">
        <v>-359.3</v>
      </c>
      <c r="T52" s="61">
        <v>0</v>
      </c>
      <c r="U52" s="61">
        <v>0</v>
      </c>
      <c r="V52" s="61">
        <v>0</v>
      </c>
      <c r="W52" s="61">
        <v>0</v>
      </c>
      <c r="X52" s="61">
        <v>-359.3</v>
      </c>
    </row>
    <row r="53" spans="1:24" ht="15.75" hidden="1">
      <c r="A53" s="108"/>
      <c r="B53" s="316" t="s">
        <v>70</v>
      </c>
      <c r="C53" s="61">
        <v>0</v>
      </c>
      <c r="D53" s="61">
        <v>0</v>
      </c>
      <c r="E53" s="62">
        <v>-311.5</v>
      </c>
      <c r="F53" s="61">
        <v>0</v>
      </c>
      <c r="G53" s="126">
        <v>0</v>
      </c>
      <c r="H53" s="126">
        <v>0</v>
      </c>
      <c r="I53" s="126">
        <v>0</v>
      </c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-311.5</v>
      </c>
      <c r="X53" s="61">
        <v>-311.5</v>
      </c>
    </row>
    <row r="54" spans="1:24" ht="15.75" hidden="1">
      <c r="A54" s="108"/>
      <c r="B54" s="316" t="s">
        <v>91</v>
      </c>
      <c r="C54" s="62">
        <v>0</v>
      </c>
      <c r="D54" s="62">
        <v>0</v>
      </c>
      <c r="E54" s="62">
        <v>334.5</v>
      </c>
      <c r="F54" s="62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v>0</v>
      </c>
      <c r="O54" s="113">
        <v>0</v>
      </c>
      <c r="P54" s="113">
        <v>0</v>
      </c>
      <c r="Q54" s="113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1">
        <v>334.5</v>
      </c>
      <c r="X54" s="61">
        <v>334.5</v>
      </c>
    </row>
    <row r="55" spans="1:24">
      <c r="A55" s="117" t="s">
        <v>22</v>
      </c>
      <c r="B55" s="315" t="s">
        <v>30</v>
      </c>
      <c r="C55" s="314"/>
      <c r="D55" s="312"/>
      <c r="E55" s="312"/>
      <c r="F55" s="312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2"/>
      <c r="S55" s="312"/>
      <c r="T55" s="312"/>
      <c r="U55" s="312"/>
      <c r="V55" s="311"/>
      <c r="W55" s="110"/>
      <c r="X55" s="111"/>
    </row>
    <row r="56" spans="1:24" ht="16.5" thickBot="1">
      <c r="A56" s="133"/>
      <c r="B56" s="134" t="s">
        <v>92</v>
      </c>
      <c r="C56" s="62">
        <v>0</v>
      </c>
      <c r="D56" s="62">
        <v>0</v>
      </c>
      <c r="E56" s="62">
        <v>0</v>
      </c>
      <c r="F56" s="62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436.35700000000003</v>
      </c>
      <c r="Q56" s="113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1">
        <v>0</v>
      </c>
      <c r="X56" s="61">
        <v>436.35700000000003</v>
      </c>
    </row>
    <row r="57" spans="1:24" ht="16.5" thickBot="1">
      <c r="A57" s="109"/>
      <c r="B57" s="114" t="s">
        <v>47</v>
      </c>
      <c r="C57" s="63">
        <v>0</v>
      </c>
      <c r="D57" s="63">
        <v>0</v>
      </c>
      <c r="E57" s="63">
        <v>0</v>
      </c>
      <c r="F57" s="63">
        <v>0</v>
      </c>
      <c r="G57" s="127">
        <v>0</v>
      </c>
      <c r="H57" s="127">
        <v>0</v>
      </c>
      <c r="I57" s="127">
        <v>0</v>
      </c>
      <c r="J57" s="127">
        <v>0</v>
      </c>
      <c r="K57" s="127">
        <v>0</v>
      </c>
      <c r="L57" s="127">
        <v>0</v>
      </c>
      <c r="M57" s="127">
        <v>0</v>
      </c>
      <c r="N57" s="127">
        <v>0</v>
      </c>
      <c r="O57" s="127">
        <v>0</v>
      </c>
      <c r="P57" s="127">
        <v>436.35700000000003</v>
      </c>
      <c r="Q57" s="127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436.35700000000003</v>
      </c>
    </row>
    <row r="58" spans="1:24" ht="16.5" thickBot="1">
      <c r="A58" s="118"/>
      <c r="B58" s="309" t="s">
        <v>93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140">
        <v>11.44</v>
      </c>
      <c r="O58" s="62">
        <v>96.875</v>
      </c>
      <c r="P58" s="62">
        <v>0</v>
      </c>
      <c r="Q58" s="62">
        <v>38.485999999999997</v>
      </c>
      <c r="R58" s="62">
        <v>70.004999999999995</v>
      </c>
      <c r="S58" s="62">
        <v>15.853999999999999</v>
      </c>
      <c r="T58" s="62">
        <v>7.5119999999999996</v>
      </c>
      <c r="U58" s="62">
        <v>0</v>
      </c>
      <c r="V58" s="62">
        <v>0</v>
      </c>
      <c r="W58" s="61">
        <v>0</v>
      </c>
      <c r="X58" s="61">
        <v>240.17199999999997</v>
      </c>
    </row>
    <row r="59" spans="1:24" ht="16.5" hidden="1" thickBot="1">
      <c r="A59" s="118"/>
      <c r="B59" s="309" t="s">
        <v>94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2.41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0</v>
      </c>
      <c r="W59" s="65">
        <v>0</v>
      </c>
      <c r="X59" s="65">
        <v>2.41</v>
      </c>
    </row>
    <row r="60" spans="1:24" ht="16.5" hidden="1" thickBot="1">
      <c r="A60" s="118"/>
      <c r="B60" s="309" t="s">
        <v>95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1.21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65">
        <v>0</v>
      </c>
      <c r="X60" s="65">
        <v>1.21</v>
      </c>
    </row>
    <row r="61" spans="1:24" ht="16.5" hidden="1" thickBot="1">
      <c r="A61" s="109"/>
      <c r="B61" s="310" t="s">
        <v>96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3.69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65">
        <v>0</v>
      </c>
      <c r="X61" s="65">
        <v>3.69</v>
      </c>
    </row>
    <row r="62" spans="1:24" ht="16.5" hidden="1" thickBot="1">
      <c r="A62" s="109"/>
      <c r="B62" s="310" t="s">
        <v>97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36.06</v>
      </c>
      <c r="P62" s="64">
        <v>0</v>
      </c>
      <c r="Q62" s="64">
        <v>3.34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5">
        <v>0</v>
      </c>
      <c r="X62" s="65">
        <v>39.400000000000006</v>
      </c>
    </row>
    <row r="63" spans="1:24" ht="16.5" hidden="1" thickBot="1">
      <c r="A63" s="109"/>
      <c r="B63" s="310" t="s">
        <v>51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35.04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5">
        <v>0</v>
      </c>
      <c r="X63" s="65">
        <v>35.04</v>
      </c>
    </row>
    <row r="64" spans="1:24" ht="16.5" hidden="1" thickBot="1">
      <c r="A64" s="109"/>
      <c r="B64" s="310" t="s">
        <v>52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12.829999999999998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5">
        <v>0</v>
      </c>
      <c r="X64" s="65">
        <v>12.829999999999998</v>
      </c>
    </row>
    <row r="65" spans="1:24" ht="16.5" hidden="1" thickBot="1">
      <c r="A65" s="109"/>
      <c r="B65" s="310" t="s">
        <v>98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13.009999999999998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5">
        <v>0</v>
      </c>
      <c r="X65" s="65">
        <v>13.009999999999998</v>
      </c>
    </row>
    <row r="66" spans="1:24" ht="16.5" hidden="1" thickBot="1">
      <c r="A66" s="109"/>
      <c r="B66" s="310" t="s">
        <v>99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9.06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5">
        <v>0</v>
      </c>
      <c r="X66" s="65">
        <v>9.06</v>
      </c>
    </row>
    <row r="67" spans="1:24" ht="16.5" hidden="1" thickBot="1">
      <c r="A67" s="109"/>
      <c r="B67" s="310" t="s">
        <v>100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4.8099999999999996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65">
        <v>0</v>
      </c>
      <c r="X67" s="65">
        <v>4.8099999999999996</v>
      </c>
    </row>
    <row r="68" spans="1:24" ht="16.5" thickBot="1">
      <c r="A68" s="109"/>
      <c r="B68" s="114" t="s">
        <v>31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69.05</v>
      </c>
      <c r="O68" s="66">
        <v>49.07</v>
      </c>
      <c r="P68" s="66">
        <v>0</v>
      </c>
      <c r="Q68" s="66">
        <v>3.34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121.46000000000001</v>
      </c>
    </row>
    <row r="69" spans="1:24" ht="16.5" hidden="1" thickBot="1">
      <c r="A69" s="118"/>
      <c r="B69" s="310" t="s">
        <v>53</v>
      </c>
      <c r="C69" s="62">
        <v>1.52</v>
      </c>
      <c r="D69" s="62">
        <v>1.74</v>
      </c>
      <c r="E69" s="62">
        <v>1.25</v>
      </c>
      <c r="F69" s="62">
        <v>1.28</v>
      </c>
      <c r="G69" s="62">
        <v>1.2800000000000002</v>
      </c>
      <c r="H69" s="62">
        <v>1.26</v>
      </c>
      <c r="I69" s="62">
        <v>1.2</v>
      </c>
      <c r="J69" s="62">
        <v>1.1299999999999999</v>
      </c>
      <c r="K69" s="62">
        <v>1.0900000000000001</v>
      </c>
      <c r="L69" s="62">
        <v>0.99</v>
      </c>
      <c r="M69" s="62">
        <v>1.25</v>
      </c>
      <c r="N69" s="62">
        <v>1.0999999999999999</v>
      </c>
      <c r="O69" s="62">
        <v>0.98</v>
      </c>
      <c r="P69" s="62">
        <v>1.07</v>
      </c>
      <c r="Q69" s="62">
        <v>0.98</v>
      </c>
      <c r="R69" s="62">
        <v>0.79</v>
      </c>
      <c r="S69" s="62">
        <v>0.7</v>
      </c>
      <c r="T69" s="62">
        <v>0.56999999999999995</v>
      </c>
      <c r="U69" s="62">
        <v>0.31</v>
      </c>
      <c r="V69" s="62">
        <v>0.25</v>
      </c>
      <c r="W69" s="62">
        <v>12.74</v>
      </c>
      <c r="X69" s="62">
        <v>20.74</v>
      </c>
    </row>
    <row r="70" spans="1:24" ht="16.5" hidden="1" thickBot="1">
      <c r="A70" s="109"/>
      <c r="B70" s="310" t="s">
        <v>54</v>
      </c>
      <c r="C70" s="62">
        <v>45.756999999999998</v>
      </c>
      <c r="D70" s="62">
        <v>43.5</v>
      </c>
      <c r="E70" s="62">
        <v>42.4</v>
      </c>
      <c r="F70" s="62">
        <v>36.800000000000004</v>
      </c>
      <c r="G70" s="62">
        <v>31.200000000000003</v>
      </c>
      <c r="H70" s="62">
        <v>26.2</v>
      </c>
      <c r="I70" s="62">
        <v>23.1</v>
      </c>
      <c r="J70" s="62">
        <v>22.500000000000004</v>
      </c>
      <c r="K70" s="62">
        <v>19.700000000000003</v>
      </c>
      <c r="L70" s="62">
        <v>18.5</v>
      </c>
      <c r="M70" s="62">
        <v>18.3</v>
      </c>
      <c r="N70" s="62">
        <v>17.100000000000001</v>
      </c>
      <c r="O70" s="62">
        <v>16.5</v>
      </c>
      <c r="P70" s="62">
        <v>16.400000000000002</v>
      </c>
      <c r="Q70" s="62">
        <v>16.100000000000001</v>
      </c>
      <c r="R70" s="62">
        <v>16.600000000000001</v>
      </c>
      <c r="S70" s="62">
        <v>15.4</v>
      </c>
      <c r="T70" s="62">
        <v>15.3</v>
      </c>
      <c r="U70" s="62">
        <v>16.3</v>
      </c>
      <c r="V70" s="62">
        <v>16.2</v>
      </c>
      <c r="W70" s="62">
        <v>309.65700000000004</v>
      </c>
      <c r="X70" s="62">
        <v>473.85700000000008</v>
      </c>
    </row>
    <row r="71" spans="1:24" ht="16.5" hidden="1" thickBot="1">
      <c r="A71" s="109"/>
      <c r="B71" s="310" t="s">
        <v>55</v>
      </c>
      <c r="C71" s="62">
        <v>9.98</v>
      </c>
      <c r="D71" s="62">
        <v>8.16</v>
      </c>
      <c r="E71" s="62">
        <v>8.7000000000000011</v>
      </c>
      <c r="F71" s="62">
        <v>8.23</v>
      </c>
      <c r="G71" s="62">
        <v>9.7200000000000006</v>
      </c>
      <c r="H71" s="62">
        <v>9.2900000000000009</v>
      </c>
      <c r="I71" s="62">
        <v>8.8100000000000023</v>
      </c>
      <c r="J71" s="62">
        <v>9.0300000000000011</v>
      </c>
      <c r="K71" s="62">
        <v>8.3800000000000008</v>
      </c>
      <c r="L71" s="62">
        <v>7.5699999999999994</v>
      </c>
      <c r="M71" s="62">
        <v>7.18</v>
      </c>
      <c r="N71" s="62">
        <v>6.5500000000000007</v>
      </c>
      <c r="O71" s="62">
        <v>5.8100000000000005</v>
      </c>
      <c r="P71" s="62">
        <v>5.2700000000000014</v>
      </c>
      <c r="Q71" s="62">
        <v>5.0500000000000016</v>
      </c>
      <c r="R71" s="62">
        <v>4.0200000000000005</v>
      </c>
      <c r="S71" s="62">
        <v>3.4499999999999997</v>
      </c>
      <c r="T71" s="62">
        <v>2.7100000000000004</v>
      </c>
      <c r="U71" s="62">
        <v>2.3999999999999995</v>
      </c>
      <c r="V71" s="62">
        <v>1.85</v>
      </c>
      <c r="W71" s="67">
        <v>87.87</v>
      </c>
      <c r="X71" s="67">
        <v>132.16</v>
      </c>
    </row>
    <row r="72" spans="1:24" ht="16.5" thickBot="1">
      <c r="A72" s="109"/>
      <c r="B72" s="114" t="s">
        <v>23</v>
      </c>
      <c r="C72" s="63">
        <v>57.257000000000005</v>
      </c>
      <c r="D72" s="63">
        <v>53.400000000000006</v>
      </c>
      <c r="E72" s="63">
        <v>52.35</v>
      </c>
      <c r="F72" s="63">
        <v>46.31</v>
      </c>
      <c r="G72" s="63">
        <v>42.2</v>
      </c>
      <c r="H72" s="63">
        <v>36.75</v>
      </c>
      <c r="I72" s="63">
        <v>33.11</v>
      </c>
      <c r="J72" s="63">
        <v>32.660000000000004</v>
      </c>
      <c r="K72" s="63">
        <v>29.17</v>
      </c>
      <c r="L72" s="63">
        <v>27.06</v>
      </c>
      <c r="M72" s="63">
        <v>26.73</v>
      </c>
      <c r="N72" s="63">
        <v>24.750000000000004</v>
      </c>
      <c r="O72" s="63">
        <v>23.29</v>
      </c>
      <c r="P72" s="63">
        <v>22.740000000000002</v>
      </c>
      <c r="Q72" s="63">
        <v>22.130000000000003</v>
      </c>
      <c r="R72" s="63">
        <v>21.41</v>
      </c>
      <c r="S72" s="63">
        <v>19.55</v>
      </c>
      <c r="T72" s="63">
        <v>18.580000000000002</v>
      </c>
      <c r="U72" s="63">
        <v>19.009999999999998</v>
      </c>
      <c r="V72" s="63">
        <v>18.3</v>
      </c>
      <c r="W72" s="63">
        <v>410.26700000000005</v>
      </c>
      <c r="X72" s="63">
        <v>626.75700000000006</v>
      </c>
    </row>
    <row r="73" spans="1:24" ht="15.75">
      <c r="A73" s="118"/>
      <c r="B73" s="309" t="s">
        <v>101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30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1">
        <v>0</v>
      </c>
      <c r="X73" s="61">
        <v>30</v>
      </c>
    </row>
    <row r="74" spans="1:24" ht="15.75">
      <c r="A74" s="118"/>
      <c r="B74" s="309" t="s">
        <v>102</v>
      </c>
      <c r="C74" s="62">
        <v>0</v>
      </c>
      <c r="D74" s="62">
        <v>0</v>
      </c>
      <c r="E74" s="62">
        <v>2.8730000000000002</v>
      </c>
      <c r="F74" s="62">
        <v>0</v>
      </c>
      <c r="G74" s="62">
        <v>0</v>
      </c>
      <c r="H74" s="62">
        <v>40.639000000000003</v>
      </c>
      <c r="I74" s="62">
        <v>0</v>
      </c>
      <c r="J74" s="62">
        <v>9.8089999999999993</v>
      </c>
      <c r="K74" s="62">
        <v>167.12899999999999</v>
      </c>
      <c r="L74" s="62">
        <v>76.040000000000006</v>
      </c>
      <c r="M74" s="62">
        <v>137.44200000000001</v>
      </c>
      <c r="N74" s="62">
        <v>400</v>
      </c>
      <c r="O74" s="62">
        <v>400</v>
      </c>
      <c r="P74" s="62">
        <v>400</v>
      </c>
      <c r="Q74" s="62">
        <v>400</v>
      </c>
      <c r="R74" s="62">
        <v>400</v>
      </c>
      <c r="S74" s="62">
        <v>400</v>
      </c>
      <c r="T74" s="62">
        <v>400</v>
      </c>
      <c r="U74" s="62">
        <v>400</v>
      </c>
      <c r="V74" s="62">
        <v>363.60700000000003</v>
      </c>
      <c r="W74" s="61">
        <v>29.649000000000001</v>
      </c>
      <c r="X74" s="61">
        <v>199.87694999999999</v>
      </c>
    </row>
    <row r="75" spans="1:24" ht="15.75">
      <c r="A75" s="118"/>
      <c r="B75" s="309" t="s">
        <v>103</v>
      </c>
      <c r="C75" s="62">
        <v>400</v>
      </c>
      <c r="D75" s="62">
        <v>400</v>
      </c>
      <c r="E75" s="62">
        <v>400</v>
      </c>
      <c r="F75" s="62">
        <v>400</v>
      </c>
      <c r="G75" s="62">
        <v>400</v>
      </c>
      <c r="H75" s="62">
        <v>400</v>
      </c>
      <c r="I75" s="62">
        <v>400</v>
      </c>
      <c r="J75" s="62">
        <v>400</v>
      </c>
      <c r="K75" s="62">
        <v>400</v>
      </c>
      <c r="L75" s="62">
        <v>400</v>
      </c>
      <c r="M75" s="62">
        <v>400</v>
      </c>
      <c r="N75" s="62">
        <v>400</v>
      </c>
      <c r="O75" s="62">
        <v>400</v>
      </c>
      <c r="P75" s="62">
        <v>400</v>
      </c>
      <c r="Q75" s="62">
        <v>400</v>
      </c>
      <c r="R75" s="62">
        <v>400</v>
      </c>
      <c r="S75" s="62">
        <v>400</v>
      </c>
      <c r="T75" s="62">
        <v>400</v>
      </c>
      <c r="U75" s="62">
        <v>400</v>
      </c>
      <c r="V75" s="62">
        <v>400</v>
      </c>
      <c r="W75" s="61">
        <v>400</v>
      </c>
      <c r="X75" s="61">
        <v>400</v>
      </c>
    </row>
    <row r="76" spans="1:24" ht="15.75">
      <c r="A76" s="118"/>
      <c r="B76" s="309" t="s">
        <v>104</v>
      </c>
      <c r="C76" s="62">
        <v>0</v>
      </c>
      <c r="D76" s="62">
        <v>21.074999999999999</v>
      </c>
      <c r="E76" s="62">
        <v>375</v>
      </c>
      <c r="F76" s="62">
        <v>307.39</v>
      </c>
      <c r="G76" s="62">
        <v>299.14100000000002</v>
      </c>
      <c r="H76" s="62">
        <v>375</v>
      </c>
      <c r="I76" s="62">
        <v>344.20600000000002</v>
      </c>
      <c r="J76" s="62">
        <v>375</v>
      </c>
      <c r="K76" s="62">
        <v>375</v>
      </c>
      <c r="L76" s="62">
        <v>375</v>
      </c>
      <c r="M76" s="62">
        <v>375</v>
      </c>
      <c r="N76" s="62">
        <v>375</v>
      </c>
      <c r="O76" s="62">
        <v>375</v>
      </c>
      <c r="P76" s="62">
        <v>375</v>
      </c>
      <c r="Q76" s="62">
        <v>375</v>
      </c>
      <c r="R76" s="62">
        <v>375</v>
      </c>
      <c r="S76" s="62">
        <v>375</v>
      </c>
      <c r="T76" s="62">
        <v>375</v>
      </c>
      <c r="U76" s="62">
        <v>375</v>
      </c>
      <c r="V76" s="62">
        <v>375</v>
      </c>
      <c r="W76" s="61">
        <v>284.68119999999999</v>
      </c>
      <c r="X76" s="61">
        <v>329.84059999999999</v>
      </c>
    </row>
    <row r="77" spans="1:24" ht="15.75">
      <c r="A77" s="118"/>
      <c r="B77" s="309" t="s">
        <v>105</v>
      </c>
      <c r="C77" s="62">
        <v>100</v>
      </c>
      <c r="D77" s="62">
        <v>100</v>
      </c>
      <c r="E77" s="62">
        <v>100</v>
      </c>
      <c r="F77" s="62">
        <v>100</v>
      </c>
      <c r="G77" s="62">
        <v>100</v>
      </c>
      <c r="H77" s="62">
        <v>100</v>
      </c>
      <c r="I77" s="62">
        <v>100</v>
      </c>
      <c r="J77" s="62">
        <v>100</v>
      </c>
      <c r="K77" s="62">
        <v>100</v>
      </c>
      <c r="L77" s="62">
        <v>100</v>
      </c>
      <c r="M77" s="62">
        <v>100</v>
      </c>
      <c r="N77" s="62">
        <v>100</v>
      </c>
      <c r="O77" s="62">
        <v>100</v>
      </c>
      <c r="P77" s="62">
        <v>100</v>
      </c>
      <c r="Q77" s="62">
        <v>100</v>
      </c>
      <c r="R77" s="62">
        <v>100</v>
      </c>
      <c r="S77" s="62">
        <v>100</v>
      </c>
      <c r="T77" s="62">
        <v>100</v>
      </c>
      <c r="U77" s="62">
        <v>100</v>
      </c>
      <c r="V77" s="62">
        <v>100</v>
      </c>
      <c r="W77" s="61">
        <v>100</v>
      </c>
      <c r="X77" s="61">
        <v>100</v>
      </c>
    </row>
    <row r="78" spans="1:24" ht="15.75">
      <c r="A78" s="135"/>
      <c r="B78" s="308" t="s">
        <v>106</v>
      </c>
      <c r="C78" s="136">
        <v>281.012</v>
      </c>
      <c r="D78" s="136">
        <v>332.17</v>
      </c>
      <c r="E78" s="136">
        <v>272.65499999999997</v>
      </c>
      <c r="F78" s="136">
        <v>307.34800000000001</v>
      </c>
      <c r="G78" s="136">
        <v>0</v>
      </c>
      <c r="H78" s="136">
        <v>307.57900000000001</v>
      </c>
      <c r="I78" s="136">
        <v>0</v>
      </c>
      <c r="J78" s="136">
        <v>287.03100000000001</v>
      </c>
      <c r="K78" s="136">
        <v>294.80599999999998</v>
      </c>
      <c r="L78" s="136">
        <v>0</v>
      </c>
      <c r="M78" s="136">
        <v>0</v>
      </c>
      <c r="N78" s="136">
        <v>0</v>
      </c>
      <c r="O78" s="136">
        <v>400</v>
      </c>
      <c r="P78" s="136">
        <v>40.570999999999998</v>
      </c>
      <c r="Q78" s="136">
        <v>390.202</v>
      </c>
      <c r="R78" s="136">
        <v>350.65800000000002</v>
      </c>
      <c r="S78" s="136">
        <v>0</v>
      </c>
      <c r="T78" s="136">
        <v>377.03399999999999</v>
      </c>
      <c r="U78" s="136">
        <v>4.4119999999999999</v>
      </c>
      <c r="V78" s="136">
        <v>291.37799999999999</v>
      </c>
      <c r="W78" s="137">
        <v>208.26009999999997</v>
      </c>
      <c r="X78" s="137">
        <v>196.84279999999998</v>
      </c>
    </row>
    <row r="79" spans="1:24" ht="15.75">
      <c r="A79" s="135"/>
      <c r="B79" s="308" t="s">
        <v>107</v>
      </c>
      <c r="C79" s="136">
        <v>0</v>
      </c>
      <c r="D79" s="136">
        <v>0</v>
      </c>
      <c r="E79" s="136">
        <v>0</v>
      </c>
      <c r="F79" s="136">
        <v>0</v>
      </c>
      <c r="G79" s="136">
        <v>319.30799999999999</v>
      </c>
      <c r="H79" s="136">
        <v>0</v>
      </c>
      <c r="I79" s="136">
        <v>305.923</v>
      </c>
      <c r="J79" s="136">
        <v>0</v>
      </c>
      <c r="K79" s="136">
        <v>0</v>
      </c>
      <c r="L79" s="136">
        <v>297.07</v>
      </c>
      <c r="M79" s="136">
        <v>288.548</v>
      </c>
      <c r="N79" s="136">
        <v>312.488</v>
      </c>
      <c r="O79" s="136">
        <v>50.639000000000003</v>
      </c>
      <c r="P79" s="136">
        <v>375</v>
      </c>
      <c r="Q79" s="136">
        <v>0</v>
      </c>
      <c r="R79" s="136">
        <v>0</v>
      </c>
      <c r="S79" s="136">
        <v>336.584</v>
      </c>
      <c r="T79" s="136">
        <v>0</v>
      </c>
      <c r="U79" s="136">
        <v>375</v>
      </c>
      <c r="V79" s="136">
        <v>375</v>
      </c>
      <c r="W79" s="137">
        <v>92.230099999999993</v>
      </c>
      <c r="X79" s="137">
        <v>151.77799999999999</v>
      </c>
    </row>
    <row r="80" spans="1:24" ht="16.5" thickBot="1">
      <c r="A80" s="138"/>
      <c r="B80" s="307" t="s">
        <v>108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39">
        <v>52.73</v>
      </c>
      <c r="L80" s="139">
        <v>54.026000000000003</v>
      </c>
      <c r="M80" s="139">
        <v>8.2089999999999996</v>
      </c>
      <c r="N80" s="139">
        <v>100</v>
      </c>
      <c r="O80" s="139">
        <v>100</v>
      </c>
      <c r="P80" s="139">
        <v>100</v>
      </c>
      <c r="Q80" s="139">
        <v>100</v>
      </c>
      <c r="R80" s="139">
        <v>100</v>
      </c>
      <c r="S80" s="139">
        <v>100</v>
      </c>
      <c r="T80" s="139">
        <v>100</v>
      </c>
      <c r="U80" s="139">
        <v>100</v>
      </c>
      <c r="V80" s="139">
        <v>100</v>
      </c>
      <c r="W80" s="137">
        <v>10.675599999999999</v>
      </c>
      <c r="X80" s="137">
        <v>50.748249999999999</v>
      </c>
    </row>
    <row r="81" spans="1:24" ht="17.25" thickTop="1" thickBot="1">
      <c r="A81" s="119"/>
      <c r="B81" s="120" t="s">
        <v>29</v>
      </c>
      <c r="C81" s="68">
        <v>0</v>
      </c>
      <c r="D81" s="68">
        <v>0</v>
      </c>
      <c r="E81" s="68">
        <v>-256.5</v>
      </c>
      <c r="F81" s="68">
        <v>0</v>
      </c>
      <c r="G81" s="68">
        <v>-387</v>
      </c>
      <c r="H81" s="68">
        <v>0</v>
      </c>
      <c r="I81" s="68">
        <v>0</v>
      </c>
      <c r="J81" s="68">
        <v>0</v>
      </c>
      <c r="K81" s="68">
        <v>0</v>
      </c>
      <c r="L81" s="68">
        <v>-82.3</v>
      </c>
      <c r="M81" s="68">
        <v>0</v>
      </c>
      <c r="N81" s="68">
        <v>-762</v>
      </c>
      <c r="O81" s="68">
        <v>-354</v>
      </c>
      <c r="P81" s="68">
        <v>-357</v>
      </c>
      <c r="Q81" s="68">
        <v>-77.78</v>
      </c>
      <c r="R81" s="68">
        <v>0</v>
      </c>
      <c r="S81" s="68">
        <v>-716.8</v>
      </c>
      <c r="T81" s="68">
        <v>0</v>
      </c>
      <c r="U81" s="68">
        <v>-81.540000000000006</v>
      </c>
      <c r="V81" s="68">
        <v>0</v>
      </c>
      <c r="W81" s="94"/>
      <c r="X81" s="94"/>
    </row>
    <row r="82" spans="1:24" ht="16.5" thickTop="1">
      <c r="A82" s="121"/>
      <c r="B82" s="122" t="s">
        <v>24</v>
      </c>
      <c r="C82" s="69">
        <v>153.77200000000005</v>
      </c>
      <c r="D82" s="69">
        <v>127.71000000000004</v>
      </c>
      <c r="E82" s="69">
        <v>131.18999999999983</v>
      </c>
      <c r="F82" s="69">
        <v>121.57999999999993</v>
      </c>
      <c r="G82" s="69">
        <v>1222.75</v>
      </c>
      <c r="H82" s="69">
        <v>114.05999999999995</v>
      </c>
      <c r="I82" s="69">
        <v>117.86000000000013</v>
      </c>
      <c r="J82" s="69">
        <v>117.64999999999986</v>
      </c>
      <c r="K82" s="69">
        <v>111.57999999999993</v>
      </c>
      <c r="L82" s="69">
        <v>111.22000000000003</v>
      </c>
      <c r="M82" s="69">
        <v>109.07000000000016</v>
      </c>
      <c r="N82" s="69">
        <v>305.95000000000005</v>
      </c>
      <c r="O82" s="69">
        <v>562.66900000000032</v>
      </c>
      <c r="P82" s="69">
        <v>536.44700000000057</v>
      </c>
      <c r="Q82" s="69">
        <v>302.96500000000015</v>
      </c>
      <c r="R82" s="69">
        <v>323.35000000000036</v>
      </c>
      <c r="S82" s="69">
        <v>980.00600000000009</v>
      </c>
      <c r="T82" s="69">
        <v>117.29099999999971</v>
      </c>
      <c r="U82" s="69">
        <v>356.35599999999931</v>
      </c>
      <c r="V82" s="69">
        <v>860.92700000000059</v>
      </c>
      <c r="W82" s="70"/>
      <c r="X82" s="70"/>
    </row>
    <row r="83" spans="1:24" ht="15.75">
      <c r="A83" s="123"/>
      <c r="B83" s="306" t="s">
        <v>25</v>
      </c>
      <c r="C83" s="71">
        <v>781.01199999999994</v>
      </c>
      <c r="D83" s="71">
        <v>853.24500000000012</v>
      </c>
      <c r="E83" s="71">
        <v>1150.528</v>
      </c>
      <c r="F83" s="71">
        <v>1114.7380000000001</v>
      </c>
      <c r="G83" s="71">
        <v>1118.4490000000001</v>
      </c>
      <c r="H83" s="71">
        <v>1223.2180000000001</v>
      </c>
      <c r="I83" s="71">
        <v>1150.1289999999999</v>
      </c>
      <c r="J83" s="71">
        <v>1171.8399999999999</v>
      </c>
      <c r="K83" s="71">
        <v>1389.665</v>
      </c>
      <c r="L83" s="71">
        <v>1329.2619999999999</v>
      </c>
      <c r="M83" s="71">
        <v>1336.325</v>
      </c>
      <c r="N83" s="71">
        <v>1987.4880000000001</v>
      </c>
      <c r="O83" s="71">
        <v>2125.6390000000001</v>
      </c>
      <c r="P83" s="71">
        <v>2081.2460000000001</v>
      </c>
      <c r="Q83" s="71">
        <v>2065.2020000000002</v>
      </c>
      <c r="R83" s="71">
        <v>2025.6579999999999</v>
      </c>
      <c r="S83" s="71">
        <v>2011.5840000000001</v>
      </c>
      <c r="T83" s="71">
        <v>2052.0340000000001</v>
      </c>
      <c r="U83" s="71">
        <v>2054.4120000000003</v>
      </c>
      <c r="V83" s="71">
        <v>2304.9849999999997</v>
      </c>
      <c r="W83" s="70"/>
      <c r="X83" s="70"/>
    </row>
    <row r="84" spans="1:24" ht="15.75">
      <c r="A84" s="123"/>
      <c r="B84" s="306" t="s">
        <v>26</v>
      </c>
      <c r="C84" s="71">
        <v>934.78399999999999</v>
      </c>
      <c r="D84" s="71">
        <v>980.95500000000015</v>
      </c>
      <c r="E84" s="71">
        <v>1281.7179999999998</v>
      </c>
      <c r="F84" s="71">
        <v>1236.318</v>
      </c>
      <c r="G84" s="71">
        <v>2341.1990000000001</v>
      </c>
      <c r="H84" s="71">
        <v>1337.278</v>
      </c>
      <c r="I84" s="71">
        <v>1267.989</v>
      </c>
      <c r="J84" s="71">
        <v>1289.4899999999998</v>
      </c>
      <c r="K84" s="71">
        <v>1501.2449999999999</v>
      </c>
      <c r="L84" s="71">
        <v>1440.482</v>
      </c>
      <c r="M84" s="71">
        <v>1445.3950000000002</v>
      </c>
      <c r="N84" s="71">
        <v>2293.4380000000001</v>
      </c>
      <c r="O84" s="71">
        <v>2688.3080000000004</v>
      </c>
      <c r="P84" s="71">
        <v>2617.6930000000007</v>
      </c>
      <c r="Q84" s="71">
        <v>2368.1670000000004</v>
      </c>
      <c r="R84" s="71">
        <v>2349.0080000000003</v>
      </c>
      <c r="S84" s="71">
        <v>2991.59</v>
      </c>
      <c r="T84" s="71">
        <v>2169.3249999999998</v>
      </c>
      <c r="U84" s="71">
        <v>2410.7679999999996</v>
      </c>
      <c r="V84" s="71">
        <v>3165.9120000000003</v>
      </c>
      <c r="W84" s="70"/>
      <c r="X84" s="70"/>
    </row>
    <row r="87" spans="1:24">
      <c r="B87" t="s">
        <v>109</v>
      </c>
    </row>
  </sheetData>
  <conditionalFormatting sqref="A7:B7">
    <cfRule type="expression" dxfId="1" priority="2" stopIfTrue="1">
      <formula>ROUND($G$325,0)&lt;&gt;0</formula>
    </cfRule>
  </conditionalFormatting>
  <conditionalFormatting sqref="B24">
    <cfRule type="containsText" dxfId="0" priority="1" operator="containsText" text="Early">
      <formula>NOT(ISERROR(SEARCH("Early",B24)))</formula>
    </cfRule>
  </conditionalFormatting>
  <printOptions horizontalCentered="1"/>
  <pageMargins left="0.25" right="0.25" top="0.75" bottom="0.75" header="0.3" footer="0.3"/>
  <pageSetup scale="47" fitToHeight="0" orientation="landscape" r:id="rId1"/>
  <headerFooter alignWithMargins="0">
    <oddFooter>&amp;L&amp;8NPC Group - &amp;F   ( &amp;A )&amp;C &amp;R 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workbookViewId="0">
      <selection activeCell="J13" sqref="J13"/>
    </sheetView>
  </sheetViews>
  <sheetFormatPr defaultColWidth="9.33203125" defaultRowHeight="12.75"/>
  <cols>
    <col min="1" max="1" width="1.5" style="3" customWidth="1"/>
    <col min="2" max="2" width="9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3" width="9.33203125" style="3" customWidth="1"/>
    <col min="24" max="24" width="9.5" style="3" customWidth="1"/>
    <col min="25" max="25" width="3.33203125" style="3" customWidth="1"/>
    <col min="26" max="16384" width="9.33203125" style="3"/>
  </cols>
  <sheetData>
    <row r="1" spans="2:24" ht="15.75" customHeight="1">
      <c r="B1" s="341" t="s">
        <v>181</v>
      </c>
      <c r="C1" s="341"/>
      <c r="D1" s="341"/>
      <c r="E1" s="341"/>
      <c r="F1" s="341"/>
      <c r="G1" s="341"/>
      <c r="H1" s="341"/>
      <c r="I1" s="341"/>
      <c r="N1" s="341" t="s">
        <v>182</v>
      </c>
      <c r="O1" s="341"/>
      <c r="P1" s="341"/>
      <c r="Q1" s="341"/>
      <c r="R1" s="341"/>
      <c r="S1" s="341"/>
      <c r="T1" s="341"/>
      <c r="U1" s="341"/>
    </row>
    <row r="2" spans="2:24" ht="18.75" customHeight="1">
      <c r="B2" s="341" t="s">
        <v>157</v>
      </c>
      <c r="C2" s="341"/>
      <c r="D2" s="341"/>
      <c r="E2" s="341"/>
      <c r="F2" s="341"/>
      <c r="G2" s="341"/>
      <c r="H2" s="341"/>
      <c r="I2" s="341"/>
      <c r="N2" s="341" t="s">
        <v>157</v>
      </c>
      <c r="O2" s="341"/>
      <c r="P2" s="341"/>
      <c r="Q2" s="341"/>
      <c r="R2" s="341"/>
      <c r="S2" s="341"/>
      <c r="T2" s="341"/>
      <c r="U2" s="341"/>
    </row>
    <row r="3" spans="2:24" ht="15" thickBot="1">
      <c r="B3" s="186"/>
      <c r="C3" s="186"/>
      <c r="D3" s="186"/>
      <c r="E3" s="186"/>
      <c r="F3" s="186"/>
      <c r="G3" s="186"/>
      <c r="H3" s="186"/>
      <c r="I3" s="73"/>
      <c r="J3" s="73"/>
      <c r="N3" s="186"/>
    </row>
    <row r="4" spans="2:24" ht="14.25" thickTop="1" thickBot="1">
      <c r="B4" s="217"/>
      <c r="C4" s="342" t="s">
        <v>126</v>
      </c>
      <c r="D4" s="343"/>
      <c r="E4" s="343"/>
      <c r="F4" s="343"/>
      <c r="G4" s="344"/>
      <c r="H4" s="342" t="s">
        <v>141</v>
      </c>
      <c r="I4" s="343"/>
      <c r="J4" s="343"/>
      <c r="K4" s="343"/>
      <c r="L4" s="344"/>
      <c r="N4" s="217"/>
      <c r="O4" s="342" t="s">
        <v>142</v>
      </c>
      <c r="P4" s="343"/>
      <c r="Q4" s="343"/>
      <c r="R4" s="343"/>
      <c r="S4" s="344"/>
      <c r="T4" s="342" t="s">
        <v>143</v>
      </c>
      <c r="U4" s="343"/>
      <c r="V4" s="343"/>
      <c r="W4" s="343"/>
      <c r="X4" s="344"/>
    </row>
    <row r="5" spans="2:24" ht="13.5" thickBot="1">
      <c r="B5" s="218"/>
      <c r="C5" s="338" t="s">
        <v>110</v>
      </c>
      <c r="D5" s="339"/>
      <c r="E5" s="339"/>
      <c r="F5" s="339"/>
      <c r="G5" s="340"/>
      <c r="H5" s="338" t="s">
        <v>150</v>
      </c>
      <c r="I5" s="339"/>
      <c r="J5" s="339"/>
      <c r="K5" s="339"/>
      <c r="L5" s="340"/>
      <c r="N5" s="218"/>
      <c r="O5" s="338" t="s">
        <v>150</v>
      </c>
      <c r="P5" s="339"/>
      <c r="Q5" s="339"/>
      <c r="R5" s="339"/>
      <c r="S5" s="340"/>
      <c r="T5" s="338" t="s">
        <v>150</v>
      </c>
      <c r="U5" s="339"/>
      <c r="V5" s="339"/>
      <c r="W5" s="339"/>
      <c r="X5" s="340"/>
    </row>
    <row r="6" spans="2:24">
      <c r="B6" s="335" t="s">
        <v>2</v>
      </c>
      <c r="C6" s="336" t="s">
        <v>188</v>
      </c>
      <c r="D6" s="219" t="s">
        <v>0</v>
      </c>
      <c r="E6" s="220" t="s">
        <v>1</v>
      </c>
      <c r="F6" s="229" t="s">
        <v>0</v>
      </c>
      <c r="G6" s="220" t="s">
        <v>1</v>
      </c>
      <c r="H6" s="336" t="s">
        <v>188</v>
      </c>
      <c r="I6" s="219" t="s">
        <v>0</v>
      </c>
      <c r="J6" s="220" t="s">
        <v>1</v>
      </c>
      <c r="K6" s="229" t="s">
        <v>0</v>
      </c>
      <c r="L6" s="230" t="s">
        <v>1</v>
      </c>
      <c r="N6" s="335"/>
      <c r="O6" s="336" t="s">
        <v>188</v>
      </c>
      <c r="P6" s="219" t="s">
        <v>0</v>
      </c>
      <c r="Q6" s="220" t="s">
        <v>1</v>
      </c>
      <c r="R6" s="229" t="s">
        <v>0</v>
      </c>
      <c r="S6" s="220" t="s">
        <v>1</v>
      </c>
      <c r="T6" s="336" t="s">
        <v>188</v>
      </c>
      <c r="U6" s="219" t="s">
        <v>0</v>
      </c>
      <c r="V6" s="220" t="s">
        <v>1</v>
      </c>
      <c r="W6" s="229" t="s">
        <v>0</v>
      </c>
      <c r="X6" s="230" t="s">
        <v>1</v>
      </c>
    </row>
    <row r="7" spans="2:24" ht="13.5" thickBot="1">
      <c r="B7" s="335" t="s">
        <v>2</v>
      </c>
      <c r="C7" s="337" t="s">
        <v>186</v>
      </c>
      <c r="D7" s="221" t="s">
        <v>111</v>
      </c>
      <c r="E7" s="222" t="s">
        <v>111</v>
      </c>
      <c r="F7" s="222" t="s">
        <v>112</v>
      </c>
      <c r="G7" s="222" t="s">
        <v>112</v>
      </c>
      <c r="H7" s="337" t="s">
        <v>186</v>
      </c>
      <c r="I7" s="221" t="s">
        <v>111</v>
      </c>
      <c r="J7" s="222" t="s">
        <v>111</v>
      </c>
      <c r="K7" s="222" t="s">
        <v>112</v>
      </c>
      <c r="L7" s="243" t="s">
        <v>112</v>
      </c>
      <c r="N7" s="335" t="s">
        <v>2</v>
      </c>
      <c r="O7" s="337" t="s">
        <v>186</v>
      </c>
      <c r="P7" s="221" t="s">
        <v>111</v>
      </c>
      <c r="Q7" s="222" t="s">
        <v>111</v>
      </c>
      <c r="R7" s="222" t="s">
        <v>112</v>
      </c>
      <c r="S7" s="222" t="s">
        <v>112</v>
      </c>
      <c r="T7" s="337" t="s">
        <v>186</v>
      </c>
      <c r="U7" s="221" t="s">
        <v>111</v>
      </c>
      <c r="V7" s="222" t="s">
        <v>111</v>
      </c>
      <c r="W7" s="222" t="s">
        <v>112</v>
      </c>
      <c r="X7" s="243" t="s">
        <v>112</v>
      </c>
    </row>
    <row r="8" spans="2:24" ht="13.5" thickBot="1">
      <c r="B8" s="223"/>
      <c r="C8" s="332" t="s">
        <v>14</v>
      </c>
      <c r="D8" s="333"/>
      <c r="E8" s="333"/>
      <c r="F8" s="333"/>
      <c r="G8" s="334"/>
      <c r="H8" s="332" t="s">
        <v>14</v>
      </c>
      <c r="I8" s="333"/>
      <c r="J8" s="333"/>
      <c r="K8" s="333"/>
      <c r="L8" s="334"/>
      <c r="N8" s="223"/>
      <c r="O8" s="332" t="s">
        <v>14</v>
      </c>
      <c r="P8" s="333"/>
      <c r="Q8" s="333"/>
      <c r="R8" s="333"/>
      <c r="S8" s="334"/>
      <c r="T8" s="332" t="s">
        <v>14</v>
      </c>
      <c r="U8" s="333"/>
      <c r="V8" s="333"/>
      <c r="W8" s="333"/>
      <c r="X8" s="334"/>
    </row>
    <row r="9" spans="2:24" ht="13.5" thickBot="1">
      <c r="B9" s="224"/>
      <c r="C9" s="220" t="s">
        <v>4</v>
      </c>
      <c r="D9" s="220" t="s">
        <v>5</v>
      </c>
      <c r="E9" s="220" t="s">
        <v>6</v>
      </c>
      <c r="F9" s="220" t="s">
        <v>7</v>
      </c>
      <c r="G9" s="225" t="s">
        <v>8</v>
      </c>
      <c r="H9" s="220" t="s">
        <v>4</v>
      </c>
      <c r="I9" s="220" t="s">
        <v>5</v>
      </c>
      <c r="J9" s="220" t="s">
        <v>6</v>
      </c>
      <c r="K9" s="220" t="s">
        <v>7</v>
      </c>
      <c r="L9" s="225" t="s">
        <v>8</v>
      </c>
      <c r="N9" s="224"/>
      <c r="O9" s="220" t="s">
        <v>4</v>
      </c>
      <c r="P9" s="220" t="s">
        <v>5</v>
      </c>
      <c r="Q9" s="220" t="s">
        <v>6</v>
      </c>
      <c r="R9" s="220" t="s">
        <v>7</v>
      </c>
      <c r="S9" s="225" t="s">
        <v>8</v>
      </c>
      <c r="T9" s="220" t="s">
        <v>4</v>
      </c>
      <c r="U9" s="220" t="s">
        <v>5</v>
      </c>
      <c r="V9" s="220" t="s">
        <v>6</v>
      </c>
      <c r="W9" s="220" t="s">
        <v>7</v>
      </c>
      <c r="X9" s="225" t="s">
        <v>8</v>
      </c>
    </row>
    <row r="10" spans="2:24" ht="5.25" customHeight="1">
      <c r="B10" s="239"/>
      <c r="C10" s="226"/>
      <c r="D10" s="227"/>
      <c r="E10" s="228"/>
      <c r="F10" s="229"/>
      <c r="G10" s="230"/>
      <c r="H10" s="226"/>
      <c r="I10" s="227"/>
      <c r="J10" s="228"/>
      <c r="K10" s="229"/>
      <c r="L10" s="230"/>
      <c r="N10" s="239"/>
      <c r="O10" s="226"/>
      <c r="P10" s="227"/>
      <c r="Q10" s="228"/>
      <c r="R10" s="229"/>
      <c r="S10" s="230"/>
      <c r="T10" s="226"/>
      <c r="U10" s="227"/>
      <c r="V10" s="228"/>
      <c r="W10" s="229"/>
      <c r="X10" s="230"/>
    </row>
    <row r="11" spans="2:24">
      <c r="B11" s="240">
        <f>'Table A - Combined'!$B$11</f>
        <v>2021</v>
      </c>
      <c r="C11" s="231">
        <f>INDEX([2]Energy!$U$4:$Y$24,MATCH($B11,[2]Energy!$T$4:$T$24,0),1)</f>
        <v>30.31351598173536</v>
      </c>
      <c r="D11" s="232">
        <f>INDEX([2]Energy!$U$4:$Y$24,MATCH($B11,[2]Energy!$T$4:$T$24,0),4)</f>
        <v>39.239254115226416</v>
      </c>
      <c r="E11" s="233">
        <f>INDEX([2]Energy!$U$4:$Y$24,MATCH($B11,[2]Energy!$T$4:$T$24,0),5)</f>
        <v>24.161633230452779</v>
      </c>
      <c r="F11" s="233">
        <f>INDEX([2]Energy!$U$4:$Y$24,MATCH($B11,[2]Energy!$T$4:$T$24,0),2)</f>
        <v>48.856249999999903</v>
      </c>
      <c r="G11" s="234">
        <f>INDEX([2]Energy!$U$4:$Y$24,MATCH($B11,[2]Energy!$T$4:$T$24,0),3)</f>
        <v>24.406331967213202</v>
      </c>
      <c r="H11" s="231">
        <f>INDEX([2]Energy!$U$29:$Y$49,MATCH($B11,[2]Energy!$T$29:$T$49,0),1)</f>
        <v>29.045865193702486</v>
      </c>
      <c r="I11" s="232">
        <f>INDEX([2]Energy!$U$29:$Y$49,MATCH($B11,[2]Energy!$T$29:$T$49,0),4)</f>
        <v>39.022065690187794</v>
      </c>
      <c r="J11" s="233">
        <f>INDEX([2]Energy!$U$29:$Y$49,MATCH($B11,[2]Energy!$T$29:$T$49,0),5)</f>
        <v>23.09088442665896</v>
      </c>
      <c r="K11" s="233">
        <f>INDEX([2]Energy!$U$29:$Y$49,MATCH($B11,[2]Energy!$T$29:$T$49,0),2)</f>
        <v>44.881533682512028</v>
      </c>
      <c r="L11" s="234">
        <f>INDEX([2]Energy!$U$29:$Y$49,MATCH($B11,[2]Energy!$T$29:$T$49,0),3)</f>
        <v>23.36040862971581</v>
      </c>
      <c r="N11" s="240">
        <f>'Table A - Combined'!$B$11</f>
        <v>2021</v>
      </c>
      <c r="O11" s="231">
        <f>INDEX([2]Energy!$U$79:$Y$99,MATCH($B11,[2]Energy!$T$79:$T$99,0),1)</f>
        <v>23.940165505817191</v>
      </c>
      <c r="P11" s="232">
        <f>INDEX([2]Energy!$U$79:$Y$99,MATCH($B11,[2]Energy!$T$79:$T$99,0),4)</f>
        <v>25.324492709459978</v>
      </c>
      <c r="Q11" s="233">
        <f>INDEX([2]Energy!$U$79:$Y$99,MATCH($B11,[2]Energy!$T$79:$T$99,0),5)</f>
        <v>20.282912076125847</v>
      </c>
      <c r="R11" s="233">
        <f>INDEX([2]Energy!$U$79:$Y$99,MATCH($B11,[2]Energy!$T$79:$T$99,0),2)</f>
        <v>35.449942289586495</v>
      </c>
      <c r="S11" s="234">
        <f>INDEX([2]Energy!$U$79:$Y$99,MATCH($B11,[2]Energy!$T$79:$T$99,0),3)</f>
        <v>26.044967889999683</v>
      </c>
      <c r="T11" s="231">
        <f>INDEX([2]Energy!$U$54:$Y$74,MATCH($B11,[2]Energy!$T$54:$T$74,0),1)</f>
        <v>24.071888225294767</v>
      </c>
      <c r="U11" s="232">
        <f>INDEX([2]Energy!$U$54:$Y$74,MATCH($B11,[2]Energy!$T$54:$T$74,0),4)</f>
        <v>24.856804747858551</v>
      </c>
      <c r="V11" s="233">
        <f>INDEX([2]Energy!$U$54:$Y$74,MATCH($B11,[2]Energy!$T$54:$T$74,0),5)</f>
        <v>18.389708512593074</v>
      </c>
      <c r="W11" s="233">
        <f>INDEX([2]Energy!$U$54:$Y$74,MATCH($B11,[2]Energy!$T$54:$T$74,0),2)</f>
        <v>36.47639760382031</v>
      </c>
      <c r="X11" s="234">
        <f>INDEX([2]Energy!$U$54:$Y$74,MATCH($B11,[2]Energy!$T$54:$T$74,0),3)</f>
        <v>26.053052767166744</v>
      </c>
    </row>
    <row r="12" spans="2:24">
      <c r="B12" s="240">
        <f t="shared" ref="B12:B30" si="0">B11+1</f>
        <v>2022</v>
      </c>
      <c r="C12" s="231">
        <f>INDEX([2]Energy!$U$4:$Y$24,MATCH($B12,[2]Energy!$T$4:$T$24,0),1)</f>
        <v>29.074511415525389</v>
      </c>
      <c r="D12" s="232">
        <f>INDEX([2]Energy!$U$4:$Y$24,MATCH($B12,[2]Energy!$T$4:$T$24,0),4)</f>
        <v>38.320072016460749</v>
      </c>
      <c r="E12" s="233">
        <f>INDEX([2]Energy!$U$4:$Y$24,MATCH($B12,[2]Energy!$T$4:$T$24,0),5)</f>
        <v>22.872703189300388</v>
      </c>
      <c r="F12" s="233">
        <f>INDEX([2]Energy!$U$4:$Y$24,MATCH($B12,[2]Energy!$T$4:$T$24,0),2)</f>
        <v>46.200020491803329</v>
      </c>
      <c r="G12" s="234">
        <f>INDEX([2]Energy!$U$4:$Y$24,MATCH($B12,[2]Energy!$T$4:$T$24,0),3)</f>
        <v>23.656869877049253</v>
      </c>
      <c r="H12" s="231">
        <f>INDEX([2]Energy!$U$29:$Y$49,MATCH($B12,[2]Energy!$T$29:$T$49,0),1)</f>
        <v>27.885538568274931</v>
      </c>
      <c r="I12" s="232">
        <f>INDEX([2]Energy!$U$29:$Y$49,MATCH($B12,[2]Energy!$T$29:$T$49,0),4)</f>
        <v>38.014033660702147</v>
      </c>
      <c r="J12" s="233">
        <f>INDEX([2]Energy!$U$29:$Y$49,MATCH($B12,[2]Energy!$T$29:$T$49,0),5)</f>
        <v>21.879313174276533</v>
      </c>
      <c r="K12" s="233">
        <f>INDEX([2]Energy!$U$29:$Y$49,MATCH($B12,[2]Energy!$T$29:$T$49,0),2)</f>
        <v>42.818894345441237</v>
      </c>
      <c r="L12" s="234">
        <f>INDEX([2]Energy!$U$29:$Y$49,MATCH($B12,[2]Energy!$T$29:$T$49,0),3)</f>
        <v>22.602690687881239</v>
      </c>
      <c r="N12" s="240">
        <f t="shared" ref="N12:N30" si="1">N11+1</f>
        <v>2022</v>
      </c>
      <c r="O12" s="231">
        <f>INDEX([2]Energy!$U$79:$Y$99,MATCH($B12,[2]Energy!$T$79:$T$99,0),1)</f>
        <v>23.201535936817631</v>
      </c>
      <c r="P12" s="232">
        <f>INDEX([2]Energy!$U$79:$Y$99,MATCH($B12,[2]Energy!$T$79:$T$99,0),4)</f>
        <v>25.954536326270631</v>
      </c>
      <c r="Q12" s="233">
        <f>INDEX([2]Energy!$U$79:$Y$99,MATCH($B12,[2]Energy!$T$79:$T$99,0),5)</f>
        <v>20.075678052733412</v>
      </c>
      <c r="R12" s="233">
        <f>INDEX([2]Energy!$U$79:$Y$99,MATCH($B12,[2]Energy!$T$79:$T$99,0),2)</f>
        <v>33.506380149631376</v>
      </c>
      <c r="S12" s="234">
        <f>INDEX([2]Energy!$U$79:$Y$99,MATCH($B12,[2]Energy!$T$79:$T$99,0),3)</f>
        <v>24.690976130410093</v>
      </c>
      <c r="T12" s="231">
        <f>INDEX([2]Energy!$U$54:$Y$74,MATCH($B12,[2]Energy!$T$54:$T$74,0),1)</f>
        <v>23.347498411308692</v>
      </c>
      <c r="U12" s="232">
        <f>INDEX([2]Energy!$U$54:$Y$74,MATCH($B12,[2]Energy!$T$54:$T$74,0),4)</f>
        <v>25.465796803128089</v>
      </c>
      <c r="V12" s="233">
        <f>INDEX([2]Energy!$U$54:$Y$74,MATCH($B12,[2]Energy!$T$54:$T$74,0),5)</f>
        <v>18.379775310077957</v>
      </c>
      <c r="W12" s="233">
        <f>INDEX([2]Energy!$U$54:$Y$74,MATCH($B12,[2]Energy!$T$54:$T$74,0),2)</f>
        <v>34.595565083080238</v>
      </c>
      <c r="X12" s="234">
        <f>INDEX([2]Energy!$U$54:$Y$74,MATCH($B12,[2]Energy!$T$54:$T$74,0),3)</f>
        <v>24.722652570186671</v>
      </c>
    </row>
    <row r="13" spans="2:24">
      <c r="B13" s="240">
        <f t="shared" si="0"/>
        <v>2023</v>
      </c>
      <c r="C13" s="231">
        <f>INDEX([2]Energy!$U$4:$Y$24,MATCH($B13,[2]Energy!$T$4:$T$24,0),1)</f>
        <v>28.893175799086006</v>
      </c>
      <c r="D13" s="232">
        <f>INDEX([2]Energy!$U$4:$Y$24,MATCH($B13,[2]Energy!$T$4:$T$24,0),4)</f>
        <v>38.416265432098662</v>
      </c>
      <c r="E13" s="233">
        <f>INDEX([2]Energy!$U$4:$Y$24,MATCH($B13,[2]Energy!$T$4:$T$24,0),5)</f>
        <v>23.135617283950715</v>
      </c>
      <c r="F13" s="233">
        <f>INDEX([2]Energy!$U$4:$Y$24,MATCH($B13,[2]Energy!$T$4:$T$24,0),2)</f>
        <v>45.763924180327692</v>
      </c>
      <c r="G13" s="234">
        <f>INDEX([2]Energy!$U$4:$Y$24,MATCH($B13,[2]Energy!$T$4:$T$24,0),3)</f>
        <v>22.44166495901645</v>
      </c>
      <c r="H13" s="231">
        <f>INDEX([2]Energy!$U$29:$Y$49,MATCH($B13,[2]Energy!$T$29:$T$49,0),1)</f>
        <v>27.768252296056474</v>
      </c>
      <c r="I13" s="232">
        <f>INDEX([2]Energy!$U$29:$Y$49,MATCH($B13,[2]Energy!$T$29:$T$49,0),4)</f>
        <v>38.153339662598349</v>
      </c>
      <c r="J13" s="233">
        <f>INDEX([2]Energy!$U$29:$Y$49,MATCH($B13,[2]Energy!$T$29:$T$49,0),5)</f>
        <v>22.130991964073431</v>
      </c>
      <c r="K13" s="233">
        <f>INDEX([2]Energy!$U$29:$Y$49,MATCH($B13,[2]Energy!$T$29:$T$49,0),2)</f>
        <v>42.305040628803674</v>
      </c>
      <c r="L13" s="234">
        <f>INDEX([2]Energy!$U$29:$Y$49,MATCH($B13,[2]Energy!$T$29:$T$49,0),3)</f>
        <v>21.458334305414699</v>
      </c>
      <c r="N13" s="240">
        <f t="shared" si="1"/>
        <v>2023</v>
      </c>
      <c r="O13" s="231">
        <f>INDEX([2]Energy!$U$79:$Y$99,MATCH($B13,[2]Energy!$T$79:$T$99,0),1)</f>
        <v>23.057220820512267</v>
      </c>
      <c r="P13" s="232">
        <f>INDEX([2]Energy!$U$79:$Y$99,MATCH($B13,[2]Energy!$T$79:$T$99,0),4)</f>
        <v>25.796592312366077</v>
      </c>
      <c r="Q13" s="233">
        <f>INDEX([2]Energy!$U$79:$Y$99,MATCH($B13,[2]Energy!$T$79:$T$99,0),5)</f>
        <v>20.03492877445224</v>
      </c>
      <c r="R13" s="233">
        <f>INDEX([2]Energy!$U$79:$Y$99,MATCH($B13,[2]Energy!$T$79:$T$99,0),2)</f>
        <v>33.157097121288274</v>
      </c>
      <c r="S13" s="234">
        <f>INDEX([2]Energy!$U$79:$Y$99,MATCH($B13,[2]Energy!$T$79:$T$99,0),3)</f>
        <v>24.443522143085016</v>
      </c>
      <c r="T13" s="231">
        <f>INDEX([2]Energy!$U$54:$Y$74,MATCH($B13,[2]Energy!$T$54:$T$74,0),1)</f>
        <v>23.114295979850358</v>
      </c>
      <c r="U13" s="232">
        <f>INDEX([2]Energy!$U$54:$Y$74,MATCH($B13,[2]Energy!$T$54:$T$74,0),4)</f>
        <v>25.238236606788806</v>
      </c>
      <c r="V13" s="233">
        <f>INDEX([2]Energy!$U$54:$Y$74,MATCH($B13,[2]Energy!$T$54:$T$74,0),5)</f>
        <v>18.304129856710592</v>
      </c>
      <c r="W13" s="233">
        <f>INDEX([2]Energy!$U$54:$Y$74,MATCH($B13,[2]Energy!$T$54:$T$74,0),2)</f>
        <v>34.214455478115319</v>
      </c>
      <c r="X13" s="234">
        <f>INDEX([2]Energy!$U$54:$Y$74,MATCH($B13,[2]Energy!$T$54:$T$74,0),3)</f>
        <v>24.359677257805956</v>
      </c>
    </row>
    <row r="14" spans="2:24">
      <c r="B14" s="240">
        <f t="shared" si="0"/>
        <v>2024</v>
      </c>
      <c r="C14" s="231">
        <f>INDEX([2]Energy!$U$4:$Y$24,MATCH($B14,[2]Energy!$T$4:$T$24,0),1)</f>
        <v>30.899743852459224</v>
      </c>
      <c r="D14" s="232">
        <f>INDEX([2]Energy!$U$4:$Y$24,MATCH($B14,[2]Energy!$T$4:$T$24,0),4)</f>
        <v>39.959374999999945</v>
      </c>
      <c r="E14" s="233">
        <f>INDEX([2]Energy!$U$4:$Y$24,MATCH($B14,[2]Energy!$T$4:$T$24,0),5)</f>
        <v>24.297200307376805</v>
      </c>
      <c r="F14" s="233">
        <f>INDEX([2]Energy!$U$4:$Y$24,MATCH($B14,[2]Energy!$T$4:$T$24,0),2)</f>
        <v>50.508586065573922</v>
      </c>
      <c r="G14" s="234">
        <f>INDEX([2]Energy!$U$4:$Y$24,MATCH($B14,[2]Energy!$T$4:$T$24,0),3)</f>
        <v>25.240778688524582</v>
      </c>
      <c r="H14" s="231">
        <f>INDEX([2]Energy!$U$29:$Y$49,MATCH($B14,[2]Energy!$T$29:$T$49,0),1)</f>
        <v>29.575314718653122</v>
      </c>
      <c r="I14" s="232">
        <f>INDEX([2]Energy!$U$29:$Y$49,MATCH($B14,[2]Energy!$T$29:$T$49,0),4)</f>
        <v>39.65400727601051</v>
      </c>
      <c r="J14" s="233">
        <f>INDEX([2]Energy!$U$29:$Y$49,MATCH($B14,[2]Energy!$T$29:$T$49,0),5)</f>
        <v>23.232060863484321</v>
      </c>
      <c r="K14" s="233">
        <f>INDEX([2]Energy!$U$29:$Y$49,MATCH($B14,[2]Energy!$T$29:$T$49,0),2)</f>
        <v>46.401326721214176</v>
      </c>
      <c r="L14" s="234">
        <f>INDEX([2]Energy!$U$29:$Y$49,MATCH($B14,[2]Energy!$T$29:$T$49,0),3)</f>
        <v>24.225339559336636</v>
      </c>
      <c r="N14" s="240">
        <f t="shared" si="1"/>
        <v>2024</v>
      </c>
      <c r="O14" s="231">
        <f>INDEX([2]Energy!$U$79:$Y$99,MATCH($B14,[2]Energy!$T$79:$T$99,0),1)</f>
        <v>24.728630185635151</v>
      </c>
      <c r="P14" s="232">
        <f>INDEX([2]Energy!$U$79:$Y$99,MATCH($B14,[2]Energy!$T$79:$T$99,0),4)</f>
        <v>27.328081861388121</v>
      </c>
      <c r="Q14" s="233">
        <f>INDEX([2]Energy!$U$79:$Y$99,MATCH($B14,[2]Energy!$T$79:$T$99,0),5)</f>
        <v>20.91432744687614</v>
      </c>
      <c r="R14" s="233">
        <f>INDEX([2]Energy!$U$79:$Y$99,MATCH($B14,[2]Energy!$T$79:$T$99,0),2)</f>
        <v>36.739213508112897</v>
      </c>
      <c r="S14" s="234">
        <f>INDEX([2]Energy!$U$79:$Y$99,MATCH($B14,[2]Energy!$T$79:$T$99,0),3)</f>
        <v>26.8330842420918</v>
      </c>
      <c r="T14" s="231">
        <f>INDEX([2]Energy!$U$54:$Y$74,MATCH($B14,[2]Energy!$T$54:$T$74,0),1)</f>
        <v>25.116557654145559</v>
      </c>
      <c r="U14" s="232">
        <f>INDEX([2]Energy!$U$54:$Y$74,MATCH($B14,[2]Energy!$T$54:$T$74,0),4)</f>
        <v>26.742676893522287</v>
      </c>
      <c r="V14" s="233">
        <f>INDEX([2]Energy!$U$54:$Y$74,MATCH($B14,[2]Energy!$T$54:$T$74,0),5)</f>
        <v>19.174100011786809</v>
      </c>
      <c r="W14" s="233">
        <f>INDEX([2]Energy!$U$54:$Y$74,MATCH($B14,[2]Energy!$T$54:$T$74,0),2)</f>
        <v>38.2266379316277</v>
      </c>
      <c r="X14" s="234">
        <f>INDEX([2]Energy!$U$54:$Y$74,MATCH($B14,[2]Energy!$T$54:$T$74,0),3)</f>
        <v>27.035367132222522</v>
      </c>
    </row>
    <row r="15" spans="2:24">
      <c r="B15" s="240">
        <f t="shared" si="0"/>
        <v>2025</v>
      </c>
      <c r="C15" s="231">
        <f>INDEX([2]Energy!$U$4:$Y$24,MATCH($B15,[2]Energy!$T$4:$T$24,0),1)</f>
        <v>32.588196347032351</v>
      </c>
      <c r="D15" s="232">
        <f>INDEX([2]Energy!$U$4:$Y$24,MATCH($B15,[2]Energy!$T$4:$T$24,0),4)</f>
        <v>40.908539094650067</v>
      </c>
      <c r="E15" s="233">
        <f>INDEX([2]Energy!$U$4:$Y$24,MATCH($B15,[2]Energy!$T$4:$T$24,0),5)</f>
        <v>25.092518004115117</v>
      </c>
      <c r="F15" s="233">
        <f>INDEX([2]Energy!$U$4:$Y$24,MATCH($B15,[2]Energy!$T$4:$T$24,0),2)</f>
        <v>55.085020491803036</v>
      </c>
      <c r="G15" s="234">
        <f>INDEX([2]Energy!$U$4:$Y$24,MATCH($B15,[2]Energy!$T$4:$T$24,0),3)</f>
        <v>27.983457991803117</v>
      </c>
      <c r="H15" s="231">
        <f>INDEX([2]Energy!$U$29:$Y$49,MATCH($B15,[2]Energy!$T$29:$T$49,0),1)</f>
        <v>31.070083291591487</v>
      </c>
      <c r="I15" s="232">
        <f>INDEX([2]Energy!$U$29:$Y$49,MATCH($B15,[2]Energy!$T$29:$T$49,0),4)</f>
        <v>40.527151870254926</v>
      </c>
      <c r="J15" s="233">
        <f>INDEX([2]Energy!$U$29:$Y$49,MATCH($B15,[2]Energy!$T$29:$T$49,0),5)</f>
        <v>23.991903564529327</v>
      </c>
      <c r="K15" s="233">
        <f>INDEX([2]Energy!$U$29:$Y$49,MATCH($B15,[2]Energy!$T$29:$T$49,0),2)</f>
        <v>50.466703676430612</v>
      </c>
      <c r="L15" s="234">
        <f>INDEX([2]Energy!$U$29:$Y$49,MATCH($B15,[2]Energy!$T$29:$T$49,0),3)</f>
        <v>26.978972613152624</v>
      </c>
      <c r="N15" s="240">
        <f t="shared" si="1"/>
        <v>2025</v>
      </c>
      <c r="O15" s="231">
        <f>INDEX([2]Energy!$U$79:$Y$99,MATCH($B15,[2]Energy!$T$79:$T$99,0),1)</f>
        <v>26.206344699548449</v>
      </c>
      <c r="P15" s="232">
        <f>INDEX([2]Energy!$U$79:$Y$99,MATCH($B15,[2]Energy!$T$79:$T$99,0),4)</f>
        <v>28.548466383946263</v>
      </c>
      <c r="Q15" s="233">
        <f>INDEX([2]Energy!$U$79:$Y$99,MATCH($B15,[2]Energy!$T$79:$T$99,0),5)</f>
        <v>21.498410135117744</v>
      </c>
      <c r="R15" s="233">
        <f>INDEX([2]Energy!$U$79:$Y$99,MATCH($B15,[2]Energy!$T$79:$T$99,0),2)</f>
        <v>40.190590482600939</v>
      </c>
      <c r="S15" s="234">
        <f>INDEX([2]Energy!$U$79:$Y$99,MATCH($B15,[2]Energy!$T$79:$T$99,0),3)</f>
        <v>29.144611454746599</v>
      </c>
      <c r="T15" s="231">
        <f>INDEX([2]Energy!$U$54:$Y$74,MATCH($B15,[2]Energy!$T$54:$T$74,0),1)</f>
        <v>26.943889837008157</v>
      </c>
      <c r="U15" s="232">
        <f>INDEX([2]Energy!$U$54:$Y$74,MATCH($B15,[2]Energy!$T$54:$T$74,0),4)</f>
        <v>28.004452211624155</v>
      </c>
      <c r="V15" s="233">
        <f>INDEX([2]Energy!$U$54:$Y$74,MATCH($B15,[2]Energy!$T$54:$T$74,0),5)</f>
        <v>19.834102179372451</v>
      </c>
      <c r="W15" s="233">
        <f>INDEX([2]Energy!$U$54:$Y$74,MATCH($B15,[2]Energy!$T$54:$T$74,0),2)</f>
        <v>42.011421459118246</v>
      </c>
      <c r="X15" s="234">
        <f>INDEX([2]Energy!$U$54:$Y$74,MATCH($B15,[2]Energy!$T$54:$T$74,0),3)</f>
        <v>29.575007293773808</v>
      </c>
    </row>
    <row r="16" spans="2:24">
      <c r="B16" s="240">
        <f t="shared" si="0"/>
        <v>2026</v>
      </c>
      <c r="C16" s="231">
        <f>INDEX([2]Energy!$U$4:$Y$24,MATCH($B16,[2]Energy!$T$4:$T$24,0),1)</f>
        <v>34.431777397260248</v>
      </c>
      <c r="D16" s="232">
        <f>INDEX([2]Energy!$U$4:$Y$24,MATCH($B16,[2]Energy!$T$4:$T$24,0),4)</f>
        <v>42.58284979423874</v>
      </c>
      <c r="E16" s="233">
        <f>INDEX([2]Energy!$U$4:$Y$24,MATCH($B16,[2]Energy!$T$4:$T$24,0),5)</f>
        <v>26.117914094650267</v>
      </c>
      <c r="F16" s="233">
        <f>INDEX([2]Energy!$U$4:$Y$24,MATCH($B16,[2]Energy!$T$4:$T$24,0),2)</f>
        <v>60.46754098360649</v>
      </c>
      <c r="G16" s="234">
        <f>INDEX([2]Energy!$U$4:$Y$24,MATCH($B16,[2]Energy!$T$4:$T$24,0),3)</f>
        <v>29.855809426229651</v>
      </c>
      <c r="H16" s="231">
        <f>INDEX([2]Energy!$U$29:$Y$49,MATCH($B16,[2]Energy!$T$29:$T$49,0),1)</f>
        <v>32.834021692083404</v>
      </c>
      <c r="I16" s="232">
        <f>INDEX([2]Energy!$U$29:$Y$49,MATCH($B16,[2]Energy!$T$29:$T$49,0),4)</f>
        <v>42.325580136223522</v>
      </c>
      <c r="J16" s="233">
        <f>INDEX([2]Energy!$U$29:$Y$49,MATCH($B16,[2]Energy!$T$29:$T$49,0),5)</f>
        <v>25.051588978559337</v>
      </c>
      <c r="K16" s="233">
        <f>INDEX([2]Energy!$U$29:$Y$49,MATCH($B16,[2]Energy!$T$29:$T$49,0),2)</f>
        <v>55.48772050724692</v>
      </c>
      <c r="L16" s="234">
        <f>INDEX([2]Energy!$U$29:$Y$49,MATCH($B16,[2]Energy!$T$29:$T$49,0),3)</f>
        <v>28.772310020235416</v>
      </c>
      <c r="N16" s="240">
        <f t="shared" si="1"/>
        <v>2026</v>
      </c>
      <c r="O16" s="231">
        <f>INDEX([2]Energy!$U$79:$Y$99,MATCH($B16,[2]Energy!$T$79:$T$99,0),1)</f>
        <v>28.145973368662936</v>
      </c>
      <c r="P16" s="232">
        <f>INDEX([2]Energy!$U$79:$Y$99,MATCH($B16,[2]Energy!$T$79:$T$99,0),4)</f>
        <v>29.593622801708083</v>
      </c>
      <c r="Q16" s="233">
        <f>INDEX([2]Energy!$U$79:$Y$99,MATCH($B16,[2]Energy!$T$79:$T$99,0),5)</f>
        <v>22.396374380570062</v>
      </c>
      <c r="R16" s="233">
        <f>INDEX([2]Energy!$U$79:$Y$99,MATCH($B16,[2]Energy!$T$79:$T$99,0),2)</f>
        <v>44.384619004883078</v>
      </c>
      <c r="S16" s="234">
        <f>INDEX([2]Energy!$U$79:$Y$99,MATCH($B16,[2]Energy!$T$79:$T$99,0),3)</f>
        <v>32.155220112494483</v>
      </c>
      <c r="T16" s="231">
        <f>INDEX([2]Energy!$U$54:$Y$74,MATCH($B16,[2]Energy!$T$54:$T$74,0),1)</f>
        <v>29.172863224511627</v>
      </c>
      <c r="U16" s="232">
        <f>INDEX([2]Energy!$U$54:$Y$74,MATCH($B16,[2]Energy!$T$54:$T$74,0),4)</f>
        <v>28.862392004114312</v>
      </c>
      <c r="V16" s="233">
        <f>INDEX([2]Energy!$U$54:$Y$74,MATCH($B16,[2]Energy!$T$54:$T$74,0),5)</f>
        <v>20.629620686753611</v>
      </c>
      <c r="W16" s="233">
        <f>INDEX([2]Energy!$U$54:$Y$74,MATCH($B16,[2]Energy!$T$54:$T$74,0),2)</f>
        <v>46.99558017116518</v>
      </c>
      <c r="X16" s="234">
        <f>INDEX([2]Energy!$U$54:$Y$74,MATCH($B16,[2]Energy!$T$54:$T$74,0),3)</f>
        <v>32.670368445985936</v>
      </c>
    </row>
    <row r="17" spans="2:24">
      <c r="B17" s="240">
        <f t="shared" si="0"/>
        <v>2027</v>
      </c>
      <c r="C17" s="231">
        <f>INDEX([2]Energy!$U$4:$Y$24,MATCH($B17,[2]Energy!$T$4:$T$24,0),1)</f>
        <v>37.85718607306012</v>
      </c>
      <c r="D17" s="232">
        <f>INDEX([2]Energy!$U$4:$Y$24,MATCH($B17,[2]Energy!$T$4:$T$24,0),4)</f>
        <v>45.029799382715829</v>
      </c>
      <c r="E17" s="233">
        <f>INDEX([2]Energy!$U$4:$Y$24,MATCH($B17,[2]Energy!$T$4:$T$24,0),5)</f>
        <v>27.580097736625696</v>
      </c>
      <c r="F17" s="233">
        <f>INDEX([2]Energy!$U$4:$Y$24,MATCH($B17,[2]Energy!$T$4:$T$24,0),2)</f>
        <v>72.460594262295245</v>
      </c>
      <c r="G17" s="234">
        <f>INDEX([2]Energy!$U$4:$Y$24,MATCH($B17,[2]Energy!$T$4:$T$24,0),3)</f>
        <v>33.882202868852495</v>
      </c>
      <c r="H17" s="231">
        <f>INDEX([2]Energy!$U$29:$Y$49,MATCH($B17,[2]Energy!$T$29:$T$49,0),1)</f>
        <v>35.791308790755473</v>
      </c>
      <c r="I17" s="232">
        <f>INDEX([2]Energy!$U$29:$Y$49,MATCH($B17,[2]Energy!$T$29:$T$49,0),4)</f>
        <v>44.672553872488081</v>
      </c>
      <c r="J17" s="233">
        <f>INDEX([2]Energy!$U$29:$Y$49,MATCH($B17,[2]Energy!$T$29:$T$49,0),5)</f>
        <v>26.465057201078551</v>
      </c>
      <c r="K17" s="233">
        <f>INDEX([2]Energy!$U$29:$Y$49,MATCH($B17,[2]Energy!$T$29:$T$49,0),2)</f>
        <v>65.667205781387963</v>
      </c>
      <c r="L17" s="234">
        <f>INDEX([2]Energy!$U$29:$Y$49,MATCH($B17,[2]Energy!$T$29:$T$49,0),3)</f>
        <v>32.597950382920935</v>
      </c>
      <c r="N17" s="240">
        <f t="shared" si="1"/>
        <v>2027</v>
      </c>
      <c r="O17" s="231">
        <f>INDEX([2]Energy!$U$79:$Y$99,MATCH($B17,[2]Energy!$T$79:$T$99,0),1)</f>
        <v>32.052423983926722</v>
      </c>
      <c r="P17" s="232">
        <f>INDEX([2]Energy!$U$79:$Y$99,MATCH($B17,[2]Energy!$T$79:$T$99,0),4)</f>
        <v>31.435318705294236</v>
      </c>
      <c r="Q17" s="233">
        <f>INDEX([2]Energy!$U$79:$Y$99,MATCH($B17,[2]Energy!$T$79:$T$99,0),5)</f>
        <v>23.850361848474133</v>
      </c>
      <c r="R17" s="233">
        <f>INDEX([2]Energy!$U$79:$Y$99,MATCH($B17,[2]Energy!$T$79:$T$99,0),2)</f>
        <v>53.481517180185079</v>
      </c>
      <c r="S17" s="234">
        <f>INDEX([2]Energy!$U$79:$Y$99,MATCH($B17,[2]Energy!$T$79:$T$99,0),3)</f>
        <v>38.619013916241776</v>
      </c>
      <c r="T17" s="231">
        <f>INDEX([2]Energy!$U$54:$Y$74,MATCH($B17,[2]Energy!$T$54:$T$74,0),1)</f>
        <v>33.628854446915263</v>
      </c>
      <c r="U17" s="232">
        <f>INDEX([2]Energy!$U$54:$Y$74,MATCH($B17,[2]Energy!$T$54:$T$74,0),4)</f>
        <v>30.55810101770102</v>
      </c>
      <c r="V17" s="233">
        <f>INDEX([2]Energy!$U$54:$Y$74,MATCH($B17,[2]Energy!$T$54:$T$74,0),5)</f>
        <v>21.95668356624147</v>
      </c>
      <c r="W17" s="233">
        <f>INDEX([2]Energy!$U$54:$Y$74,MATCH($B17,[2]Energy!$T$54:$T$74,0),2)</f>
        <v>56.95556056349843</v>
      </c>
      <c r="X17" s="234">
        <f>INDEX([2]Energy!$U$54:$Y$74,MATCH($B17,[2]Energy!$T$54:$T$74,0),3)</f>
        <v>39.167378706293803</v>
      </c>
    </row>
    <row r="18" spans="2:24">
      <c r="B18" s="240">
        <f t="shared" si="0"/>
        <v>2028</v>
      </c>
      <c r="C18" s="231">
        <f>INDEX([2]Energy!$U$4:$Y$24,MATCH($B18,[2]Energy!$T$4:$T$24,0),1)</f>
        <v>38.871810109289605</v>
      </c>
      <c r="D18" s="232">
        <f>INDEX([2]Energy!$U$4:$Y$24,MATCH($B18,[2]Energy!$T$4:$T$24,0),4)</f>
        <v>46.323483606557865</v>
      </c>
      <c r="E18" s="233">
        <f>INDEX([2]Energy!$U$4:$Y$24,MATCH($B18,[2]Energy!$T$4:$T$24,0),5)</f>
        <v>28.73080686475463</v>
      </c>
      <c r="F18" s="233">
        <f>INDEX([2]Energy!$U$4:$Y$24,MATCH($B18,[2]Energy!$T$4:$T$24,0),2)</f>
        <v>72.958319672131083</v>
      </c>
      <c r="G18" s="234">
        <f>INDEX([2]Energy!$U$4:$Y$24,MATCH($B18,[2]Energy!$T$4:$T$24,0),3)</f>
        <v>34.65888831967218</v>
      </c>
      <c r="H18" s="231">
        <f>INDEX([2]Energy!$U$29:$Y$49,MATCH($B18,[2]Energy!$T$29:$T$49,0),1)</f>
        <v>36.810800084488129</v>
      </c>
      <c r="I18" s="232">
        <f>INDEX([2]Energy!$U$29:$Y$49,MATCH($B18,[2]Energy!$T$29:$T$49,0),4)</f>
        <v>46.011367589587501</v>
      </c>
      <c r="J18" s="233">
        <f>INDEX([2]Energy!$U$29:$Y$49,MATCH($B18,[2]Energy!$T$29:$T$49,0),5)</f>
        <v>27.517344073342681</v>
      </c>
      <c r="K18" s="233">
        <f>INDEX([2]Energy!$U$29:$Y$49,MATCH($B18,[2]Energy!$T$29:$T$49,0),2)</f>
        <v>66.342499082712578</v>
      </c>
      <c r="L18" s="234">
        <f>INDEX([2]Energy!$U$29:$Y$49,MATCH($B18,[2]Energy!$T$29:$T$49,0),3)</f>
        <v>33.362380158177828</v>
      </c>
      <c r="N18" s="240">
        <f t="shared" si="1"/>
        <v>2028</v>
      </c>
      <c r="O18" s="231">
        <f>INDEX([2]Energy!$U$79:$Y$99,MATCH($B18,[2]Energy!$T$79:$T$99,0),1)</f>
        <v>32.372877202827574</v>
      </c>
      <c r="P18" s="232">
        <f>INDEX([2]Energy!$U$79:$Y$99,MATCH($B18,[2]Energy!$T$79:$T$99,0),4)</f>
        <v>31.251026899928576</v>
      </c>
      <c r="Q18" s="233">
        <f>INDEX([2]Energy!$U$79:$Y$99,MATCH($B18,[2]Energy!$T$79:$T$99,0),5)</f>
        <v>24.290483486967805</v>
      </c>
      <c r="R18" s="233">
        <f>INDEX([2]Energy!$U$79:$Y$99,MATCH($B18,[2]Energy!$T$79:$T$99,0),2)</f>
        <v>53.811947417414146</v>
      </c>
      <c r="S18" s="234">
        <f>INDEX([2]Energy!$U$79:$Y$99,MATCH($B18,[2]Energy!$T$79:$T$99,0),3)</f>
        <v>38.832310597645829</v>
      </c>
      <c r="T18" s="231">
        <f>INDEX([2]Energy!$U$54:$Y$74,MATCH($B18,[2]Energy!$T$54:$T$74,0),1)</f>
        <v>33.833603034518376</v>
      </c>
      <c r="U18" s="232">
        <f>INDEX([2]Energy!$U$54:$Y$74,MATCH($B18,[2]Energy!$T$54:$T$74,0),4)</f>
        <v>30.297659060505261</v>
      </c>
      <c r="V18" s="233">
        <f>INDEX([2]Energy!$U$54:$Y$74,MATCH($B18,[2]Energy!$T$54:$T$74,0),5)</f>
        <v>22.161540637715266</v>
      </c>
      <c r="W18" s="233">
        <f>INDEX([2]Energy!$U$54:$Y$74,MATCH($B18,[2]Energy!$T$54:$T$74,0),2)</f>
        <v>57.261903004792181</v>
      </c>
      <c r="X18" s="234">
        <f>INDEX([2]Energy!$U$54:$Y$74,MATCH($B18,[2]Energy!$T$54:$T$74,0),3)</f>
        <v>39.436226913684585</v>
      </c>
    </row>
    <row r="19" spans="2:24">
      <c r="B19" s="240">
        <f t="shared" si="0"/>
        <v>2029</v>
      </c>
      <c r="C19" s="231">
        <f>INDEX([2]Energy!$U$4:$Y$24,MATCH($B19,[2]Energy!$T$4:$T$24,0),1)</f>
        <v>40.470912100456708</v>
      </c>
      <c r="D19" s="232">
        <f>INDEX([2]Energy!$U$4:$Y$24,MATCH($B19,[2]Energy!$T$4:$T$24,0),4)</f>
        <v>48.158703703703587</v>
      </c>
      <c r="E19" s="233">
        <f>INDEX([2]Energy!$U$4:$Y$24,MATCH($B19,[2]Energy!$T$4:$T$24,0),5)</f>
        <v>29.90269290123473</v>
      </c>
      <c r="F19" s="233">
        <f>INDEX([2]Energy!$U$4:$Y$24,MATCH($B19,[2]Energy!$T$4:$T$24,0),2)</f>
        <v>75.625553278688528</v>
      </c>
      <c r="G19" s="234">
        <f>INDEX([2]Energy!$U$4:$Y$24,MATCH($B19,[2]Energy!$T$4:$T$24,0),3)</f>
        <v>36.287120901639234</v>
      </c>
      <c r="H19" s="231">
        <f>INDEX([2]Energy!$U$29:$Y$49,MATCH($B19,[2]Energy!$T$29:$T$49,0),1)</f>
        <v>38.306072619742267</v>
      </c>
      <c r="I19" s="232">
        <f>INDEX([2]Energy!$U$29:$Y$49,MATCH($B19,[2]Energy!$T$29:$T$49,0),4)</f>
        <v>47.960762940849811</v>
      </c>
      <c r="J19" s="233">
        <f>INDEX([2]Energy!$U$29:$Y$49,MATCH($B19,[2]Energy!$T$29:$T$49,0),5)</f>
        <v>28.699515256384625</v>
      </c>
      <c r="K19" s="233">
        <f>INDEX([2]Energy!$U$29:$Y$49,MATCH($B19,[2]Energy!$T$29:$T$49,0),2)</f>
        <v>67.803466331429419</v>
      </c>
      <c r="L19" s="234">
        <f>INDEX([2]Energy!$U$29:$Y$49,MATCH($B19,[2]Energy!$T$29:$T$49,0),3)</f>
        <v>35.047584461516458</v>
      </c>
      <c r="N19" s="240">
        <f t="shared" si="1"/>
        <v>2029</v>
      </c>
      <c r="O19" s="231">
        <f>INDEX([2]Energy!$U$79:$Y$99,MATCH($B19,[2]Energy!$T$79:$T$99,0),1)</f>
        <v>33.444408851355249</v>
      </c>
      <c r="P19" s="232">
        <f>INDEX([2]Energy!$U$79:$Y$99,MATCH($B19,[2]Energy!$T$79:$T$99,0),4)</f>
        <v>32.090517082094792</v>
      </c>
      <c r="Q19" s="233">
        <f>INDEX([2]Energy!$U$79:$Y$99,MATCH($B19,[2]Energy!$T$79:$T$99,0),5)</f>
        <v>25.127230025766071</v>
      </c>
      <c r="R19" s="233">
        <f>INDEX([2]Energy!$U$79:$Y$99,MATCH($B19,[2]Energy!$T$79:$T$99,0),2)</f>
        <v>55.257055281521211</v>
      </c>
      <c r="S19" s="234">
        <f>INDEX([2]Energy!$U$79:$Y$99,MATCH($B19,[2]Energy!$T$79:$T$99,0),3)</f>
        <v>40.14499184735795</v>
      </c>
      <c r="T19" s="231">
        <f>INDEX([2]Energy!$U$54:$Y$74,MATCH($B19,[2]Energy!$T$54:$T$74,0),1)</f>
        <v>34.624950769096756</v>
      </c>
      <c r="U19" s="232">
        <f>INDEX([2]Energy!$U$54:$Y$74,MATCH($B19,[2]Energy!$T$54:$T$74,0),4)</f>
        <v>31.126678081659051</v>
      </c>
      <c r="V19" s="233">
        <f>INDEX([2]Energy!$U$54:$Y$74,MATCH($B19,[2]Energy!$T$54:$T$74,0),5)</f>
        <v>22.873634621908352</v>
      </c>
      <c r="W19" s="233">
        <f>INDEX([2]Energy!$U$54:$Y$74,MATCH($B19,[2]Energy!$T$54:$T$74,0),2)</f>
        <v>57.325363741097988</v>
      </c>
      <c r="X19" s="234">
        <f>INDEX([2]Energy!$U$54:$Y$74,MATCH($B19,[2]Energy!$T$54:$T$74,0),3)</f>
        <v>40.544311734377601</v>
      </c>
    </row>
    <row r="20" spans="2:24">
      <c r="B20" s="240">
        <f t="shared" si="0"/>
        <v>2030</v>
      </c>
      <c r="C20" s="231">
        <f>INDEX([2]Energy!$U$4:$Y$24,MATCH($B20,[2]Energy!$T$4:$T$24,0),1)</f>
        <v>41.409418949771634</v>
      </c>
      <c r="D20" s="232">
        <f>INDEX([2]Energy!$U$4:$Y$24,MATCH($B20,[2]Energy!$T$4:$T$24,0),4)</f>
        <v>50.75973765432078</v>
      </c>
      <c r="E20" s="233">
        <f>INDEX([2]Energy!$U$4:$Y$24,MATCH($B20,[2]Energy!$T$4:$T$24,0),5)</f>
        <v>31.44450617283929</v>
      </c>
      <c r="F20" s="233">
        <f>INDEX([2]Energy!$U$4:$Y$24,MATCH($B20,[2]Energy!$T$4:$T$24,0),2)</f>
        <v>73.468688524590419</v>
      </c>
      <c r="G20" s="234">
        <f>INDEX([2]Energy!$U$4:$Y$24,MATCH($B20,[2]Energy!$T$4:$T$24,0),3)</f>
        <v>35.915932377049167</v>
      </c>
      <c r="H20" s="231">
        <f>INDEX([2]Energy!$U$29:$Y$49,MATCH($B20,[2]Energy!$T$29:$T$49,0),1)</f>
        <v>39.308780731641029</v>
      </c>
      <c r="I20" s="232">
        <f>INDEX([2]Energy!$U$29:$Y$49,MATCH($B20,[2]Energy!$T$29:$T$49,0),4)</f>
        <v>50.36073262399438</v>
      </c>
      <c r="J20" s="233">
        <f>INDEX([2]Energy!$U$29:$Y$49,MATCH($B20,[2]Energy!$T$29:$T$49,0),5)</f>
        <v>30.063180399758494</v>
      </c>
      <c r="K20" s="233">
        <f>INDEX([2]Energy!$U$29:$Y$49,MATCH($B20,[2]Energy!$T$29:$T$49,0),2)</f>
        <v>66.58407668399262</v>
      </c>
      <c r="L20" s="234">
        <f>INDEX([2]Energy!$U$29:$Y$49,MATCH($B20,[2]Energy!$T$29:$T$49,0),3)</f>
        <v>34.573678392483387</v>
      </c>
      <c r="N20" s="240">
        <f t="shared" si="1"/>
        <v>2030</v>
      </c>
      <c r="O20" s="231">
        <f>INDEX([2]Energy!$U$79:$Y$99,MATCH($B20,[2]Energy!$T$79:$T$99,0),1)</f>
        <v>33.828150739160606</v>
      </c>
      <c r="P20" s="232">
        <f>INDEX([2]Energy!$U$79:$Y$99,MATCH($B20,[2]Energy!$T$79:$T$99,0),4)</f>
        <v>32.901664080592134</v>
      </c>
      <c r="Q20" s="233">
        <f>INDEX([2]Energy!$U$79:$Y$99,MATCH($B20,[2]Energy!$T$79:$T$99,0),5)</f>
        <v>26.701716909122741</v>
      </c>
      <c r="R20" s="233">
        <f>INDEX([2]Energy!$U$79:$Y$99,MATCH($B20,[2]Energy!$T$79:$T$99,0),2)</f>
        <v>53.8404210492507</v>
      </c>
      <c r="S20" s="234">
        <f>INDEX([2]Energy!$U$79:$Y$99,MATCH($B20,[2]Energy!$T$79:$T$99,0),3)</f>
        <v>39.097893965074213</v>
      </c>
      <c r="T20" s="231">
        <f>INDEX([2]Energy!$U$54:$Y$74,MATCH($B20,[2]Energy!$T$54:$T$74,0),1)</f>
        <v>34.630701112469154</v>
      </c>
      <c r="U20" s="232">
        <f>INDEX([2]Energy!$U$54:$Y$74,MATCH($B20,[2]Energy!$T$54:$T$74,0),4)</f>
        <v>31.462001623897134</v>
      </c>
      <c r="V20" s="233">
        <f>INDEX([2]Energy!$U$54:$Y$74,MATCH($B20,[2]Energy!$T$54:$T$74,0),5)</f>
        <v>23.943787505022915</v>
      </c>
      <c r="W20" s="233">
        <f>INDEX([2]Energy!$U$54:$Y$74,MATCH($B20,[2]Energy!$T$54:$T$74,0),2)</f>
        <v>56.486228288121104</v>
      </c>
      <c r="X20" s="234">
        <f>INDEX([2]Energy!$U$54:$Y$74,MATCH($B20,[2]Energy!$T$54:$T$74,0),3)</f>
        <v>39.57462993628878</v>
      </c>
    </row>
    <row r="21" spans="2:24">
      <c r="B21" s="240">
        <f t="shared" si="0"/>
        <v>2031</v>
      </c>
      <c r="C21" s="231">
        <f>INDEX([2]Energy!$U$4:$Y$24,MATCH($B21,[2]Energy!$T$4:$T$24,0),1)</f>
        <v>41.93789497716913</v>
      </c>
      <c r="D21" s="232">
        <f>INDEX([2]Energy!$U$4:$Y$24,MATCH($B21,[2]Energy!$T$4:$T$24,0),4)</f>
        <v>51.566836419752804</v>
      </c>
      <c r="E21" s="233">
        <f>INDEX([2]Energy!$U$4:$Y$24,MATCH($B21,[2]Energy!$T$4:$T$24,0),5)</f>
        <v>32.044125514403149</v>
      </c>
      <c r="F21" s="233">
        <f>INDEX([2]Energy!$U$4:$Y$24,MATCH($B21,[2]Energy!$T$4:$T$24,0),2)</f>
        <v>73.678125000000023</v>
      </c>
      <c r="G21" s="234">
        <f>INDEX([2]Energy!$U$4:$Y$24,MATCH($B21,[2]Energy!$T$4:$T$24,0),3)</f>
        <v>36.184743852458965</v>
      </c>
      <c r="H21" s="231">
        <f>INDEX([2]Energy!$U$29:$Y$49,MATCH($B21,[2]Energy!$T$29:$T$49,0),1)</f>
        <v>39.88091802670705</v>
      </c>
      <c r="I21" s="232">
        <f>INDEX([2]Energy!$U$29:$Y$49,MATCH($B21,[2]Energy!$T$29:$T$49,0),4)</f>
        <v>51.255920527679045</v>
      </c>
      <c r="J21" s="233">
        <f>INDEX([2]Energy!$U$29:$Y$49,MATCH($B21,[2]Energy!$T$29:$T$49,0),5)</f>
        <v>30.632033530445767</v>
      </c>
      <c r="K21" s="233">
        <f>INDEX([2]Energy!$U$29:$Y$49,MATCH($B21,[2]Energy!$T$29:$T$49,0),2)</f>
        <v>66.951037698724193</v>
      </c>
      <c r="L21" s="234">
        <f>INDEX([2]Energy!$U$29:$Y$49,MATCH($B21,[2]Energy!$T$29:$T$49,0),3)</f>
        <v>34.860833797720133</v>
      </c>
      <c r="N21" s="240">
        <f t="shared" si="1"/>
        <v>2031</v>
      </c>
      <c r="O21" s="231">
        <f>INDEX([2]Energy!$U$79:$Y$99,MATCH($B21,[2]Energy!$T$79:$T$99,0),1)</f>
        <v>33.943198119931253</v>
      </c>
      <c r="P21" s="232">
        <f>INDEX([2]Energy!$U$79:$Y$99,MATCH($B21,[2]Energy!$T$79:$T$99,0),4)</f>
        <v>32.752472324407229</v>
      </c>
      <c r="Q21" s="233">
        <f>INDEX([2]Energy!$U$79:$Y$99,MATCH($B21,[2]Energy!$T$79:$T$99,0),5)</f>
        <v>26.859059716690123</v>
      </c>
      <c r="R21" s="233">
        <f>INDEX([2]Energy!$U$79:$Y$99,MATCH($B21,[2]Energy!$T$79:$T$99,0),2)</f>
        <v>53.950342171455674</v>
      </c>
      <c r="S21" s="234">
        <f>INDEX([2]Energy!$U$79:$Y$99,MATCH($B21,[2]Energy!$T$79:$T$99,0),3)</f>
        <v>39.168984037164989</v>
      </c>
      <c r="T21" s="231">
        <f>INDEX([2]Energy!$U$54:$Y$74,MATCH($B21,[2]Energy!$T$54:$T$74,0),1)</f>
        <v>34.688053475737028</v>
      </c>
      <c r="U21" s="232">
        <f>INDEX([2]Energy!$U$54:$Y$74,MATCH($B21,[2]Energy!$T$54:$T$74,0),4)</f>
        <v>31.594816789289602</v>
      </c>
      <c r="V21" s="233">
        <f>INDEX([2]Energy!$U$54:$Y$74,MATCH($B21,[2]Energy!$T$54:$T$74,0),5)</f>
        <v>24.02815571792938</v>
      </c>
      <c r="W21" s="233">
        <f>INDEX([2]Energy!$U$54:$Y$74,MATCH($B21,[2]Energy!$T$54:$T$74,0),2)</f>
        <v>56.502125207939372</v>
      </c>
      <c r="X21" s="234">
        <f>INDEX([2]Energy!$U$54:$Y$74,MATCH($B21,[2]Energy!$T$54:$T$74,0),3)</f>
        <v>39.604551358529328</v>
      </c>
    </row>
    <row r="22" spans="2:24">
      <c r="B22" s="240">
        <f t="shared" si="0"/>
        <v>2032</v>
      </c>
      <c r="C22" s="231">
        <f>INDEX([2]Energy!$U$4:$Y$24,MATCH($B22,[2]Energy!$T$4:$T$24,0),1)</f>
        <v>42.647297358833626</v>
      </c>
      <c r="D22" s="232">
        <f>INDEX([2]Energy!$U$4:$Y$24,MATCH($B22,[2]Energy!$T$4:$T$24,0),4)</f>
        <v>52.747392418032788</v>
      </c>
      <c r="E22" s="233">
        <f>INDEX([2]Energy!$U$4:$Y$24,MATCH($B22,[2]Energy!$T$4:$T$24,0),5)</f>
        <v>32.753993340163689</v>
      </c>
      <c r="F22" s="233">
        <f>INDEX([2]Energy!$U$4:$Y$24,MATCH($B22,[2]Energy!$T$4:$T$24,0),2)</f>
        <v>74.532581967213105</v>
      </c>
      <c r="G22" s="234">
        <f>INDEX([2]Energy!$U$4:$Y$24,MATCH($B22,[2]Energy!$T$4:$T$24,0),3)</f>
        <v>36.391168032786794</v>
      </c>
      <c r="H22" s="231">
        <f>INDEX([2]Energy!$U$29:$Y$49,MATCH($B22,[2]Energy!$T$29:$T$49,0),1)</f>
        <v>40.685776668975123</v>
      </c>
      <c r="I22" s="232">
        <f>INDEX([2]Energy!$U$29:$Y$49,MATCH($B22,[2]Energy!$T$29:$T$49,0),4)</f>
        <v>52.577579995175959</v>
      </c>
      <c r="J22" s="233">
        <f>INDEX([2]Energy!$U$29:$Y$49,MATCH($B22,[2]Energy!$T$29:$T$49,0),5)</f>
        <v>31.434202182863892</v>
      </c>
      <c r="K22" s="233">
        <f>INDEX([2]Energy!$U$29:$Y$49,MATCH($B22,[2]Energy!$T$29:$T$49,0),2)</f>
        <v>67.640465477569222</v>
      </c>
      <c r="L22" s="234">
        <f>INDEX([2]Energy!$U$29:$Y$49,MATCH($B22,[2]Energy!$T$29:$T$49,0),3)</f>
        <v>35.122125114053041</v>
      </c>
      <c r="N22" s="240">
        <f t="shared" si="1"/>
        <v>2032</v>
      </c>
      <c r="O22" s="231">
        <f>INDEX([2]Energy!$U$79:$Y$99,MATCH($B22,[2]Energy!$T$79:$T$99,0),1)</f>
        <v>34.529090156731499</v>
      </c>
      <c r="P22" s="232">
        <f>INDEX([2]Energy!$U$79:$Y$99,MATCH($B22,[2]Energy!$T$79:$T$99,0),4)</f>
        <v>33.808428090419568</v>
      </c>
      <c r="Q22" s="233">
        <f>INDEX([2]Energy!$U$79:$Y$99,MATCH($B22,[2]Energy!$T$79:$T$99,0),5)</f>
        <v>27.529309720368378</v>
      </c>
      <c r="R22" s="233">
        <f>INDEX([2]Energy!$U$79:$Y$99,MATCH($B22,[2]Energy!$T$79:$T$99,0),2)</f>
        <v>54.526260086193631</v>
      </c>
      <c r="S22" s="234">
        <f>INDEX([2]Energy!$U$79:$Y$99,MATCH($B22,[2]Energy!$T$79:$T$99,0),3)</f>
        <v>39.613605616738056</v>
      </c>
      <c r="T22" s="231">
        <f>INDEX([2]Energy!$U$54:$Y$74,MATCH($B22,[2]Energy!$T$54:$T$74,0),1)</f>
        <v>35.246197111639987</v>
      </c>
      <c r="U22" s="232">
        <f>INDEX([2]Energy!$U$54:$Y$74,MATCH($B22,[2]Energy!$T$54:$T$74,0),4)</f>
        <v>32.559815298598203</v>
      </c>
      <c r="V22" s="233">
        <f>INDEX([2]Energy!$U$54:$Y$74,MATCH($B22,[2]Energy!$T$54:$T$74,0),5)</f>
        <v>24.73278126440314</v>
      </c>
      <c r="W22" s="233">
        <f>INDEX([2]Energy!$U$54:$Y$74,MATCH($B22,[2]Energy!$T$54:$T$74,0),2)</f>
        <v>56.923634389600338</v>
      </c>
      <c r="X22" s="234">
        <f>INDEX([2]Energy!$U$54:$Y$74,MATCH($B22,[2]Energy!$T$54:$T$74,0),3)</f>
        <v>40.011385072395242</v>
      </c>
    </row>
    <row r="23" spans="2:24">
      <c r="B23" s="240">
        <f t="shared" si="0"/>
        <v>2033</v>
      </c>
      <c r="C23" s="231">
        <f>INDEX([2]Energy!$U$4:$Y$24,MATCH($B23,[2]Energy!$T$4:$T$24,0),1)</f>
        <v>43.541905251141408</v>
      </c>
      <c r="D23" s="232">
        <f>INDEX([2]Energy!$U$4:$Y$24,MATCH($B23,[2]Energy!$T$4:$T$24,0),4)</f>
        <v>53.495252057613072</v>
      </c>
      <c r="E23" s="233">
        <f>INDEX([2]Energy!$U$4:$Y$24,MATCH($B23,[2]Energy!$T$4:$T$24,0),5)</f>
        <v>33.327749485596591</v>
      </c>
      <c r="F23" s="233">
        <f>INDEX([2]Energy!$U$4:$Y$24,MATCH($B23,[2]Energy!$T$4:$T$24,0),2)</f>
        <v>76.342950819671955</v>
      </c>
      <c r="G23" s="234">
        <f>INDEX([2]Energy!$U$4:$Y$24,MATCH($B23,[2]Energy!$T$4:$T$24,0),3)</f>
        <v>37.573417008196564</v>
      </c>
      <c r="H23" s="231">
        <f>INDEX([2]Energy!$U$29:$Y$49,MATCH($B23,[2]Energy!$T$29:$T$49,0),1)</f>
        <v>41.357321713168275</v>
      </c>
      <c r="I23" s="232">
        <f>INDEX([2]Energy!$U$29:$Y$49,MATCH($B23,[2]Energy!$T$29:$T$49,0),4)</f>
        <v>53.092723495868448</v>
      </c>
      <c r="J23" s="233">
        <f>INDEX([2]Energy!$U$29:$Y$49,MATCH($B23,[2]Energy!$T$29:$T$49,0),5)</f>
        <v>31.82887178354321</v>
      </c>
      <c r="K23" s="233">
        <f>INDEX([2]Energy!$U$29:$Y$49,MATCH($B23,[2]Energy!$T$29:$T$49,0),2)</f>
        <v>69.118361969168546</v>
      </c>
      <c r="L23" s="234">
        <f>INDEX([2]Energy!$U$29:$Y$49,MATCH($B23,[2]Energy!$T$29:$T$49,0),3)</f>
        <v>36.230462816280387</v>
      </c>
      <c r="N23" s="240">
        <f t="shared" si="1"/>
        <v>2033</v>
      </c>
      <c r="O23" s="231">
        <f>INDEX([2]Energy!$U$79:$Y$99,MATCH($B23,[2]Energy!$T$79:$T$99,0),1)</f>
        <v>35.290419167490178</v>
      </c>
      <c r="P23" s="232">
        <f>INDEX([2]Energy!$U$79:$Y$99,MATCH($B23,[2]Energy!$T$79:$T$99,0),4)</f>
        <v>33.818439365154553</v>
      </c>
      <c r="Q23" s="233">
        <f>INDEX([2]Energy!$U$79:$Y$99,MATCH($B23,[2]Energy!$T$79:$T$99,0),5)</f>
        <v>28.106252889702368</v>
      </c>
      <c r="R23" s="233">
        <f>INDEX([2]Energy!$U$79:$Y$99,MATCH($B23,[2]Energy!$T$79:$T$99,0),2)</f>
        <v>55.840376087624527</v>
      </c>
      <c r="S23" s="234">
        <f>INDEX([2]Energy!$U$79:$Y$99,MATCH($B23,[2]Energy!$T$79:$T$99,0),3)</f>
        <v>40.526996520085916</v>
      </c>
      <c r="T23" s="231">
        <f>INDEX([2]Energy!$U$54:$Y$74,MATCH($B23,[2]Energy!$T$54:$T$74,0),1)</f>
        <v>35.916221853308087</v>
      </c>
      <c r="U23" s="232">
        <f>INDEX([2]Energy!$U$54:$Y$74,MATCH($B23,[2]Energy!$T$54:$T$74,0),4)</f>
        <v>32.084423664759612</v>
      </c>
      <c r="V23" s="233">
        <f>INDEX([2]Energy!$U$54:$Y$74,MATCH($B23,[2]Energy!$T$54:$T$74,0),5)</f>
        <v>25.009773289121785</v>
      </c>
      <c r="W23" s="233">
        <f>INDEX([2]Energy!$U$54:$Y$74,MATCH($B23,[2]Energy!$T$54:$T$74,0),2)</f>
        <v>58.271599631636654</v>
      </c>
      <c r="X23" s="234">
        <f>INDEX([2]Energy!$U$54:$Y$74,MATCH($B23,[2]Energy!$T$54:$T$74,0),3)</f>
        <v>41.031564625536042</v>
      </c>
    </row>
    <row r="24" spans="2:24">
      <c r="B24" s="240">
        <f t="shared" si="0"/>
        <v>2034</v>
      </c>
      <c r="C24" s="231">
        <f>INDEX([2]Energy!$U$4:$Y$24,MATCH($B24,[2]Energy!$T$4:$T$24,0),1)</f>
        <v>44.181947488584221</v>
      </c>
      <c r="D24" s="232">
        <f>INDEX([2]Energy!$U$4:$Y$24,MATCH($B24,[2]Energy!$T$4:$T$24,0),4)</f>
        <v>53.928271604938324</v>
      </c>
      <c r="E24" s="233">
        <f>INDEX([2]Energy!$U$4:$Y$24,MATCH($B24,[2]Energy!$T$4:$T$24,0),5)</f>
        <v>33.687857510287955</v>
      </c>
      <c r="F24" s="233">
        <f>INDEX([2]Energy!$U$4:$Y$24,MATCH($B24,[2]Energy!$T$4:$T$24,0),2)</f>
        <v>78.473770491803123</v>
      </c>
      <c r="G24" s="234">
        <f>INDEX([2]Energy!$U$4:$Y$24,MATCH($B24,[2]Energy!$T$4:$T$24,0),3)</f>
        <v>38.231818647541012</v>
      </c>
      <c r="H24" s="231">
        <f>INDEX([2]Energy!$U$29:$Y$49,MATCH($B24,[2]Energy!$T$29:$T$49,0),1)</f>
        <v>41.923325446443272</v>
      </c>
      <c r="I24" s="232">
        <f>INDEX([2]Energy!$U$29:$Y$49,MATCH($B24,[2]Energy!$T$29:$T$49,0),4)</f>
        <v>53.611854154621106</v>
      </c>
      <c r="J24" s="233">
        <f>INDEX([2]Energy!$U$29:$Y$49,MATCH($B24,[2]Energy!$T$29:$T$49,0),5)</f>
        <v>32.169815955521898</v>
      </c>
      <c r="K24" s="233">
        <f>INDEX([2]Energy!$U$29:$Y$49,MATCH($B24,[2]Energy!$T$29:$T$49,0),2)</f>
        <v>70.854173330606528</v>
      </c>
      <c r="L24" s="234">
        <f>INDEX([2]Energy!$U$29:$Y$49,MATCH($B24,[2]Energy!$T$29:$T$49,0),3)</f>
        <v>36.811048655351428</v>
      </c>
      <c r="N24" s="240">
        <f t="shared" si="1"/>
        <v>2034</v>
      </c>
      <c r="O24" s="231">
        <f>INDEX([2]Energy!$U$79:$Y$99,MATCH($B24,[2]Energy!$T$79:$T$99,0),1)</f>
        <v>35.808123234630912</v>
      </c>
      <c r="P24" s="232">
        <f>INDEX([2]Energy!$U$79:$Y$99,MATCH($B24,[2]Energy!$T$79:$T$99,0),4)</f>
        <v>33.310209561998668</v>
      </c>
      <c r="Q24" s="233">
        <f>INDEX([2]Energy!$U$79:$Y$99,MATCH($B24,[2]Energy!$T$79:$T$99,0),5)</f>
        <v>28.084211637369933</v>
      </c>
      <c r="R24" s="233">
        <f>INDEX([2]Energy!$U$79:$Y$99,MATCH($B24,[2]Energy!$T$79:$T$99,0),2)</f>
        <v>57.504258333744176</v>
      </c>
      <c r="S24" s="234">
        <f>INDEX([2]Energy!$U$79:$Y$99,MATCH($B24,[2]Energy!$T$79:$T$99,0),3)</f>
        <v>41.661123090692186</v>
      </c>
      <c r="T24" s="231">
        <f>INDEX([2]Energy!$U$54:$Y$74,MATCH($B24,[2]Energy!$T$54:$T$74,0),1)</f>
        <v>36.552268894843998</v>
      </c>
      <c r="U24" s="232">
        <f>INDEX([2]Energy!$U$54:$Y$74,MATCH($B24,[2]Energy!$T$54:$T$74,0),4)</f>
        <v>31.655683339805091</v>
      </c>
      <c r="V24" s="233">
        <f>INDEX([2]Energy!$U$54:$Y$74,MATCH($B24,[2]Energy!$T$54:$T$74,0),5)</f>
        <v>24.900671436491972</v>
      </c>
      <c r="W24" s="233">
        <f>INDEX([2]Energy!$U$54:$Y$74,MATCH($B24,[2]Energy!$T$54:$T$74,0),2)</f>
        <v>60.260525769230583</v>
      </c>
      <c r="X24" s="234">
        <f>INDEX([2]Energy!$U$54:$Y$74,MATCH($B24,[2]Energy!$T$54:$T$74,0),3)</f>
        <v>42.198580993806807</v>
      </c>
    </row>
    <row r="25" spans="2:24">
      <c r="B25" s="240">
        <f t="shared" si="0"/>
        <v>2035</v>
      </c>
      <c r="C25" s="231">
        <f>INDEX([2]Energy!$U$4:$Y$24,MATCH($B25,[2]Energy!$T$4:$T$24,0),1)</f>
        <v>47.505195205479758</v>
      </c>
      <c r="D25" s="232">
        <f>INDEX([2]Energy!$U$4:$Y$24,MATCH($B25,[2]Energy!$T$4:$T$24,0),4)</f>
        <v>55.737247942386844</v>
      </c>
      <c r="E25" s="233">
        <f>INDEX([2]Energy!$U$4:$Y$24,MATCH($B25,[2]Energy!$T$4:$T$24,0),5)</f>
        <v>34.73460905349782</v>
      </c>
      <c r="F25" s="233">
        <f>INDEX([2]Energy!$U$4:$Y$24,MATCH($B25,[2]Energy!$T$4:$T$24,0),2)</f>
        <v>91.464702868852555</v>
      </c>
      <c r="G25" s="234">
        <f>INDEX([2]Energy!$U$4:$Y$24,MATCH($B25,[2]Energy!$T$4:$T$24,0),3)</f>
        <v>42.763621926229405</v>
      </c>
      <c r="H25" s="231">
        <f>INDEX([2]Energy!$U$29:$Y$49,MATCH($B25,[2]Energy!$T$29:$T$49,0),1)</f>
        <v>44.75867823383939</v>
      </c>
      <c r="I25" s="232">
        <f>INDEX([2]Energy!$U$29:$Y$49,MATCH($B25,[2]Energy!$T$29:$T$49,0),4)</f>
        <v>55.499415130740552</v>
      </c>
      <c r="J25" s="233">
        <f>INDEX([2]Energy!$U$29:$Y$49,MATCH($B25,[2]Energy!$T$29:$T$49,0),5)</f>
        <v>33.271240701072514</v>
      </c>
      <c r="K25" s="233">
        <f>INDEX([2]Energy!$U$29:$Y$49,MATCH($B25,[2]Energy!$T$29:$T$49,0),2)</f>
        <v>80.964668265187868</v>
      </c>
      <c r="L25" s="234">
        <f>INDEX([2]Energy!$U$29:$Y$49,MATCH($B25,[2]Energy!$T$29:$T$49,0),3)</f>
        <v>41.374937333024739</v>
      </c>
      <c r="N25" s="240">
        <f t="shared" si="1"/>
        <v>2035</v>
      </c>
      <c r="O25" s="231">
        <f>INDEX([2]Energy!$U$79:$Y$99,MATCH($B25,[2]Energy!$T$79:$T$99,0),1)</f>
        <v>39.553642347240434</v>
      </c>
      <c r="P25" s="232">
        <f>INDEX([2]Energy!$U$79:$Y$99,MATCH($B25,[2]Energy!$T$79:$T$99,0),4)</f>
        <v>35.098329258096754</v>
      </c>
      <c r="Q25" s="233">
        <f>INDEX([2]Energy!$U$79:$Y$99,MATCH($B25,[2]Energy!$T$79:$T$99,0),5)</f>
        <v>29.011286733597093</v>
      </c>
      <c r="R25" s="233">
        <f>INDEX([2]Energy!$U$79:$Y$99,MATCH($B25,[2]Energy!$T$79:$T$99,0),2)</f>
        <v>66.588632296789697</v>
      </c>
      <c r="S25" s="234">
        <f>INDEX([2]Energy!$U$79:$Y$99,MATCH($B25,[2]Energy!$T$79:$T$99,0),3)</f>
        <v>48.5183442531183</v>
      </c>
      <c r="T25" s="231">
        <f>INDEX([2]Energy!$U$54:$Y$74,MATCH($B25,[2]Energy!$T$54:$T$74,0),1)</f>
        <v>40.617334873307357</v>
      </c>
      <c r="U25" s="232">
        <f>INDEX([2]Energy!$U$54:$Y$74,MATCH($B25,[2]Energy!$T$54:$T$74,0),4)</f>
        <v>33.547906419109736</v>
      </c>
      <c r="V25" s="233">
        <f>INDEX([2]Energy!$U$54:$Y$74,MATCH($B25,[2]Energy!$T$54:$T$74,0),5)</f>
        <v>25.877681993610626</v>
      </c>
      <c r="W25" s="233">
        <f>INDEX([2]Energy!$U$54:$Y$74,MATCH($B25,[2]Energy!$T$54:$T$74,0),2)</f>
        <v>68.132353930162395</v>
      </c>
      <c r="X25" s="234">
        <f>INDEX([2]Energy!$U$54:$Y$74,MATCH($B25,[2]Energy!$T$54:$T$74,0),3)</f>
        <v>48.783577370584538</v>
      </c>
    </row>
    <row r="26" spans="2:24">
      <c r="B26" s="240">
        <f t="shared" si="0"/>
        <v>2036</v>
      </c>
      <c r="C26" s="231">
        <f>INDEX([2]Energy!$U$4:$Y$24,MATCH($B26,[2]Energy!$T$4:$T$24,0),1)</f>
        <v>48.699228142076748</v>
      </c>
      <c r="D26" s="232">
        <f>INDEX([2]Energy!$U$4:$Y$24,MATCH($B26,[2]Energy!$T$4:$T$24,0),4)</f>
        <v>57.558442622950835</v>
      </c>
      <c r="E26" s="233">
        <f>INDEX([2]Energy!$U$4:$Y$24,MATCH($B26,[2]Energy!$T$4:$T$24,0),5)</f>
        <v>35.80940829918034</v>
      </c>
      <c r="F26" s="233">
        <f>INDEX([2]Energy!$U$4:$Y$24,MATCH($B26,[2]Energy!$T$4:$T$24,0),2)</f>
        <v>92.26026639344191</v>
      </c>
      <c r="G26" s="234">
        <f>INDEX([2]Energy!$U$4:$Y$24,MATCH($B26,[2]Energy!$T$4:$T$24,0),3)</f>
        <v>43.839134221311326</v>
      </c>
      <c r="H26" s="231">
        <f>INDEX([2]Energy!$U$29:$Y$49,MATCH($B26,[2]Energy!$T$29:$T$49,0),1)</f>
        <v>45.895588070491492</v>
      </c>
      <c r="I26" s="232">
        <f>INDEX([2]Energy!$U$29:$Y$49,MATCH($B26,[2]Energy!$T$29:$T$49,0),4)</f>
        <v>57.115925894180606</v>
      </c>
      <c r="J26" s="233">
        <f>INDEX([2]Energy!$U$29:$Y$49,MATCH($B26,[2]Energy!$T$29:$T$49,0),5)</f>
        <v>34.171463036757252</v>
      </c>
      <c r="K26" s="233">
        <f>INDEX([2]Energy!$U$29:$Y$49,MATCH($B26,[2]Energy!$T$29:$T$49,0),2)</f>
        <v>82.607307815328966</v>
      </c>
      <c r="L26" s="234">
        <f>INDEX([2]Energy!$U$29:$Y$49,MATCH($B26,[2]Energy!$T$29:$T$49,0),3)</f>
        <v>42.303683944015717</v>
      </c>
      <c r="N26" s="240">
        <f t="shared" si="1"/>
        <v>2036</v>
      </c>
      <c r="O26" s="231">
        <f>INDEX([2]Energy!$U$79:$Y$99,MATCH($B26,[2]Energy!$T$79:$T$99,0),1)</f>
        <v>40.443457932482104</v>
      </c>
      <c r="P26" s="232">
        <f>INDEX([2]Energy!$U$79:$Y$99,MATCH($B26,[2]Energy!$T$79:$T$99,0),4)</f>
        <v>35.823992373966504</v>
      </c>
      <c r="Q26" s="233">
        <f>INDEX([2]Energy!$U$79:$Y$99,MATCH($B26,[2]Energy!$T$79:$T$99,0),5)</f>
        <v>30.168356609949285</v>
      </c>
      <c r="R26" s="233">
        <f>INDEX([2]Energy!$U$79:$Y$99,MATCH($B26,[2]Energy!$T$79:$T$99,0),2)</f>
        <v>67.455236643570544</v>
      </c>
      <c r="S26" s="234">
        <f>INDEX([2]Energy!$U$79:$Y$99,MATCH($B26,[2]Energy!$T$79:$T$99,0),3)</f>
        <v>49.045333552869828</v>
      </c>
      <c r="T26" s="231">
        <f>INDEX([2]Energy!$U$54:$Y$74,MATCH($B26,[2]Energy!$T$54:$T$74,0),1)</f>
        <v>41.47061856719656</v>
      </c>
      <c r="U26" s="232">
        <f>INDEX([2]Energy!$U$54:$Y$74,MATCH($B26,[2]Energy!$T$54:$T$74,0),4)</f>
        <v>34.045431916980895</v>
      </c>
      <c r="V26" s="233">
        <f>INDEX([2]Energy!$U$54:$Y$74,MATCH($B26,[2]Energy!$T$54:$T$74,0),5)</f>
        <v>26.710506400405261</v>
      </c>
      <c r="W26" s="233">
        <f>INDEX([2]Energy!$U$54:$Y$74,MATCH($B26,[2]Energy!$T$54:$T$74,0),2)</f>
        <v>69.924380779863171</v>
      </c>
      <c r="X26" s="234">
        <f>INDEX([2]Energy!$U$54:$Y$74,MATCH($B26,[2]Energy!$T$54:$T$74,0),3)</f>
        <v>49.415827354121816</v>
      </c>
    </row>
    <row r="27" spans="2:24">
      <c r="B27" s="240">
        <f t="shared" si="0"/>
        <v>2037</v>
      </c>
      <c r="C27" s="231">
        <f>INDEX([2]Energy!$U$4:$Y$24,MATCH($B27,[2]Energy!$T$4:$T$24,0),1)</f>
        <v>49.142907534247058</v>
      </c>
      <c r="D27" s="232">
        <f>INDEX([2]Energy!$U$4:$Y$24,MATCH($B27,[2]Energy!$T$4:$T$24,0),4)</f>
        <v>57.767633744855686</v>
      </c>
      <c r="E27" s="233">
        <f>INDEX([2]Energy!$U$4:$Y$24,MATCH($B27,[2]Energy!$T$4:$T$24,0),5)</f>
        <v>36.018073559670704</v>
      </c>
      <c r="F27" s="233">
        <f>INDEX([2]Energy!$U$4:$Y$24,MATCH($B27,[2]Energy!$T$4:$T$24,0),2)</f>
        <v>93.336782786885664</v>
      </c>
      <c r="G27" s="234">
        <f>INDEX([2]Energy!$U$4:$Y$24,MATCH($B27,[2]Energy!$T$4:$T$24,0),3)</f>
        <v>44.598678278688197</v>
      </c>
      <c r="H27" s="231">
        <f>INDEX([2]Energy!$U$29:$Y$49,MATCH($B27,[2]Energy!$T$29:$T$49,0),1)</f>
        <v>46.367672316788529</v>
      </c>
      <c r="I27" s="232">
        <f>INDEX([2]Energy!$U$29:$Y$49,MATCH($B27,[2]Energy!$T$29:$T$49,0),4)</f>
        <v>57.536754050122624</v>
      </c>
      <c r="J27" s="233">
        <f>INDEX([2]Energy!$U$29:$Y$49,MATCH($B27,[2]Energy!$T$29:$T$49,0),5)</f>
        <v>34.397377388287261</v>
      </c>
      <c r="K27" s="233">
        <f>INDEX([2]Energy!$U$29:$Y$49,MATCH($B27,[2]Energy!$T$29:$T$49,0),2)</f>
        <v>83.897482921522354</v>
      </c>
      <c r="L27" s="234">
        <f>INDEX([2]Energy!$U$29:$Y$49,MATCH($B27,[2]Energy!$T$29:$T$49,0),3)</f>
        <v>42.971961090393279</v>
      </c>
      <c r="N27" s="240">
        <f t="shared" si="1"/>
        <v>2037</v>
      </c>
      <c r="O27" s="231">
        <f>INDEX([2]Energy!$U$79:$Y$99,MATCH($B27,[2]Energy!$T$79:$T$99,0),1)</f>
        <v>40.653092529961377</v>
      </c>
      <c r="P27" s="232">
        <f>INDEX([2]Energy!$U$79:$Y$99,MATCH($B27,[2]Energy!$T$79:$T$99,0),4)</f>
        <v>34.444544242587249</v>
      </c>
      <c r="Q27" s="233">
        <f>INDEX([2]Energy!$U$79:$Y$99,MATCH($B27,[2]Energy!$T$79:$T$99,0),5)</f>
        <v>29.993596582033209</v>
      </c>
      <c r="R27" s="233">
        <f>INDEX([2]Energy!$U$79:$Y$99,MATCH($B27,[2]Energy!$T$79:$T$99,0),2)</f>
        <v>68.320035637471904</v>
      </c>
      <c r="S27" s="234">
        <f>INDEX([2]Energy!$U$79:$Y$99,MATCH($B27,[2]Energy!$T$79:$T$99,0),3)</f>
        <v>49.768477964914915</v>
      </c>
      <c r="T27" s="231">
        <f>INDEX([2]Energy!$U$54:$Y$74,MATCH($B27,[2]Energy!$T$54:$T$74,0),1)</f>
        <v>41.672447605975165</v>
      </c>
      <c r="U27" s="232">
        <f>INDEX([2]Energy!$U$54:$Y$74,MATCH($B27,[2]Energy!$T$54:$T$74,0),4)</f>
        <v>32.477327115698714</v>
      </c>
      <c r="V27" s="233">
        <f>INDEX([2]Energy!$U$54:$Y$74,MATCH($B27,[2]Energy!$T$54:$T$74,0),5)</f>
        <v>26.316572592706336</v>
      </c>
      <c r="W27" s="233">
        <f>INDEX([2]Energy!$U$54:$Y$74,MATCH($B27,[2]Energy!$T$54:$T$74,0),2)</f>
        <v>71.075984299157838</v>
      </c>
      <c r="X27" s="234">
        <f>INDEX([2]Energy!$U$54:$Y$74,MATCH($B27,[2]Energy!$T$54:$T$74,0),3)</f>
        <v>50.183543628208952</v>
      </c>
    </row>
    <row r="28" spans="2:24">
      <c r="B28" s="240">
        <f t="shared" si="0"/>
        <v>2038</v>
      </c>
      <c r="C28" s="231">
        <f>INDEX([2]Energy!$U$4:$Y$24,MATCH($B28,[2]Energy!$T$4:$T$24,0),1)</f>
        <v>51.832639269406521</v>
      </c>
      <c r="D28" s="232">
        <f>INDEX([2]Energy!$U$4:$Y$24,MATCH($B28,[2]Energy!$T$4:$T$24,0),4)</f>
        <v>61.165545267489669</v>
      </c>
      <c r="E28" s="233">
        <f>INDEX([2]Energy!$U$4:$Y$24,MATCH($B28,[2]Energy!$T$4:$T$24,0),5)</f>
        <v>38.379207818929864</v>
      </c>
      <c r="F28" s="233">
        <f>INDEX([2]Energy!$U$4:$Y$24,MATCH($B28,[2]Energy!$T$4:$T$24,0),2)</f>
        <v>97.550020491803465</v>
      </c>
      <c r="G28" s="234">
        <f>INDEX([2]Energy!$U$4:$Y$24,MATCH($B28,[2]Energy!$T$4:$T$24,0),3)</f>
        <v>46.475881147540498</v>
      </c>
      <c r="H28" s="231">
        <f>INDEX([2]Energy!$U$29:$Y$49,MATCH($B28,[2]Energy!$T$29:$T$49,0),1)</f>
        <v>49.035370977380502</v>
      </c>
      <c r="I28" s="232">
        <f>INDEX([2]Energy!$U$29:$Y$49,MATCH($B28,[2]Energy!$T$29:$T$49,0),4)</f>
        <v>60.985830921528787</v>
      </c>
      <c r="J28" s="233">
        <f>INDEX([2]Energy!$U$29:$Y$49,MATCH($B28,[2]Energy!$T$29:$T$49,0),5)</f>
        <v>36.771805336701405</v>
      </c>
      <c r="K28" s="233">
        <f>INDEX([2]Energy!$U$29:$Y$49,MATCH($B28,[2]Energy!$T$29:$T$49,0),2)</f>
        <v>87.542569096090062</v>
      </c>
      <c r="L28" s="234">
        <f>INDEX([2]Energy!$U$29:$Y$49,MATCH($B28,[2]Energy!$T$29:$T$49,0),3)</f>
        <v>44.900372903510423</v>
      </c>
      <c r="N28" s="240">
        <f t="shared" si="1"/>
        <v>2038</v>
      </c>
      <c r="O28" s="231">
        <f>INDEX([2]Energy!$U$79:$Y$99,MATCH($B28,[2]Energy!$T$79:$T$99,0),1)</f>
        <v>42.718091743499564</v>
      </c>
      <c r="P28" s="232">
        <f>INDEX([2]Energy!$U$79:$Y$99,MATCH($B28,[2]Energy!$T$79:$T$99,0),4)</f>
        <v>37.212616155074663</v>
      </c>
      <c r="Q28" s="233">
        <f>INDEX([2]Energy!$U$79:$Y$99,MATCH($B28,[2]Energy!$T$79:$T$99,0),5)</f>
        <v>31.751250939646294</v>
      </c>
      <c r="R28" s="233">
        <f>INDEX([2]Energy!$U$79:$Y$99,MATCH($B28,[2]Energy!$T$79:$T$99,0),2)</f>
        <v>71.408766834392367</v>
      </c>
      <c r="S28" s="234">
        <f>INDEX([2]Energy!$U$79:$Y$99,MATCH($B28,[2]Energy!$T$79:$T$99,0),3)</f>
        <v>51.934812879233661</v>
      </c>
      <c r="T28" s="231">
        <f>INDEX([2]Energy!$U$54:$Y$74,MATCH($B28,[2]Energy!$T$54:$T$74,0),1)</f>
        <v>43.84284673149044</v>
      </c>
      <c r="U28" s="232">
        <f>INDEX([2]Energy!$U$54:$Y$74,MATCH($B28,[2]Energy!$T$54:$T$74,0),4)</f>
        <v>35.477628443188522</v>
      </c>
      <c r="V28" s="233">
        <f>INDEX([2]Energy!$U$54:$Y$74,MATCH($B28,[2]Energy!$T$54:$T$74,0),5)</f>
        <v>28.068585556476702</v>
      </c>
      <c r="W28" s="233">
        <f>INDEX([2]Energy!$U$54:$Y$74,MATCH($B28,[2]Energy!$T$54:$T$74,0),2)</f>
        <v>74.169894086310421</v>
      </c>
      <c r="X28" s="234">
        <f>INDEX([2]Energy!$U$54:$Y$74,MATCH($B28,[2]Energy!$T$54:$T$74,0),3)</f>
        <v>52.382237151609957</v>
      </c>
    </row>
    <row r="29" spans="2:24">
      <c r="B29" s="240">
        <f t="shared" si="0"/>
        <v>2039</v>
      </c>
      <c r="C29" s="231">
        <f>INDEX([2]Energy!$U$4:$Y$24,MATCH($B29,[2]Energy!$T$4:$T$24,0),1)</f>
        <v>54.149666666666334</v>
      </c>
      <c r="D29" s="232">
        <f>INDEX([2]Energy!$U$4:$Y$24,MATCH($B29,[2]Energy!$T$4:$T$24,0),4)</f>
        <v>64.47462962963013</v>
      </c>
      <c r="E29" s="233">
        <f>INDEX([2]Energy!$U$4:$Y$24,MATCH($B29,[2]Energy!$T$4:$T$24,0),5)</f>
        <v>40.456548353909177</v>
      </c>
      <c r="F29" s="233">
        <f>INDEX([2]Energy!$U$4:$Y$24,MATCH($B29,[2]Energy!$T$4:$T$24,0),2)</f>
        <v>99.334303278688893</v>
      </c>
      <c r="G29" s="234">
        <f>INDEX([2]Energy!$U$4:$Y$24,MATCH($B29,[2]Energy!$T$4:$T$24,0),3)</f>
        <v>48.548698770492237</v>
      </c>
      <c r="H29" s="231">
        <f>INDEX([2]Energy!$U$29:$Y$49,MATCH($B29,[2]Energy!$T$29:$T$49,0),1)</f>
        <v>51.164838765493364</v>
      </c>
      <c r="I29" s="232">
        <f>INDEX([2]Energy!$U$29:$Y$49,MATCH($B29,[2]Energy!$T$29:$T$49,0),4)</f>
        <v>63.988226403921118</v>
      </c>
      <c r="J29" s="233">
        <f>INDEX([2]Energy!$U$29:$Y$49,MATCH($B29,[2]Energy!$T$29:$T$49,0),5)</f>
        <v>38.606271579910199</v>
      </c>
      <c r="K29" s="233">
        <f>INDEX([2]Energy!$U$29:$Y$49,MATCH($B29,[2]Energy!$T$29:$T$49,0),2)</f>
        <v>89.221627012791402</v>
      </c>
      <c r="L29" s="234">
        <f>INDEX([2]Energy!$U$29:$Y$49,MATCH($B29,[2]Energy!$T$29:$T$49,0),3)</f>
        <v>46.915340796750783</v>
      </c>
      <c r="N29" s="240">
        <f t="shared" si="1"/>
        <v>2039</v>
      </c>
      <c r="O29" s="231">
        <f>INDEX([2]Energy!$U$79:$Y$99,MATCH($B29,[2]Energy!$T$79:$T$99,0),1)</f>
        <v>44.304338924142201</v>
      </c>
      <c r="P29" s="232">
        <f>INDEX([2]Energy!$U$79:$Y$99,MATCH($B29,[2]Energy!$T$79:$T$99,0),4)</f>
        <v>38.811104047917986</v>
      </c>
      <c r="Q29" s="233">
        <f>INDEX([2]Energy!$U$79:$Y$99,MATCH($B29,[2]Energy!$T$79:$T$99,0),5)</f>
        <v>33.85720234099238</v>
      </c>
      <c r="R29" s="233">
        <f>INDEX([2]Energy!$U$79:$Y$99,MATCH($B29,[2]Energy!$T$79:$T$99,0),2)</f>
        <v>72.631008180965239</v>
      </c>
      <c r="S29" s="234">
        <f>INDEX([2]Energy!$U$79:$Y$99,MATCH($B29,[2]Energy!$T$79:$T$99,0),3)</f>
        <v>52.770079300862015</v>
      </c>
      <c r="T29" s="231">
        <f>INDEX([2]Energy!$U$54:$Y$74,MATCH($B29,[2]Energy!$T$54:$T$74,0),1)</f>
        <v>45.095450538517454</v>
      </c>
      <c r="U29" s="232">
        <f>INDEX([2]Energy!$U$54:$Y$74,MATCH($B29,[2]Energy!$T$54:$T$74,0),4)</f>
        <v>36.387809768414016</v>
      </c>
      <c r="V29" s="233">
        <f>INDEX([2]Energy!$U$54:$Y$74,MATCH($B29,[2]Energy!$T$54:$T$74,0),5)</f>
        <v>29.64287479127761</v>
      </c>
      <c r="W29" s="233">
        <f>INDEX([2]Energy!$U$54:$Y$74,MATCH($B29,[2]Energy!$T$54:$T$74,0),2)</f>
        <v>75.229764187980123</v>
      </c>
      <c r="X29" s="234">
        <f>INDEX([2]Energy!$U$54:$Y$74,MATCH($B29,[2]Energy!$T$54:$T$74,0),3)</f>
        <v>53.382651542581897</v>
      </c>
    </row>
    <row r="30" spans="2:24" ht="13.5" thickBot="1">
      <c r="B30" s="242">
        <f t="shared" si="0"/>
        <v>2040</v>
      </c>
      <c r="C30" s="235">
        <f>INDEX([2]Energy!$U$4:$Y$24,MATCH($B30,[2]Energy!$T$4:$T$24,0),1)</f>
        <v>56.81760473588313</v>
      </c>
      <c r="D30" s="236">
        <f>INDEX([2]Energy!$U$4:$Y$24,MATCH($B30,[2]Energy!$T$4:$T$24,0),4)</f>
        <v>67.701357581966889</v>
      </c>
      <c r="E30" s="237">
        <f>INDEX([2]Energy!$U$4:$Y$24,MATCH($B30,[2]Energy!$T$4:$T$24,0),5)</f>
        <v>42.54309426229517</v>
      </c>
      <c r="F30" s="237">
        <f>INDEX([2]Energy!$U$4:$Y$24,MATCH($B30,[2]Energy!$T$4:$T$24,0),2)</f>
        <v>103.75231557377036</v>
      </c>
      <c r="G30" s="238">
        <f>INDEX([2]Energy!$U$4:$Y$24,MATCH($B30,[2]Energy!$T$4:$T$24,0),3)</f>
        <v>51.01551741803268</v>
      </c>
      <c r="H30" s="235">
        <f>INDEX([2]Energy!$U$29:$Y$49,MATCH($B30,[2]Energy!$T$29:$T$49,0),1)</f>
        <v>53.777829592485269</v>
      </c>
      <c r="I30" s="236">
        <f>INDEX([2]Energy!$U$29:$Y$49,MATCH($B30,[2]Energy!$T$29:$T$49,0),4)</f>
        <v>67.37738914723208</v>
      </c>
      <c r="J30" s="237">
        <f>INDEX([2]Energy!$U$29:$Y$49,MATCH($B30,[2]Energy!$T$29:$T$49,0),5)</f>
        <v>40.659212934342399</v>
      </c>
      <c r="K30" s="237">
        <f>INDEX([2]Energy!$U$29:$Y$49,MATCH($B30,[2]Energy!$T$29:$T$49,0),2)</f>
        <v>93.540715568979806</v>
      </c>
      <c r="L30" s="238">
        <f>INDEX([2]Energy!$U$29:$Y$49,MATCH($B30,[2]Energy!$T$29:$T$49,0),3)</f>
        <v>49.13993475023252</v>
      </c>
      <c r="N30" s="242">
        <f t="shared" si="1"/>
        <v>2040</v>
      </c>
      <c r="O30" s="235">
        <f>INDEX([2]Energy!$U$79:$Y$99,MATCH($B30,[2]Energy!$T$79:$T$99,0),1)</f>
        <v>46.3142221077362</v>
      </c>
      <c r="P30" s="236">
        <f>INDEX([2]Energy!$U$79:$Y$99,MATCH($B30,[2]Energy!$T$79:$T$99,0),4)</f>
        <v>40.862406530626913</v>
      </c>
      <c r="Q30" s="237">
        <f>INDEX([2]Energy!$U$79:$Y$99,MATCH($B30,[2]Energy!$T$79:$T$99,0),5)</f>
        <v>35.340345292905774</v>
      </c>
      <c r="R30" s="237">
        <f>INDEX([2]Energy!$U$79:$Y$99,MATCH($B30,[2]Energy!$T$79:$T$99,0),2)</f>
        <v>76.250087754261898</v>
      </c>
      <c r="S30" s="238">
        <f>INDEX([2]Energy!$U$79:$Y$99,MATCH($B30,[2]Energy!$T$79:$T$99,0),3)</f>
        <v>55.181781694299289</v>
      </c>
      <c r="T30" s="235">
        <f>INDEX([2]Energy!$U$54:$Y$74,MATCH($B30,[2]Energy!$T$54:$T$74,0),1)</f>
        <v>47.49948552780598</v>
      </c>
      <c r="U30" s="236">
        <f>INDEX([2]Energy!$U$54:$Y$74,MATCH($B30,[2]Energy!$T$54:$T$74,0),4)</f>
        <v>38.516501856036051</v>
      </c>
      <c r="V30" s="237">
        <f>INDEX([2]Energy!$U$54:$Y$74,MATCH($B30,[2]Energy!$T$54:$T$74,0),5)</f>
        <v>31.059737910590226</v>
      </c>
      <c r="W30" s="237">
        <f>INDEX([2]Energy!$U$54:$Y$74,MATCH($B30,[2]Energy!$T$54:$T$74,0),2)</f>
        <v>80.077233060535519</v>
      </c>
      <c r="X30" s="238">
        <f>INDEX([2]Energy!$U$54:$Y$74,MATCH($B30,[2]Energy!$T$54:$T$74,0),3)</f>
        <v>56.134260085491128</v>
      </c>
    </row>
    <row r="31" spans="2:24" ht="5.25" customHeight="1" thickTop="1">
      <c r="B31" s="205"/>
      <c r="C31"/>
      <c r="D31"/>
      <c r="E31"/>
      <c r="F31"/>
      <c r="G31"/>
      <c r="H31"/>
      <c r="I31"/>
      <c r="J31"/>
      <c r="K31"/>
      <c r="N31" s="205"/>
    </row>
    <row r="32" spans="2:24">
      <c r="B32" s="48" t="s">
        <v>152</v>
      </c>
      <c r="F32" s="185"/>
      <c r="G32" s="7"/>
      <c r="N32" s="48" t="str">
        <f t="shared" ref="N32:N37" si="2">B32</f>
        <v>(1) Avoided cost prices have been reduced by wind and solar integration charges.</v>
      </c>
    </row>
    <row r="33" spans="2:15">
      <c r="B33" s="1" t="str">
        <f>"      If the QF resource is not in PacifiCorp's BAA, prices will be increased by the applicable integration charges."</f>
        <v xml:space="preserve">      If the QF resource is not in PacifiCorp's BAA, prices will be increased by the applicable integration charges.</v>
      </c>
      <c r="G33" s="7"/>
      <c r="N33" s="1" t="str">
        <f t="shared" si="2"/>
        <v xml:space="preserve">      If the QF resource is not in PacifiCorp's BAA, prices will be increased by the applicable integration charges.</v>
      </c>
    </row>
    <row r="34" spans="2:15">
      <c r="B34" s="7" t="str">
        <f>C9</f>
        <v>(a)</v>
      </c>
      <c r="C34" s="3" t="s">
        <v>193</v>
      </c>
      <c r="N34" s="7" t="str">
        <f t="shared" si="2"/>
        <v>(a)</v>
      </c>
      <c r="O34" s="3" t="str">
        <f t="shared" ref="O34:O38" si="3">C34</f>
        <v>Illustrative price for all hours</v>
      </c>
    </row>
    <row r="35" spans="2:15">
      <c r="B35" s="7" t="s">
        <v>5</v>
      </c>
      <c r="C35" s="3" t="s">
        <v>169</v>
      </c>
      <c r="N35" s="7" t="str">
        <f t="shared" si="2"/>
        <v>(b)</v>
      </c>
      <c r="O35" s="3" t="str">
        <f t="shared" si="3"/>
        <v>On-peak Winter hours:  6:00a - 8:00a and 5:00p - 11:00p Pacific Prevailing Time (PPT), Oct. through May</v>
      </c>
    </row>
    <row r="36" spans="2:15">
      <c r="B36" s="7" t="s">
        <v>6</v>
      </c>
      <c r="C36" s="3" t="s">
        <v>170</v>
      </c>
      <c r="N36" s="7" t="str">
        <f t="shared" si="2"/>
        <v>(c)</v>
      </c>
      <c r="O36" s="3" t="str">
        <f t="shared" si="3"/>
        <v>Off-peak Winter hours:  All other hours, Oct. through May</v>
      </c>
    </row>
    <row r="37" spans="2:15">
      <c r="B37" s="7" t="s">
        <v>7</v>
      </c>
      <c r="C37" s="3" t="s">
        <v>163</v>
      </c>
      <c r="N37" s="7" t="str">
        <f t="shared" si="2"/>
        <v>(d)</v>
      </c>
      <c r="O37" s="3" t="str">
        <f t="shared" si="3"/>
        <v>On-peak Summer hours:  2:00p - 10:00p PPT, June through September</v>
      </c>
    </row>
    <row r="38" spans="2:15">
      <c r="B38" s="7" t="s">
        <v>8</v>
      </c>
      <c r="C38" s="3" t="s">
        <v>162</v>
      </c>
      <c r="N38" s="7" t="str">
        <f>B38</f>
        <v>(e)</v>
      </c>
      <c r="O38" s="3" t="str">
        <f t="shared" si="3"/>
        <v>Off-peak Summer hours:  All other hours, June through September</v>
      </c>
    </row>
  </sheetData>
  <mergeCells count="22">
    <mergeCell ref="C5:G5"/>
    <mergeCell ref="B2:I2"/>
    <mergeCell ref="B1:I1"/>
    <mergeCell ref="C4:G4"/>
    <mergeCell ref="H4:L4"/>
    <mergeCell ref="H5:L5"/>
    <mergeCell ref="N1:U1"/>
    <mergeCell ref="N2:U2"/>
    <mergeCell ref="O4:S4"/>
    <mergeCell ref="O5:S5"/>
    <mergeCell ref="T4:X4"/>
    <mergeCell ref="T5:X5"/>
    <mergeCell ref="O8:S8"/>
    <mergeCell ref="T8:X8"/>
    <mergeCell ref="C8:G8"/>
    <mergeCell ref="H8:L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topLeftCell="A6" workbookViewId="0">
      <selection activeCell="A8" sqref="A8"/>
    </sheetView>
  </sheetViews>
  <sheetFormatPr defaultColWidth="9.33203125" defaultRowHeight="12.75"/>
  <cols>
    <col min="1" max="1" width="1.5" style="3" customWidth="1"/>
    <col min="2" max="2" width="9.33203125" style="3" customWidth="1"/>
    <col min="3" max="3" width="23.1640625" style="3" bestFit="1" customWidth="1"/>
    <col min="4" max="7" width="12" style="3" customWidth="1"/>
    <col min="8" max="8" width="1.5" style="3" customWidth="1"/>
    <col min="9" max="9" width="22.83203125" style="3" customWidth="1"/>
    <col min="10" max="11" width="11.5" style="3" customWidth="1"/>
    <col min="12" max="12" width="10" style="3" customWidth="1"/>
    <col min="13" max="13" width="11.6640625" style="3" customWidth="1"/>
    <col min="14" max="14" width="10.1640625" style="3" customWidth="1"/>
    <col min="15" max="15" width="9.6640625" style="3" customWidth="1"/>
    <col min="16" max="17" width="11.6640625" style="3" customWidth="1"/>
    <col min="18" max="18" width="1.5" style="3" customWidth="1"/>
    <col min="19" max="19" width="22.33203125" style="3" customWidth="1"/>
    <col min="20" max="23" width="18.1640625" style="3" customWidth="1"/>
    <col min="24" max="24" width="29.6640625" style="3" customWidth="1"/>
    <col min="25" max="16384" width="9.33203125" style="3"/>
  </cols>
  <sheetData>
    <row r="1" spans="2:23" ht="15.75" customHeight="1">
      <c r="B1" s="345" t="s">
        <v>176</v>
      </c>
      <c r="C1" s="346"/>
      <c r="D1" s="346"/>
      <c r="E1" s="346"/>
      <c r="F1" s="346"/>
      <c r="G1" s="346"/>
      <c r="H1" s="214"/>
      <c r="I1" s="345" t="s">
        <v>177</v>
      </c>
      <c r="J1" s="346"/>
      <c r="K1" s="346"/>
      <c r="L1" s="346"/>
      <c r="M1" s="346"/>
      <c r="N1" s="346"/>
      <c r="O1" s="346"/>
      <c r="P1" s="346"/>
      <c r="Q1" s="346"/>
      <c r="R1" s="214"/>
      <c r="S1" s="345" t="s">
        <v>178</v>
      </c>
      <c r="T1" s="346"/>
      <c r="U1" s="346"/>
      <c r="V1" s="346"/>
      <c r="W1" s="346"/>
    </row>
    <row r="2" spans="2:23" ht="15.75" customHeight="1">
      <c r="B2" s="345" t="s">
        <v>156</v>
      </c>
      <c r="C2" s="346"/>
      <c r="D2" s="346"/>
      <c r="E2" s="346"/>
      <c r="F2" s="346"/>
      <c r="G2" s="346"/>
      <c r="H2" s="214"/>
      <c r="I2" s="345" t="s">
        <v>156</v>
      </c>
      <c r="J2" s="346"/>
      <c r="K2" s="346"/>
      <c r="L2" s="346"/>
      <c r="M2" s="346"/>
      <c r="N2" s="346"/>
      <c r="O2" s="346"/>
      <c r="P2" s="346"/>
      <c r="Q2" s="346"/>
      <c r="R2" s="214"/>
      <c r="S2" s="345" t="s">
        <v>156</v>
      </c>
      <c r="T2" s="346"/>
      <c r="U2" s="346"/>
      <c r="V2" s="346"/>
      <c r="W2" s="346"/>
    </row>
    <row r="3" spans="2:23" ht="15" thickBot="1">
      <c r="B3" s="4"/>
      <c r="C3" s="4"/>
      <c r="E3" s="19"/>
      <c r="I3" s="4"/>
      <c r="J3" s="181"/>
      <c r="K3" s="4"/>
      <c r="N3" s="181"/>
      <c r="O3" s="4"/>
      <c r="S3" s="4"/>
      <c r="T3" s="181"/>
      <c r="U3" s="4"/>
    </row>
    <row r="4" spans="2:23" ht="14.25" thickTop="1" thickBot="1">
      <c r="B4" s="244"/>
      <c r="C4" s="245"/>
      <c r="D4" s="352" t="s">
        <v>126</v>
      </c>
      <c r="E4" s="353"/>
      <c r="F4" s="353"/>
      <c r="G4" s="354"/>
      <c r="I4" s="269"/>
      <c r="J4" s="349" t="s">
        <v>141</v>
      </c>
      <c r="K4" s="350"/>
      <c r="L4" s="350"/>
      <c r="M4" s="351"/>
      <c r="N4" s="349" t="s">
        <v>142</v>
      </c>
      <c r="O4" s="350"/>
      <c r="P4" s="350"/>
      <c r="Q4" s="351"/>
      <c r="S4" s="269"/>
      <c r="T4" s="349" t="s">
        <v>143</v>
      </c>
      <c r="U4" s="350"/>
      <c r="V4" s="350"/>
      <c r="W4" s="351"/>
    </row>
    <row r="5" spans="2:23" ht="69" customHeight="1" thickTop="1" thickBot="1">
      <c r="B5" s="246"/>
      <c r="C5" s="247" t="s">
        <v>202</v>
      </c>
      <c r="D5" s="248" t="s">
        <v>204</v>
      </c>
      <c r="E5" s="248" t="s">
        <v>127</v>
      </c>
      <c r="F5" s="248" t="s">
        <v>204</v>
      </c>
      <c r="G5" s="249" t="s">
        <v>127</v>
      </c>
      <c r="I5" s="270"/>
      <c r="J5" s="248" t="s">
        <v>124</v>
      </c>
      <c r="K5" s="271" t="s">
        <v>127</v>
      </c>
      <c r="L5" s="271" t="s">
        <v>124</v>
      </c>
      <c r="M5" s="272" t="s">
        <v>127</v>
      </c>
      <c r="N5" s="248" t="s">
        <v>124</v>
      </c>
      <c r="O5" s="248" t="s">
        <v>127</v>
      </c>
      <c r="P5" s="248" t="s">
        <v>124</v>
      </c>
      <c r="Q5" s="249" t="s">
        <v>127</v>
      </c>
      <c r="S5" s="270"/>
      <c r="T5" s="248" t="s">
        <v>124</v>
      </c>
      <c r="U5" s="271" t="s">
        <v>127</v>
      </c>
      <c r="V5" s="271" t="s">
        <v>124</v>
      </c>
      <c r="W5" s="272" t="s">
        <v>127</v>
      </c>
    </row>
    <row r="6" spans="2:23" ht="13.5" thickBot="1">
      <c r="B6" s="246"/>
      <c r="C6" s="250" t="s">
        <v>3</v>
      </c>
      <c r="D6" s="251" t="s">
        <v>3</v>
      </c>
      <c r="E6" s="251" t="s">
        <v>3</v>
      </c>
      <c r="F6" s="251" t="s">
        <v>3</v>
      </c>
      <c r="G6" s="252" t="s">
        <v>3</v>
      </c>
      <c r="I6" s="270"/>
      <c r="J6" s="251" t="s">
        <v>3</v>
      </c>
      <c r="K6" s="251" t="s">
        <v>3</v>
      </c>
      <c r="L6" s="251" t="s">
        <v>3</v>
      </c>
      <c r="M6" s="252" t="s">
        <v>3</v>
      </c>
      <c r="N6" s="251" t="s">
        <v>3</v>
      </c>
      <c r="O6" s="251" t="s">
        <v>3</v>
      </c>
      <c r="P6" s="251" t="s">
        <v>3</v>
      </c>
      <c r="Q6" s="252" t="s">
        <v>3</v>
      </c>
      <c r="S6" s="270"/>
      <c r="T6" s="251" t="s">
        <v>3</v>
      </c>
      <c r="U6" s="251" t="s">
        <v>3</v>
      </c>
      <c r="V6" s="251" t="s">
        <v>3</v>
      </c>
      <c r="W6" s="252" t="s">
        <v>3</v>
      </c>
    </row>
    <row r="7" spans="2:23" ht="13.5" thickBot="1">
      <c r="B7" s="246"/>
      <c r="C7" s="253"/>
      <c r="D7" s="251"/>
      <c r="E7" s="254"/>
      <c r="F7" s="251" t="s">
        <v>140</v>
      </c>
      <c r="G7" s="252" t="s">
        <v>140</v>
      </c>
      <c r="I7" s="270"/>
      <c r="J7" s="251"/>
      <c r="K7" s="254"/>
      <c r="L7" s="251" t="s">
        <v>140</v>
      </c>
      <c r="M7" s="252" t="s">
        <v>140</v>
      </c>
      <c r="N7" s="251"/>
      <c r="O7" s="254"/>
      <c r="P7" s="251" t="s">
        <v>140</v>
      </c>
      <c r="Q7" s="252" t="s">
        <v>140</v>
      </c>
      <c r="S7" s="270"/>
      <c r="T7" s="251"/>
      <c r="U7" s="254"/>
      <c r="V7" s="251" t="s">
        <v>140</v>
      </c>
      <c r="W7" s="252" t="s">
        <v>140</v>
      </c>
    </row>
    <row r="8" spans="2:23" ht="13.5" thickBot="1">
      <c r="B8" s="246" t="s">
        <v>2</v>
      </c>
      <c r="C8" s="250" t="s">
        <v>120</v>
      </c>
      <c r="D8" s="251" t="s">
        <v>120</v>
      </c>
      <c r="E8" s="251" t="s">
        <v>120</v>
      </c>
      <c r="F8" s="251" t="s">
        <v>125</v>
      </c>
      <c r="G8" s="252" t="s">
        <v>125</v>
      </c>
      <c r="I8" s="270" t="s">
        <v>2</v>
      </c>
      <c r="J8" s="251" t="s">
        <v>120</v>
      </c>
      <c r="K8" s="251" t="s">
        <v>120</v>
      </c>
      <c r="L8" s="273" t="s">
        <v>125</v>
      </c>
      <c r="M8" s="252" t="s">
        <v>125</v>
      </c>
      <c r="N8" s="251" t="s">
        <v>120</v>
      </c>
      <c r="O8" s="251" t="s">
        <v>120</v>
      </c>
      <c r="P8" s="251" t="s">
        <v>125</v>
      </c>
      <c r="Q8" s="252" t="s">
        <v>125</v>
      </c>
      <c r="S8" s="270" t="s">
        <v>2</v>
      </c>
      <c r="T8" s="251" t="s">
        <v>120</v>
      </c>
      <c r="U8" s="251" t="s">
        <v>120</v>
      </c>
      <c r="V8" s="251" t="s">
        <v>125</v>
      </c>
      <c r="W8" s="252" t="s">
        <v>125</v>
      </c>
    </row>
    <row r="9" spans="2:23" ht="13.5" thickBot="1">
      <c r="B9" s="246"/>
      <c r="C9" s="250" t="s">
        <v>4</v>
      </c>
      <c r="D9" s="251" t="s">
        <v>5</v>
      </c>
      <c r="E9" s="251" t="s">
        <v>6</v>
      </c>
      <c r="F9" s="251" t="s">
        <v>7</v>
      </c>
      <c r="G9" s="252" t="s">
        <v>8</v>
      </c>
      <c r="I9" s="274"/>
      <c r="J9" s="251" t="s">
        <v>5</v>
      </c>
      <c r="K9" s="251" t="s">
        <v>6</v>
      </c>
      <c r="L9" s="251" t="s">
        <v>7</v>
      </c>
      <c r="M9" s="252" t="s">
        <v>8</v>
      </c>
      <c r="N9" s="251" t="s">
        <v>5</v>
      </c>
      <c r="O9" s="251" t="s">
        <v>6</v>
      </c>
      <c r="P9" s="251" t="s">
        <v>7</v>
      </c>
      <c r="Q9" s="252" t="s">
        <v>8</v>
      </c>
      <c r="S9" s="274"/>
      <c r="T9" s="251" t="s">
        <v>5</v>
      </c>
      <c r="U9" s="251" t="s">
        <v>6</v>
      </c>
      <c r="V9" s="251" t="s">
        <v>7</v>
      </c>
      <c r="W9" s="252" t="s">
        <v>8</v>
      </c>
    </row>
    <row r="10" spans="2:23" ht="13.5" thickBot="1">
      <c r="B10" s="246"/>
      <c r="C10" s="319" t="s">
        <v>128</v>
      </c>
      <c r="D10" s="255">
        <v>1</v>
      </c>
      <c r="E10" s="255">
        <v>1</v>
      </c>
      <c r="F10" s="256"/>
      <c r="G10" s="252"/>
      <c r="I10" s="275" t="s">
        <v>128</v>
      </c>
      <c r="J10" s="255">
        <v>0.11776428835036618</v>
      </c>
      <c r="K10" s="255">
        <v>0.11776428835036618</v>
      </c>
      <c r="L10" s="256"/>
      <c r="M10" s="252"/>
      <c r="N10" s="255">
        <v>0.02</v>
      </c>
      <c r="O10" s="255">
        <v>0.02</v>
      </c>
      <c r="P10" s="256"/>
      <c r="Q10" s="252"/>
      <c r="S10" s="275" t="s">
        <v>128</v>
      </c>
      <c r="T10" s="255">
        <v>0.02</v>
      </c>
      <c r="U10" s="255">
        <v>0.02</v>
      </c>
      <c r="V10" s="256"/>
      <c r="W10" s="252"/>
    </row>
    <row r="11" spans="2:23" ht="13.5" thickBot="1">
      <c r="B11" s="246"/>
      <c r="C11" s="322" t="s">
        <v>174</v>
      </c>
      <c r="D11" s="257"/>
      <c r="E11" s="258"/>
      <c r="F11" s="259">
        <f>AVERAGE(Profiles!$D$12:$E$31)*2/8760</f>
        <v>0.66647440519105983</v>
      </c>
      <c r="G11" s="260">
        <f>AVERAGE(Profiles!$F$12:$G$31)*2/8760</f>
        <v>0.33424657534246577</v>
      </c>
      <c r="I11" s="276" t="s">
        <v>174</v>
      </c>
      <c r="J11" s="257"/>
      <c r="K11" s="258"/>
      <c r="L11" s="259">
        <f>AVERAGE(Profiles!$I$12:$J$31)*2/8760</f>
        <v>0.27002179399698323</v>
      </c>
      <c r="M11" s="260">
        <f>AVERAGE(Profiles!$K$12:$L$31)*2/8760</f>
        <v>0.11000319634703204</v>
      </c>
      <c r="N11" s="257"/>
      <c r="O11" s="258"/>
      <c r="P11" s="259">
        <f>AVERAGE(Profiles!$N$12:$O$31)*2/8760</f>
        <v>0.1419840525972465</v>
      </c>
      <c r="Q11" s="260">
        <f>AVERAGE(Profiles!$P$12:$Q$31)*2/8760</f>
        <v>0.10695639269406398</v>
      </c>
      <c r="S11" s="276" t="s">
        <v>174</v>
      </c>
      <c r="T11" s="257"/>
      <c r="U11" s="258"/>
      <c r="V11" s="259">
        <f>AVERAGE(Profiles!$S$12:$T$31)*2/8760</f>
        <v>0.12130195496503776</v>
      </c>
      <c r="W11" s="260">
        <f>AVERAGE(Profiles!$U$12:$V$31)*2/8760</f>
        <v>0.12645029099379063</v>
      </c>
    </row>
    <row r="12" spans="2:23" ht="5.25" customHeight="1" thickBot="1">
      <c r="B12" s="239"/>
      <c r="C12" s="250"/>
      <c r="D12" s="261"/>
      <c r="E12" s="251"/>
      <c r="F12" s="262"/>
      <c r="G12" s="263"/>
      <c r="I12" s="239"/>
      <c r="J12" s="261"/>
      <c r="K12" s="251"/>
      <c r="L12" s="262"/>
      <c r="M12" s="263"/>
      <c r="N12" s="261"/>
      <c r="O12" s="251"/>
      <c r="P12" s="262"/>
      <c r="Q12" s="263"/>
      <c r="S12" s="239"/>
      <c r="T12" s="261"/>
      <c r="U12" s="251"/>
      <c r="V12" s="262"/>
      <c r="W12" s="263"/>
    </row>
    <row r="13" spans="2:23" ht="13.5" thickBot="1">
      <c r="B13" s="240">
        <f>'Table A - Combined'!$B$11</f>
        <v>2021</v>
      </c>
      <c r="C13" s="264">
        <f>INDEX('Exhibit 3 - Levelized Capacity'!$F$9:$F$29,MATCH($B13,'Exhibit 3 - Levelized Capacity'!$B$9:$B$29,0),1)</f>
        <v>119951.27227279608</v>
      </c>
      <c r="D13" s="261">
        <f>$C13*IF(LEFT(D$5,6)="Winter",Profiles!$AB$29,Profiles!$AB$28)*D$10</f>
        <v>40367.804069592981</v>
      </c>
      <c r="E13" s="261">
        <f>$C13*IF(LEFT(E$5,6)="Winter",Profiles!$AB$29,Profiles!$AB$28)*E$10</f>
        <v>79583.468203203098</v>
      </c>
      <c r="F13" s="262">
        <f t="shared" ref="F13:F32" si="0">D13/(F$11*8760)</f>
        <v>6.9142892445754605</v>
      </c>
      <c r="G13" s="263">
        <f t="shared" ref="G13:G32" si="1">E13/(G$11*8760)</f>
        <v>27.180146244263351</v>
      </c>
      <c r="I13" s="240">
        <f>'Table A - Combined'!$B$11</f>
        <v>2021</v>
      </c>
      <c r="J13" s="261">
        <f>$C13*IF(LEFT(J$5,6)="Winter",Profiles!$AB$29,Profiles!$AB$28)*J$10</f>
        <v>4753.8857185226334</v>
      </c>
      <c r="K13" s="261">
        <f>$C13*IF(LEFT(K$5,6)="Winter",Profiles!$AB$29,Profiles!$AB$28)*K$10</f>
        <v>9372.0904974042078</v>
      </c>
      <c r="L13" s="262">
        <f t="shared" ref="L13:L32" si="2">J13/(L$11*8760)</f>
        <v>2.0097674712221711</v>
      </c>
      <c r="M13" s="263">
        <f t="shared" ref="M13:M32" si="3">K13/(M$11*8760)</f>
        <v>9.7258387026987609</v>
      </c>
      <c r="N13" s="261">
        <f>$C13*IF(LEFT(N$5,6)="Winter",Profiles!$AB$29,Profiles!$AB$28)*N$10</f>
        <v>807.35608139185968</v>
      </c>
      <c r="O13" s="261">
        <f>$C13*IF(LEFT(O$5,6)="Winter",Profiles!$AB$29,Profiles!$AB$28)*O$10</f>
        <v>1591.6693640640619</v>
      </c>
      <c r="P13" s="262">
        <f t="shared" ref="P13:P32" si="4">N13/(P$11*8760)</f>
        <v>0.64911470370113089</v>
      </c>
      <c r="Q13" s="263">
        <f t="shared" ref="Q13:Q32" si="5">O13/(Q$11*8760)</f>
        <v>1.698799028392552</v>
      </c>
      <c r="S13" s="240">
        <f>'Table A - Combined'!$B$11</f>
        <v>2021</v>
      </c>
      <c r="T13" s="261">
        <f>$C13*IF(LEFT(T$5,6)="Winter",Profiles!$AB$29,Profiles!$AB$28)*T$10</f>
        <v>807.35608139185968</v>
      </c>
      <c r="U13" s="261">
        <f>$C13*IF(LEFT(U$5,6)="Winter",Profiles!$AB$29,Profiles!$AB$28)*U$10</f>
        <v>1591.6693640640619</v>
      </c>
      <c r="V13" s="262">
        <f t="shared" ref="V13:V32" si="6">T13/(V$11*8760)</f>
        <v>0.75978937238489996</v>
      </c>
      <c r="W13" s="263">
        <f t="shared" ref="W13:W32" si="7">U13/(W$11*8760)</f>
        <v>1.4369078517816181</v>
      </c>
    </row>
    <row r="14" spans="2:23" ht="13.5" thickBot="1">
      <c r="B14" s="240">
        <f t="shared" ref="B14:B32" si="8">B13+1</f>
        <v>2022</v>
      </c>
      <c r="C14" s="264">
        <f>INDEX('Exhibit 3 - Levelized Capacity'!$F$9:$F$29,MATCH($B14,'Exhibit 3 - Levelized Capacity'!$B$9:$B$29,0),1)</f>
        <v>122350.297718252</v>
      </c>
      <c r="D14" s="261">
        <f>$C14*IF(LEFT(D$5,6)="Winter",Profiles!$AB$29,Profiles!$AB$28)*D$10</f>
        <v>41175.160150984841</v>
      </c>
      <c r="E14" s="261">
        <f>$C14*IF(LEFT(E$5,6)="Winter",Profiles!$AB$29,Profiles!$AB$28)*E$10</f>
        <v>81175.137567267157</v>
      </c>
      <c r="F14" s="262">
        <f t="shared" si="0"/>
        <v>7.0525750294669693</v>
      </c>
      <c r="G14" s="263">
        <f t="shared" si="1"/>
        <v>27.723749169148618</v>
      </c>
      <c r="I14" s="240">
        <f t="shared" ref="I14:I32" si="9">I13+1</f>
        <v>2022</v>
      </c>
      <c r="J14" s="261">
        <f>$C14*IF(LEFT(J$5,6)="Winter",Profiles!$AB$29,Profiles!$AB$28)*J$10</f>
        <v>4848.9634328930861</v>
      </c>
      <c r="K14" s="261">
        <f>$C14*IF(LEFT(K$5,6)="Winter",Profiles!$AB$29,Profiles!$AB$28)*K$10</f>
        <v>9559.5323073522904</v>
      </c>
      <c r="L14" s="262">
        <f t="shared" si="2"/>
        <v>2.0499628206466145</v>
      </c>
      <c r="M14" s="263">
        <f t="shared" si="3"/>
        <v>9.920355476752734</v>
      </c>
      <c r="N14" s="261">
        <f>$C14*IF(LEFT(N$5,6)="Winter",Profiles!$AB$29,Profiles!$AB$28)*N$10</f>
        <v>823.5032030196968</v>
      </c>
      <c r="O14" s="261">
        <f>$C14*IF(LEFT(O$5,6)="Winter",Profiles!$AB$29,Profiles!$AB$28)*O$10</f>
        <v>1623.5027513453431</v>
      </c>
      <c r="P14" s="262">
        <f t="shared" si="4"/>
        <v>0.66209699777515352</v>
      </c>
      <c r="Q14" s="263">
        <f t="shared" si="5"/>
        <v>1.732775008960403</v>
      </c>
      <c r="S14" s="240">
        <f t="shared" ref="S14:S32" si="10">S13+1</f>
        <v>2022</v>
      </c>
      <c r="T14" s="261">
        <f>$C14*IF(LEFT(T$5,6)="Winter",Profiles!$AB$29,Profiles!$AB$28)*T$10</f>
        <v>823.5032030196968</v>
      </c>
      <c r="U14" s="261">
        <f>$C14*IF(LEFT(U$5,6)="Winter",Profiles!$AB$29,Profiles!$AB$28)*U$10</f>
        <v>1623.5027513453431</v>
      </c>
      <c r="V14" s="262">
        <f t="shared" si="6"/>
        <v>0.77498515983259797</v>
      </c>
      <c r="W14" s="263">
        <f t="shared" si="7"/>
        <v>1.4656460088172505</v>
      </c>
    </row>
    <row r="15" spans="2:23" ht="13.5" thickBot="1">
      <c r="B15" s="240">
        <f t="shared" si="8"/>
        <v>2023</v>
      </c>
      <c r="C15" s="264">
        <f>INDEX('Exhibit 3 - Levelized Capacity'!$F$9:$F$29,MATCH($B15,'Exhibit 3 - Levelized Capacity'!$B$9:$B$29,0),1)</f>
        <v>124674.95337489877</v>
      </c>
      <c r="D15" s="261">
        <f>$C15*IF(LEFT(D$5,6)="Winter",Profiles!$AB$29,Profiles!$AB$28)*D$10</f>
        <v>41957.488193853547</v>
      </c>
      <c r="E15" s="261">
        <f>$C15*IF(LEFT(E$5,6)="Winter",Profiles!$AB$29,Profiles!$AB$28)*E$10</f>
        <v>82717.46518104522</v>
      </c>
      <c r="F15" s="262">
        <f t="shared" si="0"/>
        <v>7.1865739550268408</v>
      </c>
      <c r="G15" s="263">
        <f t="shared" si="1"/>
        <v>28.250500403362437</v>
      </c>
      <c r="I15" s="240">
        <f t="shared" si="9"/>
        <v>2023</v>
      </c>
      <c r="J15" s="261">
        <f>$C15*IF(LEFT(J$5,6)="Winter",Profiles!$AB$29,Profiles!$AB$28)*J$10</f>
        <v>4941.0937381180538</v>
      </c>
      <c r="K15" s="261">
        <f>$C15*IF(LEFT(K$5,6)="Winter",Profiles!$AB$29,Profiles!$AB$28)*K$10</f>
        <v>9741.1634211919827</v>
      </c>
      <c r="L15" s="262">
        <f t="shared" si="2"/>
        <v>2.0889121142388998</v>
      </c>
      <c r="M15" s="263">
        <f t="shared" si="3"/>
        <v>10.108842230811035</v>
      </c>
      <c r="N15" s="261">
        <f>$C15*IF(LEFT(N$5,6)="Winter",Profiles!$AB$29,Profiles!$AB$28)*N$10</f>
        <v>839.149763877071</v>
      </c>
      <c r="O15" s="261">
        <f>$C15*IF(LEFT(O$5,6)="Winter",Profiles!$AB$29,Profiles!$AB$28)*O$10</f>
        <v>1654.3493036209045</v>
      </c>
      <c r="P15" s="262">
        <f t="shared" si="4"/>
        <v>0.67467684073288137</v>
      </c>
      <c r="Q15" s="263">
        <f t="shared" si="5"/>
        <v>1.7656977341306506</v>
      </c>
      <c r="S15" s="240">
        <f t="shared" si="10"/>
        <v>2023</v>
      </c>
      <c r="T15" s="261">
        <f>$C15*IF(LEFT(T$5,6)="Winter",Profiles!$AB$29,Profiles!$AB$28)*T$10</f>
        <v>839.149763877071</v>
      </c>
      <c r="U15" s="261">
        <f>$C15*IF(LEFT(U$5,6)="Winter",Profiles!$AB$29,Profiles!$AB$28)*U$10</f>
        <v>1654.3493036209045</v>
      </c>
      <c r="V15" s="262">
        <f t="shared" si="6"/>
        <v>0.78970987786941726</v>
      </c>
      <c r="W15" s="263">
        <f t="shared" si="7"/>
        <v>1.493493282984778</v>
      </c>
    </row>
    <row r="16" spans="2:23" ht="13.5" thickBot="1">
      <c r="B16" s="240">
        <f t="shared" si="8"/>
        <v>2024</v>
      </c>
      <c r="C16" s="264">
        <f>INDEX('Exhibit 3 - Levelized Capacity'!$F$9:$F$29,MATCH($B16,'Exhibit 3 - Levelized Capacity'!$B$9:$B$29,0),1)</f>
        <v>127168.45244239675</v>
      </c>
      <c r="D16" s="261">
        <f>$C16*IF(LEFT(D$5,6)="Winter",Profiles!$AB$29,Profiles!$AB$28)*D$10</f>
        <v>42796.637957730622</v>
      </c>
      <c r="E16" s="261">
        <f>$C16*IF(LEFT(E$5,6)="Winter",Profiles!$AB$29,Profiles!$AB$28)*E$10</f>
        <v>84371.814484666131</v>
      </c>
      <c r="F16" s="262">
        <f t="shared" si="0"/>
        <v>7.3303054341273786</v>
      </c>
      <c r="G16" s="263">
        <f t="shared" si="1"/>
        <v>28.815510411429688</v>
      </c>
      <c r="I16" s="240">
        <f t="shared" si="9"/>
        <v>2024</v>
      </c>
      <c r="J16" s="261">
        <f>$C16*IF(LEFT(J$5,6)="Winter",Profiles!$AB$29,Profiles!$AB$28)*J$10</f>
        <v>5039.9156128804152</v>
      </c>
      <c r="K16" s="261">
        <f>$C16*IF(LEFT(K$5,6)="Winter",Profiles!$AB$29,Profiles!$AB$28)*K$10</f>
        <v>9935.9866896158237</v>
      </c>
      <c r="L16" s="262">
        <f t="shared" si="2"/>
        <v>2.1306903565236781</v>
      </c>
      <c r="M16" s="263">
        <f t="shared" si="3"/>
        <v>10.311019075427257</v>
      </c>
      <c r="N16" s="261">
        <f>$C16*IF(LEFT(N$5,6)="Winter",Profiles!$AB$29,Profiles!$AB$28)*N$10</f>
        <v>855.93275915461243</v>
      </c>
      <c r="O16" s="261">
        <f>$C16*IF(LEFT(O$5,6)="Winter",Profiles!$AB$29,Profiles!$AB$28)*O$10</f>
        <v>1687.4362896933226</v>
      </c>
      <c r="P16" s="262">
        <f t="shared" si="4"/>
        <v>0.68817037754753896</v>
      </c>
      <c r="Q16" s="263">
        <f t="shared" si="5"/>
        <v>1.8010116888132637</v>
      </c>
      <c r="S16" s="240">
        <f t="shared" si="10"/>
        <v>2024</v>
      </c>
      <c r="T16" s="261">
        <f>$C16*IF(LEFT(T$5,6)="Winter",Profiles!$AB$29,Profiles!$AB$28)*T$10</f>
        <v>855.93275915461243</v>
      </c>
      <c r="U16" s="261">
        <f>$C16*IF(LEFT(U$5,6)="Winter",Profiles!$AB$29,Profiles!$AB$28)*U$10</f>
        <v>1687.4362896933226</v>
      </c>
      <c r="V16" s="262">
        <f t="shared" si="6"/>
        <v>0.80550407542680558</v>
      </c>
      <c r="W16" s="263">
        <f t="shared" si="7"/>
        <v>1.5233631486444736</v>
      </c>
    </row>
    <row r="17" spans="2:23" ht="13.5" thickBot="1">
      <c r="B17" s="240">
        <f t="shared" si="8"/>
        <v>2025</v>
      </c>
      <c r="C17" s="264">
        <f>INDEX('Exhibit 3 - Levelized Capacity'!$F$9:$F$29,MATCH($B17,'Exhibit 3 - Levelized Capacity'!$B$9:$B$29,0),1)</f>
        <v>129838.98994368708</v>
      </c>
      <c r="D17" s="261">
        <f>$C17*IF(LEFT(D$5,6)="Winter",Profiles!$AB$29,Profiles!$AB$28)*D$10</f>
        <v>43695.367354842958</v>
      </c>
      <c r="E17" s="261">
        <f>$C17*IF(LEFT(E$5,6)="Winter",Profiles!$AB$29,Profiles!$AB$28)*E$10</f>
        <v>86143.622588844111</v>
      </c>
      <c r="F17" s="262">
        <f t="shared" si="0"/>
        <v>7.4842418482440518</v>
      </c>
      <c r="G17" s="263">
        <f t="shared" si="1"/>
        <v>29.42063613006971</v>
      </c>
      <c r="I17" s="240">
        <f t="shared" si="9"/>
        <v>2025</v>
      </c>
      <c r="J17" s="261">
        <f>$C17*IF(LEFT(J$5,6)="Winter",Profiles!$AB$29,Profiles!$AB$28)*J$10</f>
        <v>5145.7538407509028</v>
      </c>
      <c r="K17" s="261">
        <f>$C17*IF(LEFT(K$5,6)="Winter",Profiles!$AB$29,Profiles!$AB$28)*K$10</f>
        <v>10144.642410097755</v>
      </c>
      <c r="L17" s="262">
        <f t="shared" si="2"/>
        <v>2.1754348540106747</v>
      </c>
      <c r="M17" s="263">
        <f t="shared" si="3"/>
        <v>10.527550476011228</v>
      </c>
      <c r="N17" s="261">
        <f>$C17*IF(LEFT(N$5,6)="Winter",Profiles!$AB$29,Profiles!$AB$28)*N$10</f>
        <v>873.90734709685921</v>
      </c>
      <c r="O17" s="261">
        <f>$C17*IF(LEFT(O$5,6)="Winter",Profiles!$AB$29,Profiles!$AB$28)*O$10</f>
        <v>1722.8724517768824</v>
      </c>
      <c r="P17" s="262">
        <f t="shared" si="4"/>
        <v>0.70262195547603723</v>
      </c>
      <c r="Q17" s="263">
        <f t="shared" si="5"/>
        <v>1.8388329342783423</v>
      </c>
      <c r="S17" s="240">
        <f t="shared" si="10"/>
        <v>2025</v>
      </c>
      <c r="T17" s="261">
        <f>$C17*IF(LEFT(T$5,6)="Winter",Profiles!$AB$29,Profiles!$AB$28)*T$10</f>
        <v>873.90734709685921</v>
      </c>
      <c r="U17" s="261">
        <f>$C17*IF(LEFT(U$5,6)="Winter",Profiles!$AB$29,Profiles!$AB$28)*U$10</f>
        <v>1722.8724517768824</v>
      </c>
      <c r="V17" s="262">
        <f t="shared" si="6"/>
        <v>0.82241966101076847</v>
      </c>
      <c r="W17" s="263">
        <f t="shared" si="7"/>
        <v>1.5553537747660076</v>
      </c>
    </row>
    <row r="18" spans="2:23" ht="13.5" thickBot="1">
      <c r="B18" s="240">
        <f t="shared" si="8"/>
        <v>2026</v>
      </c>
      <c r="C18" s="264">
        <f>INDEX('Exhibit 3 - Levelized Capacity'!$F$9:$F$29,MATCH($B18,'Exhibit 3 - Levelized Capacity'!$B$9:$B$29,0),1)</f>
        <v>132825.28671239185</v>
      </c>
      <c r="D18" s="261">
        <f>$C18*IF(LEFT(D$5,6)="Winter",Profiles!$AB$29,Profiles!$AB$28)*D$10</f>
        <v>44700.36080400434</v>
      </c>
      <c r="E18" s="261">
        <f>$C18*IF(LEFT(E$5,6)="Winter",Profiles!$AB$29,Profiles!$AB$28)*E$10</f>
        <v>88124.925908387522</v>
      </c>
      <c r="F18" s="262">
        <f t="shared" si="0"/>
        <v>7.6563794107536642</v>
      </c>
      <c r="G18" s="263">
        <f t="shared" si="1"/>
        <v>30.097310761061312</v>
      </c>
      <c r="I18" s="240">
        <f t="shared" si="9"/>
        <v>2026</v>
      </c>
      <c r="J18" s="261">
        <f>$C18*IF(LEFT(J$5,6)="Winter",Profiles!$AB$29,Profiles!$AB$28)*J$10</f>
        <v>5264.1061790881731</v>
      </c>
      <c r="K18" s="261">
        <f>$C18*IF(LEFT(K$5,6)="Winter",Profiles!$AB$29,Profiles!$AB$28)*K$10</f>
        <v>10377.969185530003</v>
      </c>
      <c r="L18" s="262">
        <f t="shared" si="2"/>
        <v>2.22546985565292</v>
      </c>
      <c r="M18" s="263">
        <f t="shared" si="3"/>
        <v>10.769684136959487</v>
      </c>
      <c r="N18" s="261">
        <f>$C18*IF(LEFT(N$5,6)="Winter",Profiles!$AB$29,Profiles!$AB$28)*N$10</f>
        <v>894.00721608008678</v>
      </c>
      <c r="O18" s="261">
        <f>$C18*IF(LEFT(O$5,6)="Winter",Profiles!$AB$29,Profiles!$AB$28)*O$10</f>
        <v>1762.4985181677505</v>
      </c>
      <c r="P18" s="262">
        <f t="shared" si="4"/>
        <v>0.7187822604519859</v>
      </c>
      <c r="Q18" s="263">
        <f t="shared" si="5"/>
        <v>1.8811260917667438</v>
      </c>
      <c r="S18" s="240">
        <f t="shared" si="10"/>
        <v>2026</v>
      </c>
      <c r="T18" s="261">
        <f>$C18*IF(LEFT(T$5,6)="Winter",Profiles!$AB$29,Profiles!$AB$28)*T$10</f>
        <v>894.00721608008678</v>
      </c>
      <c r="U18" s="261">
        <f>$C18*IF(LEFT(U$5,6)="Winter",Profiles!$AB$29,Profiles!$AB$28)*U$10</f>
        <v>1762.4985181677505</v>
      </c>
      <c r="V18" s="262">
        <f t="shared" si="6"/>
        <v>0.841335313214016</v>
      </c>
      <c r="W18" s="263">
        <f t="shared" si="7"/>
        <v>1.5911269115856257</v>
      </c>
    </row>
    <row r="19" spans="2:23" ht="13.5" thickBot="1">
      <c r="B19" s="240">
        <f t="shared" si="8"/>
        <v>2027</v>
      </c>
      <c r="C19" s="264">
        <f>INDEX('Exhibit 3 - Levelized Capacity'!$F$9:$F$29,MATCH($B19,'Exhibit 3 - Levelized Capacity'!$B$9:$B$29,0),1)</f>
        <v>136013.09359348926</v>
      </c>
      <c r="D19" s="261">
        <f>$C19*IF(LEFT(D$5,6)="Winter",Profiles!$AB$29,Profiles!$AB$28)*D$10</f>
        <v>45773.169463300444</v>
      </c>
      <c r="E19" s="261">
        <f>$C19*IF(LEFT(E$5,6)="Winter",Profiles!$AB$29,Profiles!$AB$28)*E$10</f>
        <v>90239.924130188811</v>
      </c>
      <c r="F19" s="262">
        <f t="shared" si="0"/>
        <v>7.8401325166117521</v>
      </c>
      <c r="G19" s="263">
        <f t="shared" si="1"/>
        <v>30.819646219326781</v>
      </c>
      <c r="I19" s="240">
        <f t="shared" si="9"/>
        <v>2027</v>
      </c>
      <c r="J19" s="261">
        <f>$C19*IF(LEFT(J$5,6)="Winter",Profiles!$AB$29,Profiles!$AB$28)*J$10</f>
        <v>5390.4447273862897</v>
      </c>
      <c r="K19" s="261">
        <f>$C19*IF(LEFT(K$5,6)="Winter",Profiles!$AB$29,Profiles!$AB$28)*K$10</f>
        <v>10627.040445982722</v>
      </c>
      <c r="L19" s="262">
        <f t="shared" si="2"/>
        <v>2.2788811321885905</v>
      </c>
      <c r="M19" s="263">
        <f t="shared" si="3"/>
        <v>11.028156556246513</v>
      </c>
      <c r="N19" s="261">
        <f>$C19*IF(LEFT(N$5,6)="Winter",Profiles!$AB$29,Profiles!$AB$28)*N$10</f>
        <v>915.4633892660089</v>
      </c>
      <c r="O19" s="261">
        <f>$C19*IF(LEFT(O$5,6)="Winter",Profiles!$AB$29,Profiles!$AB$28)*O$10</f>
        <v>1804.7984826037762</v>
      </c>
      <c r="P19" s="262">
        <f t="shared" si="4"/>
        <v>0.73603303470283366</v>
      </c>
      <c r="Q19" s="263">
        <f t="shared" si="5"/>
        <v>1.9262731179691452</v>
      </c>
      <c r="S19" s="240">
        <f t="shared" si="10"/>
        <v>2027</v>
      </c>
      <c r="T19" s="261">
        <f>$C19*IF(LEFT(T$5,6)="Winter",Profiles!$AB$29,Profiles!$AB$28)*T$10</f>
        <v>915.4633892660089</v>
      </c>
      <c r="U19" s="261">
        <f>$C19*IF(LEFT(U$5,6)="Winter",Profiles!$AB$29,Profiles!$AB$28)*U$10</f>
        <v>1804.7984826037762</v>
      </c>
      <c r="V19" s="262">
        <f t="shared" si="6"/>
        <v>0.86152736073115244</v>
      </c>
      <c r="W19" s="263">
        <f t="shared" si="7"/>
        <v>1.6293139574636804</v>
      </c>
    </row>
    <row r="20" spans="2:23" ht="13.5" thickBot="1">
      <c r="B20" s="240">
        <f t="shared" si="8"/>
        <v>2028</v>
      </c>
      <c r="C20" s="264">
        <f>INDEX('Exhibit 3 - Levelized Capacity'!$F$9:$F$29,MATCH($B20,'Exhibit 3 - Levelized Capacity'!$B$9:$B$29,0),1)</f>
        <v>139413.42093332647</v>
      </c>
      <c r="D20" s="261">
        <f>$C20*IF(LEFT(D$5,6)="Winter",Profiles!$AB$29,Profiles!$AB$28)*D$10</f>
        <v>46917.498699882948</v>
      </c>
      <c r="E20" s="261">
        <f>$C20*IF(LEFT(E$5,6)="Winter",Profiles!$AB$29,Profiles!$AB$28)*E$10</f>
        <v>92495.922233443518</v>
      </c>
      <c r="F20" s="262">
        <f t="shared" si="0"/>
        <v>8.0361358295270442</v>
      </c>
      <c r="G20" s="263">
        <f t="shared" si="1"/>
        <v>31.590137374809945</v>
      </c>
      <c r="I20" s="240">
        <f t="shared" si="9"/>
        <v>2028</v>
      </c>
      <c r="J20" s="261">
        <f>$C20*IF(LEFT(J$5,6)="Winter",Profiles!$AB$29,Profiles!$AB$28)*J$10</f>
        <v>5525.2058455709457</v>
      </c>
      <c r="K20" s="261">
        <f>$C20*IF(LEFT(K$5,6)="Winter",Profiles!$AB$29,Profiles!$AB$28)*K$10</f>
        <v>10892.716457132288</v>
      </c>
      <c r="L20" s="262">
        <f t="shared" si="2"/>
        <v>2.3358531604933046</v>
      </c>
      <c r="M20" s="263">
        <f t="shared" si="3"/>
        <v>11.303860470152674</v>
      </c>
      <c r="N20" s="261">
        <f>$C20*IF(LEFT(N$5,6)="Winter",Profiles!$AB$29,Profiles!$AB$28)*N$10</f>
        <v>938.34997399765894</v>
      </c>
      <c r="O20" s="261">
        <f>$C20*IF(LEFT(O$5,6)="Winter",Profiles!$AB$29,Profiles!$AB$28)*O$10</f>
        <v>1849.9184446688705</v>
      </c>
      <c r="P20" s="262">
        <f t="shared" si="4"/>
        <v>0.75443386057040429</v>
      </c>
      <c r="Q20" s="263">
        <f t="shared" si="5"/>
        <v>1.9744299459183738</v>
      </c>
      <c r="S20" s="240">
        <f t="shared" si="10"/>
        <v>2028</v>
      </c>
      <c r="T20" s="261">
        <f>$C20*IF(LEFT(T$5,6)="Winter",Profiles!$AB$29,Profiles!$AB$28)*T$10</f>
        <v>938.34997399765894</v>
      </c>
      <c r="U20" s="261">
        <f>$C20*IF(LEFT(U$5,6)="Winter",Profiles!$AB$29,Profiles!$AB$28)*U$10</f>
        <v>1849.9184446688705</v>
      </c>
      <c r="V20" s="262">
        <f t="shared" si="6"/>
        <v>0.883065544749431</v>
      </c>
      <c r="W20" s="263">
        <f t="shared" si="7"/>
        <v>1.6700468064002723</v>
      </c>
    </row>
    <row r="21" spans="2:23" ht="13.5" thickBot="1">
      <c r="B21" s="240">
        <f t="shared" si="8"/>
        <v>2029</v>
      </c>
      <c r="C21" s="264">
        <f>INDEX('Exhibit 3 - Levelized Capacity'!$F$9:$F$29,MATCH($B21,'Exhibit 3 - Levelized Capacity'!$B$9:$B$29,0),1)</f>
        <v>142759.34303572631</v>
      </c>
      <c r="D21" s="261">
        <f>$C21*IF(LEFT(D$5,6)="Winter",Profiles!$AB$29,Profiles!$AB$28)*D$10</f>
        <v>48043.518668680139</v>
      </c>
      <c r="E21" s="261">
        <f>$C21*IF(LEFT(E$5,6)="Winter",Profiles!$AB$29,Profiles!$AB$28)*E$10</f>
        <v>94715.824367046167</v>
      </c>
      <c r="F21" s="262">
        <f t="shared" si="0"/>
        <v>8.2290030894356931</v>
      </c>
      <c r="G21" s="263">
        <f t="shared" si="1"/>
        <v>32.348300671805383</v>
      </c>
      <c r="I21" s="240">
        <f t="shared" si="9"/>
        <v>2029</v>
      </c>
      <c r="J21" s="261">
        <f>$C21*IF(LEFT(J$5,6)="Winter",Profiles!$AB$29,Profiles!$AB$28)*J$10</f>
        <v>5657.8107858646481</v>
      </c>
      <c r="K21" s="261">
        <f>$C21*IF(LEFT(K$5,6)="Winter",Profiles!$AB$29,Profiles!$AB$28)*K$10</f>
        <v>11154.141652103464</v>
      </c>
      <c r="L21" s="262">
        <f t="shared" si="2"/>
        <v>2.3919136363451439</v>
      </c>
      <c r="M21" s="263">
        <f t="shared" si="3"/>
        <v>11.57515312143634</v>
      </c>
      <c r="N21" s="261">
        <f>$C21*IF(LEFT(N$5,6)="Winter",Profiles!$AB$29,Profiles!$AB$28)*N$10</f>
        <v>960.87037337360277</v>
      </c>
      <c r="O21" s="261">
        <f>$C21*IF(LEFT(O$5,6)="Winter",Profiles!$AB$29,Profiles!$AB$28)*O$10</f>
        <v>1894.3164873409235</v>
      </c>
      <c r="P21" s="262">
        <f t="shared" si="4"/>
        <v>0.77254027322409402</v>
      </c>
      <c r="Q21" s="263">
        <f t="shared" si="5"/>
        <v>2.0218162646204147</v>
      </c>
      <c r="S21" s="240">
        <f t="shared" si="10"/>
        <v>2029</v>
      </c>
      <c r="T21" s="261">
        <f>$C21*IF(LEFT(T$5,6)="Winter",Profiles!$AB$29,Profiles!$AB$28)*T$10</f>
        <v>960.87037337360277</v>
      </c>
      <c r="U21" s="261">
        <f>$C21*IF(LEFT(U$5,6)="Winter",Profiles!$AB$29,Profiles!$AB$28)*U$10</f>
        <v>1894.3164873409235</v>
      </c>
      <c r="V21" s="262">
        <f t="shared" si="6"/>
        <v>0.90425911782341739</v>
      </c>
      <c r="W21" s="263">
        <f t="shared" si="7"/>
        <v>1.710127929753879</v>
      </c>
    </row>
    <row r="22" spans="2:23" ht="13.5" thickBot="1">
      <c r="B22" s="240">
        <f t="shared" si="8"/>
        <v>2030</v>
      </c>
      <c r="C22" s="264">
        <f>INDEX('Exhibit 3 - Levelized Capacity'!$F$9:$F$29,MATCH($B22,'Exhibit 3 - Levelized Capacity'!$B$9:$B$29,0),1)</f>
        <v>146185.56726858375</v>
      </c>
      <c r="D22" s="261">
        <f>$C22*IF(LEFT(D$5,6)="Winter",Profiles!$AB$29,Profiles!$AB$28)*D$10</f>
        <v>49196.563116728466</v>
      </c>
      <c r="E22" s="261">
        <f>$C22*IF(LEFT(E$5,6)="Winter",Profiles!$AB$29,Profiles!$AB$28)*E$10</f>
        <v>96989.00415185529</v>
      </c>
      <c r="F22" s="262">
        <f t="shared" si="0"/>
        <v>8.426499163582152</v>
      </c>
      <c r="G22" s="263">
        <f t="shared" si="1"/>
        <v>33.124659887928722</v>
      </c>
      <c r="I22" s="240">
        <f t="shared" si="9"/>
        <v>2030</v>
      </c>
      <c r="J22" s="261">
        <f>$C22*IF(LEFT(J$5,6)="Winter",Profiles!$AB$29,Profiles!$AB$28)*J$10</f>
        <v>5793.5982447254</v>
      </c>
      <c r="K22" s="261">
        <f>$C22*IF(LEFT(K$5,6)="Winter",Profiles!$AB$29,Profiles!$AB$28)*K$10</f>
        <v>11421.841051753949</v>
      </c>
      <c r="L22" s="262">
        <f t="shared" si="2"/>
        <v>2.4493195636174274</v>
      </c>
      <c r="M22" s="263">
        <f t="shared" si="3"/>
        <v>11.852956796350814</v>
      </c>
      <c r="N22" s="261">
        <f>$C22*IF(LEFT(N$5,6)="Winter",Profiles!$AB$29,Profiles!$AB$28)*N$10</f>
        <v>983.9312623345694</v>
      </c>
      <c r="O22" s="261">
        <f>$C22*IF(LEFT(O$5,6)="Winter",Profiles!$AB$29,Profiles!$AB$28)*O$10</f>
        <v>1939.7800830371059</v>
      </c>
      <c r="P22" s="262">
        <f t="shared" si="4"/>
        <v>0.79108123978147238</v>
      </c>
      <c r="Q22" s="263">
        <f t="shared" si="5"/>
        <v>2.070339854971305</v>
      </c>
      <c r="S22" s="240">
        <f t="shared" si="10"/>
        <v>2030</v>
      </c>
      <c r="T22" s="261">
        <f>$C22*IF(LEFT(T$5,6)="Winter",Profiles!$AB$29,Profiles!$AB$28)*T$10</f>
        <v>983.9312623345694</v>
      </c>
      <c r="U22" s="261">
        <f>$C22*IF(LEFT(U$5,6)="Winter",Profiles!$AB$29,Profiles!$AB$28)*U$10</f>
        <v>1939.7800830371059</v>
      </c>
      <c r="V22" s="262">
        <f t="shared" si="6"/>
        <v>0.92596133665117952</v>
      </c>
      <c r="W22" s="263">
        <f t="shared" si="7"/>
        <v>1.7511710000679721</v>
      </c>
    </row>
    <row r="23" spans="2:23" ht="13.5" thickBot="1">
      <c r="B23" s="240">
        <f t="shared" si="8"/>
        <v>2031</v>
      </c>
      <c r="C23" s="264">
        <f>INDEX('Exhibit 3 - Levelized Capacity'!$F$9:$F$29,MATCH($B23,'Exhibit 3 - Levelized Capacity'!$B$9:$B$29,0),1)</f>
        <v>149401.64974849261</v>
      </c>
      <c r="D23" s="261">
        <f>$C23*IF(LEFT(D$5,6)="Winter",Profiles!$AB$29,Profiles!$AB$28)*D$10</f>
        <v>50278.887505296494</v>
      </c>
      <c r="E23" s="261">
        <f>$C23*IF(LEFT(E$5,6)="Winter",Profiles!$AB$29,Profiles!$AB$28)*E$10</f>
        <v>99122.762243196106</v>
      </c>
      <c r="F23" s="262">
        <f t="shared" si="0"/>
        <v>8.6118821451809584</v>
      </c>
      <c r="G23" s="263">
        <f t="shared" si="1"/>
        <v>33.85340240546315</v>
      </c>
      <c r="I23" s="240">
        <f t="shared" si="9"/>
        <v>2031</v>
      </c>
      <c r="J23" s="261">
        <f>$C23*IF(LEFT(J$5,6)="Winter",Profiles!$AB$29,Profiles!$AB$28)*J$10</f>
        <v>5921.0574061093594</v>
      </c>
      <c r="K23" s="261">
        <f>$C23*IF(LEFT(K$5,6)="Winter",Profiles!$AB$29,Profiles!$AB$28)*K$10</f>
        <v>11673.121554892536</v>
      </c>
      <c r="L23" s="262">
        <f t="shared" si="2"/>
        <v>2.5032045940170109</v>
      </c>
      <c r="M23" s="263">
        <f t="shared" si="3"/>
        <v>12.113721845870531</v>
      </c>
      <c r="N23" s="261">
        <f>$C23*IF(LEFT(N$5,6)="Winter",Profiles!$AB$29,Profiles!$AB$28)*N$10</f>
        <v>1005.5777501059299</v>
      </c>
      <c r="O23" s="261">
        <f>$C23*IF(LEFT(O$5,6)="Winter",Profiles!$AB$29,Profiles!$AB$28)*O$10</f>
        <v>1982.4552448639222</v>
      </c>
      <c r="P23" s="262">
        <f t="shared" si="4"/>
        <v>0.80848502705666481</v>
      </c>
      <c r="Q23" s="263">
        <f t="shared" si="5"/>
        <v>2.1158873317806739</v>
      </c>
      <c r="S23" s="240">
        <f t="shared" si="10"/>
        <v>2031</v>
      </c>
      <c r="T23" s="261">
        <f>$C23*IF(LEFT(T$5,6)="Winter",Profiles!$AB$29,Profiles!$AB$28)*T$10</f>
        <v>1005.5777501059299</v>
      </c>
      <c r="U23" s="261">
        <f>$C23*IF(LEFT(U$5,6)="Winter",Profiles!$AB$29,Profiles!$AB$28)*U$10</f>
        <v>1982.4552448639222</v>
      </c>
      <c r="V23" s="262">
        <f t="shared" si="6"/>
        <v>0.94633248605750553</v>
      </c>
      <c r="W23" s="263">
        <f t="shared" si="7"/>
        <v>1.7896967620694675</v>
      </c>
    </row>
    <row r="24" spans="2:23" ht="13.5" thickBot="1">
      <c r="B24" s="240">
        <f t="shared" si="8"/>
        <v>2032</v>
      </c>
      <c r="C24" s="264">
        <f>INDEX('Exhibit 3 - Levelized Capacity'!$F$9:$F$29,MATCH($B24,'Exhibit 3 - Levelized Capacity'!$B$9:$B$29,0),1)</f>
        <v>152688.48604295944</v>
      </c>
      <c r="D24" s="261">
        <f>$C24*IF(LEFT(D$5,6)="Winter",Profiles!$AB$29,Profiles!$AB$28)*D$10</f>
        <v>51385.023030413016</v>
      </c>
      <c r="E24" s="261">
        <f>$C24*IF(LEFT(E$5,6)="Winter",Profiles!$AB$29,Profiles!$AB$28)*E$10</f>
        <v>101303.46301254642</v>
      </c>
      <c r="F24" s="262">
        <f t="shared" si="0"/>
        <v>8.8013435523749397</v>
      </c>
      <c r="G24" s="263">
        <f t="shared" si="1"/>
        <v>34.598177258383338</v>
      </c>
      <c r="I24" s="240">
        <f t="shared" si="9"/>
        <v>2032</v>
      </c>
      <c r="J24" s="261">
        <f>$C24*IF(LEFT(J$5,6)="Winter",Profiles!$AB$29,Profiles!$AB$28)*J$10</f>
        <v>6051.3206690437655</v>
      </c>
      <c r="K24" s="261">
        <f>$C24*IF(LEFT(K$5,6)="Winter",Profiles!$AB$29,Profiles!$AB$28)*K$10</f>
        <v>11929.930229100171</v>
      </c>
      <c r="L24" s="262">
        <f t="shared" si="2"/>
        <v>2.5582750950853854</v>
      </c>
      <c r="M24" s="263">
        <f t="shared" si="3"/>
        <v>12.380223726479683</v>
      </c>
      <c r="N24" s="261">
        <f>$C24*IF(LEFT(N$5,6)="Winter",Profiles!$AB$29,Profiles!$AB$28)*N$10</f>
        <v>1027.7004606082603</v>
      </c>
      <c r="O24" s="261">
        <f>$C24*IF(LEFT(O$5,6)="Winter",Profiles!$AB$29,Profiles!$AB$28)*O$10</f>
        <v>2026.0692602509284</v>
      </c>
      <c r="P24" s="262">
        <f t="shared" si="4"/>
        <v>0.82627169765191133</v>
      </c>
      <c r="Q24" s="263">
        <f t="shared" si="5"/>
        <v>2.1624368530798486</v>
      </c>
      <c r="S24" s="240">
        <f t="shared" si="10"/>
        <v>2032</v>
      </c>
      <c r="T24" s="261">
        <f>$C24*IF(LEFT(T$5,6)="Winter",Profiles!$AB$29,Profiles!$AB$28)*T$10</f>
        <v>1027.7004606082603</v>
      </c>
      <c r="U24" s="261">
        <f>$C24*IF(LEFT(U$5,6)="Winter",Profiles!$AB$29,Profiles!$AB$28)*U$10</f>
        <v>2026.0692602509284</v>
      </c>
      <c r="V24" s="262">
        <f t="shared" si="6"/>
        <v>0.96715180075077056</v>
      </c>
      <c r="W24" s="263">
        <f t="shared" si="7"/>
        <v>1.8290700908349957</v>
      </c>
    </row>
    <row r="25" spans="2:23" ht="13.5" thickBot="1">
      <c r="B25" s="240">
        <f t="shared" si="8"/>
        <v>2033</v>
      </c>
      <c r="C25" s="264">
        <f>INDEX('Exhibit 3 - Levelized Capacity'!$F$9:$F$29,MATCH($B25,'Exhibit 3 - Levelized Capacity'!$B$9:$B$29,0),1)</f>
        <v>155894.94424986158</v>
      </c>
      <c r="D25" s="261">
        <f>$C25*IF(LEFT(D$5,6)="Winter",Profiles!$AB$29,Profiles!$AB$28)*D$10</f>
        <v>52464.108514051688</v>
      </c>
      <c r="E25" s="261">
        <f>$C25*IF(LEFT(E$5,6)="Winter",Profiles!$AB$29,Profiles!$AB$28)*E$10</f>
        <v>103430.83573580989</v>
      </c>
      <c r="F25" s="262">
        <f t="shared" si="0"/>
        <v>8.9861717669748131</v>
      </c>
      <c r="G25" s="263">
        <f t="shared" si="1"/>
        <v>35.324738980809386</v>
      </c>
      <c r="I25" s="240">
        <f t="shared" si="9"/>
        <v>2033</v>
      </c>
      <c r="J25" s="261">
        <f>$C25*IF(LEFT(J$5,6)="Winter",Profiles!$AB$29,Profiles!$AB$28)*J$10</f>
        <v>6178.3984030936845</v>
      </c>
      <c r="K25" s="261">
        <f>$C25*IF(LEFT(K$5,6)="Winter",Profiles!$AB$29,Profiles!$AB$28)*K$10</f>
        <v>12180.458763911274</v>
      </c>
      <c r="L25" s="262">
        <f t="shared" si="2"/>
        <v>2.6119988720821783</v>
      </c>
      <c r="M25" s="263">
        <f t="shared" si="3"/>
        <v>12.640208424735755</v>
      </c>
      <c r="N25" s="261">
        <f>$C25*IF(LEFT(N$5,6)="Winter",Profiles!$AB$29,Profiles!$AB$28)*N$10</f>
        <v>1049.2821702810338</v>
      </c>
      <c r="O25" s="261">
        <f>$C25*IF(LEFT(O$5,6)="Winter",Profiles!$AB$29,Profiles!$AB$28)*O$10</f>
        <v>2068.6167147161977</v>
      </c>
      <c r="P25" s="262">
        <f t="shared" si="4"/>
        <v>0.84362340330260155</v>
      </c>
      <c r="Q25" s="263">
        <f t="shared" si="5"/>
        <v>2.2078480269945251</v>
      </c>
      <c r="S25" s="240">
        <f t="shared" si="10"/>
        <v>2033</v>
      </c>
      <c r="T25" s="261">
        <f>$C25*IF(LEFT(T$5,6)="Winter",Profiles!$AB$29,Profiles!$AB$28)*T$10</f>
        <v>1049.2821702810338</v>
      </c>
      <c r="U25" s="261">
        <f>$C25*IF(LEFT(U$5,6)="Winter",Profiles!$AB$29,Profiles!$AB$28)*U$10</f>
        <v>2068.6167147161977</v>
      </c>
      <c r="V25" s="262">
        <f t="shared" si="6"/>
        <v>0.98746198856653677</v>
      </c>
      <c r="W25" s="263">
        <f t="shared" si="7"/>
        <v>1.8674805627425306</v>
      </c>
    </row>
    <row r="26" spans="2:23" ht="13.5" thickBot="1">
      <c r="B26" s="240">
        <f t="shared" si="8"/>
        <v>2034</v>
      </c>
      <c r="C26" s="264">
        <f>INDEX('Exhibit 3 - Levelized Capacity'!$F$9:$F$29,MATCH($B26,'Exhibit 3 - Levelized Capacity'!$B$9:$B$29,0),1)</f>
        <v>159168.73807910865</v>
      </c>
      <c r="D26" s="261">
        <f>$C26*IF(LEFT(D$5,6)="Winter",Profiles!$AB$29,Profiles!$AB$28)*D$10</f>
        <v>53565.854792846767</v>
      </c>
      <c r="E26" s="261">
        <f>$C26*IF(LEFT(E$5,6)="Winter",Profiles!$AB$29,Profiles!$AB$28)*E$10</f>
        <v>105602.88328626189</v>
      </c>
      <c r="F26" s="262">
        <f t="shared" si="0"/>
        <v>9.1748813740812825</v>
      </c>
      <c r="G26" s="263">
        <f t="shared" si="1"/>
        <v>36.066558499406383</v>
      </c>
      <c r="I26" s="240">
        <f t="shared" si="9"/>
        <v>2034</v>
      </c>
      <c r="J26" s="261">
        <f>$C26*IF(LEFT(J$5,6)="Winter",Profiles!$AB$29,Profiles!$AB$28)*J$10</f>
        <v>6308.1447695586503</v>
      </c>
      <c r="K26" s="261">
        <f>$C26*IF(LEFT(K$5,6)="Winter",Profiles!$AB$29,Profiles!$AB$28)*K$10</f>
        <v>12436.24839795341</v>
      </c>
      <c r="L26" s="262">
        <f t="shared" si="2"/>
        <v>2.6668508483959035</v>
      </c>
      <c r="M26" s="263">
        <f t="shared" si="3"/>
        <v>12.905652801655204</v>
      </c>
      <c r="N26" s="261">
        <f>$C26*IF(LEFT(N$5,6)="Winter",Profiles!$AB$29,Profiles!$AB$28)*N$10</f>
        <v>1071.3170958569353</v>
      </c>
      <c r="O26" s="261">
        <f>$C26*IF(LEFT(O$5,6)="Winter",Profiles!$AB$29,Profiles!$AB$28)*O$10</f>
        <v>2112.0576657252377</v>
      </c>
      <c r="P26" s="262">
        <f t="shared" si="4"/>
        <v>0.86133949477195604</v>
      </c>
      <c r="Q26" s="263">
        <f t="shared" si="5"/>
        <v>2.2542128355614102</v>
      </c>
      <c r="S26" s="240">
        <f t="shared" si="10"/>
        <v>2034</v>
      </c>
      <c r="T26" s="261">
        <f>$C26*IF(LEFT(T$5,6)="Winter",Profiles!$AB$29,Profiles!$AB$28)*T$10</f>
        <v>1071.3170958569353</v>
      </c>
      <c r="U26" s="261">
        <f>$C26*IF(LEFT(U$5,6)="Winter",Profiles!$AB$29,Profiles!$AB$28)*U$10</f>
        <v>2112.0576657252377</v>
      </c>
      <c r="V26" s="262">
        <f t="shared" si="6"/>
        <v>1.0081986903264339</v>
      </c>
      <c r="W26" s="263">
        <f t="shared" si="7"/>
        <v>1.9066976545601235</v>
      </c>
    </row>
    <row r="27" spans="2:23" ht="13.5" thickBot="1">
      <c r="B27" s="240">
        <f t="shared" si="8"/>
        <v>2035</v>
      </c>
      <c r="C27" s="264">
        <f>INDEX('Exhibit 3 - Levelized Capacity'!$F$9:$F$29,MATCH($B27,'Exhibit 3 - Levelized Capacity'!$B$9:$B$29,0),1)</f>
        <v>162511.28157876991</v>
      </c>
      <c r="D27" s="261">
        <f>$C27*IF(LEFT(D$5,6)="Winter",Profiles!$AB$29,Profiles!$AB$28)*D$10</f>
        <v>54690.737743496538</v>
      </c>
      <c r="E27" s="261">
        <f>$C27*IF(LEFT(E$5,6)="Winter",Profiles!$AB$29,Profiles!$AB$28)*E$10</f>
        <v>107820.54383527336</v>
      </c>
      <c r="F27" s="262">
        <f t="shared" si="0"/>
        <v>9.3675538829369884</v>
      </c>
      <c r="G27" s="263">
        <f t="shared" si="1"/>
        <v>36.823956227893909</v>
      </c>
      <c r="I27" s="240">
        <f t="shared" si="9"/>
        <v>2035</v>
      </c>
      <c r="J27" s="261">
        <f>$C27*IF(LEFT(J$5,6)="Winter",Profiles!$AB$29,Profiles!$AB$28)*J$10</f>
        <v>6440.6158097193811</v>
      </c>
      <c r="K27" s="261">
        <f>$C27*IF(LEFT(K$5,6)="Winter",Profiles!$AB$29,Profiles!$AB$28)*K$10</f>
        <v>12697.409614310429</v>
      </c>
      <c r="L27" s="262">
        <f t="shared" si="2"/>
        <v>2.722854716212217</v>
      </c>
      <c r="M27" s="263">
        <f t="shared" si="3"/>
        <v>13.176671510489962</v>
      </c>
      <c r="N27" s="261">
        <f>$C27*IF(LEFT(N$5,6)="Winter",Profiles!$AB$29,Profiles!$AB$28)*N$10</f>
        <v>1093.8147548699308</v>
      </c>
      <c r="O27" s="261">
        <f>$C27*IF(LEFT(O$5,6)="Winter",Profiles!$AB$29,Profiles!$AB$28)*O$10</f>
        <v>2156.4108767054672</v>
      </c>
      <c r="P27" s="262">
        <f t="shared" si="4"/>
        <v>0.87942762416216691</v>
      </c>
      <c r="Q27" s="263">
        <f t="shared" si="5"/>
        <v>2.3015513051081991</v>
      </c>
      <c r="S27" s="240">
        <f t="shared" si="10"/>
        <v>2035</v>
      </c>
      <c r="T27" s="261">
        <f>$C27*IF(LEFT(T$5,6)="Winter",Profiles!$AB$29,Profiles!$AB$28)*T$10</f>
        <v>1093.8147548699308</v>
      </c>
      <c r="U27" s="261">
        <f>$C27*IF(LEFT(U$5,6)="Winter",Profiles!$AB$29,Profiles!$AB$28)*U$10</f>
        <v>2156.4108767054672</v>
      </c>
      <c r="V27" s="262">
        <f t="shared" si="6"/>
        <v>1.0293708628232887</v>
      </c>
      <c r="W27" s="263">
        <f t="shared" si="7"/>
        <v>1.9467383053058858</v>
      </c>
    </row>
    <row r="28" spans="2:23" ht="13.5" thickBot="1">
      <c r="B28" s="240">
        <f t="shared" si="8"/>
        <v>2036</v>
      </c>
      <c r="C28" s="264">
        <f>INDEX('Exhibit 3 - Levelized Capacity'!$F$9:$F$29,MATCH($B28,'Exhibit 3 - Levelized Capacity'!$B$9:$B$29,0),1)</f>
        <v>165924.01849192407</v>
      </c>
      <c r="D28" s="261">
        <f>$C28*IF(LEFT(D$5,6)="Winter",Profiles!$AB$29,Profiles!$AB$28)*D$10</f>
        <v>55839.243236109964</v>
      </c>
      <c r="E28" s="261">
        <f>$C28*IF(LEFT(E$5,6)="Winter",Profiles!$AB$29,Profiles!$AB$28)*E$10</f>
        <v>110084.77525581411</v>
      </c>
      <c r="F28" s="262">
        <f t="shared" si="0"/>
        <v>9.5642725144786649</v>
      </c>
      <c r="G28" s="263">
        <f t="shared" si="1"/>
        <v>37.597259308679682</v>
      </c>
      <c r="I28" s="240">
        <f t="shared" si="9"/>
        <v>2036</v>
      </c>
      <c r="J28" s="261">
        <f>$C28*IF(LEFT(J$5,6)="Winter",Profiles!$AB$29,Profiles!$AB$28)*J$10</f>
        <v>6575.8687417234878</v>
      </c>
      <c r="K28" s="261">
        <f>$C28*IF(LEFT(K$5,6)="Winter",Profiles!$AB$29,Profiles!$AB$28)*K$10</f>
        <v>12964.055216210947</v>
      </c>
      <c r="L28" s="262">
        <f t="shared" si="2"/>
        <v>2.7800346652526735</v>
      </c>
      <c r="M28" s="263">
        <f t="shared" si="3"/>
        <v>13.453381612210251</v>
      </c>
      <c r="N28" s="261">
        <f>$C28*IF(LEFT(N$5,6)="Winter",Profiles!$AB$29,Profiles!$AB$28)*N$10</f>
        <v>1116.7848647221992</v>
      </c>
      <c r="O28" s="261">
        <f>$C28*IF(LEFT(O$5,6)="Winter",Profiles!$AB$29,Profiles!$AB$28)*O$10</f>
        <v>2201.6955051162822</v>
      </c>
      <c r="P28" s="262">
        <f t="shared" si="4"/>
        <v>0.89789560426957238</v>
      </c>
      <c r="Q28" s="263">
        <f t="shared" si="5"/>
        <v>2.3498838825154715</v>
      </c>
      <c r="S28" s="240">
        <f t="shared" si="10"/>
        <v>2036</v>
      </c>
      <c r="T28" s="261">
        <f>$C28*IF(LEFT(T$5,6)="Winter",Profiles!$AB$29,Profiles!$AB$28)*T$10</f>
        <v>1116.7848647221992</v>
      </c>
      <c r="U28" s="261">
        <f>$C28*IF(LEFT(U$5,6)="Winter",Profiles!$AB$29,Profiles!$AB$28)*U$10</f>
        <v>2201.6955051162822</v>
      </c>
      <c r="V28" s="262">
        <f t="shared" si="6"/>
        <v>1.0509876509425777</v>
      </c>
      <c r="W28" s="263">
        <f t="shared" si="7"/>
        <v>1.9876198097173094</v>
      </c>
    </row>
    <row r="29" spans="2:23" ht="13.5" thickBot="1">
      <c r="B29" s="240">
        <f t="shared" si="8"/>
        <v>2037</v>
      </c>
      <c r="C29" s="264">
        <f>INDEX('Exhibit 3 - Levelized Capacity'!$F$9:$F$29,MATCH($B29,'Exhibit 3 - Levelized Capacity'!$B$9:$B$29,0),1)</f>
        <v>169408.42288025445</v>
      </c>
      <c r="D29" s="261">
        <f>$C29*IF(LEFT(D$5,6)="Winter",Profiles!$AB$29,Profiles!$AB$28)*D$10</f>
        <v>57011.867344068269</v>
      </c>
      <c r="E29" s="261">
        <f>$C29*IF(LEFT(E$5,6)="Winter",Profiles!$AB$29,Profiles!$AB$28)*E$10</f>
        <v>112396.55553618619</v>
      </c>
      <c r="F29" s="262">
        <f t="shared" si="0"/>
        <v>9.765122237282716</v>
      </c>
      <c r="G29" s="263">
        <f t="shared" si="1"/>
        <v>38.386801754161951</v>
      </c>
      <c r="I29" s="240">
        <f t="shared" si="9"/>
        <v>2037</v>
      </c>
      <c r="J29" s="261">
        <f>$C29*IF(LEFT(J$5,6)="Winter",Profiles!$AB$29,Profiles!$AB$28)*J$10</f>
        <v>6713.9619852996802</v>
      </c>
      <c r="K29" s="261">
        <f>$C29*IF(LEFT(K$5,6)="Winter",Profiles!$AB$29,Profiles!$AB$28)*K$10</f>
        <v>13236.300375751376</v>
      </c>
      <c r="L29" s="262">
        <f t="shared" si="2"/>
        <v>2.8384153932229794</v>
      </c>
      <c r="M29" s="263">
        <f t="shared" si="3"/>
        <v>13.735902626066665</v>
      </c>
      <c r="N29" s="261">
        <f>$C29*IF(LEFT(N$5,6)="Winter",Profiles!$AB$29,Profiles!$AB$28)*N$10</f>
        <v>1140.2373468813655</v>
      </c>
      <c r="O29" s="261">
        <f>$C29*IF(LEFT(O$5,6)="Winter",Profiles!$AB$29,Profiles!$AB$28)*O$10</f>
        <v>2247.931110723724</v>
      </c>
      <c r="P29" s="262">
        <f t="shared" si="4"/>
        <v>0.91675141195923349</v>
      </c>
      <c r="Q29" s="263">
        <f t="shared" si="5"/>
        <v>2.3992314440482962</v>
      </c>
      <c r="S29" s="240">
        <f t="shared" si="10"/>
        <v>2037</v>
      </c>
      <c r="T29" s="261">
        <f>$C29*IF(LEFT(T$5,6)="Winter",Profiles!$AB$29,Profiles!$AB$28)*T$10</f>
        <v>1140.2373468813655</v>
      </c>
      <c r="U29" s="261">
        <f>$C29*IF(LEFT(U$5,6)="Winter",Profiles!$AB$29,Profiles!$AB$28)*U$10</f>
        <v>2247.931110723724</v>
      </c>
      <c r="V29" s="262">
        <f t="shared" si="6"/>
        <v>1.0730583916123719</v>
      </c>
      <c r="W29" s="263">
        <f t="shared" si="7"/>
        <v>2.029359825721373</v>
      </c>
    </row>
    <row r="30" spans="2:23" ht="13.5" thickBot="1">
      <c r="B30" s="240">
        <f t="shared" si="8"/>
        <v>2038</v>
      </c>
      <c r="C30" s="264">
        <f>INDEX('Exhibit 3 - Levelized Capacity'!$F$9:$F$29,MATCH($B30,'Exhibit 3 - Levelized Capacity'!$B$9:$B$29,0),1)</f>
        <v>172965.99976073977</v>
      </c>
      <c r="D30" s="261">
        <f>$C30*IF(LEFT(D$5,6)="Winter",Profiles!$AB$29,Profiles!$AB$28)*D$10</f>
        <v>58209.116558293696</v>
      </c>
      <c r="E30" s="261">
        <f>$C30*IF(LEFT(E$5,6)="Winter",Profiles!$AB$29,Profiles!$AB$28)*E$10</f>
        <v>114756.88320244607</v>
      </c>
      <c r="F30" s="262">
        <f t="shared" si="0"/>
        <v>9.9701898042656509</v>
      </c>
      <c r="G30" s="263">
        <f t="shared" si="1"/>
        <v>39.19292459099934</v>
      </c>
      <c r="I30" s="240">
        <f t="shared" si="9"/>
        <v>2038</v>
      </c>
      <c r="J30" s="261">
        <f>$C30*IF(LEFT(J$5,6)="Winter",Profiles!$AB$29,Profiles!$AB$28)*J$10</f>
        <v>6854.9551869909728</v>
      </c>
      <c r="K30" s="261">
        <f>$C30*IF(LEFT(K$5,6)="Winter",Profiles!$AB$29,Profiles!$AB$28)*K$10</f>
        <v>13514.262683642151</v>
      </c>
      <c r="L30" s="262">
        <f t="shared" si="2"/>
        <v>2.8980221164806617</v>
      </c>
      <c r="M30" s="263">
        <f t="shared" si="3"/>
        <v>14.024356581214061</v>
      </c>
      <c r="N30" s="261">
        <f>$C30*IF(LEFT(N$5,6)="Winter",Profiles!$AB$29,Profiles!$AB$28)*N$10</f>
        <v>1164.1823311658738</v>
      </c>
      <c r="O30" s="261">
        <f>$C30*IF(LEFT(O$5,6)="Winter",Profiles!$AB$29,Profiles!$AB$28)*O$10</f>
        <v>2295.1376640489216</v>
      </c>
      <c r="P30" s="262">
        <f t="shared" si="4"/>
        <v>0.93600319161037715</v>
      </c>
      <c r="Q30" s="263">
        <f t="shared" si="5"/>
        <v>2.4496153043733098</v>
      </c>
      <c r="S30" s="240">
        <f t="shared" si="10"/>
        <v>2038</v>
      </c>
      <c r="T30" s="261">
        <f>$C30*IF(LEFT(T$5,6)="Winter",Profiles!$AB$29,Profiles!$AB$28)*T$10</f>
        <v>1164.1823311658738</v>
      </c>
      <c r="U30" s="261">
        <f>$C30*IF(LEFT(U$5,6)="Winter",Profiles!$AB$29,Profiles!$AB$28)*U$10</f>
        <v>2295.1376640489216</v>
      </c>
      <c r="V30" s="262">
        <f t="shared" si="6"/>
        <v>1.0955926178362314</v>
      </c>
      <c r="W30" s="263">
        <f t="shared" si="7"/>
        <v>2.0719763820615209</v>
      </c>
    </row>
    <row r="31" spans="2:23" ht="13.5" thickBot="1">
      <c r="B31" s="240">
        <f t="shared" si="8"/>
        <v>2039</v>
      </c>
      <c r="C31" s="264">
        <f>INDEX('Exhibit 3 - Levelized Capacity'!$F$9:$F$29,MATCH($B31,'Exhibit 3 - Levelized Capacity'!$B$9:$B$29,0),1)</f>
        <v>176598.28575571527</v>
      </c>
      <c r="D31" s="261">
        <f>$C31*IF(LEFT(D$5,6)="Winter",Profiles!$AB$29,Profiles!$AB$28)*D$10</f>
        <v>59431.508006017852</v>
      </c>
      <c r="E31" s="261">
        <f>$C31*IF(LEFT(E$5,6)="Winter",Profiles!$AB$29,Profiles!$AB$28)*E$10</f>
        <v>117166.77774969743</v>
      </c>
      <c r="F31" s="262">
        <f t="shared" si="0"/>
        <v>10.179563790155228</v>
      </c>
      <c r="G31" s="263">
        <f t="shared" si="1"/>
        <v>40.015976007410323</v>
      </c>
      <c r="I31" s="240">
        <f t="shared" si="9"/>
        <v>2039</v>
      </c>
      <c r="J31" s="261">
        <f>$C31*IF(LEFT(J$5,6)="Winter",Profiles!$AB$29,Profiles!$AB$28)*J$10</f>
        <v>6998.9092459177818</v>
      </c>
      <c r="K31" s="261">
        <f>$C31*IF(LEFT(K$5,6)="Winter",Profiles!$AB$29,Profiles!$AB$28)*K$10</f>
        <v>13798.062199998636</v>
      </c>
      <c r="L31" s="262">
        <f t="shared" si="2"/>
        <v>2.9588805809267549</v>
      </c>
      <c r="M31" s="263">
        <f t="shared" si="3"/>
        <v>14.318868069419555</v>
      </c>
      <c r="N31" s="261">
        <f>$C31*IF(LEFT(N$5,6)="Winter",Profiles!$AB$29,Profiles!$AB$28)*N$10</f>
        <v>1188.630160120357</v>
      </c>
      <c r="O31" s="261">
        <f>$C31*IF(LEFT(O$5,6)="Winter",Profiles!$AB$29,Profiles!$AB$28)*O$10</f>
        <v>2343.3355549939488</v>
      </c>
      <c r="P31" s="262">
        <f t="shared" si="4"/>
        <v>0.95565925863419487</v>
      </c>
      <c r="Q31" s="263">
        <f t="shared" si="5"/>
        <v>2.5010572257651491</v>
      </c>
      <c r="S31" s="240">
        <f t="shared" si="10"/>
        <v>2039</v>
      </c>
      <c r="T31" s="261">
        <f>$C31*IF(LEFT(T$5,6)="Winter",Profiles!$AB$29,Profiles!$AB$28)*T$10</f>
        <v>1188.630160120357</v>
      </c>
      <c r="U31" s="261">
        <f>$C31*IF(LEFT(U$5,6)="Winter",Profiles!$AB$29,Profiles!$AB$28)*U$10</f>
        <v>2343.3355549939488</v>
      </c>
      <c r="V31" s="262">
        <f t="shared" si="6"/>
        <v>1.1186000628107922</v>
      </c>
      <c r="W31" s="263">
        <f t="shared" si="7"/>
        <v>2.115487886084813</v>
      </c>
    </row>
    <row r="32" spans="2:23" ht="13.5" thickBot="1">
      <c r="B32" s="242">
        <f t="shared" si="8"/>
        <v>2040</v>
      </c>
      <c r="C32" s="265">
        <f>INDEX('Exhibit 3 - Levelized Capacity'!$F$9:$F$29,MATCH($B32,'Exhibit 3 - Levelized Capacity'!$B$9:$B$29,0),1)</f>
        <v>180306.84975658529</v>
      </c>
      <c r="D32" s="266">
        <f>$C32*IF(LEFT(D$5,6)="Winter",Profiles!$AB$29,Profiles!$AB$28)*D$10</f>
        <v>60679.569674144223</v>
      </c>
      <c r="E32" s="266">
        <f>$C32*IF(LEFT(E$5,6)="Winter",Profiles!$AB$29,Profiles!$AB$28)*E$10</f>
        <v>119627.28008244107</v>
      </c>
      <c r="F32" s="267">
        <f t="shared" si="0"/>
        <v>10.393334629748487</v>
      </c>
      <c r="G32" s="268">
        <f t="shared" si="1"/>
        <v>40.856311503565941</v>
      </c>
      <c r="I32" s="242">
        <f t="shared" si="9"/>
        <v>2040</v>
      </c>
      <c r="J32" s="266">
        <f>$C32*IF(LEFT(J$5,6)="Winter",Profiles!$AB$29,Profiles!$AB$28)*J$10</f>
        <v>7145.8863400820555</v>
      </c>
      <c r="K32" s="266">
        <f>$C32*IF(LEFT(K$5,6)="Winter",Profiles!$AB$29,Profiles!$AB$28)*K$10</f>
        <v>14087.821506198607</v>
      </c>
      <c r="L32" s="267">
        <f t="shared" si="2"/>
        <v>3.0210170731262167</v>
      </c>
      <c r="M32" s="268">
        <f t="shared" si="3"/>
        <v>14.619564298877366</v>
      </c>
      <c r="N32" s="266">
        <f>$C32*IF(LEFT(N$5,6)="Winter",Profiles!$AB$29,Profiles!$AB$28)*N$10</f>
        <v>1213.5913934828845</v>
      </c>
      <c r="O32" s="266">
        <f>$C32*IF(LEFT(O$5,6)="Winter",Profiles!$AB$29,Profiles!$AB$28)*O$10</f>
        <v>2392.5456016488215</v>
      </c>
      <c r="P32" s="267">
        <f t="shared" si="4"/>
        <v>0.97572810306551305</v>
      </c>
      <c r="Q32" s="268">
        <f t="shared" si="5"/>
        <v>2.5535794275062171</v>
      </c>
      <c r="S32" s="242">
        <f t="shared" si="10"/>
        <v>2040</v>
      </c>
      <c r="T32" s="266">
        <f>$C32*IF(LEFT(T$5,6)="Winter",Profiles!$AB$29,Profiles!$AB$28)*T$10</f>
        <v>1213.5913934828845</v>
      </c>
      <c r="U32" s="266">
        <f>$C32*IF(LEFT(U$5,6)="Winter",Profiles!$AB$29,Profiles!$AB$28)*U$10</f>
        <v>2392.5456016488215</v>
      </c>
      <c r="V32" s="267">
        <f t="shared" si="6"/>
        <v>1.1420906641298187</v>
      </c>
      <c r="W32" s="268">
        <f t="shared" si="7"/>
        <v>2.1599131316925937</v>
      </c>
    </row>
    <row r="33" spans="2:24" ht="6.75" customHeight="1" thickTop="1">
      <c r="B33" s="28"/>
      <c r="D33" s="5"/>
      <c r="F33" s="125"/>
      <c r="I33" s="212"/>
      <c r="K33" s="29"/>
      <c r="M33" s="13"/>
      <c r="O33" s="29"/>
      <c r="Q33" s="13"/>
      <c r="S33" s="212"/>
      <c r="U33" s="29"/>
      <c r="W33" s="13"/>
    </row>
    <row r="34" spans="2:24">
      <c r="B34" s="212" t="s">
        <v>219</v>
      </c>
      <c r="C34" s="321"/>
      <c r="D34" s="321"/>
      <c r="E34" s="321"/>
      <c r="F34" s="321"/>
      <c r="G34" s="321"/>
      <c r="I34" s="212" t="s">
        <v>220</v>
      </c>
      <c r="J34" s="10"/>
      <c r="K34" s="10"/>
      <c r="N34" s="10"/>
      <c r="O34" s="10"/>
      <c r="S34" s="212" t="str">
        <f t="shared" ref="S34:S39" si="11">I34</f>
        <v>Capacity Contribution: UE-190666, Order 01 (solar)</v>
      </c>
      <c r="T34" s="10"/>
      <c r="U34" s="10"/>
    </row>
    <row r="35" spans="2:24">
      <c r="B35" s="212" t="s">
        <v>171</v>
      </c>
      <c r="C35" s="321"/>
      <c r="D35" s="321"/>
      <c r="E35" s="321"/>
      <c r="F35" s="321"/>
      <c r="G35" s="321"/>
      <c r="I35" s="212" t="str">
        <f t="shared" ref="I35:I39" si="12">B35</f>
        <v>Capacity Factor Weighting: The resource's annual capacity factor divided by season.</v>
      </c>
      <c r="S35" s="212" t="str">
        <f t="shared" si="11"/>
        <v>Capacity Factor Weighting: The resource's annual capacity factor divided by season.</v>
      </c>
    </row>
    <row r="36" spans="2:24">
      <c r="B36" s="142" t="s">
        <v>4</v>
      </c>
      <c r="C36" s="347" t="s">
        <v>187</v>
      </c>
      <c r="D36" s="348"/>
      <c r="E36" s="348"/>
      <c r="F36" s="348"/>
      <c r="G36" s="348"/>
      <c r="H36" s="213"/>
      <c r="I36" s="215" t="str">
        <f t="shared" si="12"/>
        <v>(a)</v>
      </c>
      <c r="J36" s="348" t="str">
        <f t="shared" ref="J36:J39" si="13">C36</f>
        <v>Levelized capacity cost at 100% capacity contribution</v>
      </c>
      <c r="K36" s="348"/>
      <c r="L36" s="348"/>
      <c r="M36" s="348"/>
      <c r="N36" s="348"/>
      <c r="O36" s="348"/>
      <c r="P36" s="348"/>
      <c r="Q36" s="348"/>
      <c r="R36" s="10"/>
      <c r="S36" s="216" t="str">
        <f t="shared" si="11"/>
        <v>(a)</v>
      </c>
      <c r="T36" s="355" t="str">
        <f t="shared" ref="T36:T39" si="14">J36</f>
        <v>Levelized capacity cost at 100% capacity contribution</v>
      </c>
      <c r="U36" s="348"/>
      <c r="V36" s="348"/>
      <c r="W36" s="348"/>
      <c r="X36" s="348"/>
    </row>
    <row r="37" spans="2:24">
      <c r="B37" s="142" t="s">
        <v>208</v>
      </c>
      <c r="C37" s="347" t="s">
        <v>207</v>
      </c>
      <c r="D37" s="348"/>
      <c r="E37" s="348"/>
      <c r="F37" s="348"/>
      <c r="G37" s="348"/>
      <c r="H37" s="213"/>
      <c r="I37" s="215" t="str">
        <f t="shared" si="12"/>
        <v>(b),(c)</v>
      </c>
      <c r="J37" s="348" t="str">
        <f t="shared" si="13"/>
        <v>Summer-winter split based on months and 2017 IRP loss of load probability</v>
      </c>
      <c r="K37" s="348"/>
      <c r="L37" s="348"/>
      <c r="M37" s="348"/>
      <c r="N37" s="348"/>
      <c r="O37" s="348"/>
      <c r="P37" s="348"/>
      <c r="Q37" s="348"/>
      <c r="R37" s="10"/>
      <c r="S37" s="216" t="str">
        <f t="shared" si="11"/>
        <v>(b),(c)</v>
      </c>
      <c r="T37" s="355" t="str">
        <f t="shared" si="14"/>
        <v>Summer-winter split based on months and 2017 IRP loss of load probability</v>
      </c>
      <c r="U37" s="348"/>
      <c r="V37" s="348"/>
      <c r="W37" s="348"/>
      <c r="X37" s="348"/>
    </row>
    <row r="38" spans="2:24">
      <c r="B38" s="142" t="s">
        <v>7</v>
      </c>
      <c r="C38" s="347" t="s">
        <v>205</v>
      </c>
      <c r="D38" s="348"/>
      <c r="E38" s="348"/>
      <c r="F38" s="348"/>
      <c r="G38" s="348"/>
      <c r="H38" s="213"/>
      <c r="I38" s="215" t="str">
        <f t="shared" si="12"/>
        <v>(d)</v>
      </c>
      <c r="J38" s="348" t="str">
        <f t="shared" si="13"/>
        <v>Winter Capacity Cost (b) divided by seasonal capacity factor weighting</v>
      </c>
      <c r="K38" s="348"/>
      <c r="L38" s="348"/>
      <c r="M38" s="348"/>
      <c r="N38" s="348"/>
      <c r="O38" s="348"/>
      <c r="P38" s="348"/>
      <c r="Q38" s="348"/>
      <c r="R38" s="10"/>
      <c r="S38" s="216" t="str">
        <f t="shared" si="11"/>
        <v>(d)</v>
      </c>
      <c r="T38" s="355" t="str">
        <f t="shared" si="14"/>
        <v>Winter Capacity Cost (b) divided by seasonal capacity factor weighting</v>
      </c>
      <c r="U38" s="348"/>
      <c r="V38" s="348"/>
      <c r="W38" s="348"/>
      <c r="X38" s="348"/>
    </row>
    <row r="39" spans="2:24">
      <c r="B39" s="142" t="s">
        <v>8</v>
      </c>
      <c r="C39" s="347" t="s">
        <v>206</v>
      </c>
      <c r="D39" s="348"/>
      <c r="E39" s="348"/>
      <c r="F39" s="348"/>
      <c r="G39" s="348"/>
      <c r="H39" s="213"/>
      <c r="I39" s="215" t="str">
        <f t="shared" si="12"/>
        <v>(e)</v>
      </c>
      <c r="J39" s="348" t="str">
        <f t="shared" si="13"/>
        <v>Summer Capacity Cost (c) divided by seasonal capacity factor weighting</v>
      </c>
      <c r="K39" s="348"/>
      <c r="L39" s="348"/>
      <c r="M39" s="348"/>
      <c r="N39" s="348"/>
      <c r="O39" s="348"/>
      <c r="P39" s="348"/>
      <c r="Q39" s="348"/>
      <c r="R39" s="10"/>
      <c r="S39" s="216" t="str">
        <f t="shared" si="11"/>
        <v>(e)</v>
      </c>
      <c r="T39" s="355" t="str">
        <f t="shared" si="14"/>
        <v>Summer Capacity Cost (c) divided by seasonal capacity factor weighting</v>
      </c>
      <c r="U39" s="348"/>
      <c r="V39" s="348"/>
      <c r="W39" s="348"/>
      <c r="X39" s="348"/>
    </row>
    <row r="40" spans="2:24">
      <c r="B40" s="48"/>
      <c r="C40" s="27"/>
      <c r="I40" s="48"/>
      <c r="S40" s="48"/>
    </row>
  </sheetData>
  <mergeCells count="22">
    <mergeCell ref="C37:G37"/>
    <mergeCell ref="C38:G38"/>
    <mergeCell ref="C39:G39"/>
    <mergeCell ref="T36:X36"/>
    <mergeCell ref="T37:X37"/>
    <mergeCell ref="T38:X38"/>
    <mergeCell ref="J37:Q37"/>
    <mergeCell ref="T39:X39"/>
    <mergeCell ref="J39:Q39"/>
    <mergeCell ref="J38:Q38"/>
    <mergeCell ref="B1:G1"/>
    <mergeCell ref="B2:G2"/>
    <mergeCell ref="C36:G36"/>
    <mergeCell ref="T4:W4"/>
    <mergeCell ref="D4:G4"/>
    <mergeCell ref="J4:M4"/>
    <mergeCell ref="N4:Q4"/>
    <mergeCell ref="S1:W1"/>
    <mergeCell ref="S2:W2"/>
    <mergeCell ref="I2:Q2"/>
    <mergeCell ref="I1:Q1"/>
    <mergeCell ref="J36:Q36"/>
  </mergeCells>
  <printOptions horizontalCentered="1"/>
  <pageMargins left="0.8" right="0.3" top="0.4" bottom="0.4" header="0.5" footer="0.2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"/>
  <sheetViews>
    <sheetView workbookViewId="0">
      <selection activeCell="A6" sqref="A6"/>
    </sheetView>
  </sheetViews>
  <sheetFormatPr defaultColWidth="9.33203125" defaultRowHeight="12.75"/>
  <cols>
    <col min="1" max="1" width="1.5" style="34" customWidth="1"/>
    <col min="2" max="2" width="10.83203125" style="34" customWidth="1"/>
    <col min="3" max="3" width="15" style="34" customWidth="1"/>
    <col min="4" max="4" width="12.33203125" style="34" customWidth="1"/>
    <col min="5" max="5" width="9.1640625" style="34" customWidth="1"/>
    <col min="6" max="6" width="9.83203125" style="34" bestFit="1" customWidth="1"/>
    <col min="7" max="7" width="9.83203125" style="34" customWidth="1"/>
    <col min="8" max="8" width="10.5" style="34" customWidth="1"/>
    <col min="9" max="10" width="12.5" style="34" customWidth="1"/>
    <col min="11" max="11" width="11.6640625" style="34" customWidth="1"/>
    <col min="12" max="16384" width="9.33203125" style="34"/>
  </cols>
  <sheetData>
    <row r="1" spans="2:10" ht="15.75">
      <c r="B1" s="80" t="s">
        <v>175</v>
      </c>
      <c r="C1" s="80"/>
      <c r="D1" s="80"/>
      <c r="E1" s="33"/>
      <c r="F1" s="33"/>
      <c r="G1" s="33"/>
    </row>
    <row r="2" spans="2:10" ht="15.75">
      <c r="B2" s="81" t="s">
        <v>63</v>
      </c>
      <c r="C2" s="81"/>
      <c r="D2" s="81"/>
      <c r="E2" s="82"/>
      <c r="F2" s="82"/>
      <c r="G2" s="33"/>
    </row>
    <row r="3" spans="2:10" ht="15.75">
      <c r="B3" s="32"/>
      <c r="C3" s="33"/>
      <c r="D3" s="33"/>
      <c r="E3" s="33"/>
      <c r="F3" s="33"/>
    </row>
    <row r="4" spans="2:10">
      <c r="B4" s="36"/>
    </row>
    <row r="5" spans="2:10" ht="51.75" customHeight="1">
      <c r="B5" s="37" t="s">
        <v>2</v>
      </c>
      <c r="C5" s="38" t="s">
        <v>32</v>
      </c>
      <c r="D5" s="38" t="s">
        <v>65</v>
      </c>
    </row>
    <row r="6" spans="2:10" ht="24" customHeight="1">
      <c r="B6" s="39"/>
      <c r="C6" s="40" t="s">
        <v>15</v>
      </c>
      <c r="D6" s="40" t="s">
        <v>15</v>
      </c>
    </row>
    <row r="7" spans="2:10">
      <c r="C7" s="41"/>
    </row>
    <row r="8" spans="2:10" ht="6" customHeight="1"/>
    <row r="9" spans="2:10">
      <c r="B9" s="43">
        <v>2016</v>
      </c>
      <c r="C9" s="51">
        <v>0.57299999999999995</v>
      </c>
      <c r="D9" s="51">
        <v>0.60299999999999998</v>
      </c>
    </row>
    <row r="10" spans="2:10">
      <c r="B10" s="43">
        <f t="shared" ref="B10:B34" si="0">B9+1</f>
        <v>2017</v>
      </c>
      <c r="C10" s="51">
        <f t="shared" ref="C10:C31" si="1">ROUND(C9*(1+(IFERROR(INDEX($C$41:$C$49,MATCH($B10,$B$41:$B$49,0),1),0)+IFERROR(INDEX($F$41:$F$49,MATCH($B10,$E$41:$E$49,0),1),0)+IFERROR(INDEX($I$41:$I$49,MATCH($B10,$H$41:$H$49,0),1),0))),2)</f>
        <v>0.57999999999999996</v>
      </c>
      <c r="D10" s="51">
        <f t="shared" ref="D10:D31" si="2">ROUND(D9*(1+(IFERROR(INDEX($C$41:$C$49,MATCH($B10,$B$41:$B$49,0),1),0)+IFERROR(INDEX($F$41:$F$49,MATCH($B10,$E$41:$E$49,0),1),0)+IFERROR(INDEX($I$41:$I$49,MATCH($B10,$H$41:$H$49,0),1),0))),2)</f>
        <v>0.62</v>
      </c>
    </row>
    <row r="11" spans="2:10">
      <c r="B11" s="43">
        <f t="shared" si="0"/>
        <v>2018</v>
      </c>
      <c r="C11" s="51">
        <f t="shared" si="1"/>
        <v>0.59</v>
      </c>
      <c r="D11" s="51">
        <f t="shared" si="2"/>
        <v>0.63</v>
      </c>
    </row>
    <row r="12" spans="2:10">
      <c r="B12" s="43">
        <f>B11+1</f>
        <v>2019</v>
      </c>
      <c r="C12" s="51">
        <f t="shared" si="1"/>
        <v>0.6</v>
      </c>
      <c r="D12" s="51">
        <f t="shared" si="2"/>
        <v>0.64</v>
      </c>
      <c r="E12" s="46"/>
      <c r="F12" s="46"/>
      <c r="G12" s="46"/>
      <c r="H12" s="46"/>
      <c r="I12" s="46"/>
      <c r="J12" s="47"/>
    </row>
    <row r="13" spans="2:10">
      <c r="B13" s="43">
        <f t="shared" si="0"/>
        <v>2020</v>
      </c>
      <c r="C13" s="51">
        <f t="shared" si="1"/>
        <v>0.61</v>
      </c>
      <c r="D13" s="51">
        <f t="shared" si="2"/>
        <v>0.65</v>
      </c>
      <c r="E13" s="46"/>
      <c r="F13" s="46"/>
      <c r="G13" s="46"/>
      <c r="H13" s="46"/>
      <c r="I13" s="46"/>
      <c r="J13" s="47"/>
    </row>
    <row r="14" spans="2:10">
      <c r="B14" s="43">
        <f t="shared" si="0"/>
        <v>2021</v>
      </c>
      <c r="C14" s="51">
        <f t="shared" si="1"/>
        <v>0.62</v>
      </c>
      <c r="D14" s="51">
        <f t="shared" si="2"/>
        <v>0.66</v>
      </c>
    </row>
    <row r="15" spans="2:10">
      <c r="B15" s="43">
        <f t="shared" si="0"/>
        <v>2022</v>
      </c>
      <c r="C15" s="51">
        <f t="shared" si="1"/>
        <v>0.63</v>
      </c>
      <c r="D15" s="51">
        <f t="shared" si="2"/>
        <v>0.67</v>
      </c>
    </row>
    <row r="16" spans="2:10">
      <c r="B16" s="43">
        <f t="shared" si="0"/>
        <v>2023</v>
      </c>
      <c r="C16" s="51">
        <f t="shared" si="1"/>
        <v>0.64</v>
      </c>
      <c r="D16" s="51">
        <f t="shared" si="2"/>
        <v>0.68</v>
      </c>
    </row>
    <row r="17" spans="2:4">
      <c r="B17" s="43">
        <f t="shared" si="0"/>
        <v>2024</v>
      </c>
      <c r="C17" s="51">
        <f t="shared" si="1"/>
        <v>0.65</v>
      </c>
      <c r="D17" s="51">
        <f t="shared" si="2"/>
        <v>0.69</v>
      </c>
    </row>
    <row r="18" spans="2:4">
      <c r="B18" s="43">
        <f t="shared" si="0"/>
        <v>2025</v>
      </c>
      <c r="C18" s="51">
        <f t="shared" si="1"/>
        <v>0.66</v>
      </c>
      <c r="D18" s="51">
        <f t="shared" si="2"/>
        <v>0.7</v>
      </c>
    </row>
    <row r="19" spans="2:4">
      <c r="B19" s="59">
        <f t="shared" si="0"/>
        <v>2026</v>
      </c>
      <c r="C19" s="51">
        <f t="shared" si="1"/>
        <v>0.68</v>
      </c>
      <c r="D19" s="51">
        <f t="shared" si="2"/>
        <v>0.72</v>
      </c>
    </row>
    <row r="20" spans="2:4">
      <c r="B20" s="59">
        <f t="shared" si="0"/>
        <v>2027</v>
      </c>
      <c r="C20" s="51">
        <f t="shared" si="1"/>
        <v>0.7</v>
      </c>
      <c r="D20" s="51">
        <f t="shared" si="2"/>
        <v>0.74</v>
      </c>
    </row>
    <row r="21" spans="2:4">
      <c r="B21" s="59">
        <f t="shared" si="0"/>
        <v>2028</v>
      </c>
      <c r="C21" s="51">
        <f t="shared" si="1"/>
        <v>0.72</v>
      </c>
      <c r="D21" s="51">
        <f t="shared" si="2"/>
        <v>0.76</v>
      </c>
    </row>
    <row r="22" spans="2:4">
      <c r="B22" s="59">
        <f t="shared" si="0"/>
        <v>2029</v>
      </c>
      <c r="C22" s="51">
        <f t="shared" si="1"/>
        <v>0.74</v>
      </c>
      <c r="D22" s="51">
        <f t="shared" si="2"/>
        <v>0.78</v>
      </c>
    </row>
    <row r="23" spans="2:4">
      <c r="B23" s="43">
        <f t="shared" si="0"/>
        <v>2030</v>
      </c>
      <c r="C23" s="51">
        <f t="shared" si="1"/>
        <v>0.76</v>
      </c>
      <c r="D23" s="51">
        <f t="shared" si="2"/>
        <v>0.8</v>
      </c>
    </row>
    <row r="24" spans="2:4">
      <c r="B24" s="43">
        <f t="shared" si="0"/>
        <v>2031</v>
      </c>
      <c r="C24" s="51">
        <f t="shared" si="1"/>
        <v>0.78</v>
      </c>
      <c r="D24" s="51">
        <f t="shared" si="2"/>
        <v>0.82</v>
      </c>
    </row>
    <row r="25" spans="2:4">
      <c r="B25" s="43">
        <f t="shared" si="0"/>
        <v>2032</v>
      </c>
      <c r="C25" s="51">
        <f t="shared" si="1"/>
        <v>0.8</v>
      </c>
      <c r="D25" s="51">
        <f t="shared" si="2"/>
        <v>0.84</v>
      </c>
    </row>
    <row r="26" spans="2:4">
      <c r="B26" s="43">
        <f t="shared" si="0"/>
        <v>2033</v>
      </c>
      <c r="C26" s="51">
        <f t="shared" si="1"/>
        <v>0.82</v>
      </c>
      <c r="D26" s="51">
        <f t="shared" si="2"/>
        <v>0.86</v>
      </c>
    </row>
    <row r="27" spans="2:4">
      <c r="B27" s="43">
        <f t="shared" si="0"/>
        <v>2034</v>
      </c>
      <c r="C27" s="51">
        <f t="shared" si="1"/>
        <v>0.84</v>
      </c>
      <c r="D27" s="51">
        <f t="shared" si="2"/>
        <v>0.88</v>
      </c>
    </row>
    <row r="28" spans="2:4">
      <c r="B28" s="43">
        <f t="shared" si="0"/>
        <v>2035</v>
      </c>
      <c r="C28" s="51">
        <f t="shared" si="1"/>
        <v>0.86</v>
      </c>
      <c r="D28" s="51">
        <f t="shared" si="2"/>
        <v>0.9</v>
      </c>
    </row>
    <row r="29" spans="2:4">
      <c r="B29" s="43">
        <f t="shared" si="0"/>
        <v>2036</v>
      </c>
      <c r="C29" s="51">
        <f t="shared" si="1"/>
        <v>0.88</v>
      </c>
      <c r="D29" s="51">
        <f t="shared" si="2"/>
        <v>0.92</v>
      </c>
    </row>
    <row r="30" spans="2:4">
      <c r="B30" s="43">
        <f t="shared" si="0"/>
        <v>2037</v>
      </c>
      <c r="C30" s="51">
        <f t="shared" si="1"/>
        <v>0.9</v>
      </c>
      <c r="D30" s="51">
        <f t="shared" si="2"/>
        <v>0.94</v>
      </c>
    </row>
    <row r="31" spans="2:4">
      <c r="B31" s="43">
        <f t="shared" si="0"/>
        <v>2038</v>
      </c>
      <c r="C31" s="51">
        <f t="shared" si="1"/>
        <v>0.92</v>
      </c>
      <c r="D31" s="51">
        <f t="shared" si="2"/>
        <v>0.96</v>
      </c>
    </row>
    <row r="32" spans="2:4">
      <c r="B32" s="43">
        <f t="shared" si="0"/>
        <v>2039</v>
      </c>
      <c r="C32" s="51">
        <f t="shared" ref="C32:C34" si="3">ROUND(C31*(1+(IFERROR(INDEX($C$41:$C$49,MATCH($B32,$B$41:$B$49,0),1),0)+IFERROR(INDEX($F$41:$F$49,MATCH($B32,$E$41:$E$49,0),1),0)+IFERROR(INDEX($I$41:$I$49,MATCH($B32,$H$41:$H$49,0),1),0))),2)</f>
        <v>0.94</v>
      </c>
      <c r="D32" s="51">
        <f t="shared" ref="D32:D34" si="4">ROUND(D31*(1+(IFERROR(INDEX($C$41:$C$49,MATCH($B32,$B$41:$B$49,0),1),0)+IFERROR(INDEX($F$41:$F$49,MATCH($B32,$E$41:$E$49,0),1),0)+IFERROR(INDEX($I$41:$I$49,MATCH($B32,$H$41:$H$49,0),1),0))),2)</f>
        <v>0.98</v>
      </c>
    </row>
    <row r="33" spans="2:11">
      <c r="B33" s="43">
        <f t="shared" si="0"/>
        <v>2040</v>
      </c>
      <c r="C33" s="51">
        <f t="shared" si="3"/>
        <v>0.96</v>
      </c>
      <c r="D33" s="51">
        <f t="shared" si="4"/>
        <v>1</v>
      </c>
    </row>
    <row r="34" spans="2:11">
      <c r="B34" s="43">
        <f t="shared" si="0"/>
        <v>2041</v>
      </c>
      <c r="C34" s="51">
        <f t="shared" si="3"/>
        <v>0.96</v>
      </c>
      <c r="D34" s="51">
        <f t="shared" si="4"/>
        <v>1</v>
      </c>
    </row>
    <row r="35" spans="2:11">
      <c r="B35" s="43"/>
      <c r="C35" s="51"/>
    </row>
    <row r="36" spans="2:11">
      <c r="B36" s="43"/>
      <c r="C36" s="51"/>
    </row>
    <row r="37" spans="2:11">
      <c r="B37" s="10" t="s">
        <v>59</v>
      </c>
      <c r="C37" s="48" t="s">
        <v>64</v>
      </c>
      <c r="D37" s="3"/>
      <c r="E37" s="50"/>
      <c r="F37" s="3"/>
      <c r="H37" s="3"/>
      <c r="I37" s="3"/>
    </row>
    <row r="38" spans="2:11">
      <c r="B38" s="10"/>
      <c r="C38" s="48"/>
      <c r="D38" s="3"/>
      <c r="E38" s="50"/>
      <c r="F38" s="3"/>
      <c r="H38" s="3"/>
      <c r="I38" s="3"/>
    </row>
    <row r="39" spans="2:11" ht="13.5" thickBot="1">
      <c r="B39" s="43"/>
      <c r="C39" s="3"/>
    </row>
    <row r="40" spans="2:11" ht="13.5" thickBot="1">
      <c r="B40" s="20" t="s">
        <v>221</v>
      </c>
      <c r="C40" s="21"/>
      <c r="D40" s="21"/>
      <c r="E40" s="21"/>
      <c r="F40" s="21"/>
      <c r="G40" s="21"/>
      <c r="H40" s="21"/>
      <c r="I40" s="21"/>
      <c r="J40" s="26"/>
      <c r="K40" s="147"/>
    </row>
    <row r="41" spans="2:11">
      <c r="B41" s="146">
        <v>2016</v>
      </c>
      <c r="C41" s="143">
        <v>1.2E-2</v>
      </c>
      <c r="D41" s="48"/>
      <c r="E41" s="146">
        <v>2024</v>
      </c>
      <c r="F41" s="143">
        <v>0.02</v>
      </c>
      <c r="G41" s="143"/>
      <c r="H41" s="146">
        <v>2032</v>
      </c>
      <c r="I41" s="143">
        <v>2.1999999999999999E-2</v>
      </c>
      <c r="J41" s="144"/>
      <c r="K41" s="48"/>
    </row>
    <row r="42" spans="2:11">
      <c r="B42" s="146">
        <f t="shared" ref="B42:B48" si="5">B41+1</f>
        <v>2017</v>
      </c>
      <c r="C42" s="143">
        <v>0.02</v>
      </c>
      <c r="D42" s="48"/>
      <c r="E42" s="146">
        <f t="shared" ref="E42:E48" si="6">E41+1</f>
        <v>2025</v>
      </c>
      <c r="F42" s="143">
        <v>2.1000000000000001E-2</v>
      </c>
      <c r="G42" s="143"/>
      <c r="H42" s="146">
        <f t="shared" ref="H42:H49" si="7">H41+1</f>
        <v>2033</v>
      </c>
      <c r="I42" s="143">
        <v>2.1000000000000001E-2</v>
      </c>
      <c r="J42" s="144"/>
      <c r="K42" s="48"/>
    </row>
    <row r="43" spans="2:11">
      <c r="B43" s="146">
        <f t="shared" si="5"/>
        <v>2018</v>
      </c>
      <c r="C43" s="143">
        <v>2.4E-2</v>
      </c>
      <c r="D43" s="48"/>
      <c r="E43" s="146">
        <f t="shared" si="6"/>
        <v>2026</v>
      </c>
      <c r="F43" s="143">
        <v>2.3E-2</v>
      </c>
      <c r="G43" s="143"/>
      <c r="H43" s="146">
        <f t="shared" si="7"/>
        <v>2034</v>
      </c>
      <c r="I43" s="143">
        <v>2.1000000000000001E-2</v>
      </c>
      <c r="J43" s="144"/>
      <c r="K43" s="48"/>
    </row>
    <row r="44" spans="2:11">
      <c r="B44" s="146">
        <f t="shared" si="5"/>
        <v>2019</v>
      </c>
      <c r="C44" s="143">
        <v>1.7999999999999999E-2</v>
      </c>
      <c r="D44" s="48"/>
      <c r="E44" s="146">
        <f t="shared" si="6"/>
        <v>2027</v>
      </c>
      <c r="F44" s="143">
        <v>2.4E-2</v>
      </c>
      <c r="G44" s="143"/>
      <c r="H44" s="146">
        <f t="shared" si="7"/>
        <v>2035</v>
      </c>
      <c r="I44" s="143">
        <v>2.1000000000000001E-2</v>
      </c>
      <c r="J44" s="144"/>
      <c r="K44" s="48"/>
    </row>
    <row r="45" spans="2:11">
      <c r="B45" s="146">
        <f t="shared" si="5"/>
        <v>2020</v>
      </c>
      <c r="C45" s="143">
        <v>1.0999999999999999E-2</v>
      </c>
      <c r="D45" s="48"/>
      <c r="E45" s="146">
        <f t="shared" si="6"/>
        <v>2028</v>
      </c>
      <c r="F45" s="143">
        <v>2.5000000000000001E-2</v>
      </c>
      <c r="G45" s="143"/>
      <c r="H45" s="146">
        <f t="shared" si="7"/>
        <v>2036</v>
      </c>
      <c r="I45" s="143">
        <v>2.1000000000000001E-2</v>
      </c>
      <c r="J45" s="144"/>
      <c r="K45" s="48"/>
    </row>
    <row r="46" spans="2:11">
      <c r="B46" s="146">
        <f t="shared" si="5"/>
        <v>2021</v>
      </c>
      <c r="C46" s="143">
        <v>1.9E-2</v>
      </c>
      <c r="D46" s="48"/>
      <c r="E46" s="146">
        <f t="shared" si="6"/>
        <v>2029</v>
      </c>
      <c r="F46" s="143">
        <v>2.4E-2</v>
      </c>
      <c r="G46" s="143"/>
      <c r="H46" s="146">
        <f t="shared" si="7"/>
        <v>2037</v>
      </c>
      <c r="I46" s="143">
        <v>2.1000000000000001E-2</v>
      </c>
      <c r="J46" s="144"/>
      <c r="K46" s="48"/>
    </row>
    <row r="47" spans="2:11">
      <c r="B47" s="146">
        <f t="shared" si="5"/>
        <v>2022</v>
      </c>
      <c r="C47" s="143">
        <v>0.02</v>
      </c>
      <c r="D47" s="54"/>
      <c r="E47" s="146">
        <f t="shared" si="6"/>
        <v>2030</v>
      </c>
      <c r="F47" s="143">
        <v>2.4E-2</v>
      </c>
      <c r="G47" s="143"/>
      <c r="H47" s="146">
        <f t="shared" si="7"/>
        <v>2038</v>
      </c>
      <c r="I47" s="143">
        <v>2.1000000000000001E-2</v>
      </c>
      <c r="J47" s="145"/>
      <c r="K47" s="54"/>
    </row>
    <row r="48" spans="2:11">
      <c r="B48" s="146">
        <f t="shared" si="5"/>
        <v>2023</v>
      </c>
      <c r="C48" s="143">
        <v>1.9E-2</v>
      </c>
      <c r="D48" s="54"/>
      <c r="E48" s="146">
        <f t="shared" si="6"/>
        <v>2031</v>
      </c>
      <c r="F48" s="143">
        <v>2.1999999999999999E-2</v>
      </c>
      <c r="G48" s="143"/>
      <c r="H48" s="146">
        <f t="shared" si="7"/>
        <v>2039</v>
      </c>
      <c r="I48" s="143">
        <v>2.1000000000000001E-2</v>
      </c>
      <c r="J48" s="145"/>
      <c r="K48" s="54"/>
    </row>
    <row r="49" spans="2:11">
      <c r="B49" s="145"/>
      <c r="C49" s="145"/>
      <c r="D49" s="54"/>
      <c r="E49" s="146"/>
      <c r="F49" s="143"/>
      <c r="G49" s="143"/>
      <c r="H49" s="146">
        <f t="shared" si="7"/>
        <v>2040</v>
      </c>
      <c r="I49" s="143">
        <v>2.1000000000000001E-2</v>
      </c>
      <c r="J49" s="145"/>
      <c r="K49" s="54"/>
    </row>
    <row r="53" spans="2:11" s="35" customFormat="1"/>
    <row r="54" spans="2:11" s="35" customFormat="1"/>
    <row r="55" spans="2:11" s="35" customFormat="1">
      <c r="H55" s="45"/>
      <c r="I55" s="27"/>
      <c r="J55" s="27"/>
    </row>
    <row r="56" spans="2:11" s="35" customFormat="1">
      <c r="H56" s="45"/>
      <c r="I56" s="27"/>
      <c r="J56" s="27"/>
    </row>
    <row r="57" spans="2:11" s="35" customFormat="1">
      <c r="H57" s="45"/>
      <c r="I57" s="27"/>
      <c r="J57" s="27"/>
    </row>
    <row r="74" spans="3:4">
      <c r="C74" s="45"/>
      <c r="D74" s="27"/>
    </row>
    <row r="75" spans="3:4">
      <c r="C75" s="45"/>
      <c r="D75" s="27"/>
    </row>
    <row r="76" spans="3:4">
      <c r="C76" s="45"/>
      <c r="D76" s="27"/>
    </row>
    <row r="77" spans="3:4">
      <c r="C77" s="45"/>
      <c r="D77" s="27"/>
    </row>
    <row r="78" spans="3:4">
      <c r="C78" s="45"/>
      <c r="D78" s="27"/>
    </row>
    <row r="79" spans="3:4">
      <c r="C79" s="45"/>
      <c r="D79" s="27"/>
    </row>
    <row r="80" spans="3:4">
      <c r="C80" s="45"/>
      <c r="D80" s="27"/>
    </row>
    <row r="81" spans="3:4">
      <c r="C81" s="45"/>
      <c r="D81" s="27"/>
    </row>
    <row r="82" spans="3:4">
      <c r="C82" s="45"/>
      <c r="D82" s="27"/>
    </row>
    <row r="83" spans="3:4">
      <c r="C83" s="45"/>
      <c r="D83" s="27"/>
    </row>
  </sheetData>
  <printOptions horizontalCentered="1"/>
  <pageMargins left="0.8" right="0.3" top="0.4" bottom="0.4" header="0.5" footer="0.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C17" sqref="C17"/>
    </sheetView>
  </sheetViews>
  <sheetFormatPr defaultColWidth="9.33203125" defaultRowHeight="12.75"/>
  <cols>
    <col min="1" max="1" width="1.33203125" style="144" customWidth="1"/>
    <col min="2" max="2" width="13.6640625" style="144" customWidth="1"/>
    <col min="3" max="3" width="9.83203125" style="144" customWidth="1"/>
    <col min="4" max="4" width="12.1640625" style="144" customWidth="1"/>
    <col min="5" max="5" width="9.1640625" style="144" customWidth="1"/>
    <col min="6" max="6" width="11.33203125" style="144" customWidth="1"/>
    <col min="7" max="8" width="10.1640625" style="144" customWidth="1"/>
    <col min="9" max="9" width="11.5" style="144" customWidth="1"/>
    <col min="10" max="10" width="9" style="144" customWidth="1"/>
    <col min="11" max="11" width="3.5" style="144" customWidth="1"/>
    <col min="12" max="13" width="9.33203125" style="144"/>
    <col min="14" max="15" width="9.33203125" style="144" customWidth="1"/>
    <col min="16" max="16384" width="9.33203125" style="144"/>
  </cols>
  <sheetData>
    <row r="1" spans="1:17" ht="15.75">
      <c r="B1" s="158" t="s">
        <v>183</v>
      </c>
      <c r="C1" s="157"/>
      <c r="D1" s="157"/>
      <c r="E1" s="157"/>
      <c r="F1" s="157"/>
      <c r="G1" s="157"/>
      <c r="H1" s="157"/>
      <c r="I1" s="157"/>
      <c r="J1" s="158"/>
    </row>
    <row r="2" spans="1:17" ht="15.75">
      <c r="B2" s="158" t="s">
        <v>138</v>
      </c>
      <c r="C2" s="157"/>
      <c r="D2" s="157"/>
      <c r="E2" s="157"/>
      <c r="F2" s="157"/>
      <c r="G2" s="157"/>
      <c r="H2" s="157"/>
      <c r="I2" s="157"/>
      <c r="J2" s="157"/>
    </row>
    <row r="3" spans="1:17" ht="15.75">
      <c r="B3" s="32" t="str">
        <f>"2017 IRP: "&amp;B9</f>
        <v>2017 IRP: SCCT Frame "F"x1 - West Side Options (1500')</v>
      </c>
      <c r="C3" s="157"/>
      <c r="D3" s="157"/>
      <c r="E3" s="157"/>
      <c r="F3" s="157"/>
      <c r="G3" s="157"/>
      <c r="H3" s="157"/>
      <c r="I3" s="157"/>
      <c r="J3" s="157"/>
    </row>
    <row r="4" spans="1:17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45"/>
    </row>
    <row r="5" spans="1:17" ht="51.75" customHeight="1">
      <c r="A5" s="180"/>
      <c r="B5" s="171" t="s">
        <v>2</v>
      </c>
      <c r="C5" s="170" t="s">
        <v>10</v>
      </c>
      <c r="D5" s="170" t="s">
        <v>11</v>
      </c>
      <c r="E5" s="170" t="s">
        <v>12</v>
      </c>
      <c r="F5"/>
      <c r="G5" s="151" t="s">
        <v>115</v>
      </c>
      <c r="H5" s="151" t="s">
        <v>121</v>
      </c>
      <c r="I5" s="170" t="s">
        <v>137</v>
      </c>
      <c r="J5" s="156"/>
      <c r="O5"/>
      <c r="P5"/>
      <c r="Q5"/>
    </row>
    <row r="6" spans="1:17" ht="24.75" customHeight="1">
      <c r="B6" s="169"/>
      <c r="C6" s="168" t="s">
        <v>129</v>
      </c>
      <c r="D6" s="167" t="s">
        <v>120</v>
      </c>
      <c r="E6" s="167" t="s">
        <v>120</v>
      </c>
      <c r="F6"/>
      <c r="G6" s="167" t="s">
        <v>120</v>
      </c>
      <c r="H6" s="40" t="s">
        <v>119</v>
      </c>
      <c r="I6" s="167" t="s">
        <v>120</v>
      </c>
      <c r="J6" s="156"/>
      <c r="O6"/>
      <c r="P6"/>
      <c r="Q6"/>
    </row>
    <row r="7" spans="1:17">
      <c r="C7" s="166" t="s">
        <v>4</v>
      </c>
      <c r="D7" s="166" t="s">
        <v>5</v>
      </c>
      <c r="E7" s="166" t="s">
        <v>6</v>
      </c>
      <c r="F7"/>
      <c r="G7" s="166" t="s">
        <v>7</v>
      </c>
      <c r="H7" s="166" t="s">
        <v>8</v>
      </c>
      <c r="I7" s="166" t="s">
        <v>9</v>
      </c>
      <c r="J7" s="156"/>
      <c r="O7"/>
      <c r="P7"/>
      <c r="Q7"/>
    </row>
    <row r="8" spans="1:17" ht="6" customHeight="1">
      <c r="F8"/>
      <c r="J8" s="156"/>
      <c r="O8"/>
      <c r="P8"/>
      <c r="Q8"/>
    </row>
    <row r="9" spans="1:17" ht="15.75">
      <c r="B9" s="42" t="str">
        <f>C42</f>
        <v>SCCT Frame "F"x1 - West Side Options (1500')</v>
      </c>
      <c r="C9" s="145"/>
      <c r="E9" s="145"/>
      <c r="F9"/>
      <c r="G9" s="145"/>
      <c r="H9" s="145"/>
      <c r="I9" s="145"/>
      <c r="J9" s="156"/>
      <c r="O9"/>
      <c r="P9"/>
      <c r="Q9"/>
    </row>
    <row r="10" spans="1:17">
      <c r="B10" s="155">
        <v>2016</v>
      </c>
      <c r="C10" s="165">
        <f>C44*1000</f>
        <v>616137.73555279954</v>
      </c>
      <c r="D10" s="165">
        <f>ROUND(C10*C49,0)</f>
        <v>43863</v>
      </c>
      <c r="E10" s="165">
        <f>C47*1000</f>
        <v>48461.415653539763</v>
      </c>
      <c r="F10"/>
      <c r="G10" s="164"/>
      <c r="H10" s="164"/>
      <c r="I10" s="164"/>
      <c r="J10" s="156"/>
      <c r="O10"/>
      <c r="P10"/>
      <c r="Q10"/>
    </row>
    <row r="11" spans="1:17">
      <c r="B11" s="155">
        <f t="shared" ref="B11:B34" si="0">B10+1</f>
        <v>2017</v>
      </c>
      <c r="C11" s="161"/>
      <c r="D11" s="165">
        <f t="shared" ref="D11:D34" si="1">ROUND(D10*(1+(IFERROR(INDEX($D$52:$D$60,MATCH($B11,$C$52:$C$60,0),1),0)+IFERROR(INDEX($G$52:$G$60,MATCH($B11,$F$52:$F$60,0),1),0)+IFERROR(INDEX($J$52:$J$60,MATCH($B11,$I$52:$I$60,0),1),0))),2)</f>
        <v>44740.26</v>
      </c>
      <c r="E11" s="165">
        <f t="shared" ref="E11:E34" si="2">ROUND(E10*(1+(IFERROR(INDEX($D$52:$D$60,MATCH($B11,$C$52:$C$60,0),1),0)+IFERROR(INDEX($G$52:$G$60,MATCH($B11,$F$52:$F$60,0),1),0)+IFERROR(INDEX($J$52:$J$60,MATCH($B11,$I$52:$I$60,0),1),0))),2)</f>
        <v>49430.64</v>
      </c>
      <c r="F11"/>
      <c r="G11" s="164"/>
      <c r="H11" s="164"/>
      <c r="I11" s="164"/>
      <c r="J11" s="156"/>
      <c r="O11"/>
      <c r="P11"/>
      <c r="Q11"/>
    </row>
    <row r="12" spans="1:17">
      <c r="B12" s="155">
        <f t="shared" si="0"/>
        <v>2018</v>
      </c>
      <c r="C12" s="161"/>
      <c r="D12" s="165">
        <f t="shared" si="1"/>
        <v>45814.03</v>
      </c>
      <c r="E12" s="165">
        <f t="shared" si="2"/>
        <v>50616.98</v>
      </c>
      <c r="F12"/>
      <c r="G12" s="164"/>
      <c r="H12" s="164"/>
      <c r="I12" s="164"/>
      <c r="J12" s="178"/>
      <c r="O12"/>
      <c r="P12"/>
      <c r="Q12"/>
    </row>
    <row r="13" spans="1:17">
      <c r="B13" s="155">
        <f t="shared" si="0"/>
        <v>2019</v>
      </c>
      <c r="C13" s="161"/>
      <c r="D13" s="165">
        <f t="shared" si="1"/>
        <v>46638.68</v>
      </c>
      <c r="E13" s="165">
        <f t="shared" si="2"/>
        <v>51528.09</v>
      </c>
      <c r="F13"/>
      <c r="G13" s="165">
        <f>D13+E13</f>
        <v>98166.76999999999</v>
      </c>
      <c r="H13" s="146">
        <v>12</v>
      </c>
      <c r="I13" s="165">
        <f t="shared" ref="I13:I34" si="3">G13*H13/12</f>
        <v>98166.769999999975</v>
      </c>
      <c r="J13" s="178"/>
      <c r="O13"/>
      <c r="P13"/>
      <c r="Q13"/>
    </row>
    <row r="14" spans="1:17">
      <c r="B14" s="155">
        <f t="shared" si="0"/>
        <v>2020</v>
      </c>
      <c r="C14" s="161"/>
      <c r="D14" s="165">
        <f t="shared" si="1"/>
        <v>47151.71</v>
      </c>
      <c r="E14" s="165">
        <f t="shared" si="2"/>
        <v>52094.9</v>
      </c>
      <c r="F14"/>
      <c r="G14" s="165">
        <f t="shared" ref="G14:G34" si="4">D14+E14</f>
        <v>99246.61</v>
      </c>
      <c r="H14" s="146">
        <v>12</v>
      </c>
      <c r="I14" s="165">
        <f t="shared" si="3"/>
        <v>99246.61</v>
      </c>
      <c r="J14" s="178"/>
      <c r="O14"/>
      <c r="P14"/>
      <c r="Q14"/>
    </row>
    <row r="15" spans="1:17">
      <c r="B15" s="155">
        <f t="shared" si="0"/>
        <v>2021</v>
      </c>
      <c r="C15" s="161"/>
      <c r="D15" s="165">
        <f t="shared" si="1"/>
        <v>48047.59</v>
      </c>
      <c r="E15" s="165">
        <f t="shared" si="2"/>
        <v>53084.7</v>
      </c>
      <c r="F15"/>
      <c r="G15" s="165">
        <f t="shared" si="4"/>
        <v>101132.29</v>
      </c>
      <c r="H15" s="146">
        <v>12</v>
      </c>
      <c r="I15" s="165">
        <f t="shared" si="3"/>
        <v>101132.29</v>
      </c>
      <c r="J15" s="178"/>
      <c r="O15"/>
      <c r="P15"/>
      <c r="Q15"/>
    </row>
    <row r="16" spans="1:17">
      <c r="B16" s="155">
        <f t="shared" si="0"/>
        <v>2022</v>
      </c>
      <c r="C16" s="161"/>
      <c r="D16" s="165">
        <f t="shared" si="1"/>
        <v>49008.54</v>
      </c>
      <c r="E16" s="165">
        <f t="shared" si="2"/>
        <v>54146.39</v>
      </c>
      <c r="F16"/>
      <c r="G16" s="165">
        <f t="shared" si="4"/>
        <v>103154.93</v>
      </c>
      <c r="H16" s="146">
        <v>12</v>
      </c>
      <c r="I16" s="165">
        <f t="shared" si="3"/>
        <v>103154.93</v>
      </c>
      <c r="J16" s="178"/>
      <c r="O16"/>
      <c r="P16"/>
      <c r="Q16"/>
    </row>
    <row r="17" spans="2:17">
      <c r="B17" s="155">
        <f t="shared" si="0"/>
        <v>2023</v>
      </c>
      <c r="C17" s="161"/>
      <c r="D17" s="165">
        <f t="shared" si="1"/>
        <v>49939.7</v>
      </c>
      <c r="E17" s="165">
        <f t="shared" si="2"/>
        <v>55175.17</v>
      </c>
      <c r="F17"/>
      <c r="G17" s="165">
        <f t="shared" si="4"/>
        <v>105114.87</v>
      </c>
      <c r="H17" s="146">
        <v>12</v>
      </c>
      <c r="I17" s="165">
        <f t="shared" si="3"/>
        <v>105114.87</v>
      </c>
      <c r="J17" s="178"/>
      <c r="O17"/>
      <c r="P17"/>
      <c r="Q17"/>
    </row>
    <row r="18" spans="2:17">
      <c r="B18" s="155">
        <f t="shared" si="0"/>
        <v>2024</v>
      </c>
      <c r="C18" s="161"/>
      <c r="D18" s="165">
        <f t="shared" si="1"/>
        <v>50938.49</v>
      </c>
      <c r="E18" s="165">
        <f t="shared" si="2"/>
        <v>56278.67</v>
      </c>
      <c r="F18"/>
      <c r="G18" s="165">
        <f t="shared" si="4"/>
        <v>107217.16</v>
      </c>
      <c r="H18" s="146">
        <v>12</v>
      </c>
      <c r="I18" s="165">
        <f t="shared" si="3"/>
        <v>107217.15999999999</v>
      </c>
      <c r="J18" s="178"/>
      <c r="O18"/>
      <c r="P18"/>
      <c r="Q18"/>
    </row>
    <row r="19" spans="2:17">
      <c r="B19" s="155">
        <f t="shared" si="0"/>
        <v>2025</v>
      </c>
      <c r="C19" s="161"/>
      <c r="D19" s="165">
        <f t="shared" si="1"/>
        <v>52008.2</v>
      </c>
      <c r="E19" s="165">
        <f t="shared" si="2"/>
        <v>57460.52</v>
      </c>
      <c r="F19"/>
      <c r="G19" s="165">
        <f t="shared" si="4"/>
        <v>109468.72</v>
      </c>
      <c r="H19" s="146">
        <v>12</v>
      </c>
      <c r="I19" s="165">
        <f t="shared" si="3"/>
        <v>109468.72000000002</v>
      </c>
      <c r="J19" s="178"/>
      <c r="O19"/>
      <c r="P19"/>
      <c r="Q19"/>
    </row>
    <row r="20" spans="2:17">
      <c r="B20" s="155">
        <f t="shared" si="0"/>
        <v>2026</v>
      </c>
      <c r="C20" s="161"/>
      <c r="D20" s="165">
        <f t="shared" si="1"/>
        <v>53204.39</v>
      </c>
      <c r="E20" s="165">
        <f t="shared" si="2"/>
        <v>58782.11</v>
      </c>
      <c r="F20"/>
      <c r="G20" s="165">
        <f t="shared" si="4"/>
        <v>111986.5</v>
      </c>
      <c r="H20" s="146">
        <v>12</v>
      </c>
      <c r="I20" s="165">
        <f t="shared" si="3"/>
        <v>111986.5</v>
      </c>
      <c r="J20" s="178"/>
      <c r="O20"/>
      <c r="P20"/>
      <c r="Q20"/>
    </row>
    <row r="21" spans="2:17">
      <c r="B21" s="155">
        <f t="shared" si="0"/>
        <v>2027</v>
      </c>
      <c r="C21" s="161"/>
      <c r="D21" s="165">
        <f t="shared" si="1"/>
        <v>54481.3</v>
      </c>
      <c r="E21" s="165">
        <f t="shared" si="2"/>
        <v>60192.88</v>
      </c>
      <c r="F21"/>
      <c r="G21" s="165">
        <f t="shared" si="4"/>
        <v>114674.18</v>
      </c>
      <c r="H21" s="146">
        <v>12</v>
      </c>
      <c r="I21" s="165">
        <f t="shared" si="3"/>
        <v>114674.18</v>
      </c>
      <c r="J21" s="178"/>
      <c r="O21"/>
      <c r="P21"/>
      <c r="Q21"/>
    </row>
    <row r="22" spans="2:17">
      <c r="B22" s="155">
        <f t="shared" si="0"/>
        <v>2028</v>
      </c>
      <c r="C22" s="161"/>
      <c r="D22" s="165">
        <f t="shared" si="1"/>
        <v>55843.33</v>
      </c>
      <c r="E22" s="165">
        <f t="shared" si="2"/>
        <v>61697.7</v>
      </c>
      <c r="F22"/>
      <c r="G22" s="165">
        <f t="shared" si="4"/>
        <v>117541.03</v>
      </c>
      <c r="H22" s="146">
        <v>12</v>
      </c>
      <c r="I22" s="165">
        <f t="shared" si="3"/>
        <v>117541.02999999998</v>
      </c>
      <c r="J22" s="178"/>
      <c r="O22"/>
      <c r="P22"/>
      <c r="Q22"/>
    </row>
    <row r="23" spans="2:17">
      <c r="B23" s="155">
        <f t="shared" si="0"/>
        <v>2029</v>
      </c>
      <c r="C23" s="161"/>
      <c r="D23" s="165">
        <f t="shared" si="1"/>
        <v>57183.57</v>
      </c>
      <c r="E23" s="165">
        <f t="shared" si="2"/>
        <v>63178.44</v>
      </c>
      <c r="F23"/>
      <c r="G23" s="165">
        <f t="shared" si="4"/>
        <v>120362.01000000001</v>
      </c>
      <c r="H23" s="146">
        <v>12</v>
      </c>
      <c r="I23" s="165">
        <f t="shared" si="3"/>
        <v>120362.01000000001</v>
      </c>
      <c r="J23" s="178"/>
      <c r="O23"/>
      <c r="P23"/>
      <c r="Q23"/>
    </row>
    <row r="24" spans="2:17">
      <c r="B24" s="155">
        <f t="shared" si="0"/>
        <v>2030</v>
      </c>
      <c r="C24" s="161"/>
      <c r="D24" s="165">
        <f t="shared" si="1"/>
        <v>58555.98</v>
      </c>
      <c r="E24" s="165">
        <f t="shared" si="2"/>
        <v>64694.720000000001</v>
      </c>
      <c r="F24"/>
      <c r="G24" s="165">
        <f t="shared" si="4"/>
        <v>123250.70000000001</v>
      </c>
      <c r="H24" s="146">
        <v>12</v>
      </c>
      <c r="I24" s="165">
        <f t="shared" si="3"/>
        <v>123250.70000000001</v>
      </c>
      <c r="J24" s="178"/>
      <c r="O24"/>
      <c r="P24"/>
      <c r="Q24"/>
    </row>
    <row r="25" spans="2:17">
      <c r="B25" s="155">
        <f t="shared" si="0"/>
        <v>2031</v>
      </c>
      <c r="C25" s="161"/>
      <c r="D25" s="165">
        <f t="shared" si="1"/>
        <v>59844.21</v>
      </c>
      <c r="E25" s="165">
        <f t="shared" si="2"/>
        <v>66118</v>
      </c>
      <c r="F25"/>
      <c r="G25" s="165">
        <f t="shared" si="4"/>
        <v>125962.20999999999</v>
      </c>
      <c r="H25" s="146">
        <v>12</v>
      </c>
      <c r="I25" s="165">
        <f t="shared" si="3"/>
        <v>125962.21</v>
      </c>
      <c r="J25" s="178"/>
      <c r="O25"/>
      <c r="P25"/>
      <c r="Q25"/>
    </row>
    <row r="26" spans="2:17">
      <c r="B26" s="155">
        <f t="shared" si="0"/>
        <v>2032</v>
      </c>
      <c r="C26" s="161"/>
      <c r="D26" s="165">
        <f t="shared" si="1"/>
        <v>61160.78</v>
      </c>
      <c r="E26" s="165">
        <f t="shared" si="2"/>
        <v>67572.600000000006</v>
      </c>
      <c r="F26"/>
      <c r="G26" s="165">
        <f t="shared" si="4"/>
        <v>128733.38</v>
      </c>
      <c r="H26" s="146">
        <v>12</v>
      </c>
      <c r="I26" s="165">
        <f t="shared" si="3"/>
        <v>128733.38</v>
      </c>
      <c r="J26" s="178"/>
      <c r="O26"/>
      <c r="P26"/>
      <c r="Q26"/>
    </row>
    <row r="27" spans="2:17">
      <c r="B27" s="155">
        <f t="shared" si="0"/>
        <v>2033</v>
      </c>
      <c r="C27" s="161"/>
      <c r="D27" s="165">
        <f t="shared" si="1"/>
        <v>62445.16</v>
      </c>
      <c r="E27" s="165">
        <f t="shared" si="2"/>
        <v>68991.62</v>
      </c>
      <c r="F27"/>
      <c r="G27" s="165">
        <f t="shared" si="4"/>
        <v>131436.78</v>
      </c>
      <c r="H27" s="146">
        <v>12</v>
      </c>
      <c r="I27" s="165">
        <f t="shared" si="3"/>
        <v>131436.78</v>
      </c>
      <c r="J27" s="178"/>
      <c r="O27"/>
      <c r="P27"/>
      <c r="Q27"/>
    </row>
    <row r="28" spans="2:17">
      <c r="B28" s="155">
        <f t="shared" si="0"/>
        <v>2034</v>
      </c>
      <c r="C28" s="161"/>
      <c r="D28" s="165">
        <f t="shared" si="1"/>
        <v>63756.51</v>
      </c>
      <c r="E28" s="165">
        <f t="shared" si="2"/>
        <v>70440.44</v>
      </c>
      <c r="F28"/>
      <c r="G28" s="165">
        <f t="shared" si="4"/>
        <v>134196.95000000001</v>
      </c>
      <c r="H28" s="146">
        <v>12</v>
      </c>
      <c r="I28" s="165">
        <f t="shared" si="3"/>
        <v>134196.95000000001</v>
      </c>
      <c r="J28" s="178"/>
      <c r="O28"/>
      <c r="P28"/>
      <c r="Q28"/>
    </row>
    <row r="29" spans="2:17">
      <c r="B29" s="155">
        <f t="shared" si="0"/>
        <v>2035</v>
      </c>
      <c r="C29" s="161"/>
      <c r="D29" s="165">
        <f t="shared" si="1"/>
        <v>65095.4</v>
      </c>
      <c r="E29" s="165">
        <f t="shared" si="2"/>
        <v>71919.69</v>
      </c>
      <c r="F29"/>
      <c r="G29" s="165">
        <f t="shared" si="4"/>
        <v>137015.09</v>
      </c>
      <c r="H29" s="146">
        <v>12</v>
      </c>
      <c r="I29" s="165">
        <f t="shared" si="3"/>
        <v>137015.09</v>
      </c>
      <c r="J29" s="178"/>
      <c r="O29"/>
      <c r="P29"/>
      <c r="Q29"/>
    </row>
    <row r="30" spans="2:17">
      <c r="B30" s="155">
        <f t="shared" si="0"/>
        <v>2036</v>
      </c>
      <c r="C30" s="161"/>
      <c r="D30" s="165">
        <f t="shared" si="1"/>
        <v>66462.399999999994</v>
      </c>
      <c r="E30" s="165">
        <f t="shared" si="2"/>
        <v>73430</v>
      </c>
      <c r="F30"/>
      <c r="G30" s="165">
        <f t="shared" si="4"/>
        <v>139892.4</v>
      </c>
      <c r="H30" s="146">
        <v>12</v>
      </c>
      <c r="I30" s="165">
        <f t="shared" si="3"/>
        <v>139892.4</v>
      </c>
      <c r="J30" s="178"/>
      <c r="O30"/>
      <c r="P30"/>
      <c r="Q30"/>
    </row>
    <row r="31" spans="2:17">
      <c r="B31" s="155">
        <f t="shared" si="0"/>
        <v>2037</v>
      </c>
      <c r="C31" s="161"/>
      <c r="D31" s="165">
        <f t="shared" si="1"/>
        <v>67858.11</v>
      </c>
      <c r="E31" s="165">
        <f t="shared" si="2"/>
        <v>74972.03</v>
      </c>
      <c r="F31"/>
      <c r="G31" s="165">
        <f t="shared" si="4"/>
        <v>142830.14000000001</v>
      </c>
      <c r="H31" s="146">
        <v>12</v>
      </c>
      <c r="I31" s="165">
        <f t="shared" si="3"/>
        <v>142830.14000000001</v>
      </c>
      <c r="J31" s="178"/>
      <c r="O31"/>
      <c r="P31"/>
      <c r="Q31"/>
    </row>
    <row r="32" spans="2:17">
      <c r="B32" s="155">
        <f t="shared" si="0"/>
        <v>2038</v>
      </c>
      <c r="C32" s="161"/>
      <c r="D32" s="165">
        <f t="shared" si="1"/>
        <v>69283.13</v>
      </c>
      <c r="E32" s="165">
        <f t="shared" si="2"/>
        <v>76546.44</v>
      </c>
      <c r="F32"/>
      <c r="G32" s="165">
        <f t="shared" si="4"/>
        <v>145829.57</v>
      </c>
      <c r="H32" s="146">
        <v>12</v>
      </c>
      <c r="I32" s="165">
        <f t="shared" si="3"/>
        <v>145829.57</v>
      </c>
      <c r="J32" s="178"/>
      <c r="O32"/>
      <c r="P32"/>
      <c r="Q32"/>
    </row>
    <row r="33" spans="2:17">
      <c r="B33" s="155">
        <f t="shared" si="0"/>
        <v>2039</v>
      </c>
      <c r="C33" s="161"/>
      <c r="D33" s="165">
        <f t="shared" si="1"/>
        <v>70738.080000000002</v>
      </c>
      <c r="E33" s="165">
        <f t="shared" si="2"/>
        <v>78153.919999999998</v>
      </c>
      <c r="F33"/>
      <c r="G33" s="165">
        <f t="shared" si="4"/>
        <v>148892</v>
      </c>
      <c r="H33" s="146">
        <v>12</v>
      </c>
      <c r="I33" s="165">
        <f t="shared" si="3"/>
        <v>148892</v>
      </c>
      <c r="J33" s="178"/>
      <c r="O33"/>
      <c r="P33"/>
      <c r="Q33"/>
    </row>
    <row r="34" spans="2:17">
      <c r="B34" s="155">
        <f t="shared" si="0"/>
        <v>2040</v>
      </c>
      <c r="C34" s="161"/>
      <c r="D34" s="165">
        <f t="shared" si="1"/>
        <v>72223.58</v>
      </c>
      <c r="E34" s="165">
        <f t="shared" si="2"/>
        <v>79795.149999999994</v>
      </c>
      <c r="F34"/>
      <c r="G34" s="165">
        <f t="shared" si="4"/>
        <v>152018.72999999998</v>
      </c>
      <c r="H34" s="146">
        <v>12</v>
      </c>
      <c r="I34" s="165">
        <f t="shared" si="3"/>
        <v>152018.72999999998</v>
      </c>
      <c r="J34" s="178"/>
      <c r="O34"/>
      <c r="P34"/>
      <c r="Q34"/>
    </row>
    <row r="35" spans="2:17" ht="10.5" customHeight="1">
      <c r="B35" s="163"/>
      <c r="C35" s="162"/>
      <c r="D35" s="179"/>
      <c r="E35" s="159"/>
      <c r="F35" s="159"/>
      <c r="G35" s="159"/>
      <c r="H35" s="159"/>
      <c r="I35" s="159"/>
      <c r="J35" s="178"/>
      <c r="K35" s="177"/>
      <c r="O35"/>
      <c r="P35"/>
      <c r="Q35"/>
    </row>
    <row r="36" spans="2:17">
      <c r="B36" s="34"/>
      <c r="C36" s="22"/>
      <c r="D36" s="160"/>
      <c r="E36" s="160"/>
      <c r="F36" s="160"/>
      <c r="G36" s="160"/>
      <c r="H36" s="160"/>
      <c r="I36" s="160"/>
      <c r="J36" s="160"/>
      <c r="K36" s="160"/>
      <c r="L36" s="160"/>
    </row>
    <row r="37" spans="2:17">
      <c r="B37" s="160"/>
      <c r="C37" s="176" t="str">
        <f>D7</f>
        <v>(b)</v>
      </c>
      <c r="D37" s="175" t="str">
        <f>"= "&amp;C7&amp;" x "&amp;TEXT(C49,"0.000% ")&amp;"Payment Factor"</f>
        <v>= (a) x 7.119% Payment Factor</v>
      </c>
      <c r="E37" s="160"/>
      <c r="F37" s="160"/>
      <c r="G37" s="160"/>
      <c r="H37" s="160"/>
      <c r="I37" s="160"/>
      <c r="J37" s="160"/>
      <c r="K37" s="160"/>
      <c r="L37" s="160"/>
    </row>
    <row r="38" spans="2:17">
      <c r="B38" s="160"/>
      <c r="C38" s="176" t="s">
        <v>7</v>
      </c>
      <c r="D38" s="175" t="str">
        <f>"= "&amp;D7&amp;" + "&amp;E7</f>
        <v>= (b) + (c)</v>
      </c>
      <c r="E38" s="160"/>
      <c r="F38" s="160"/>
      <c r="G38" s="160"/>
      <c r="H38" s="160"/>
      <c r="I38" s="160"/>
      <c r="J38" s="160"/>
      <c r="K38" s="160"/>
      <c r="L38" s="160"/>
    </row>
    <row r="39" spans="2:17">
      <c r="B39" s="160"/>
      <c r="C39" s="176" t="str">
        <f>G7</f>
        <v>(d)</v>
      </c>
      <c r="D39" s="175" t="s">
        <v>159</v>
      </c>
      <c r="E39" s="160"/>
      <c r="F39" s="160"/>
      <c r="G39" s="160"/>
      <c r="H39" s="160"/>
      <c r="I39" s="160"/>
      <c r="J39" s="160"/>
      <c r="K39" s="160"/>
      <c r="L39" s="160"/>
    </row>
    <row r="40" spans="2:17">
      <c r="B40" s="160"/>
      <c r="C40" s="176" t="str">
        <f>I7</f>
        <v>(f)</v>
      </c>
      <c r="D40" s="175" t="str">
        <f>"= "&amp;G7&amp;" x "&amp;H7&amp;" / 12"</f>
        <v>= (d) x (e) / 12</v>
      </c>
      <c r="E40" s="160"/>
      <c r="F40" s="160"/>
      <c r="G40" s="160"/>
      <c r="H40" s="160"/>
      <c r="I40" s="160"/>
      <c r="J40" s="160"/>
      <c r="K40" s="160"/>
      <c r="L40" s="160"/>
    </row>
    <row r="41" spans="2:17" ht="6" customHeight="1" thickBot="1">
      <c r="B41" s="160"/>
      <c r="C41" s="176"/>
      <c r="D41" s="175"/>
      <c r="E41" s="160"/>
      <c r="F41" s="160"/>
      <c r="G41" s="160"/>
      <c r="H41" s="160"/>
      <c r="I41" s="160"/>
      <c r="J41" s="160"/>
      <c r="K41" s="160"/>
      <c r="L41" s="160"/>
    </row>
    <row r="42" spans="2:17" ht="13.5" thickBot="1">
      <c r="B42" s="160"/>
      <c r="C42" s="174" t="s">
        <v>118</v>
      </c>
      <c r="D42" s="92"/>
      <c r="E42" s="173"/>
      <c r="F42" s="92"/>
      <c r="G42" s="92"/>
      <c r="H42" s="92"/>
      <c r="I42" s="92"/>
      <c r="J42" s="23"/>
    </row>
    <row r="43" spans="2:17">
      <c r="B43" s="160"/>
      <c r="C43" s="160">
        <v>227.654578125</v>
      </c>
      <c r="D43" s="144" t="s">
        <v>16</v>
      </c>
      <c r="E43" s="160"/>
      <c r="J43" s="160"/>
    </row>
    <row r="44" spans="2:17">
      <c r="B44" s="160" t="s">
        <v>113</v>
      </c>
      <c r="C44" s="154">
        <v>616.13773555279954</v>
      </c>
      <c r="D44" s="144" t="s">
        <v>117</v>
      </c>
      <c r="E44" s="172"/>
      <c r="F44" s="24"/>
      <c r="G44" s="25"/>
      <c r="H44" s="25"/>
      <c r="I44" s="160"/>
      <c r="J44" s="160"/>
    </row>
    <row r="45" spans="2:17">
      <c r="B45" s="160" t="s">
        <v>113</v>
      </c>
      <c r="C45" s="152">
        <v>14.060233397539761</v>
      </c>
      <c r="D45" s="48" t="s">
        <v>28</v>
      </c>
      <c r="E45" s="172"/>
      <c r="F45" s="24"/>
      <c r="G45" s="25"/>
      <c r="H45" s="25"/>
      <c r="I45" s="160"/>
      <c r="J45" s="160"/>
    </row>
    <row r="46" spans="2:17">
      <c r="B46" s="160" t="s">
        <v>113</v>
      </c>
      <c r="C46" s="153">
        <v>34.401182255999998</v>
      </c>
      <c r="D46" s="48" t="s">
        <v>27</v>
      </c>
      <c r="E46" s="172"/>
      <c r="F46" s="24"/>
      <c r="G46" s="25"/>
      <c r="H46" s="25"/>
      <c r="I46" s="160"/>
      <c r="J46" s="160"/>
    </row>
    <row r="47" spans="2:17">
      <c r="B47" s="160"/>
      <c r="C47" s="152">
        <f>C45+C46</f>
        <v>48.46141565353976</v>
      </c>
      <c r="D47" s="48" t="s">
        <v>116</v>
      </c>
      <c r="E47" s="172"/>
      <c r="F47" s="24"/>
      <c r="G47" s="25"/>
      <c r="H47" s="25"/>
      <c r="I47" s="160"/>
      <c r="J47" s="160"/>
    </row>
    <row r="48" spans="2:17">
      <c r="B48" s="160"/>
      <c r="C48" s="152"/>
      <c r="D48" s="48"/>
      <c r="E48" s="172"/>
      <c r="F48" s="24"/>
      <c r="G48" s="25"/>
      <c r="H48" s="25"/>
      <c r="I48" s="160"/>
      <c r="J48" s="160"/>
    </row>
    <row r="49" spans="2:15">
      <c r="B49" s="160"/>
      <c r="C49" s="206">
        <v>7.1190000000000003E-2</v>
      </c>
      <c r="D49" s="144" t="s">
        <v>158</v>
      </c>
      <c r="E49" s="160"/>
      <c r="F49" s="160"/>
      <c r="G49" s="160"/>
      <c r="H49" s="160"/>
      <c r="I49" s="160"/>
      <c r="J49" s="160"/>
    </row>
    <row r="50" spans="2:15" ht="13.5" thickBot="1">
      <c r="B50" s="35"/>
      <c r="C50" s="35"/>
      <c r="D50" s="35"/>
      <c r="E50" s="35"/>
      <c r="F50" s="35"/>
      <c r="G50" s="35"/>
      <c r="H50" s="35"/>
      <c r="I50" s="35"/>
    </row>
    <row r="51" spans="2:15" ht="13.5" thickBot="1">
      <c r="C51" s="20" t="str">
        <f>'Table D - Integration'!$B$40</f>
        <v>Company Official Inflation Forecast Sept 2020</v>
      </c>
      <c r="D51" s="21"/>
      <c r="E51" s="21"/>
      <c r="F51" s="21"/>
      <c r="G51" s="21"/>
      <c r="H51" s="21"/>
      <c r="I51" s="21"/>
      <c r="J51" s="147"/>
    </row>
    <row r="52" spans="2:15">
      <c r="C52" s="146">
        <f>'Table D - Integration'!B41</f>
        <v>2016</v>
      </c>
      <c r="D52" s="143">
        <f>'Table D - Integration'!C41</f>
        <v>1.2E-2</v>
      </c>
      <c r="E52" s="48"/>
      <c r="F52" s="146">
        <f>'Table D - Integration'!E41</f>
        <v>2024</v>
      </c>
      <c r="G52" s="143">
        <f>'Table D - Integration'!F41</f>
        <v>0.02</v>
      </c>
      <c r="H52" s="143"/>
      <c r="I52" s="146">
        <f>'Table D - Integration'!H41</f>
        <v>2032</v>
      </c>
      <c r="J52" s="143">
        <f>'Table D - Integration'!I41</f>
        <v>2.1999999999999999E-2</v>
      </c>
      <c r="K52" s="48"/>
      <c r="N52" s="146"/>
      <c r="O52" s="143"/>
    </row>
    <row r="53" spans="2:15">
      <c r="C53" s="146">
        <f>'Table D - Integration'!B42</f>
        <v>2017</v>
      </c>
      <c r="D53" s="143">
        <f>'Table D - Integration'!C42</f>
        <v>0.02</v>
      </c>
      <c r="E53" s="48"/>
      <c r="F53" s="146">
        <f>'Table D - Integration'!E42</f>
        <v>2025</v>
      </c>
      <c r="G53" s="143">
        <f>'Table D - Integration'!F42</f>
        <v>2.1000000000000001E-2</v>
      </c>
      <c r="H53" s="143"/>
      <c r="I53" s="146">
        <f>'Table D - Integration'!H42</f>
        <v>2033</v>
      </c>
      <c r="J53" s="143">
        <f>'Table D - Integration'!I42</f>
        <v>2.1000000000000001E-2</v>
      </c>
      <c r="K53" s="48"/>
      <c r="N53" s="146"/>
      <c r="O53" s="143"/>
    </row>
    <row r="54" spans="2:15">
      <c r="C54" s="146">
        <f>'Table D - Integration'!B43</f>
        <v>2018</v>
      </c>
      <c r="D54" s="143">
        <f>'Table D - Integration'!C43</f>
        <v>2.4E-2</v>
      </c>
      <c r="E54" s="48"/>
      <c r="F54" s="146">
        <f>'Table D - Integration'!E43</f>
        <v>2026</v>
      </c>
      <c r="G54" s="143">
        <f>'Table D - Integration'!F43</f>
        <v>2.3E-2</v>
      </c>
      <c r="H54" s="143"/>
      <c r="I54" s="146">
        <f>'Table D - Integration'!H43</f>
        <v>2034</v>
      </c>
      <c r="J54" s="143">
        <f>'Table D - Integration'!I43</f>
        <v>2.1000000000000001E-2</v>
      </c>
      <c r="K54" s="48"/>
      <c r="N54" s="146"/>
      <c r="O54" s="143"/>
    </row>
    <row r="55" spans="2:15">
      <c r="C55" s="146">
        <f>'Table D - Integration'!B44</f>
        <v>2019</v>
      </c>
      <c r="D55" s="143">
        <f>'Table D - Integration'!C44</f>
        <v>1.7999999999999999E-2</v>
      </c>
      <c r="E55" s="48"/>
      <c r="F55" s="146">
        <f>'Table D - Integration'!E44</f>
        <v>2027</v>
      </c>
      <c r="G55" s="143">
        <f>'Table D - Integration'!F44</f>
        <v>2.4E-2</v>
      </c>
      <c r="H55" s="143"/>
      <c r="I55" s="146">
        <f>'Table D - Integration'!H44</f>
        <v>2035</v>
      </c>
      <c r="J55" s="143">
        <f>'Table D - Integration'!I44</f>
        <v>2.1000000000000001E-2</v>
      </c>
      <c r="K55" s="48"/>
      <c r="N55" s="146"/>
      <c r="O55" s="143"/>
    </row>
    <row r="56" spans="2:15">
      <c r="C56" s="146">
        <f>'Table D - Integration'!B45</f>
        <v>2020</v>
      </c>
      <c r="D56" s="143">
        <f>'Table D - Integration'!C45</f>
        <v>1.0999999999999999E-2</v>
      </c>
      <c r="E56" s="48"/>
      <c r="F56" s="146">
        <f>'Table D - Integration'!E45</f>
        <v>2028</v>
      </c>
      <c r="G56" s="143">
        <f>'Table D - Integration'!F45</f>
        <v>2.5000000000000001E-2</v>
      </c>
      <c r="H56" s="143"/>
      <c r="I56" s="146">
        <f>'Table D - Integration'!H45</f>
        <v>2036</v>
      </c>
      <c r="J56" s="143">
        <f>'Table D - Integration'!I45</f>
        <v>2.1000000000000001E-2</v>
      </c>
      <c r="K56" s="48"/>
      <c r="N56" s="146"/>
      <c r="O56" s="143"/>
    </row>
    <row r="57" spans="2:15">
      <c r="C57" s="146">
        <f>'Table D - Integration'!B46</f>
        <v>2021</v>
      </c>
      <c r="D57" s="143">
        <f>'Table D - Integration'!C46</f>
        <v>1.9E-2</v>
      </c>
      <c r="E57" s="48"/>
      <c r="F57" s="146">
        <f>'Table D - Integration'!E46</f>
        <v>2029</v>
      </c>
      <c r="G57" s="143">
        <f>'Table D - Integration'!F46</f>
        <v>2.4E-2</v>
      </c>
      <c r="H57" s="143"/>
      <c r="I57" s="146">
        <f>'Table D - Integration'!H46</f>
        <v>2037</v>
      </c>
      <c r="J57" s="143">
        <f>'Table D - Integration'!I46</f>
        <v>2.1000000000000001E-2</v>
      </c>
      <c r="K57" s="48"/>
      <c r="N57" s="146"/>
      <c r="O57" s="143"/>
    </row>
    <row r="58" spans="2:15" s="145" customFormat="1">
      <c r="C58" s="146">
        <f>'Table D - Integration'!B47</f>
        <v>2022</v>
      </c>
      <c r="D58" s="143">
        <f>'Table D - Integration'!C47</f>
        <v>0.02</v>
      </c>
      <c r="E58" s="54"/>
      <c r="F58" s="146">
        <f>'Table D - Integration'!E47</f>
        <v>2030</v>
      </c>
      <c r="G58" s="143">
        <f>'Table D - Integration'!F47</f>
        <v>2.4E-2</v>
      </c>
      <c r="H58" s="143"/>
      <c r="I58" s="146">
        <f>'Table D - Integration'!H47</f>
        <v>2038</v>
      </c>
      <c r="J58" s="143">
        <f>'Table D - Integration'!I47</f>
        <v>2.1000000000000001E-2</v>
      </c>
      <c r="K58" s="54"/>
      <c r="N58" s="146"/>
      <c r="O58" s="143"/>
    </row>
    <row r="59" spans="2:15" s="145" customFormat="1">
      <c r="C59" s="146">
        <f>'Table D - Integration'!B48</f>
        <v>2023</v>
      </c>
      <c r="D59" s="143">
        <f>'Table D - Integration'!C48</f>
        <v>1.9E-2</v>
      </c>
      <c r="E59" s="54"/>
      <c r="F59" s="146">
        <f>'Table D - Integration'!E48</f>
        <v>2031</v>
      </c>
      <c r="G59" s="143">
        <f>'Table D - Integration'!F48</f>
        <v>2.1999999999999999E-2</v>
      </c>
      <c r="H59" s="143"/>
      <c r="I59" s="146">
        <f>'Table D - Integration'!H48</f>
        <v>2039</v>
      </c>
      <c r="J59" s="143">
        <f>'Table D - Integration'!I48</f>
        <v>2.1000000000000001E-2</v>
      </c>
      <c r="K59" s="54"/>
      <c r="N59" s="146"/>
      <c r="O59" s="143"/>
    </row>
    <row r="60" spans="2:15" s="145" customFormat="1">
      <c r="E60" s="54"/>
      <c r="F60" s="146"/>
      <c r="G60" s="143"/>
      <c r="H60" s="143"/>
      <c r="I60" s="146">
        <f>'Table D - Integration'!H49</f>
        <v>2040</v>
      </c>
      <c r="J60" s="143">
        <f>'Table D - Integration'!I49</f>
        <v>2.1000000000000001E-2</v>
      </c>
      <c r="K60" s="54"/>
      <c r="N60" s="146"/>
      <c r="O60" s="143"/>
    </row>
  </sheetData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56"/>
  <sheetViews>
    <sheetView tabSelected="1" workbookViewId="0">
      <selection activeCell="B42" sqref="B42"/>
    </sheetView>
  </sheetViews>
  <sheetFormatPr defaultRowHeight="15"/>
  <cols>
    <col min="1" max="3" width="9.33203125" style="187"/>
    <col min="4" max="4" width="20.1640625" style="187" customWidth="1"/>
    <col min="5" max="5" width="15.33203125" style="187" customWidth="1"/>
    <col min="6" max="6" width="14.83203125" style="187" customWidth="1"/>
    <col min="7" max="7" width="14.33203125" style="187" customWidth="1"/>
    <col min="8" max="8" width="11.83203125" style="187" customWidth="1"/>
    <col min="9" max="9" width="9.33203125" style="187"/>
    <col min="10" max="10" width="13.33203125" style="187" customWidth="1"/>
    <col min="11" max="11" width="12.83203125" style="187" customWidth="1"/>
    <col min="12" max="16384" width="9.33203125" style="187"/>
  </cols>
  <sheetData>
    <row r="1" spans="2:17" ht="15.75">
      <c r="B1" s="356" t="s">
        <v>184</v>
      </c>
      <c r="C1" s="348"/>
      <c r="D1" s="348"/>
      <c r="E1" s="348"/>
      <c r="F1" s="348"/>
      <c r="G1" s="348"/>
      <c r="H1" s="348"/>
    </row>
    <row r="2" spans="2:17" ht="15.75">
      <c r="B2" s="356" t="s">
        <v>139</v>
      </c>
      <c r="C2" s="348"/>
      <c r="D2" s="348"/>
      <c r="E2" s="348"/>
      <c r="F2" s="348"/>
      <c r="G2" s="348"/>
      <c r="H2" s="348"/>
      <c r="J2" s="357"/>
      <c r="K2" s="358"/>
      <c r="L2" s="358"/>
    </row>
    <row r="3" spans="2:17" s="144" customFormat="1" ht="15.75">
      <c r="B3" s="32" t="s">
        <v>136</v>
      </c>
      <c r="C3" s="33"/>
      <c r="D3" s="33"/>
      <c r="E3" s="33"/>
      <c r="F3" s="33"/>
      <c r="G3" s="33"/>
      <c r="H3" s="33"/>
      <c r="J3" s="359" t="s">
        <v>194</v>
      </c>
      <c r="K3" s="348"/>
      <c r="L3" s="348"/>
      <c r="M3" s="146"/>
    </row>
    <row r="4" spans="2:17" s="144" customFormat="1">
      <c r="B4" s="36"/>
      <c r="C4" s="36"/>
      <c r="D4" s="36"/>
      <c r="E4" s="36"/>
      <c r="F4" s="36"/>
      <c r="G4" s="36"/>
      <c r="H4" s="36"/>
      <c r="K4" s="188"/>
      <c r="M4" s="146"/>
      <c r="O4" s="323"/>
      <c r="P4" s="323" t="s">
        <v>209</v>
      </c>
    </row>
    <row r="5" spans="2:17" s="144" customFormat="1" ht="51.75">
      <c r="B5" s="83" t="s">
        <v>2</v>
      </c>
      <c r="C5" s="84" t="s">
        <v>135</v>
      </c>
      <c r="D5" s="84" t="s">
        <v>218</v>
      </c>
      <c r="E5" s="151" t="str">
        <f>"Total Capacity Cost @ "&amp;TEXT(C43,"00.0%")&amp;" Contribution"</f>
        <v>Total Capacity Cost @ 64.8% Contribution</v>
      </c>
      <c r="F5" s="151" t="s">
        <v>115</v>
      </c>
      <c r="G5"/>
      <c r="H5" s="187"/>
      <c r="I5" s="151" t="s">
        <v>134</v>
      </c>
      <c r="J5" s="151" t="s">
        <v>195</v>
      </c>
      <c r="K5" s="151" t="s">
        <v>173</v>
      </c>
      <c r="L5" s="151"/>
      <c r="M5" s="146"/>
      <c r="O5" s="324" t="s">
        <v>210</v>
      </c>
      <c r="P5" s="324" t="s">
        <v>211</v>
      </c>
      <c r="Q5" s="144" t="s">
        <v>212</v>
      </c>
    </row>
    <row r="6" spans="2:17" s="144" customFormat="1">
      <c r="B6" s="39"/>
      <c r="C6" s="167" t="s">
        <v>120</v>
      </c>
      <c r="D6" s="167" t="s">
        <v>120</v>
      </c>
      <c r="E6" s="167" t="s">
        <v>120</v>
      </c>
      <c r="F6" s="167" t="s">
        <v>120</v>
      </c>
      <c r="G6"/>
      <c r="H6" s="187"/>
      <c r="I6" s="40" t="s">
        <v>133</v>
      </c>
      <c r="J6" s="40" t="s">
        <v>15</v>
      </c>
      <c r="K6" s="40" t="s">
        <v>133</v>
      </c>
      <c r="L6" s="40"/>
      <c r="M6" s="146"/>
      <c r="O6" s="323">
        <v>2017</v>
      </c>
      <c r="P6" s="325">
        <v>1789.0158140000001</v>
      </c>
    </row>
    <row r="7" spans="2:17" s="144" customFormat="1">
      <c r="B7" s="34"/>
      <c r="C7" s="41" t="s">
        <v>4</v>
      </c>
      <c r="D7" s="41" t="s">
        <v>5</v>
      </c>
      <c r="E7" s="41" t="s">
        <v>6</v>
      </c>
      <c r="F7" s="41" t="s">
        <v>7</v>
      </c>
      <c r="G7"/>
      <c r="K7" s="188"/>
      <c r="M7"/>
      <c r="N7"/>
      <c r="O7" s="323">
        <f t="shared" ref="O7:O29" si="0">O6+1</f>
        <v>2018</v>
      </c>
      <c r="P7" s="325">
        <v>1816.554097</v>
      </c>
      <c r="Q7" s="143">
        <f>P7/P6-1</f>
        <v>1.539297908073145E-2</v>
      </c>
    </row>
    <row r="8" spans="2:17" s="144" customFormat="1" ht="33.75" customHeight="1">
      <c r="C8" s="35"/>
      <c r="D8" s="34"/>
      <c r="E8" s="35"/>
      <c r="F8" s="35"/>
      <c r="G8"/>
      <c r="H8" s="182" t="s">
        <v>161</v>
      </c>
      <c r="I8" s="278">
        <f>-PMT($C$44,COUNT(I$10:I$24),NPV($C$44,I$10:I$24))</f>
        <v>1.1360650513726018</v>
      </c>
      <c r="J8" s="195"/>
      <c r="M8"/>
      <c r="N8"/>
      <c r="O8" s="323">
        <f t="shared" si="0"/>
        <v>2019</v>
      </c>
      <c r="P8" s="325">
        <v>1844.5162769999999</v>
      </c>
      <c r="Q8" s="143">
        <f t="shared" ref="Q8:Q25" si="1">P8/P7-1</f>
        <v>1.5392979513342731E-2</v>
      </c>
    </row>
    <row r="9" spans="2:17" s="144" customFormat="1">
      <c r="B9" s="59">
        <v>2020</v>
      </c>
      <c r="C9" s="35"/>
      <c r="D9" s="34"/>
      <c r="E9" s="35"/>
      <c r="F9" s="211">
        <v>0</v>
      </c>
      <c r="G9"/>
      <c r="H9" s="187"/>
      <c r="I9" s="196"/>
      <c r="M9"/>
      <c r="N9"/>
      <c r="O9" s="323">
        <f t="shared" si="0"/>
        <v>2020</v>
      </c>
      <c r="P9" s="325">
        <v>1872.9088790000001</v>
      </c>
      <c r="Q9" s="143">
        <f t="shared" si="1"/>
        <v>1.5392979912423943E-2</v>
      </c>
    </row>
    <row r="10" spans="2:17" s="144" customFormat="1">
      <c r="B10" s="59">
        <v>2021</v>
      </c>
      <c r="C10" s="211">
        <v>75110.766943950861</v>
      </c>
      <c r="D10" s="211">
        <f>C10</f>
        <v>75110.766943950861</v>
      </c>
      <c r="E10" s="211"/>
      <c r="F10" s="211">
        <f t="shared" ref="F10:F28" si="2">E10*100%/$C$43</f>
        <v>0</v>
      </c>
      <c r="G10"/>
      <c r="H10" s="187"/>
      <c r="I10" s="196">
        <v>1</v>
      </c>
      <c r="J10" s="277" t="s">
        <v>223</v>
      </c>
      <c r="K10" s="277" t="s">
        <v>223</v>
      </c>
      <c r="L10"/>
      <c r="M10"/>
      <c r="N10"/>
      <c r="O10" s="323">
        <f t="shared" si="0"/>
        <v>2021</v>
      </c>
      <c r="P10" s="325">
        <v>1901.738527</v>
      </c>
      <c r="Q10" s="143">
        <f t="shared" si="1"/>
        <v>1.5392979510777227E-2</v>
      </c>
    </row>
    <row r="11" spans="2:17" s="144" customFormat="1">
      <c r="B11" s="59">
        <f t="shared" ref="B11:B29" si="3">B10+1</f>
        <v>2022</v>
      </c>
      <c r="C11"/>
      <c r="D11" s="211">
        <f t="shared" ref="D11:D28" si="4">(1+INDEX($Q$6:$Q$28,MATCH($B11,$O$6:$O$28,0),1))*D10</f>
        <v>76266.945433410423</v>
      </c>
      <c r="E11" s="211"/>
      <c r="F11" s="211">
        <f t="shared" si="2"/>
        <v>0</v>
      </c>
      <c r="G11"/>
      <c r="H11" s="187"/>
      <c r="I11" s="196">
        <f t="shared" ref="I11:I29" si="5">I10*(1+IFERROR(INDEX($D$47:$D$54,MATCH($B11,$C$47:$C$54,0),1),IFERROR(INDEX($F$47:$F$54,MATCH($B11,$E$47:$E$54,0),1),INDEX($H$47:$H$55,MATCH($B11,$G$47:$G$55,0),1))))</f>
        <v>1.02</v>
      </c>
      <c r="J11"/>
      <c r="K11"/>
      <c r="L11"/>
      <c r="M11"/>
      <c r="N11"/>
      <c r="O11" s="323">
        <f t="shared" si="0"/>
        <v>2022</v>
      </c>
      <c r="P11" s="325">
        <v>1931.011949</v>
      </c>
      <c r="Q11" s="143">
        <f t="shared" si="1"/>
        <v>1.5392979415618679E-2</v>
      </c>
    </row>
    <row r="12" spans="2:17" s="144" customFormat="1">
      <c r="B12" s="59">
        <f t="shared" si="3"/>
        <v>2023</v>
      </c>
      <c r="C12"/>
      <c r="D12" s="211">
        <f t="shared" si="4"/>
        <v>77440.920947360079</v>
      </c>
      <c r="E12" s="211"/>
      <c r="F12" s="211">
        <f t="shared" si="2"/>
        <v>0</v>
      </c>
      <c r="G12"/>
      <c r="H12" s="187"/>
      <c r="I12" s="196">
        <f t="shared" si="5"/>
        <v>1.03938</v>
      </c>
      <c r="J12"/>
      <c r="K12"/>
      <c r="L12"/>
      <c r="M12"/>
      <c r="N12"/>
      <c r="O12" s="323">
        <f t="shared" si="0"/>
        <v>2023</v>
      </c>
      <c r="P12" s="325">
        <v>1960.7359759999999</v>
      </c>
      <c r="Q12" s="143">
        <f t="shared" si="1"/>
        <v>1.5392979321227296E-2</v>
      </c>
    </row>
    <row r="13" spans="2:17" s="144" customFormat="1">
      <c r="B13" s="59">
        <f t="shared" si="3"/>
        <v>2024</v>
      </c>
      <c r="C13"/>
      <c r="D13" s="211">
        <f t="shared" si="4"/>
        <v>78632.967468465125</v>
      </c>
      <c r="E13" s="328"/>
      <c r="F13" s="211">
        <f t="shared" si="2"/>
        <v>0</v>
      </c>
      <c r="G13"/>
      <c r="H13" s="187"/>
      <c r="I13" s="196">
        <f t="shared" si="5"/>
        <v>1.0601676</v>
      </c>
      <c r="J13"/>
      <c r="K13"/>
      <c r="L13"/>
      <c r="M13"/>
      <c r="N13"/>
      <c r="O13" s="323">
        <f t="shared" si="0"/>
        <v>2024</v>
      </c>
      <c r="P13" s="325">
        <v>1990.917545</v>
      </c>
      <c r="Q13" s="143">
        <f t="shared" si="1"/>
        <v>1.539297966142894E-2</v>
      </c>
    </row>
    <row r="14" spans="2:17" s="144" customFormat="1">
      <c r="B14" s="59">
        <f t="shared" si="3"/>
        <v>2025</v>
      </c>
      <c r="C14"/>
      <c r="D14" s="211">
        <f>(1+INDEX($Q$6:$Q$28,MATCH($B14,$O$6:$O$28,0),1))*D13*$H$43/$H$42</f>
        <v>105986.76521210758</v>
      </c>
      <c r="E14" s="211"/>
      <c r="F14" s="211">
        <f t="shared" si="2"/>
        <v>0</v>
      </c>
      <c r="G14"/>
      <c r="H14" s="187"/>
      <c r="I14" s="196">
        <f t="shared" si="5"/>
        <v>1.0824311195999998</v>
      </c>
      <c r="J14"/>
      <c r="K14"/>
      <c r="L14"/>
      <c r="M14"/>
      <c r="N14"/>
      <c r="O14" s="323">
        <f t="shared" si="0"/>
        <v>2025</v>
      </c>
      <c r="P14" s="325">
        <v>2021.5636980000002</v>
      </c>
      <c r="Q14" s="143">
        <f t="shared" si="1"/>
        <v>1.5392979521911876E-2</v>
      </c>
    </row>
    <row r="15" spans="2:17" s="144" customFormat="1">
      <c r="B15" s="59">
        <f t="shared" si="3"/>
        <v>2026</v>
      </c>
      <c r="C15"/>
      <c r="D15" s="211">
        <f t="shared" si="4"/>
        <v>107618.21733929127</v>
      </c>
      <c r="E15" s="211"/>
      <c r="F15" s="211">
        <f t="shared" si="2"/>
        <v>0</v>
      </c>
      <c r="G15"/>
      <c r="H15" s="187"/>
      <c r="I15" s="196">
        <f t="shared" si="5"/>
        <v>1.1073270353507998</v>
      </c>
      <c r="J15"/>
      <c r="K15"/>
      <c r="L15"/>
      <c r="M15"/>
      <c r="N15"/>
      <c r="O15" s="323">
        <f t="shared" si="0"/>
        <v>2026</v>
      </c>
      <c r="P15" s="325">
        <v>2052.681587</v>
      </c>
      <c r="Q15" s="143">
        <f t="shared" si="1"/>
        <v>1.5392979717030908E-2</v>
      </c>
    </row>
    <row r="16" spans="2:17" s="144" customFormat="1">
      <c r="B16" s="59">
        <f t="shared" si="3"/>
        <v>2027</v>
      </c>
      <c r="C16"/>
      <c r="D16" s="211">
        <f t="shared" si="4"/>
        <v>107618.21733929127</v>
      </c>
      <c r="E16" s="211"/>
      <c r="F16" s="211">
        <f t="shared" si="2"/>
        <v>0</v>
      </c>
      <c r="G16"/>
      <c r="H16" s="187"/>
      <c r="I16" s="196">
        <f t="shared" si="5"/>
        <v>1.1339028841992189</v>
      </c>
      <c r="J16"/>
      <c r="K16"/>
      <c r="L16"/>
      <c r="M16"/>
      <c r="N16"/>
      <c r="O16" s="323">
        <f t="shared" si="0"/>
        <v>2027</v>
      </c>
      <c r="P16" s="325">
        <v>2052.681587</v>
      </c>
      <c r="Q16" s="143">
        <f t="shared" si="1"/>
        <v>0</v>
      </c>
    </row>
    <row r="17" spans="2:17" s="144" customFormat="1">
      <c r="B17" s="59">
        <f t="shared" si="3"/>
        <v>2028</v>
      </c>
      <c r="C17"/>
      <c r="D17" s="211">
        <f t="shared" si="4"/>
        <v>107618.21733929127</v>
      </c>
      <c r="E17" s="211">
        <f>D17</f>
        <v>107618.21733929127</v>
      </c>
      <c r="F17" s="211">
        <f t="shared" si="2"/>
        <v>166077.49589396801</v>
      </c>
      <c r="G17"/>
      <c r="H17" s="187"/>
      <c r="I17" s="196">
        <f t="shared" si="5"/>
        <v>1.1622504563041993</v>
      </c>
      <c r="J17"/>
      <c r="K17"/>
      <c r="L17"/>
      <c r="M17"/>
      <c r="N17"/>
      <c r="O17" s="323">
        <f t="shared" si="0"/>
        <v>2028</v>
      </c>
      <c r="P17" s="325">
        <v>2052.681587</v>
      </c>
      <c r="Q17" s="143">
        <f t="shared" si="1"/>
        <v>0</v>
      </c>
    </row>
    <row r="18" spans="2:17" s="144" customFormat="1">
      <c r="B18" s="59">
        <f t="shared" si="3"/>
        <v>2029</v>
      </c>
      <c r="C18"/>
      <c r="D18" s="211">
        <f t="shared" si="4"/>
        <v>107618.21733929127</v>
      </c>
      <c r="E18" s="211">
        <f>ROUND(E17*(1+(IFERROR(INDEX($D$47:$D$55,MATCH($B18,$C$47:$C$55,0),1),0)+IFERROR(INDEX($F$47:$F$55,MATCH($B18,$E$47:$E$55,0),1),0)+IFERROR(INDEX($H$47:$H$55,MATCH($B18,$G$47:$G$55,0),1),0))),2)</f>
        <v>110201.05</v>
      </c>
      <c r="F18" s="211">
        <f t="shared" si="2"/>
        <v>170063.34876543211</v>
      </c>
      <c r="G18"/>
      <c r="H18" s="187"/>
      <c r="I18" s="196">
        <f t="shared" si="5"/>
        <v>1.1901444672555002</v>
      </c>
      <c r="J18"/>
      <c r="K18"/>
      <c r="L18"/>
      <c r="M18"/>
      <c r="N18"/>
      <c r="O18" s="323">
        <f t="shared" si="0"/>
        <v>2029</v>
      </c>
      <c r="P18" s="325">
        <v>2052.681587</v>
      </c>
      <c r="Q18" s="143">
        <f t="shared" si="1"/>
        <v>0</v>
      </c>
    </row>
    <row r="19" spans="2:17" s="144" customFormat="1">
      <c r="B19" s="59">
        <f t="shared" si="3"/>
        <v>2030</v>
      </c>
      <c r="C19"/>
      <c r="D19" s="211">
        <f t="shared" si="4"/>
        <v>107618.21733929127</v>
      </c>
      <c r="E19" s="211">
        <f t="shared" ref="E19:E29" si="6">ROUND(E18*(1+(IFERROR(INDEX($D$47:$D$55,MATCH($B19,$C$47:$C$55,0),1),0)+IFERROR(INDEX($F$47:$F$55,MATCH($B19,$E$47:$E$55,0),1),0)+IFERROR(INDEX($H$47:$H$55,MATCH($B19,$G$47:$G$55,0),1),0))),2)</f>
        <v>112845.88</v>
      </c>
      <c r="F19" s="211">
        <f t="shared" si="2"/>
        <v>174144.87654320989</v>
      </c>
      <c r="G19"/>
      <c r="H19" s="187"/>
      <c r="I19" s="196">
        <f t="shared" si="5"/>
        <v>1.2187079344696321</v>
      </c>
      <c r="J19"/>
      <c r="K19"/>
      <c r="L19"/>
      <c r="M19"/>
      <c r="N19"/>
      <c r="O19" s="323">
        <f t="shared" si="0"/>
        <v>2030</v>
      </c>
      <c r="P19" s="325">
        <v>2052.681587</v>
      </c>
      <c r="Q19" s="143">
        <f t="shared" si="1"/>
        <v>0</v>
      </c>
    </row>
    <row r="20" spans="2:17" s="144" customFormat="1">
      <c r="B20" s="59">
        <f t="shared" si="3"/>
        <v>2031</v>
      </c>
      <c r="C20"/>
      <c r="D20" s="211">
        <f t="shared" si="4"/>
        <v>107618.21733929127</v>
      </c>
      <c r="E20" s="211">
        <f t="shared" si="6"/>
        <v>115328.49</v>
      </c>
      <c r="F20" s="211">
        <f t="shared" si="2"/>
        <v>177976.0648148148</v>
      </c>
      <c r="G20"/>
      <c r="H20" s="187"/>
      <c r="I20" s="196">
        <f t="shared" si="5"/>
        <v>1.245519509027964</v>
      </c>
      <c r="J20"/>
      <c r="K20"/>
      <c r="L20"/>
      <c r="M20"/>
      <c r="N20"/>
      <c r="O20" s="323">
        <f t="shared" si="0"/>
        <v>2031</v>
      </c>
      <c r="P20" s="325">
        <v>2052.681587</v>
      </c>
      <c r="Q20" s="143">
        <f t="shared" si="1"/>
        <v>0</v>
      </c>
    </row>
    <row r="21" spans="2:17" s="144" customFormat="1">
      <c r="B21" s="59">
        <f t="shared" si="3"/>
        <v>2032</v>
      </c>
      <c r="C21"/>
      <c r="D21" s="211">
        <f t="shared" si="4"/>
        <v>107618.21733929127</v>
      </c>
      <c r="E21" s="211">
        <f t="shared" si="6"/>
        <v>117865.72</v>
      </c>
      <c r="F21" s="211">
        <f t="shared" si="2"/>
        <v>181891.54320987655</v>
      </c>
      <c r="G21"/>
      <c r="H21" s="187"/>
      <c r="I21" s="196">
        <f t="shared" si="5"/>
        <v>1.2729209382265794</v>
      </c>
      <c r="J21"/>
      <c r="K21"/>
      <c r="L21"/>
      <c r="M21"/>
      <c r="N21"/>
      <c r="O21" s="323">
        <f t="shared" si="0"/>
        <v>2032</v>
      </c>
      <c r="P21" s="325">
        <v>2052.681587</v>
      </c>
      <c r="Q21" s="143">
        <f t="shared" si="1"/>
        <v>0</v>
      </c>
    </row>
    <row r="22" spans="2:17" s="144" customFormat="1">
      <c r="B22" s="59">
        <f t="shared" si="3"/>
        <v>2033</v>
      </c>
      <c r="C22"/>
      <c r="D22" s="211">
        <f t="shared" si="4"/>
        <v>107618.21733929127</v>
      </c>
      <c r="E22" s="211">
        <f t="shared" si="6"/>
        <v>120340.9</v>
      </c>
      <c r="F22" s="211">
        <f t="shared" si="2"/>
        <v>185711.26543209876</v>
      </c>
      <c r="G22"/>
      <c r="H22" s="187"/>
      <c r="I22" s="196">
        <f t="shared" si="5"/>
        <v>1.2996522779293374</v>
      </c>
      <c r="J22"/>
      <c r="K22"/>
      <c r="L22"/>
      <c r="M22"/>
      <c r="N22"/>
      <c r="O22" s="323">
        <f t="shared" si="0"/>
        <v>2033</v>
      </c>
      <c r="P22" s="325">
        <v>2052.681587</v>
      </c>
      <c r="Q22" s="143">
        <f t="shared" si="1"/>
        <v>0</v>
      </c>
    </row>
    <row r="23" spans="2:17" s="144" customFormat="1">
      <c r="B23" s="59">
        <f t="shared" si="3"/>
        <v>2034</v>
      </c>
      <c r="C23"/>
      <c r="D23" s="211">
        <f t="shared" si="4"/>
        <v>107618.21733929127</v>
      </c>
      <c r="E23" s="211">
        <f t="shared" si="6"/>
        <v>122868.06</v>
      </c>
      <c r="F23" s="211">
        <f t="shared" si="2"/>
        <v>189611.20370370371</v>
      </c>
      <c r="G23"/>
      <c r="H23" s="187"/>
      <c r="I23" s="196">
        <f t="shared" si="5"/>
        <v>1.3269449757658534</v>
      </c>
      <c r="J23"/>
      <c r="K23"/>
      <c r="L23"/>
      <c r="M23"/>
      <c r="N23"/>
      <c r="O23" s="323">
        <f t="shared" si="0"/>
        <v>2034</v>
      </c>
      <c r="P23" s="325">
        <v>2052.681587</v>
      </c>
      <c r="Q23" s="143">
        <f t="shared" si="1"/>
        <v>0</v>
      </c>
    </row>
    <row r="24" spans="2:17" s="144" customFormat="1">
      <c r="B24" s="59">
        <f t="shared" si="3"/>
        <v>2035</v>
      </c>
      <c r="C24"/>
      <c r="D24" s="211">
        <f t="shared" si="4"/>
        <v>107618.21733929127</v>
      </c>
      <c r="E24" s="211">
        <f t="shared" si="6"/>
        <v>125448.29</v>
      </c>
      <c r="F24" s="211">
        <f t="shared" si="2"/>
        <v>193593.04012345677</v>
      </c>
      <c r="G24"/>
      <c r="H24" s="187"/>
      <c r="I24" s="196">
        <f t="shared" si="5"/>
        <v>1.3548108202569362</v>
      </c>
      <c r="J24"/>
      <c r="K24"/>
      <c r="L24"/>
      <c r="M24"/>
      <c r="N24"/>
      <c r="O24" s="323">
        <f t="shared" si="0"/>
        <v>2035</v>
      </c>
      <c r="P24" s="325">
        <v>2052.681587</v>
      </c>
      <c r="Q24" s="143">
        <f t="shared" si="1"/>
        <v>0</v>
      </c>
    </row>
    <row r="25" spans="2:17" s="144" customFormat="1">
      <c r="B25" s="59">
        <f t="shared" si="3"/>
        <v>2036</v>
      </c>
      <c r="C25"/>
      <c r="D25" s="211">
        <f t="shared" si="4"/>
        <v>107618.21733929127</v>
      </c>
      <c r="E25" s="211">
        <f t="shared" si="6"/>
        <v>128082.7</v>
      </c>
      <c r="F25" s="211">
        <f t="shared" si="2"/>
        <v>197658.48765432098</v>
      </c>
      <c r="G25"/>
      <c r="H25" s="187"/>
      <c r="I25" s="196">
        <f t="shared" si="5"/>
        <v>1.3832618474823317</v>
      </c>
      <c r="J25"/>
      <c r="K25"/>
      <c r="L25"/>
      <c r="M25"/>
      <c r="N25"/>
      <c r="O25" s="323">
        <f t="shared" si="0"/>
        <v>2036</v>
      </c>
      <c r="P25" s="325">
        <v>2052.681587</v>
      </c>
      <c r="Q25" s="143">
        <f t="shared" si="1"/>
        <v>0</v>
      </c>
    </row>
    <row r="26" spans="2:17" s="144" customFormat="1">
      <c r="B26" s="59">
        <f t="shared" si="3"/>
        <v>2037</v>
      </c>
      <c r="C26"/>
      <c r="D26" s="211">
        <f t="shared" si="4"/>
        <v>107618.21733929127</v>
      </c>
      <c r="E26" s="211">
        <f t="shared" si="6"/>
        <v>130772.44</v>
      </c>
      <c r="F26" s="211">
        <f t="shared" si="2"/>
        <v>201809.32098765433</v>
      </c>
      <c r="G26"/>
      <c r="H26" s="187"/>
      <c r="I26" s="196">
        <f t="shared" si="5"/>
        <v>1.4123103462794606</v>
      </c>
      <c r="J26"/>
      <c r="K26"/>
      <c r="L26"/>
      <c r="M26"/>
      <c r="N26"/>
      <c r="O26" s="323">
        <f t="shared" si="0"/>
        <v>2037</v>
      </c>
      <c r="Q26" s="143">
        <f>Q25</f>
        <v>0</v>
      </c>
    </row>
    <row r="27" spans="2:17" s="144" customFormat="1">
      <c r="B27" s="59">
        <f t="shared" si="3"/>
        <v>2038</v>
      </c>
      <c r="C27"/>
      <c r="D27" s="211">
        <f t="shared" si="4"/>
        <v>107618.21733929127</v>
      </c>
      <c r="E27" s="211">
        <f t="shared" si="6"/>
        <v>133518.66</v>
      </c>
      <c r="F27" s="211">
        <f t="shared" si="2"/>
        <v>206047.3148148148</v>
      </c>
      <c r="G27"/>
      <c r="H27" s="187"/>
      <c r="I27" s="196">
        <f t="shared" si="5"/>
        <v>1.4419688635513292</v>
      </c>
      <c r="J27"/>
      <c r="K27"/>
      <c r="L27"/>
      <c r="M27"/>
      <c r="N27"/>
      <c r="O27" s="323">
        <f t="shared" si="0"/>
        <v>2038</v>
      </c>
      <c r="Q27" s="143">
        <f t="shared" ref="Q27:Q29" si="7">Q26</f>
        <v>0</v>
      </c>
    </row>
    <row r="28" spans="2:17" s="144" customFormat="1">
      <c r="B28" s="59">
        <f t="shared" si="3"/>
        <v>2039</v>
      </c>
      <c r="C28"/>
      <c r="D28" s="211">
        <f t="shared" si="4"/>
        <v>107618.21733929127</v>
      </c>
      <c r="E28" s="211">
        <f t="shared" si="6"/>
        <v>136322.54999999999</v>
      </c>
      <c r="F28" s="211">
        <f t="shared" si="2"/>
        <v>210374.30555555553</v>
      </c>
      <c r="G28"/>
      <c r="H28" s="187"/>
      <c r="I28" s="196">
        <f t="shared" si="5"/>
        <v>1.4722502096859071</v>
      </c>
      <c r="J28"/>
      <c r="K28"/>
      <c r="L28"/>
      <c r="M28"/>
      <c r="N28"/>
      <c r="O28" s="323">
        <f t="shared" si="0"/>
        <v>2039</v>
      </c>
      <c r="Q28" s="143">
        <f t="shared" si="7"/>
        <v>0</v>
      </c>
    </row>
    <row r="29" spans="2:17" s="144" customFormat="1">
      <c r="B29" s="59">
        <f t="shared" si="3"/>
        <v>2040</v>
      </c>
      <c r="C29" s="93"/>
      <c r="D29" s="211">
        <f>(1+INDEX($Q$6:$Q$29,MATCH($B29,$O$6:$O$29,0),1))*D28</f>
        <v>107618.21733929127</v>
      </c>
      <c r="E29" s="211">
        <f t="shared" si="6"/>
        <v>139185.32</v>
      </c>
      <c r="F29" s="211">
        <f t="shared" ref="F29" si="8">E29*100%/$C$43</f>
        <v>214792.16049382716</v>
      </c>
      <c r="G29" s="187"/>
      <c r="H29" s="187"/>
      <c r="I29" s="196">
        <f t="shared" si="5"/>
        <v>1.5031674640893111</v>
      </c>
      <c r="J29"/>
      <c r="K29"/>
      <c r="L29"/>
      <c r="M29"/>
      <c r="N29"/>
      <c r="O29" s="323">
        <f t="shared" si="0"/>
        <v>2040</v>
      </c>
      <c r="Q29" s="143">
        <f t="shared" si="7"/>
        <v>0</v>
      </c>
    </row>
    <row r="30" spans="2:17" s="144" customFormat="1" ht="12.75">
      <c r="B30" s="34"/>
      <c r="C30" s="34"/>
      <c r="D30" s="34"/>
      <c r="E30" s="34"/>
      <c r="F30" s="34"/>
      <c r="G30" s="34"/>
      <c r="H30" s="34"/>
    </row>
    <row r="31" spans="2:17" s="144" customFormat="1" ht="14.25">
      <c r="B31" s="87" t="s">
        <v>13</v>
      </c>
      <c r="C31" s="88"/>
      <c r="D31" s="88"/>
      <c r="E31" s="88"/>
      <c r="F31" s="88"/>
      <c r="G31" s="88"/>
      <c r="H31" s="88"/>
    </row>
    <row r="32" spans="2:17" s="144" customFormat="1" ht="12.75">
      <c r="B32" s="34"/>
      <c r="C32" s="34"/>
      <c r="D32" s="34"/>
      <c r="E32" s="34"/>
      <c r="F32" s="34"/>
      <c r="G32" s="34"/>
      <c r="H32" s="34"/>
    </row>
    <row r="33" spans="2:14" s="144" customFormat="1" ht="12.75">
      <c r="B33" s="34" t="s">
        <v>59</v>
      </c>
      <c r="C33" s="22" t="s">
        <v>149</v>
      </c>
      <c r="D33" s="22"/>
      <c r="E33" s="34"/>
      <c r="F33" s="34"/>
      <c r="G33" s="34"/>
      <c r="H33" s="34"/>
    </row>
    <row r="34" spans="2:14" s="144" customFormat="1" ht="12.75">
      <c r="B34" s="34"/>
      <c r="C34" s="89" t="str">
        <f>C7</f>
        <v>(a)</v>
      </c>
      <c r="D34" s="34" t="s">
        <v>222</v>
      </c>
      <c r="E34" s="34"/>
      <c r="F34" s="34"/>
      <c r="G34" s="34"/>
      <c r="H34" s="34"/>
    </row>
    <row r="35" spans="2:14" s="144" customFormat="1" ht="12.75">
      <c r="B35" s="34"/>
      <c r="C35" s="89" t="str">
        <f>D7</f>
        <v>(b)</v>
      </c>
      <c r="D35" s="34" t="s">
        <v>148</v>
      </c>
      <c r="E35" s="34"/>
      <c r="F35" s="34"/>
      <c r="G35" s="34"/>
      <c r="H35" s="34"/>
    </row>
    <row r="36" spans="2:14" s="144" customFormat="1" ht="12.75">
      <c r="B36" s="34"/>
      <c r="C36" s="89" t="str">
        <f>E7</f>
        <v>(c)</v>
      </c>
      <c r="D36" s="86" t="str">
        <f>"= "&amp;C7&amp;" - "&amp;D7</f>
        <v>= (a) - (b)</v>
      </c>
      <c r="E36" s="34"/>
      <c r="F36" s="34"/>
      <c r="G36" s="34"/>
      <c r="H36" s="34"/>
    </row>
    <row r="37" spans="2:14" s="144" customFormat="1" ht="12.75">
      <c r="B37" s="34"/>
      <c r="C37" s="89" t="str">
        <f>F7</f>
        <v>(d)</v>
      </c>
      <c r="D37" s="86" t="str">
        <f>"= "&amp;E7&amp;" * 100% / "&amp;TEXT(C43,"00.0%")</f>
        <v>= (c) * 100% / 64.8%</v>
      </c>
      <c r="E37" s="34"/>
      <c r="F37" s="34"/>
      <c r="G37" s="34"/>
      <c r="H37" s="34"/>
    </row>
    <row r="38" spans="2:14" s="144" customFormat="1" ht="12.75">
      <c r="B38" s="34"/>
      <c r="C38" s="89" t="s">
        <v>8</v>
      </c>
      <c r="D38" s="3" t="s">
        <v>164</v>
      </c>
      <c r="E38" s="34"/>
      <c r="F38" s="34"/>
      <c r="G38" s="34"/>
      <c r="H38" s="34"/>
    </row>
    <row r="39" spans="2:14" s="144" customFormat="1" ht="13.5" thickBot="1">
      <c r="B39" s="34"/>
      <c r="C39" s="34"/>
      <c r="D39" s="34"/>
      <c r="E39" s="34"/>
      <c r="F39" s="34"/>
      <c r="G39" s="34"/>
      <c r="H39" s="34"/>
    </row>
    <row r="40" spans="2:14" s="144" customFormat="1" ht="13.5" thickBot="1">
      <c r="B40" s="34"/>
      <c r="C40" s="90" t="str">
        <f>B3</f>
        <v>2017S RFP: 2021 Solar (Oregon)</v>
      </c>
      <c r="D40" s="44"/>
      <c r="E40" s="44"/>
      <c r="F40" s="44"/>
      <c r="G40" s="44"/>
      <c r="H40" s="79"/>
    </row>
    <row r="41" spans="2:14" s="144" customFormat="1" ht="15.75" thickBot="1">
      <c r="B41" s="34"/>
      <c r="C41" s="91" t="s">
        <v>114</v>
      </c>
      <c r="D41" s="92" t="s">
        <v>60</v>
      </c>
      <c r="E41" s="92"/>
      <c r="F41" s="92"/>
      <c r="G41" s="92"/>
      <c r="H41" s="194"/>
      <c r="J41" s="187"/>
    </row>
    <row r="42" spans="2:14" s="144" customFormat="1">
      <c r="B42" s="375" t="s">
        <v>224</v>
      </c>
      <c r="C42" s="277" t="s">
        <v>223</v>
      </c>
      <c r="D42" s="34" t="s">
        <v>132</v>
      </c>
      <c r="E42" s="34"/>
      <c r="F42" s="34"/>
      <c r="G42" s="34"/>
      <c r="H42" s="326">
        <v>5.0849999999999999E-2</v>
      </c>
      <c r="I42" s="144" t="s">
        <v>216</v>
      </c>
      <c r="K42" s="187"/>
      <c r="L42" s="187"/>
      <c r="M42" s="187"/>
      <c r="N42" s="187"/>
    </row>
    <row r="43" spans="2:14" s="144" customFormat="1">
      <c r="B43" s="34"/>
      <c r="C43" s="149">
        <v>0.64800000000000002</v>
      </c>
      <c r="D43" s="34" t="s">
        <v>131</v>
      </c>
      <c r="E43" s="34"/>
      <c r="F43" s="34"/>
      <c r="G43" s="34"/>
      <c r="H43" s="327">
        <v>6.7500000000000004E-2</v>
      </c>
      <c r="I43" s="144" t="s">
        <v>217</v>
      </c>
      <c r="J43" s="190"/>
    </row>
    <row r="44" spans="2:14" s="144" customFormat="1">
      <c r="B44" s="34"/>
      <c r="C44" s="193">
        <v>6.9099999999999995E-2</v>
      </c>
      <c r="D44" s="148" t="s">
        <v>130</v>
      </c>
      <c r="E44" s="34"/>
      <c r="F44" s="34"/>
      <c r="G44" s="34"/>
      <c r="H44" s="34"/>
      <c r="J44" s="190"/>
    </row>
    <row r="45" spans="2:14" s="144" customFormat="1" ht="15.75" thickBot="1">
      <c r="B45" s="35"/>
      <c r="C45" s="35"/>
      <c r="D45" s="35"/>
      <c r="E45" s="35"/>
      <c r="F45" s="35"/>
      <c r="G45" s="35"/>
      <c r="H45" s="35"/>
      <c r="I45" s="190"/>
    </row>
    <row r="46" spans="2:14" s="144" customFormat="1" ht="15.75" thickBot="1">
      <c r="C46" s="20" t="str">
        <f>'Table D - Integration'!$B$40</f>
        <v>Company Official Inflation Forecast Sept 2020</v>
      </c>
      <c r="D46" s="192"/>
      <c r="E46" s="192"/>
      <c r="F46" s="192"/>
      <c r="G46" s="192"/>
      <c r="H46" s="191"/>
      <c r="I46" s="190"/>
    </row>
    <row r="47" spans="2:14" s="144" customFormat="1">
      <c r="C47" s="146">
        <f>'Table D - Integration'!B41</f>
        <v>2016</v>
      </c>
      <c r="D47" s="188">
        <f>'Table D - Integration'!C41</f>
        <v>1.2E-2</v>
      </c>
      <c r="E47" s="146">
        <f>'Table D - Integration'!E41</f>
        <v>2024</v>
      </c>
      <c r="F47" s="188">
        <f>'Table D - Integration'!F41</f>
        <v>0.02</v>
      </c>
      <c r="G47" s="146">
        <f>'Table D - Integration'!H41</f>
        <v>2032</v>
      </c>
      <c r="H47" s="188">
        <f>'Table D - Integration'!I41</f>
        <v>2.1999999999999999E-2</v>
      </c>
      <c r="I47" s="190"/>
      <c r="L47" s="146"/>
      <c r="M47" s="188"/>
    </row>
    <row r="48" spans="2:14" s="144" customFormat="1">
      <c r="C48" s="146">
        <f>'Table D - Integration'!B42</f>
        <v>2017</v>
      </c>
      <c r="D48" s="188">
        <f>'Table D - Integration'!C42</f>
        <v>0.02</v>
      </c>
      <c r="E48" s="146">
        <f>'Table D - Integration'!E42</f>
        <v>2025</v>
      </c>
      <c r="F48" s="188">
        <f>'Table D - Integration'!F42</f>
        <v>2.1000000000000001E-2</v>
      </c>
      <c r="G48" s="146">
        <f>'Table D - Integration'!H42</f>
        <v>2033</v>
      </c>
      <c r="H48" s="188">
        <f>'Table D - Integration'!I42</f>
        <v>2.1000000000000001E-2</v>
      </c>
      <c r="I48" s="189"/>
      <c r="J48" s="145"/>
      <c r="L48" s="146"/>
      <c r="M48" s="188"/>
    </row>
    <row r="49" spans="3:13" s="144" customFormat="1">
      <c r="C49" s="146">
        <f>'Table D - Integration'!B43</f>
        <v>2018</v>
      </c>
      <c r="D49" s="188">
        <f>'Table D - Integration'!C43</f>
        <v>2.4E-2</v>
      </c>
      <c r="E49" s="146">
        <f>'Table D - Integration'!E43</f>
        <v>2026</v>
      </c>
      <c r="F49" s="188">
        <f>'Table D - Integration'!F43</f>
        <v>2.3E-2</v>
      </c>
      <c r="G49" s="146">
        <f>'Table D - Integration'!H43</f>
        <v>2034</v>
      </c>
      <c r="H49" s="188">
        <f>'Table D - Integration'!I43</f>
        <v>2.1000000000000001E-2</v>
      </c>
      <c r="I49" s="189"/>
      <c r="J49" s="145"/>
      <c r="L49" s="146"/>
      <c r="M49" s="188"/>
    </row>
    <row r="50" spans="3:13" s="144" customFormat="1">
      <c r="C50" s="146">
        <f>'Table D - Integration'!B44</f>
        <v>2019</v>
      </c>
      <c r="D50" s="188">
        <f>'Table D - Integration'!C44</f>
        <v>1.7999999999999999E-2</v>
      </c>
      <c r="E50" s="146">
        <f>'Table D - Integration'!E44</f>
        <v>2027</v>
      </c>
      <c r="F50" s="188">
        <f>'Table D - Integration'!F44</f>
        <v>2.4E-2</v>
      </c>
      <c r="G50" s="146">
        <f>'Table D - Integration'!H44</f>
        <v>2035</v>
      </c>
      <c r="H50" s="188">
        <f>'Table D - Integration'!I44</f>
        <v>2.1000000000000001E-2</v>
      </c>
      <c r="I50" s="189"/>
      <c r="J50" s="145"/>
      <c r="L50" s="146"/>
      <c r="M50" s="188"/>
    </row>
    <row r="51" spans="3:13" s="144" customFormat="1" ht="12.75">
      <c r="C51" s="146">
        <f>'Table D - Integration'!B45</f>
        <v>2020</v>
      </c>
      <c r="D51" s="188">
        <f>'Table D - Integration'!C45</f>
        <v>1.0999999999999999E-2</v>
      </c>
      <c r="E51" s="146">
        <f>'Table D - Integration'!E45</f>
        <v>2028</v>
      </c>
      <c r="F51" s="188">
        <f>'Table D - Integration'!F45</f>
        <v>2.5000000000000001E-2</v>
      </c>
      <c r="G51" s="146">
        <f>'Table D - Integration'!H45</f>
        <v>2036</v>
      </c>
      <c r="H51" s="188">
        <f>'Table D - Integration'!I45</f>
        <v>2.1000000000000001E-2</v>
      </c>
      <c r="L51" s="146"/>
      <c r="M51" s="188"/>
    </row>
    <row r="52" spans="3:13" s="144" customFormat="1">
      <c r="C52" s="146">
        <f>'Table D - Integration'!B46</f>
        <v>2021</v>
      </c>
      <c r="D52" s="188">
        <f>'Table D - Integration'!C46</f>
        <v>1.9E-2</v>
      </c>
      <c r="E52" s="146">
        <f>'Table D - Integration'!E46</f>
        <v>2029</v>
      </c>
      <c r="F52" s="188">
        <f>'Table D - Integration'!F46</f>
        <v>2.4E-2</v>
      </c>
      <c r="G52" s="146">
        <f>'Table D - Integration'!H46</f>
        <v>2037</v>
      </c>
      <c r="H52" s="188">
        <f>'Table D - Integration'!I46</f>
        <v>2.1000000000000001E-2</v>
      </c>
      <c r="I52" s="187"/>
      <c r="J52" s="187"/>
      <c r="L52" s="146"/>
      <c r="M52" s="188"/>
    </row>
    <row r="53" spans="3:13" s="145" customFormat="1">
      <c r="C53" s="146">
        <f>'Table D - Integration'!B47</f>
        <v>2022</v>
      </c>
      <c r="D53" s="188">
        <f>'Table D - Integration'!C47</f>
        <v>0.02</v>
      </c>
      <c r="E53" s="146">
        <f>'Table D - Integration'!E47</f>
        <v>2030</v>
      </c>
      <c r="F53" s="188">
        <f>'Table D - Integration'!F47</f>
        <v>2.4E-2</v>
      </c>
      <c r="G53" s="146">
        <f>'Table D - Integration'!H47</f>
        <v>2038</v>
      </c>
      <c r="H53" s="188">
        <f>'Table D - Integration'!I47</f>
        <v>2.1000000000000001E-2</v>
      </c>
      <c r="I53" s="187"/>
      <c r="J53" s="187"/>
      <c r="L53" s="146"/>
      <c r="M53" s="188"/>
    </row>
    <row r="54" spans="3:13" s="145" customFormat="1">
      <c r="C54" s="146">
        <f>'Table D - Integration'!B48</f>
        <v>2023</v>
      </c>
      <c r="D54" s="188">
        <f>'Table D - Integration'!C48</f>
        <v>1.9E-2</v>
      </c>
      <c r="E54" s="146">
        <f>'Table D - Integration'!E48</f>
        <v>2031</v>
      </c>
      <c r="F54" s="188">
        <f>'Table D - Integration'!F48</f>
        <v>2.1999999999999999E-2</v>
      </c>
      <c r="G54" s="146">
        <f>'Table D - Integration'!H48</f>
        <v>2039</v>
      </c>
      <c r="H54" s="188">
        <f>'Table D - Integration'!I48</f>
        <v>2.1000000000000001E-2</v>
      </c>
      <c r="I54" s="187"/>
      <c r="J54" s="187"/>
      <c r="L54" s="146"/>
      <c r="M54" s="188"/>
    </row>
    <row r="55" spans="3:13" s="145" customFormat="1">
      <c r="E55" s="146"/>
      <c r="F55" s="188"/>
      <c r="G55" s="146">
        <f>'Table D - Integration'!H49</f>
        <v>2040</v>
      </c>
      <c r="H55" s="188">
        <f>'Table D - Integration'!I49</f>
        <v>2.1000000000000001E-2</v>
      </c>
      <c r="I55" s="187"/>
      <c r="J55" s="187"/>
      <c r="L55" s="146"/>
      <c r="M55" s="188"/>
    </row>
    <row r="56" spans="3:13" s="144" customFormat="1">
      <c r="J56" s="187"/>
    </row>
  </sheetData>
  <mergeCells count="4">
    <mergeCell ref="B1:H1"/>
    <mergeCell ref="B2:H2"/>
    <mergeCell ref="J2:L2"/>
    <mergeCell ref="J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workbookViewId="0">
      <selection activeCell="F9" sqref="F9"/>
    </sheetView>
  </sheetViews>
  <sheetFormatPr defaultRowHeight="15"/>
  <cols>
    <col min="1" max="3" width="9.33203125" style="187"/>
    <col min="4" max="4" width="12.1640625" style="187" customWidth="1"/>
    <col min="5" max="5" width="15.33203125" style="187" customWidth="1"/>
    <col min="6" max="6" width="14.83203125" style="187" customWidth="1"/>
    <col min="7" max="7" width="14.33203125" style="187" customWidth="1"/>
    <col min="8" max="8" width="11.83203125" style="187" customWidth="1"/>
    <col min="9" max="9" width="9.33203125" style="187"/>
    <col min="10" max="10" width="13.33203125" customWidth="1"/>
    <col min="11" max="11" width="12.83203125" customWidth="1"/>
    <col min="13" max="16384" width="9.33203125" style="187"/>
  </cols>
  <sheetData>
    <row r="1" spans="2:16" ht="15.75">
      <c r="B1" s="356" t="s">
        <v>185</v>
      </c>
      <c r="C1" s="348"/>
      <c r="D1" s="348"/>
      <c r="E1" s="348"/>
      <c r="F1" s="348"/>
      <c r="G1" s="348"/>
      <c r="H1" s="348"/>
    </row>
    <row r="2" spans="2:16" ht="15.75">
      <c r="B2" s="356" t="s">
        <v>197</v>
      </c>
      <c r="C2" s="348"/>
      <c r="D2" s="348"/>
      <c r="E2" s="348"/>
      <c r="F2" s="348"/>
      <c r="G2" s="348"/>
      <c r="H2" s="348"/>
    </row>
    <row r="3" spans="2:16" s="144" customFormat="1" ht="15.75">
      <c r="B3" s="32"/>
      <c r="C3" s="33"/>
      <c r="D3" s="33"/>
      <c r="E3" s="33"/>
      <c r="F3" s="33"/>
      <c r="G3" s="33"/>
      <c r="H3" s="33"/>
      <c r="J3"/>
      <c r="K3"/>
      <c r="L3"/>
      <c r="M3" s="146"/>
    </row>
    <row r="4" spans="2:16" s="144" customFormat="1" ht="12.75">
      <c r="B4" s="36"/>
      <c r="C4" s="36"/>
      <c r="D4" s="36"/>
      <c r="E4" s="36"/>
      <c r="F4" s="36"/>
      <c r="G4" s="36"/>
      <c r="H4" s="36"/>
      <c r="J4"/>
      <c r="K4"/>
      <c r="L4"/>
      <c r="M4" s="146"/>
    </row>
    <row r="5" spans="2:16" s="144" customFormat="1" ht="64.5">
      <c r="B5" s="83" t="s">
        <v>2</v>
      </c>
      <c r="C5" s="84" t="s">
        <v>198</v>
      </c>
      <c r="D5" s="84" t="s">
        <v>199</v>
      </c>
      <c r="E5" s="151" t="s">
        <v>200</v>
      </c>
      <c r="F5" s="151" t="s">
        <v>201</v>
      </c>
      <c r="H5" s="187"/>
      <c r="I5" s="151" t="s">
        <v>134</v>
      </c>
      <c r="J5"/>
      <c r="K5"/>
      <c r="L5"/>
      <c r="M5" s="146"/>
    </row>
    <row r="6" spans="2:16" s="144" customFormat="1">
      <c r="B6" s="39"/>
      <c r="C6" s="167" t="s">
        <v>120</v>
      </c>
      <c r="D6" s="167" t="s">
        <v>120</v>
      </c>
      <c r="E6" s="167" t="s">
        <v>120</v>
      </c>
      <c r="F6" s="167" t="s">
        <v>120</v>
      </c>
      <c r="H6" s="187"/>
      <c r="I6" s="40" t="s">
        <v>133</v>
      </c>
      <c r="J6"/>
      <c r="K6"/>
      <c r="L6"/>
      <c r="M6" s="146"/>
    </row>
    <row r="7" spans="2:16" s="144" customFormat="1" ht="12.75">
      <c r="B7" s="34"/>
      <c r="C7" s="41" t="s">
        <v>4</v>
      </c>
      <c r="D7" s="41" t="s">
        <v>5</v>
      </c>
      <c r="E7" s="41" t="s">
        <v>6</v>
      </c>
      <c r="F7" s="41" t="s">
        <v>7</v>
      </c>
      <c r="J7"/>
      <c r="K7"/>
      <c r="L7"/>
      <c r="M7"/>
      <c r="N7"/>
      <c r="O7"/>
    </row>
    <row r="8" spans="2:16" s="144" customFormat="1" ht="33.75" customHeight="1">
      <c r="C8" s="35"/>
      <c r="D8" s="34"/>
      <c r="E8" s="211"/>
      <c r="F8" s="211"/>
      <c r="H8" s="182" t="str">
        <f>"Nominal Levelized "&amp;B9&amp;" - "&amp;B23</f>
        <v>Nominal Levelized 2021 - 2035</v>
      </c>
      <c r="I8" s="196">
        <f>-PMT($C$35,COUNT(I$9:I$23),NPV($C$35,I$9:I$23))</f>
        <v>1.1360650513726018</v>
      </c>
      <c r="J8"/>
      <c r="K8"/>
      <c r="L8"/>
      <c r="M8"/>
      <c r="N8"/>
      <c r="O8"/>
      <c r="P8" s="279"/>
    </row>
    <row r="9" spans="2:16" s="144" customFormat="1">
      <c r="B9" s="59">
        <f>[2]Energy!$T$4</f>
        <v>2021</v>
      </c>
      <c r="C9" s="211">
        <f>IF(D9=0,INDEX('Exhibit 1 - Market Capacity'!$I$10:$I$34,MATCH($B9,'Exhibit 1 - Market Capacity'!$B$10:$B$34,0),1),0)</f>
        <v>101132.29</v>
      </c>
      <c r="D9" s="211">
        <f>INDEX('CONF Exhibit 2 - Planned Cap'!$F$9:$F$29,MATCH($B9,'CONF Exhibit 2 - Planned Cap'!$B$9:$B$29,0),1)</f>
        <v>0</v>
      </c>
      <c r="E9" s="211">
        <f>SUM(C9:D9)</f>
        <v>101132.29</v>
      </c>
      <c r="F9" s="211">
        <f>-PMT(DiscountRate,15,NPV(DiscountRate,E9:E23))/$I$8</f>
        <v>119951.27227279608</v>
      </c>
      <c r="H9" s="187"/>
      <c r="I9" s="196">
        <v>1</v>
      </c>
      <c r="J9"/>
      <c r="K9"/>
      <c r="L9"/>
      <c r="M9"/>
      <c r="N9"/>
      <c r="O9"/>
    </row>
    <row r="10" spans="2:16" s="144" customFormat="1">
      <c r="B10" s="59">
        <f t="shared" ref="B10:B28" si="0">B9+1</f>
        <v>2022</v>
      </c>
      <c r="C10" s="211">
        <f>IF(D10=0,INDEX('Exhibit 1 - Market Capacity'!$I$10:$I$34,MATCH($B10,'Exhibit 1 - Market Capacity'!$B$10:$B$34,0),1),0)</f>
        <v>103154.93</v>
      </c>
      <c r="D10" s="211">
        <f>INDEX('CONF Exhibit 2 - Planned Cap'!$F$9:$F$29,MATCH($B10,'CONF Exhibit 2 - Planned Cap'!$B$9:$B$29,0),1)</f>
        <v>0</v>
      </c>
      <c r="E10" s="211">
        <f t="shared" ref="E10:E28" si="1">SUM(C10:D10)</f>
        <v>103154.93</v>
      </c>
      <c r="F10" s="211">
        <f t="shared" ref="F10:F28" si="2">F9*(1+IFERROR(INDEX($D$38:$D$45,MATCH($B10,$C$38:$C$45,0),1),IFERROR(INDEX($F$38:$F$45,MATCH($B10,$E$38:$E$45,0),1),INDEX($H$38:$H$46,MATCH($B10,$G$38:$G$46,0),1))))</f>
        <v>122350.297718252</v>
      </c>
      <c r="H10" s="187"/>
      <c r="I10" s="196">
        <f t="shared" ref="I10:I28" si="3">I9*(1+IFERROR(INDEX($D$38:$D$45,MATCH($B10,$C$38:$C$45,0),1),IFERROR(INDEX($F$38:$F$45,MATCH($B10,$E$38:$E$45,0),1),INDEX($H$38:$H$46,MATCH($B10,$G$38:$G$46,0),1))))</f>
        <v>1.02</v>
      </c>
      <c r="J10"/>
      <c r="K10"/>
      <c r="L10"/>
      <c r="M10"/>
      <c r="N10"/>
      <c r="O10"/>
    </row>
    <row r="11" spans="2:16" s="144" customFormat="1">
      <c r="B11" s="59">
        <f t="shared" si="0"/>
        <v>2023</v>
      </c>
      <c r="C11" s="211">
        <f>IF(D11=0,INDEX('Exhibit 1 - Market Capacity'!$I$10:$I$34,MATCH($B11,'Exhibit 1 - Market Capacity'!$B$10:$B$34,0),1),0)</f>
        <v>105114.87</v>
      </c>
      <c r="D11" s="211">
        <f>INDEX('CONF Exhibit 2 - Planned Cap'!$F$9:$F$29,MATCH($B11,'CONF Exhibit 2 - Planned Cap'!$B$9:$B$29,0),1)</f>
        <v>0</v>
      </c>
      <c r="E11" s="211">
        <f t="shared" si="1"/>
        <v>105114.87</v>
      </c>
      <c r="F11" s="211">
        <f t="shared" si="2"/>
        <v>124674.95337489877</v>
      </c>
      <c r="H11" s="187"/>
      <c r="I11" s="196">
        <f t="shared" si="3"/>
        <v>1.03938</v>
      </c>
      <c r="J11"/>
      <c r="K11"/>
      <c r="L11"/>
      <c r="M11"/>
      <c r="N11"/>
      <c r="O11"/>
    </row>
    <row r="12" spans="2:16" s="144" customFormat="1">
      <c r="B12" s="59">
        <f t="shared" si="0"/>
        <v>2024</v>
      </c>
      <c r="C12" s="211">
        <f>IF(D12=0,INDEX('Exhibit 1 - Market Capacity'!$I$10:$I$34,MATCH($B12,'Exhibit 1 - Market Capacity'!$B$10:$B$34,0),1),0)</f>
        <v>107217.15999999999</v>
      </c>
      <c r="D12" s="211">
        <f>INDEX('CONF Exhibit 2 - Planned Cap'!$F$9:$F$29,MATCH($B12,'CONF Exhibit 2 - Planned Cap'!$B$9:$B$29,0),1)</f>
        <v>0</v>
      </c>
      <c r="E12" s="211">
        <f t="shared" si="1"/>
        <v>107217.15999999999</v>
      </c>
      <c r="F12" s="211">
        <f t="shared" si="2"/>
        <v>127168.45244239675</v>
      </c>
      <c r="H12" s="187"/>
      <c r="I12" s="196">
        <f t="shared" si="3"/>
        <v>1.0601676</v>
      </c>
      <c r="J12"/>
      <c r="K12"/>
      <c r="L12"/>
      <c r="M12"/>
      <c r="N12"/>
      <c r="O12"/>
    </row>
    <row r="13" spans="2:16" s="144" customFormat="1">
      <c r="B13" s="59">
        <f t="shared" si="0"/>
        <v>2025</v>
      </c>
      <c r="C13" s="211">
        <f>IF(D13=0,INDEX('Exhibit 1 - Market Capacity'!$I$10:$I$34,MATCH($B13,'Exhibit 1 - Market Capacity'!$B$10:$B$34,0),1),0)</f>
        <v>109468.72000000002</v>
      </c>
      <c r="D13" s="211">
        <f>INDEX('CONF Exhibit 2 - Planned Cap'!$F$9:$F$29,MATCH($B13,'CONF Exhibit 2 - Planned Cap'!$B$9:$B$29,0),1)</f>
        <v>0</v>
      </c>
      <c r="E13" s="211">
        <f t="shared" si="1"/>
        <v>109468.72000000002</v>
      </c>
      <c r="F13" s="211">
        <f t="shared" si="2"/>
        <v>129838.98994368708</v>
      </c>
      <c r="H13" s="187"/>
      <c r="I13" s="196">
        <f t="shared" si="3"/>
        <v>1.0824311195999998</v>
      </c>
      <c r="J13"/>
      <c r="K13"/>
      <c r="L13"/>
      <c r="M13"/>
      <c r="N13"/>
      <c r="O13"/>
    </row>
    <row r="14" spans="2:16" s="144" customFormat="1">
      <c r="B14" s="59">
        <f t="shared" si="0"/>
        <v>2026</v>
      </c>
      <c r="C14" s="211">
        <f>IF(D14=0,INDEX('Exhibit 1 - Market Capacity'!$I$10:$I$34,MATCH($B14,'Exhibit 1 - Market Capacity'!$B$10:$B$34,0),1),0)</f>
        <v>111986.5</v>
      </c>
      <c r="D14" s="211">
        <f>INDEX('CONF Exhibit 2 - Planned Cap'!$F$9:$F$29,MATCH($B14,'CONF Exhibit 2 - Planned Cap'!$B$9:$B$29,0),1)</f>
        <v>0</v>
      </c>
      <c r="E14" s="211">
        <f t="shared" si="1"/>
        <v>111986.5</v>
      </c>
      <c r="F14" s="211">
        <f t="shared" si="2"/>
        <v>132825.28671239185</v>
      </c>
      <c r="H14" s="187"/>
      <c r="I14" s="196">
        <f t="shared" si="3"/>
        <v>1.1073270353507998</v>
      </c>
      <c r="J14"/>
      <c r="K14"/>
      <c r="L14"/>
      <c r="M14"/>
      <c r="N14"/>
      <c r="O14"/>
    </row>
    <row r="15" spans="2:16" s="144" customFormat="1">
      <c r="B15" s="59">
        <f t="shared" si="0"/>
        <v>2027</v>
      </c>
      <c r="C15" s="211">
        <f>IF(D15=0,INDEX('Exhibit 1 - Market Capacity'!$I$10:$I$34,MATCH($B15,'Exhibit 1 - Market Capacity'!$B$10:$B$34,0),1),0)</f>
        <v>114674.18</v>
      </c>
      <c r="D15" s="211">
        <f>INDEX('CONF Exhibit 2 - Planned Cap'!$F$9:$F$29,MATCH($B15,'CONF Exhibit 2 - Planned Cap'!$B$9:$B$29,0),1)</f>
        <v>0</v>
      </c>
      <c r="E15" s="211">
        <f t="shared" si="1"/>
        <v>114674.18</v>
      </c>
      <c r="F15" s="211">
        <f t="shared" si="2"/>
        <v>136013.09359348926</v>
      </c>
      <c r="H15" s="187"/>
      <c r="I15" s="196">
        <f t="shared" si="3"/>
        <v>1.1339028841992189</v>
      </c>
      <c r="J15"/>
      <c r="K15"/>
      <c r="L15"/>
      <c r="M15"/>
      <c r="N15"/>
      <c r="O15"/>
    </row>
    <row r="16" spans="2:16" s="144" customFormat="1">
      <c r="B16" s="59">
        <f t="shared" si="0"/>
        <v>2028</v>
      </c>
      <c r="C16" s="211">
        <f>IF(D16=0,INDEX('Exhibit 1 - Market Capacity'!$I$10:$I$34,MATCH($B16,'Exhibit 1 - Market Capacity'!$B$10:$B$34,0),1),0)</f>
        <v>0</v>
      </c>
      <c r="D16" s="211">
        <f>INDEX('CONF Exhibit 2 - Planned Cap'!$F$9:$F$29,MATCH($B16,'CONF Exhibit 2 - Planned Cap'!$B$9:$B$29,0),1)</f>
        <v>166077.49589396801</v>
      </c>
      <c r="E16" s="211">
        <f t="shared" si="1"/>
        <v>166077.49589396801</v>
      </c>
      <c r="F16" s="211">
        <f t="shared" si="2"/>
        <v>139413.42093332647</v>
      </c>
      <c r="H16" s="187"/>
      <c r="I16" s="196">
        <f t="shared" si="3"/>
        <v>1.1622504563041993</v>
      </c>
      <c r="J16"/>
      <c r="K16"/>
      <c r="L16"/>
      <c r="M16"/>
      <c r="N16"/>
      <c r="O16"/>
    </row>
    <row r="17" spans="2:15" s="144" customFormat="1">
      <c r="B17" s="59">
        <f t="shared" si="0"/>
        <v>2029</v>
      </c>
      <c r="C17" s="211">
        <f>IF(D17=0,INDEX('Exhibit 1 - Market Capacity'!$I$10:$I$34,MATCH($B17,'Exhibit 1 - Market Capacity'!$B$10:$B$34,0),1),0)</f>
        <v>0</v>
      </c>
      <c r="D17" s="211">
        <f>INDEX('CONF Exhibit 2 - Planned Cap'!$F$9:$F$29,MATCH($B17,'CONF Exhibit 2 - Planned Cap'!$B$9:$B$29,0),1)</f>
        <v>170063.34876543211</v>
      </c>
      <c r="E17" s="211">
        <f t="shared" si="1"/>
        <v>170063.34876543211</v>
      </c>
      <c r="F17" s="211">
        <f t="shared" si="2"/>
        <v>142759.34303572631</v>
      </c>
      <c r="H17" s="187"/>
      <c r="I17" s="196">
        <f t="shared" si="3"/>
        <v>1.1901444672555002</v>
      </c>
      <c r="J17"/>
      <c r="K17"/>
      <c r="L17"/>
      <c r="M17"/>
      <c r="N17"/>
      <c r="O17"/>
    </row>
    <row r="18" spans="2:15" s="144" customFormat="1">
      <c r="B18" s="59">
        <f t="shared" si="0"/>
        <v>2030</v>
      </c>
      <c r="C18" s="211">
        <f>IF(D18=0,INDEX('Exhibit 1 - Market Capacity'!$I$10:$I$34,MATCH($B18,'Exhibit 1 - Market Capacity'!$B$10:$B$34,0),1),0)</f>
        <v>0</v>
      </c>
      <c r="D18" s="211">
        <f>INDEX('CONF Exhibit 2 - Planned Cap'!$F$9:$F$29,MATCH($B18,'CONF Exhibit 2 - Planned Cap'!$B$9:$B$29,0),1)</f>
        <v>174144.87654320989</v>
      </c>
      <c r="E18" s="211">
        <f t="shared" si="1"/>
        <v>174144.87654320989</v>
      </c>
      <c r="F18" s="211">
        <f t="shared" si="2"/>
        <v>146185.56726858375</v>
      </c>
      <c r="H18" s="187"/>
      <c r="I18" s="196">
        <f t="shared" si="3"/>
        <v>1.2187079344696321</v>
      </c>
      <c r="J18"/>
      <c r="K18"/>
      <c r="L18"/>
      <c r="M18"/>
      <c r="N18"/>
      <c r="O18"/>
    </row>
    <row r="19" spans="2:15" s="144" customFormat="1">
      <c r="B19" s="59">
        <f t="shared" si="0"/>
        <v>2031</v>
      </c>
      <c r="C19" s="211">
        <f>IF(D19=0,INDEX('Exhibit 1 - Market Capacity'!$I$10:$I$34,MATCH($B19,'Exhibit 1 - Market Capacity'!$B$10:$B$34,0),1),0)</f>
        <v>0</v>
      </c>
      <c r="D19" s="211">
        <f>INDEX('CONF Exhibit 2 - Planned Cap'!$F$9:$F$29,MATCH($B19,'CONF Exhibit 2 - Planned Cap'!$B$9:$B$29,0),1)</f>
        <v>177976.0648148148</v>
      </c>
      <c r="E19" s="211">
        <f t="shared" si="1"/>
        <v>177976.0648148148</v>
      </c>
      <c r="F19" s="211">
        <f t="shared" si="2"/>
        <v>149401.64974849261</v>
      </c>
      <c r="H19" s="187"/>
      <c r="I19" s="196">
        <f t="shared" si="3"/>
        <v>1.245519509027964</v>
      </c>
      <c r="J19"/>
      <c r="K19"/>
      <c r="L19"/>
      <c r="M19"/>
      <c r="N19"/>
      <c r="O19"/>
    </row>
    <row r="20" spans="2:15" s="144" customFormat="1">
      <c r="B20" s="59">
        <f t="shared" si="0"/>
        <v>2032</v>
      </c>
      <c r="C20" s="211">
        <f>IF(D20=0,INDEX('Exhibit 1 - Market Capacity'!$I$10:$I$34,MATCH($B20,'Exhibit 1 - Market Capacity'!$B$10:$B$34,0),1),0)</f>
        <v>0</v>
      </c>
      <c r="D20" s="211">
        <f>INDEX('CONF Exhibit 2 - Planned Cap'!$F$9:$F$29,MATCH($B20,'CONF Exhibit 2 - Planned Cap'!$B$9:$B$29,0),1)</f>
        <v>181891.54320987655</v>
      </c>
      <c r="E20" s="211">
        <f t="shared" si="1"/>
        <v>181891.54320987655</v>
      </c>
      <c r="F20" s="211">
        <f t="shared" si="2"/>
        <v>152688.48604295944</v>
      </c>
      <c r="H20" s="187"/>
      <c r="I20" s="196">
        <f t="shared" si="3"/>
        <v>1.2729209382265794</v>
      </c>
      <c r="J20"/>
      <c r="K20"/>
      <c r="L20"/>
      <c r="M20"/>
      <c r="N20"/>
      <c r="O20"/>
    </row>
    <row r="21" spans="2:15" s="144" customFormat="1">
      <c r="B21" s="59">
        <f t="shared" si="0"/>
        <v>2033</v>
      </c>
      <c r="C21" s="211">
        <f>IF(D21=0,INDEX('Exhibit 1 - Market Capacity'!$I$10:$I$34,MATCH($B21,'Exhibit 1 - Market Capacity'!$B$10:$B$34,0),1),0)</f>
        <v>0</v>
      </c>
      <c r="D21" s="211">
        <f>INDEX('CONF Exhibit 2 - Planned Cap'!$F$9:$F$29,MATCH($B21,'CONF Exhibit 2 - Planned Cap'!$B$9:$B$29,0),1)</f>
        <v>185711.26543209876</v>
      </c>
      <c r="E21" s="211">
        <f t="shared" si="1"/>
        <v>185711.26543209876</v>
      </c>
      <c r="F21" s="211">
        <f t="shared" si="2"/>
        <v>155894.94424986158</v>
      </c>
      <c r="H21" s="187"/>
      <c r="I21" s="196">
        <f t="shared" si="3"/>
        <v>1.2996522779293374</v>
      </c>
      <c r="J21"/>
      <c r="K21"/>
      <c r="L21"/>
      <c r="M21"/>
      <c r="N21"/>
      <c r="O21"/>
    </row>
    <row r="22" spans="2:15" s="144" customFormat="1">
      <c r="B22" s="59">
        <f t="shared" si="0"/>
        <v>2034</v>
      </c>
      <c r="C22" s="211">
        <f>IF(D22=0,INDEX('Exhibit 1 - Market Capacity'!$I$10:$I$34,MATCH($B22,'Exhibit 1 - Market Capacity'!$B$10:$B$34,0),1),0)</f>
        <v>0</v>
      </c>
      <c r="D22" s="211">
        <f>INDEX('CONF Exhibit 2 - Planned Cap'!$F$9:$F$29,MATCH($B22,'CONF Exhibit 2 - Planned Cap'!$B$9:$B$29,0),1)</f>
        <v>189611.20370370371</v>
      </c>
      <c r="E22" s="211">
        <f t="shared" si="1"/>
        <v>189611.20370370371</v>
      </c>
      <c r="F22" s="211">
        <f t="shared" si="2"/>
        <v>159168.73807910865</v>
      </c>
      <c r="H22" s="187"/>
      <c r="I22" s="196">
        <f t="shared" si="3"/>
        <v>1.3269449757658534</v>
      </c>
      <c r="J22"/>
      <c r="K22"/>
      <c r="L22"/>
      <c r="M22"/>
      <c r="N22"/>
      <c r="O22"/>
    </row>
    <row r="23" spans="2:15" s="144" customFormat="1">
      <c r="B23" s="59">
        <f t="shared" si="0"/>
        <v>2035</v>
      </c>
      <c r="C23" s="211">
        <f>IF(D23=0,INDEX('Exhibit 1 - Market Capacity'!$I$10:$I$34,MATCH($B23,'Exhibit 1 - Market Capacity'!$B$10:$B$34,0),1),0)</f>
        <v>0</v>
      </c>
      <c r="D23" s="211">
        <f>INDEX('CONF Exhibit 2 - Planned Cap'!$F$9:$F$29,MATCH($B23,'CONF Exhibit 2 - Planned Cap'!$B$9:$B$29,0),1)</f>
        <v>193593.04012345677</v>
      </c>
      <c r="E23" s="211">
        <f t="shared" si="1"/>
        <v>193593.04012345677</v>
      </c>
      <c r="F23" s="211">
        <f t="shared" si="2"/>
        <v>162511.28157876991</v>
      </c>
      <c r="H23" s="187"/>
      <c r="I23" s="196">
        <f t="shared" si="3"/>
        <v>1.3548108202569362</v>
      </c>
      <c r="J23"/>
      <c r="K23"/>
      <c r="L23"/>
      <c r="M23"/>
      <c r="N23"/>
      <c r="O23"/>
    </row>
    <row r="24" spans="2:15" s="144" customFormat="1">
      <c r="B24" s="59">
        <f t="shared" si="0"/>
        <v>2036</v>
      </c>
      <c r="C24" s="211">
        <f>IF(D24=0,INDEX('Exhibit 1 - Market Capacity'!$I$10:$I$34,MATCH($B24,'Exhibit 1 - Market Capacity'!$B$10:$B$34,0),1),0)</f>
        <v>0</v>
      </c>
      <c r="D24" s="211">
        <f>INDEX('CONF Exhibit 2 - Planned Cap'!$F$9:$F$29,MATCH($B24,'CONF Exhibit 2 - Planned Cap'!$B$9:$B$29,0),1)</f>
        <v>197658.48765432098</v>
      </c>
      <c r="E24" s="211">
        <f t="shared" si="1"/>
        <v>197658.48765432098</v>
      </c>
      <c r="F24" s="211">
        <f t="shared" si="2"/>
        <v>165924.01849192407</v>
      </c>
      <c r="H24" s="187"/>
      <c r="I24" s="196">
        <f t="shared" si="3"/>
        <v>1.3832618474823317</v>
      </c>
      <c r="J24"/>
      <c r="K24"/>
      <c r="L24"/>
      <c r="M24"/>
      <c r="N24"/>
      <c r="O24"/>
    </row>
    <row r="25" spans="2:15" s="144" customFormat="1">
      <c r="B25" s="59">
        <f t="shared" si="0"/>
        <v>2037</v>
      </c>
      <c r="C25" s="211">
        <f>IF(D25=0,INDEX('Exhibit 1 - Market Capacity'!$I$10:$I$34,MATCH($B25,'Exhibit 1 - Market Capacity'!$B$10:$B$34,0),1),0)</f>
        <v>0</v>
      </c>
      <c r="D25" s="211">
        <f>INDEX('CONF Exhibit 2 - Planned Cap'!$F$9:$F$29,MATCH($B25,'CONF Exhibit 2 - Planned Cap'!$B$9:$B$29,0),1)</f>
        <v>201809.32098765433</v>
      </c>
      <c r="E25" s="211">
        <f t="shared" si="1"/>
        <v>201809.32098765433</v>
      </c>
      <c r="F25" s="211">
        <f t="shared" si="2"/>
        <v>169408.42288025445</v>
      </c>
      <c r="H25" s="187"/>
      <c r="I25" s="196">
        <f t="shared" si="3"/>
        <v>1.4123103462794606</v>
      </c>
      <c r="J25"/>
      <c r="K25"/>
      <c r="L25"/>
      <c r="M25"/>
      <c r="N25"/>
      <c r="O25"/>
    </row>
    <row r="26" spans="2:15" s="144" customFormat="1">
      <c r="B26" s="59">
        <f t="shared" si="0"/>
        <v>2038</v>
      </c>
      <c r="C26" s="211">
        <f>IF(D26=0,INDEX('Exhibit 1 - Market Capacity'!$I$10:$I$34,MATCH($B26,'Exhibit 1 - Market Capacity'!$B$10:$B$34,0),1),0)</f>
        <v>0</v>
      </c>
      <c r="D26" s="211">
        <f>INDEX('CONF Exhibit 2 - Planned Cap'!$F$9:$F$29,MATCH($B26,'CONF Exhibit 2 - Planned Cap'!$B$9:$B$29,0),1)</f>
        <v>206047.3148148148</v>
      </c>
      <c r="E26" s="211">
        <f t="shared" si="1"/>
        <v>206047.3148148148</v>
      </c>
      <c r="F26" s="211">
        <f t="shared" si="2"/>
        <v>172965.99976073977</v>
      </c>
      <c r="H26" s="187"/>
      <c r="I26" s="196">
        <f t="shared" si="3"/>
        <v>1.4419688635513292</v>
      </c>
      <c r="J26"/>
      <c r="K26"/>
      <c r="L26"/>
      <c r="M26"/>
      <c r="N26"/>
      <c r="O26"/>
    </row>
    <row r="27" spans="2:15" s="144" customFormat="1">
      <c r="B27" s="59">
        <f t="shared" si="0"/>
        <v>2039</v>
      </c>
      <c r="C27" s="211">
        <f>IF(D27=0,INDEX('Exhibit 1 - Market Capacity'!$I$10:$I$34,MATCH($B27,'Exhibit 1 - Market Capacity'!$B$10:$B$34,0),1),0)</f>
        <v>0</v>
      </c>
      <c r="D27" s="211">
        <f>INDEX('CONF Exhibit 2 - Planned Cap'!$F$9:$F$29,MATCH($B27,'CONF Exhibit 2 - Planned Cap'!$B$9:$B$29,0),1)</f>
        <v>210374.30555555553</v>
      </c>
      <c r="E27" s="211">
        <f t="shared" si="1"/>
        <v>210374.30555555553</v>
      </c>
      <c r="F27" s="211">
        <f t="shared" si="2"/>
        <v>176598.28575571527</v>
      </c>
      <c r="H27" s="187"/>
      <c r="I27" s="196">
        <f t="shared" si="3"/>
        <v>1.4722502096859071</v>
      </c>
      <c r="J27"/>
      <c r="K27"/>
      <c r="L27"/>
      <c r="M27"/>
      <c r="N27"/>
      <c r="O27"/>
    </row>
    <row r="28" spans="2:15" s="144" customFormat="1">
      <c r="B28" s="59">
        <f t="shared" si="0"/>
        <v>2040</v>
      </c>
      <c r="C28" s="211">
        <f>IF(D28=0,INDEX('Exhibit 1 - Market Capacity'!$I$10:$I$34,MATCH($B28,'Exhibit 1 - Market Capacity'!$B$10:$B$34,0),1),0)</f>
        <v>0</v>
      </c>
      <c r="D28" s="211">
        <f>INDEX('CONF Exhibit 2 - Planned Cap'!$F$9:$F$29,MATCH($B28,'CONF Exhibit 2 - Planned Cap'!$B$9:$B$29,0),1)</f>
        <v>214792.16049382716</v>
      </c>
      <c r="E28" s="211">
        <f t="shared" si="1"/>
        <v>214792.16049382716</v>
      </c>
      <c r="F28" s="211">
        <f t="shared" si="2"/>
        <v>180306.84975658529</v>
      </c>
      <c r="H28" s="187"/>
      <c r="I28" s="196">
        <f t="shared" si="3"/>
        <v>1.5031674640893111</v>
      </c>
      <c r="J28"/>
      <c r="K28"/>
      <c r="L28"/>
      <c r="M28"/>
      <c r="N28"/>
      <c r="O28"/>
    </row>
    <row r="29" spans="2:15" s="144" customFormat="1">
      <c r="B29" s="59"/>
      <c r="C29" s="93"/>
      <c r="D29" s="85"/>
      <c r="E29" s="85"/>
      <c r="F29" s="150"/>
      <c r="G29" s="187"/>
      <c r="H29" s="187"/>
      <c r="I29" s="196"/>
      <c r="J29"/>
      <c r="K29"/>
      <c r="L29"/>
      <c r="M29"/>
      <c r="N29"/>
      <c r="O29"/>
    </row>
    <row r="30" spans="2:15" s="144" customFormat="1" ht="12.75">
      <c r="B30" s="34"/>
      <c r="C30" s="34"/>
      <c r="D30" s="34"/>
      <c r="E30" s="34"/>
      <c r="F30" s="34"/>
      <c r="G30" s="34"/>
      <c r="H30" s="34"/>
      <c r="J30"/>
      <c r="K30"/>
      <c r="L30"/>
    </row>
    <row r="31" spans="2:15" s="144" customFormat="1" ht="14.25">
      <c r="B31" s="87" t="s">
        <v>13</v>
      </c>
      <c r="C31" s="88"/>
      <c r="D31" s="88"/>
      <c r="E31" s="88"/>
      <c r="F31" s="88"/>
      <c r="G31" s="88"/>
      <c r="H31" s="88"/>
      <c r="J31"/>
      <c r="K31"/>
      <c r="L31"/>
    </row>
    <row r="32" spans="2:15" s="144" customFormat="1" ht="12.75">
      <c r="B32" s="34"/>
      <c r="C32" s="34"/>
      <c r="D32" s="34"/>
      <c r="E32" s="34"/>
      <c r="F32" s="34"/>
      <c r="G32" s="34"/>
      <c r="H32" s="34"/>
      <c r="J32"/>
      <c r="K32"/>
      <c r="L32"/>
    </row>
    <row r="33" spans="2:13" s="144" customFormat="1" ht="13.5" thickBot="1">
      <c r="B33" s="34"/>
      <c r="C33" s="34"/>
      <c r="D33" s="34"/>
      <c r="E33" s="34"/>
      <c r="F33" s="34"/>
      <c r="G33" s="34"/>
      <c r="H33" s="34"/>
      <c r="J33"/>
      <c r="K33"/>
      <c r="L33"/>
    </row>
    <row r="34" spans="2:13" s="144" customFormat="1" ht="13.5" thickBot="1">
      <c r="B34" s="34"/>
      <c r="C34" s="91"/>
      <c r="D34" s="92" t="s">
        <v>60</v>
      </c>
      <c r="E34" s="92"/>
      <c r="F34" s="92"/>
      <c r="G34" s="92"/>
      <c r="H34" s="194"/>
      <c r="J34"/>
      <c r="K34"/>
      <c r="L34"/>
    </row>
    <row r="35" spans="2:13" s="144" customFormat="1" ht="12.75">
      <c r="B35" s="34"/>
      <c r="C35" s="193">
        <v>6.9099999999999995E-2</v>
      </c>
      <c r="D35" s="148" t="s">
        <v>130</v>
      </c>
      <c r="E35" s="34"/>
      <c r="F35" s="34"/>
      <c r="G35" s="34"/>
      <c r="H35" s="34"/>
      <c r="J35"/>
      <c r="K35"/>
      <c r="L35"/>
    </row>
    <row r="36" spans="2:13" s="144" customFormat="1" ht="15.75" thickBot="1">
      <c r="B36" s="35"/>
      <c r="C36" s="35"/>
      <c r="D36" s="35"/>
      <c r="E36" s="35"/>
      <c r="F36" s="35"/>
      <c r="G36" s="35"/>
      <c r="H36" s="35"/>
      <c r="I36" s="190"/>
      <c r="J36"/>
      <c r="K36"/>
      <c r="L36"/>
    </row>
    <row r="37" spans="2:13" s="144" customFormat="1" ht="15.75" thickBot="1">
      <c r="C37" s="20" t="str">
        <f>'Table D - Integration'!$B$40</f>
        <v>Company Official Inflation Forecast Sept 2020</v>
      </c>
      <c r="D37" s="192"/>
      <c r="E37" s="192"/>
      <c r="F37" s="192"/>
      <c r="G37" s="192"/>
      <c r="H37" s="191"/>
      <c r="I37" s="190"/>
      <c r="J37"/>
      <c r="K37"/>
      <c r="L37"/>
    </row>
    <row r="38" spans="2:13" s="144" customFormat="1">
      <c r="C38" s="146">
        <f>'Table D - Integration'!B41</f>
        <v>2016</v>
      </c>
      <c r="D38" s="188">
        <f>'Table D - Integration'!C41</f>
        <v>1.2E-2</v>
      </c>
      <c r="E38" s="146">
        <f>'Table D - Integration'!E41</f>
        <v>2024</v>
      </c>
      <c r="F38" s="188">
        <f>'Table D - Integration'!F41</f>
        <v>0.02</v>
      </c>
      <c r="G38" s="146">
        <f>'Table D - Integration'!H41</f>
        <v>2032</v>
      </c>
      <c r="H38" s="188">
        <f>'Table D - Integration'!I41</f>
        <v>2.1999999999999999E-2</v>
      </c>
      <c r="I38" s="190"/>
      <c r="J38"/>
      <c r="K38"/>
      <c r="L38"/>
      <c r="M38" s="188"/>
    </row>
    <row r="39" spans="2:13" s="144" customFormat="1">
      <c r="C39" s="146">
        <f>'Table D - Integration'!B42</f>
        <v>2017</v>
      </c>
      <c r="D39" s="188">
        <f>'Table D - Integration'!C42</f>
        <v>0.02</v>
      </c>
      <c r="E39" s="146">
        <f>'Table D - Integration'!E42</f>
        <v>2025</v>
      </c>
      <c r="F39" s="188">
        <f>'Table D - Integration'!F42</f>
        <v>2.1000000000000001E-2</v>
      </c>
      <c r="G39" s="146">
        <f>'Table D - Integration'!H42</f>
        <v>2033</v>
      </c>
      <c r="H39" s="188">
        <f>'Table D - Integration'!I42</f>
        <v>2.1000000000000001E-2</v>
      </c>
      <c r="I39" s="189"/>
      <c r="J39"/>
      <c r="K39"/>
      <c r="L39"/>
      <c r="M39" s="188"/>
    </row>
    <row r="40" spans="2:13" s="144" customFormat="1">
      <c r="C40" s="146">
        <f>'Table D - Integration'!B43</f>
        <v>2018</v>
      </c>
      <c r="D40" s="188">
        <f>'Table D - Integration'!C43</f>
        <v>2.4E-2</v>
      </c>
      <c r="E40" s="146">
        <f>'Table D - Integration'!E43</f>
        <v>2026</v>
      </c>
      <c r="F40" s="188">
        <f>'Table D - Integration'!F43</f>
        <v>2.3E-2</v>
      </c>
      <c r="G40" s="146">
        <f>'Table D - Integration'!H43</f>
        <v>2034</v>
      </c>
      <c r="H40" s="188">
        <f>'Table D - Integration'!I43</f>
        <v>2.1000000000000001E-2</v>
      </c>
      <c r="I40" s="189"/>
      <c r="J40"/>
      <c r="K40"/>
      <c r="L40"/>
      <c r="M40" s="188"/>
    </row>
    <row r="41" spans="2:13" s="144" customFormat="1">
      <c r="C41" s="146">
        <f>'Table D - Integration'!B44</f>
        <v>2019</v>
      </c>
      <c r="D41" s="188">
        <f>'Table D - Integration'!C44</f>
        <v>1.7999999999999999E-2</v>
      </c>
      <c r="E41" s="146">
        <f>'Table D - Integration'!E44</f>
        <v>2027</v>
      </c>
      <c r="F41" s="188">
        <f>'Table D - Integration'!F44</f>
        <v>2.4E-2</v>
      </c>
      <c r="G41" s="146">
        <f>'Table D - Integration'!H44</f>
        <v>2035</v>
      </c>
      <c r="H41" s="188">
        <f>'Table D - Integration'!I44</f>
        <v>2.1000000000000001E-2</v>
      </c>
      <c r="I41" s="189"/>
      <c r="J41"/>
      <c r="K41"/>
      <c r="L41"/>
      <c r="M41" s="188"/>
    </row>
    <row r="42" spans="2:13" s="144" customFormat="1" ht="12.75">
      <c r="C42" s="146">
        <f>'Table D - Integration'!B45</f>
        <v>2020</v>
      </c>
      <c r="D42" s="188">
        <f>'Table D - Integration'!C45</f>
        <v>1.0999999999999999E-2</v>
      </c>
      <c r="E42" s="146">
        <f>'Table D - Integration'!E45</f>
        <v>2028</v>
      </c>
      <c r="F42" s="188">
        <f>'Table D - Integration'!F45</f>
        <v>2.5000000000000001E-2</v>
      </c>
      <c r="G42" s="146">
        <f>'Table D - Integration'!H45</f>
        <v>2036</v>
      </c>
      <c r="H42" s="188">
        <f>'Table D - Integration'!I45</f>
        <v>2.1000000000000001E-2</v>
      </c>
      <c r="J42"/>
      <c r="K42"/>
      <c r="L42"/>
      <c r="M42" s="188"/>
    </row>
    <row r="43" spans="2:13" s="144" customFormat="1">
      <c r="C43" s="146">
        <f>'Table D - Integration'!B46</f>
        <v>2021</v>
      </c>
      <c r="D43" s="188">
        <f>'Table D - Integration'!C46</f>
        <v>1.9E-2</v>
      </c>
      <c r="E43" s="146">
        <f>'Table D - Integration'!E46</f>
        <v>2029</v>
      </c>
      <c r="F43" s="188">
        <f>'Table D - Integration'!F46</f>
        <v>2.4E-2</v>
      </c>
      <c r="G43" s="146">
        <f>'Table D - Integration'!H46</f>
        <v>2037</v>
      </c>
      <c r="H43" s="188">
        <f>'Table D - Integration'!I46</f>
        <v>2.1000000000000001E-2</v>
      </c>
      <c r="I43" s="187"/>
      <c r="J43"/>
      <c r="K43"/>
      <c r="L43"/>
      <c r="M43" s="188"/>
    </row>
    <row r="44" spans="2:13" s="145" customFormat="1">
      <c r="C44" s="146">
        <f>'Table D - Integration'!B47</f>
        <v>2022</v>
      </c>
      <c r="D44" s="188">
        <f>'Table D - Integration'!C47</f>
        <v>0.02</v>
      </c>
      <c r="E44" s="146">
        <f>'Table D - Integration'!E47</f>
        <v>2030</v>
      </c>
      <c r="F44" s="188">
        <f>'Table D - Integration'!F47</f>
        <v>2.4E-2</v>
      </c>
      <c r="G44" s="146">
        <f>'Table D - Integration'!H47</f>
        <v>2038</v>
      </c>
      <c r="H44" s="188">
        <f>'Table D - Integration'!I47</f>
        <v>2.1000000000000001E-2</v>
      </c>
      <c r="I44" s="187"/>
      <c r="J44"/>
      <c r="K44"/>
      <c r="L44"/>
      <c r="M44" s="188"/>
    </row>
    <row r="45" spans="2:13" s="145" customFormat="1">
      <c r="C45" s="146">
        <f>'Table D - Integration'!B48</f>
        <v>2023</v>
      </c>
      <c r="D45" s="188">
        <f>'Table D - Integration'!C48</f>
        <v>1.9E-2</v>
      </c>
      <c r="E45" s="146">
        <f>'Table D - Integration'!E48</f>
        <v>2031</v>
      </c>
      <c r="F45" s="188">
        <f>'Table D - Integration'!F48</f>
        <v>2.1999999999999999E-2</v>
      </c>
      <c r="G45" s="146">
        <f>'Table D - Integration'!H48</f>
        <v>2039</v>
      </c>
      <c r="H45" s="188">
        <f>'Table D - Integration'!I48</f>
        <v>2.1000000000000001E-2</v>
      </c>
      <c r="I45" s="187"/>
      <c r="J45"/>
      <c r="K45"/>
      <c r="L45"/>
      <c r="M45" s="188"/>
    </row>
    <row r="46" spans="2:13" s="145" customFormat="1">
      <c r="E46" s="146"/>
      <c r="F46" s="188"/>
      <c r="G46" s="146">
        <f>'Table D - Integration'!H49</f>
        <v>2040</v>
      </c>
      <c r="H46" s="188">
        <f>'Table D - Integration'!I49</f>
        <v>2.1000000000000001E-2</v>
      </c>
      <c r="I46" s="187"/>
      <c r="J46"/>
      <c r="K46"/>
      <c r="L46"/>
      <c r="M46" s="188"/>
    </row>
    <row r="47" spans="2:13" s="144" customFormat="1" ht="12.75">
      <c r="J47"/>
      <c r="K47"/>
      <c r="L47"/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opLeftCell="A16" workbookViewId="0">
      <selection activeCell="A33" sqref="A33:XFD35"/>
    </sheetView>
  </sheetViews>
  <sheetFormatPr defaultColWidth="9.33203125" defaultRowHeight="12.75"/>
  <cols>
    <col min="1" max="1" width="1.83203125" style="1" customWidth="1"/>
    <col min="2" max="2" width="12.5" style="1" customWidth="1"/>
    <col min="3" max="14" width="10" style="1" customWidth="1"/>
    <col min="15" max="16" width="2.83203125" style="11" customWidth="1"/>
    <col min="17" max="17" width="18.6640625" style="11" customWidth="1"/>
    <col min="18" max="18" width="19.6640625" style="11" customWidth="1"/>
    <col min="19" max="16384" width="9.33203125" style="1"/>
  </cols>
  <sheetData>
    <row r="1" spans="1:26" s="55" customFormat="1" ht="15.75">
      <c r="B1" s="362" t="s">
        <v>214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49"/>
      <c r="P1" s="49"/>
      <c r="Q1" s="49"/>
      <c r="R1" s="49"/>
    </row>
    <row r="2" spans="1:26" s="55" customFormat="1" ht="15.75">
      <c r="B2" s="360" t="s">
        <v>58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49"/>
      <c r="P2" s="49"/>
      <c r="Q2" s="49"/>
      <c r="R2" s="49"/>
    </row>
    <row r="3" spans="1:26" s="56" customFormat="1" ht="15">
      <c r="B3" s="360" t="s">
        <v>215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53"/>
      <c r="P3" s="74"/>
      <c r="Q3" s="52"/>
      <c r="R3" s="52"/>
    </row>
    <row r="4" spans="1:26">
      <c r="B4" s="280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R4" s="1"/>
    </row>
    <row r="5" spans="1:26" s="57" customFormat="1" ht="12.75" customHeight="1">
      <c r="B5" s="282"/>
      <c r="C5" s="366" t="s">
        <v>15</v>
      </c>
      <c r="D5" s="367" t="s">
        <v>61</v>
      </c>
      <c r="E5" s="368" t="s">
        <v>61</v>
      </c>
      <c r="F5" s="366" t="s">
        <v>15</v>
      </c>
      <c r="G5" s="367" t="s">
        <v>61</v>
      </c>
      <c r="H5" s="368" t="s">
        <v>61</v>
      </c>
      <c r="I5" s="366" t="s">
        <v>15</v>
      </c>
      <c r="J5" s="367" t="s">
        <v>61</v>
      </c>
      <c r="K5" s="368" t="s">
        <v>61</v>
      </c>
      <c r="L5" s="366" t="s">
        <v>15</v>
      </c>
      <c r="M5" s="367" t="s">
        <v>61</v>
      </c>
      <c r="N5" s="368" t="s">
        <v>61</v>
      </c>
      <c r="O5" s="58"/>
      <c r="P5" s="58"/>
    </row>
    <row r="6" spans="1:26" s="57" customFormat="1" ht="12.75" customHeight="1">
      <c r="B6" s="283"/>
      <c r="C6" s="363" t="s">
        <v>126</v>
      </c>
      <c r="D6" s="364"/>
      <c r="E6" s="365"/>
      <c r="F6" s="363" t="s">
        <v>141</v>
      </c>
      <c r="G6" s="364"/>
      <c r="H6" s="365"/>
      <c r="I6" s="363" t="s">
        <v>142</v>
      </c>
      <c r="J6" s="364" t="s">
        <v>56</v>
      </c>
      <c r="K6" s="365" t="s">
        <v>56</v>
      </c>
      <c r="L6" s="363" t="s">
        <v>143</v>
      </c>
      <c r="M6" s="364" t="s">
        <v>57</v>
      </c>
      <c r="N6" s="365" t="s">
        <v>57</v>
      </c>
      <c r="O6" s="72"/>
      <c r="P6" s="72"/>
    </row>
    <row r="7" spans="1:26" s="57" customFormat="1" ht="12.75" customHeight="1">
      <c r="B7" s="283" t="s">
        <v>2</v>
      </c>
      <c r="C7" s="284" t="s">
        <v>165</v>
      </c>
      <c r="D7" s="285" t="s">
        <v>166</v>
      </c>
      <c r="E7" s="285" t="s">
        <v>167</v>
      </c>
      <c r="F7" s="284" t="s">
        <v>165</v>
      </c>
      <c r="G7" s="285" t="s">
        <v>166</v>
      </c>
      <c r="H7" s="285" t="s">
        <v>167</v>
      </c>
      <c r="I7" s="284" t="s">
        <v>165</v>
      </c>
      <c r="J7" s="285" t="s">
        <v>166</v>
      </c>
      <c r="K7" s="285" t="s">
        <v>167</v>
      </c>
      <c r="L7" s="284" t="s">
        <v>165</v>
      </c>
      <c r="M7" s="285" t="s">
        <v>166</v>
      </c>
      <c r="N7" s="285" t="s">
        <v>167</v>
      </c>
      <c r="O7" s="72"/>
      <c r="P7" s="72"/>
    </row>
    <row r="8" spans="1:26" ht="6.75" customHeight="1"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12"/>
      <c r="P8" s="12"/>
      <c r="Q8" s="1"/>
      <c r="R8" s="1"/>
    </row>
    <row r="9" spans="1:26">
      <c r="B9" s="288"/>
      <c r="C9" s="289"/>
      <c r="D9" s="290"/>
      <c r="E9" s="291"/>
      <c r="F9" s="289"/>
      <c r="G9" s="290"/>
      <c r="H9" s="291"/>
      <c r="I9" s="289"/>
      <c r="J9" s="292"/>
      <c r="K9" s="291"/>
      <c r="L9" s="289"/>
      <c r="M9" s="292"/>
      <c r="N9" s="291"/>
      <c r="O9" s="8"/>
      <c r="P9" s="8"/>
      <c r="Q9" s="30"/>
      <c r="R9" s="30"/>
    </row>
    <row r="10" spans="1:26">
      <c r="B10" s="298">
        <f>'Table A - Combined'!B11</f>
        <v>2021</v>
      </c>
      <c r="C10" s="290">
        <f>INDEX('Table A - Combined'!$C$10:$X$30,MATCH($B10,'Table A - Combined'!$B$10:$B$30,0),MATCH(C$6,'Table A - Combined'!$C$4:$X$4,0))</f>
        <v>44.001598524836503</v>
      </c>
      <c r="D10" s="290">
        <f>INDEX('[3]Exhibit 4 - Comparison'!C:C,MATCH($B10,'[3]Exhibit 4 - Comparison'!$B:$B,0),1)</f>
        <v>48.761122478494528</v>
      </c>
      <c r="E10" s="291">
        <f t="shared" ref="E10:E29" si="0">C10-D10</f>
        <v>-4.7595239536580252</v>
      </c>
      <c r="F10" s="289">
        <f>INDEX('Table A - Combined'!$C$10:$X$30,MATCH($B10,'Table A - Combined'!$B$10:$B$30,0),MATCH(F$6,'Table A - Combined'!$C$4:$X$4,0))</f>
        <v>33.290912757614848</v>
      </c>
      <c r="G10" s="290">
        <f>INDEX('[3]Exhibit 4 - Comparison'!F:F,MATCH($B10,'[3]Exhibit 4 - Comparison'!$B:$B,0),1)</f>
        <v>38.020795167209386</v>
      </c>
      <c r="H10" s="291">
        <f t="shared" ref="H10:H29" si="1">F10-G10</f>
        <v>-4.7298824095945378</v>
      </c>
      <c r="I10" s="289">
        <f>INDEX('Table A - Combined'!$C$10:$X$30,MATCH($B10,'Table A - Combined'!$B$10:$B$30,0),MATCH(I$6,'Table A - Combined'!$C$4:$X$4,0))</f>
        <v>25.040509361127949</v>
      </c>
      <c r="J10" s="290">
        <f>INDEX('[3]Exhibit 4 - Comparison'!I:I,MATCH($B10,'[3]Exhibit 4 - Comparison'!$B:$B,0),1)</f>
        <v>29.287981252310871</v>
      </c>
      <c r="K10" s="291">
        <f t="shared" ref="K10:K29" si="2">I10-J10</f>
        <v>-4.2474718911829221</v>
      </c>
      <c r="L10" s="289">
        <f>INDEX('Table A - Combined'!$C$10:$X$30,MATCH($B10,'Table A - Combined'!$B$10:$B$30,0),MATCH(L$6,'Table A - Combined'!$C$4:$X$4,0))</f>
        <v>25.177374315126407</v>
      </c>
      <c r="M10" s="290">
        <f>INDEX('[3]Exhibit 4 - Comparison'!L:L,MATCH($B10,'[3]Exhibit 4 - Comparison'!$B:$B,0),1)</f>
        <v>29.810250883900295</v>
      </c>
      <c r="N10" s="291">
        <f t="shared" ref="N10:N29" si="3">L10-M10</f>
        <v>-4.632876568773888</v>
      </c>
      <c r="O10" s="30"/>
      <c r="P10" s="30"/>
      <c r="Q10"/>
      <c r="R10"/>
      <c r="S10"/>
      <c r="T10"/>
      <c r="U10"/>
      <c r="V10"/>
      <c r="W10"/>
      <c r="X10"/>
      <c r="Y10"/>
      <c r="Z10"/>
    </row>
    <row r="11" spans="1:26">
      <c r="B11" s="298">
        <f t="shared" ref="B11:B29" si="4">B10+1</f>
        <v>2022</v>
      </c>
      <c r="C11" s="290">
        <f>INDEX('Table A - Combined'!$C$10:$X$30,MATCH($B11,'Table A - Combined'!$B$10:$B$30,0),MATCH(C$6,'Table A - Combined'!$C$4:$X$4,0))</f>
        <v>43.036355609488396</v>
      </c>
      <c r="D11" s="290">
        <f>INDEX('[3]Exhibit 4 - Comparison'!C:C,MATCH($B11,'[3]Exhibit 4 - Comparison'!$B:$B,0),1)</f>
        <v>48.269304516960965</v>
      </c>
      <c r="E11" s="291">
        <f t="shared" si="0"/>
        <v>-5.2329489074725686</v>
      </c>
      <c r="F11" s="289">
        <f>INDEX('Table A - Combined'!$C$10:$X$30,MATCH($B11,'Table A - Combined'!$B$10:$B$30,0),MATCH(F$6,'Table A - Combined'!$C$4:$X$4,0))</f>
        <v>32.215487083465334</v>
      </c>
      <c r="G11" s="290">
        <f>INDEX('[3]Exhibit 4 - Comparison'!F:F,MATCH($B11,'[3]Exhibit 4 - Comparison'!$B:$B,0),1)</f>
        <v>37.117891570595475</v>
      </c>
      <c r="H11" s="291">
        <f t="shared" si="1"/>
        <v>-4.9024044871301413</v>
      </c>
      <c r="I11" s="289">
        <f>INDEX('Table A - Combined'!$C$10:$X$30,MATCH($B11,'Table A - Combined'!$B$10:$B$30,0),MATCH(I$6,'Table A - Combined'!$C$4:$X$4,0))</f>
        <v>24.323886669234849</v>
      </c>
      <c r="J11" s="290">
        <f>INDEX('[3]Exhibit 4 - Comparison'!I:I,MATCH($B11,'[3]Exhibit 4 - Comparison'!$B:$B,0),1)</f>
        <v>29.153996115372692</v>
      </c>
      <c r="K11" s="291">
        <f t="shared" si="2"/>
        <v>-4.8301094461378433</v>
      </c>
      <c r="L11" s="289">
        <f>INDEX('Table A - Combined'!$C$10:$X$30,MATCH($B11,'Table A - Combined'!$B$10:$B$30,0),MATCH(L$6,'Table A - Combined'!$C$4:$X$4,0))</f>
        <v>24.475094222937113</v>
      </c>
      <c r="M11" s="290">
        <f>INDEX('[3]Exhibit 4 - Comparison'!L:L,MATCH($B11,'[3]Exhibit 4 - Comparison'!$B:$B,0),1)</f>
        <v>30.656577141567748</v>
      </c>
      <c r="N11" s="291">
        <f t="shared" si="3"/>
        <v>-6.1814829186306355</v>
      </c>
      <c r="O11" s="30"/>
      <c r="P11" s="30"/>
      <c r="Q11" s="30"/>
      <c r="R11" s="30"/>
    </row>
    <row r="12" spans="1:26">
      <c r="B12" s="298">
        <f t="shared" si="4"/>
        <v>2023</v>
      </c>
      <c r="C12" s="290">
        <f>INDEX('Table A - Combined'!$C$10:$X$30,MATCH($B12,'Table A - Combined'!$B$10:$B$30,0),MATCH(C$6,'Table A - Combined'!$C$4:$X$4,0))</f>
        <v>43.12029503273537</v>
      </c>
      <c r="D12" s="290">
        <f>INDEX('[3]Exhibit 4 - Comparison'!C:C,MATCH($B12,'[3]Exhibit 4 - Comparison'!$B:$B,0),1)</f>
        <v>45.93420370035242</v>
      </c>
      <c r="E12" s="291">
        <f t="shared" si="0"/>
        <v>-2.8139086676170493</v>
      </c>
      <c r="F12" s="289">
        <f>INDEX('Table A - Combined'!$C$10:$X$30,MATCH($B12,'Table A - Combined'!$B$10:$B$30,0),MATCH(F$6,'Table A - Combined'!$C$4:$X$4,0))</f>
        <v>32.180469833036426</v>
      </c>
      <c r="G12" s="290">
        <f>INDEX('[3]Exhibit 4 - Comparison'!F:F,MATCH($B12,'[3]Exhibit 4 - Comparison'!$B:$B,0),1)</f>
        <v>34.314809164564757</v>
      </c>
      <c r="H12" s="291">
        <f t="shared" si="1"/>
        <v>-2.1343393315283308</v>
      </c>
      <c r="I12" s="289">
        <f>INDEX('Table A - Combined'!$C$10:$X$30,MATCH($B12,'Table A - Combined'!$B$10:$B$30,0),MATCH(I$6,'Table A - Combined'!$C$4:$X$4,0))</f>
        <v>24.200896216845251</v>
      </c>
      <c r="J12" s="290">
        <f>INDEX('[3]Exhibit 4 - Comparison'!I:I,MATCH($B12,'[3]Exhibit 4 - Comparison'!$B:$B,0),1)</f>
        <v>27.671372916038187</v>
      </c>
      <c r="K12" s="291">
        <f t="shared" si="2"/>
        <v>-3.4704766991929361</v>
      </c>
      <c r="L12" s="289">
        <f>INDEX('Table A - Combined'!$C$10:$X$30,MATCH($B12,'Table A - Combined'!$B$10:$B$30,0),MATCH(L$6,'Table A - Combined'!$C$4:$X$4,0))</f>
        <v>24.263316111899684</v>
      </c>
      <c r="M12" s="290">
        <f>INDEX('[3]Exhibit 4 - Comparison'!L:L,MATCH($B12,'[3]Exhibit 4 - Comparison'!$B:$B,0),1)</f>
        <v>29.98823739647678</v>
      </c>
      <c r="N12" s="291">
        <f t="shared" si="3"/>
        <v>-5.7249212845770963</v>
      </c>
      <c r="O12" s="30"/>
      <c r="P12" s="30"/>
      <c r="Q12" s="30"/>
      <c r="R12" s="30"/>
    </row>
    <row r="13" spans="1:26">
      <c r="B13" s="298">
        <f t="shared" si="4"/>
        <v>2024</v>
      </c>
      <c r="C13" s="290">
        <f>INDEX('Table A - Combined'!$C$10:$X$30,MATCH($B13,'Table A - Combined'!$B$10:$B$30,0),MATCH(C$6,'Table A - Combined'!$C$4:$X$4,0))</f>
        <v>45.391784279020392</v>
      </c>
      <c r="D13" s="290">
        <f>INDEX('[3]Exhibit 4 - Comparison'!C:C,MATCH($B13,'[3]Exhibit 4 - Comparison'!$B:$B,0),1)</f>
        <v>47.122644253635713</v>
      </c>
      <c r="E13" s="291">
        <f t="shared" si="0"/>
        <v>-1.7308599746153206</v>
      </c>
      <c r="F13" s="289">
        <f>INDEX('Table A - Combined'!$C$10:$X$30,MATCH($B13,'Table A - Combined'!$B$10:$B$30,0),MATCH(F$6,'Table A - Combined'!$C$4:$X$4,0))</f>
        <v>34.068691745079214</v>
      </c>
      <c r="G13" s="290">
        <f>INDEX('[3]Exhibit 4 - Comparison'!F:F,MATCH($B13,'[3]Exhibit 4 - Comparison'!$B:$B,0),1)</f>
        <v>34.989778139720137</v>
      </c>
      <c r="H13" s="291">
        <f t="shared" si="1"/>
        <v>-0.92108639464092334</v>
      </c>
      <c r="I13" s="289">
        <f>INDEX('Table A - Combined'!$C$10:$X$30,MATCH($B13,'Table A - Combined'!$B$10:$B$30,0),MATCH(I$6,'Table A - Combined'!$C$4:$X$4,0))</f>
        <v>25.894229929255772</v>
      </c>
      <c r="J13" s="290">
        <f>INDEX('[3]Exhibit 4 - Comparison'!I:I,MATCH($B13,'[3]Exhibit 4 - Comparison'!$B:$B,0),1)</f>
        <v>29.158675209167463</v>
      </c>
      <c r="K13" s="291">
        <f t="shared" si="2"/>
        <v>-3.2644452799116905</v>
      </c>
      <c r="L13" s="289">
        <f>INDEX('Table A - Combined'!$C$10:$X$30,MATCH($B13,'Table A - Combined'!$B$10:$B$30,0),MATCH(L$6,'Table A - Combined'!$C$4:$X$4,0))</f>
        <v>26.28814697912177</v>
      </c>
      <c r="M13" s="290">
        <f>INDEX('[3]Exhibit 4 - Comparison'!L:L,MATCH($B13,'[3]Exhibit 4 - Comparison'!$B:$B,0),1)</f>
        <v>31.908194003744047</v>
      </c>
      <c r="N13" s="291">
        <f t="shared" si="3"/>
        <v>-5.6200470246222771</v>
      </c>
      <c r="O13" s="30"/>
      <c r="P13" s="30"/>
      <c r="Q13" s="30"/>
      <c r="R13" s="30"/>
    </row>
    <row r="14" spans="1:26">
      <c r="B14" s="298">
        <f t="shared" si="4"/>
        <v>2025</v>
      </c>
      <c r="C14" s="290">
        <f>INDEX('Table A - Combined'!$C$10:$X$30,MATCH($B14,'Table A - Combined'!$B$10:$B$30,0),MATCH(C$6,'Table A - Combined'!$C$4:$X$4,0))</f>
        <v>47.404602859338148</v>
      </c>
      <c r="D14" s="290">
        <f>INDEX('[3]Exhibit 4 - Comparison'!C:C,MATCH($B14,'[3]Exhibit 4 - Comparison'!$B:$B,0),1)</f>
        <v>50.602807637640169</v>
      </c>
      <c r="E14" s="291">
        <f t="shared" si="0"/>
        <v>-3.1982047783020207</v>
      </c>
      <c r="F14" s="289">
        <f>INDEX('Table A - Combined'!$C$10:$X$30,MATCH($B14,'Table A - Combined'!$B$10:$B$30,0),MATCH(F$6,'Table A - Combined'!$C$4:$X$4,0))</f>
        <v>35.665054878952752</v>
      </c>
      <c r="G14" s="290">
        <f>INDEX('[3]Exhibit 4 - Comparison'!F:F,MATCH($B14,'[3]Exhibit 4 - Comparison'!$B:$B,0),1)</f>
        <v>38.037562868601128</v>
      </c>
      <c r="H14" s="291">
        <f t="shared" si="1"/>
        <v>-2.3725079896483763</v>
      </c>
      <c r="I14" s="289">
        <f>INDEX('Table A - Combined'!$C$10:$X$30,MATCH($B14,'Table A - Combined'!$B$10:$B$30,0),MATCH(I$6,'Table A - Combined'!$C$4:$X$4,0))</f>
        <v>27.397391130797399</v>
      </c>
      <c r="J14" s="290">
        <f>INDEX('[3]Exhibit 4 - Comparison'!I:I,MATCH($B14,'[3]Exhibit 4 - Comparison'!$B:$B,0),1)</f>
        <v>32.000091332998004</v>
      </c>
      <c r="K14" s="291">
        <f t="shared" si="2"/>
        <v>-4.6027002022006052</v>
      </c>
      <c r="L14" s="289">
        <f>INDEX('Table A - Combined'!$C$10:$X$30,MATCH($B14,'Table A - Combined'!$B$10:$B$30,0),MATCH(L$6,'Table A - Combined'!$C$4:$X$4,0))</f>
        <v>28.140502382926559</v>
      </c>
      <c r="M14" s="290">
        <f>INDEX('[3]Exhibit 4 - Comparison'!L:L,MATCH($B14,'[3]Exhibit 4 - Comparison'!$B:$B,0),1)</f>
        <v>34.964534205223181</v>
      </c>
      <c r="N14" s="291">
        <f t="shared" si="3"/>
        <v>-6.8240318222966216</v>
      </c>
      <c r="O14" s="30"/>
      <c r="P14" s="30"/>
      <c r="Q14" s="30"/>
      <c r="R14" s="30"/>
    </row>
    <row r="15" spans="1:26">
      <c r="B15" s="298">
        <f t="shared" si="4"/>
        <v>2026</v>
      </c>
      <c r="C15" s="290">
        <f>INDEX('Table A - Combined'!$C$10:$X$30,MATCH($B15,'Table A - Combined'!$B$10:$B$30,0),MATCH(C$6,'Table A - Combined'!$C$4:$X$4,0))</f>
        <v>49.588961259349709</v>
      </c>
      <c r="D15" s="290">
        <f>INDEX('[3]Exhibit 4 - Comparison'!C:C,MATCH($B15,'[3]Exhibit 4 - Comparison'!$B:$B,0),1)</f>
        <v>53.115910200188765</v>
      </c>
      <c r="E15" s="291">
        <f t="shared" si="0"/>
        <v>-3.5269489408390555</v>
      </c>
      <c r="F15" s="289">
        <f>INDEX('Table A - Combined'!$C$10:$X$30,MATCH($B15,'Table A - Combined'!$B$10:$B$30,0),MATCH(F$6,'Table A - Combined'!$C$4:$X$4,0))</f>
        <v>37.534677625953954</v>
      </c>
      <c r="G15" s="290">
        <f>INDEX('[3]Exhibit 4 - Comparison'!F:F,MATCH($B15,'[3]Exhibit 4 - Comparison'!$B:$B,0),1)</f>
        <v>40.379914671352047</v>
      </c>
      <c r="H15" s="291">
        <f t="shared" si="1"/>
        <v>-2.8452370453980933</v>
      </c>
      <c r="I15" s="289">
        <f>INDEX('Table A - Combined'!$C$10:$X$30,MATCH($B15,'Table A - Combined'!$B$10:$B$30,0),MATCH(I$6,'Table A - Combined'!$C$4:$X$4,0))</f>
        <v>29.364413867830859</v>
      </c>
      <c r="J15" s="290">
        <f>INDEX('[3]Exhibit 4 - Comparison'!I:I,MATCH($B15,'[3]Exhibit 4 - Comparison'!$B:$B,0),1)</f>
        <v>33.745074650990169</v>
      </c>
      <c r="K15" s="291">
        <f t="shared" si="2"/>
        <v>-4.3806607831593105</v>
      </c>
      <c r="L15" s="289">
        <f>INDEX('Table A - Combined'!$C$10:$X$30,MATCH($B15,'Table A - Combined'!$B$10:$B$30,0),MATCH(L$6,'Table A - Combined'!$C$4:$X$4,0))</f>
        <v>30.396997858986261</v>
      </c>
      <c r="M15" s="290">
        <f>INDEX('[3]Exhibit 4 - Comparison'!L:L,MATCH($B15,'[3]Exhibit 4 - Comparison'!$B:$B,0),1)</f>
        <v>36.928919128957894</v>
      </c>
      <c r="N15" s="291">
        <f t="shared" si="3"/>
        <v>-6.5319212699716331</v>
      </c>
      <c r="O15" s="30"/>
      <c r="P15" s="30"/>
      <c r="Q15" s="30"/>
      <c r="R15" s="30"/>
    </row>
    <row r="16" spans="1:26">
      <c r="A16" s="2"/>
      <c r="B16" s="293">
        <f t="shared" si="4"/>
        <v>2027</v>
      </c>
      <c r="C16" s="294">
        <f>INDEX('Table A - Combined'!$C$10:$X$30,MATCH($B16,'Table A - Combined'!$B$10:$B$30,0),MATCH(C$6,'Table A - Combined'!$C$4:$X$4,0))</f>
        <v>53.378142347838931</v>
      </c>
      <c r="D16" s="295">
        <f>INDEX('[3]Exhibit 4 - Comparison'!C:C,MATCH($B16,'[3]Exhibit 4 - Comparison'!$B:$B,0),1)</f>
        <v>54.285946135551903</v>
      </c>
      <c r="E16" s="296">
        <f t="shared" si="0"/>
        <v>-0.90780378771297165</v>
      </c>
      <c r="F16" s="294">
        <f>INDEX('Table A - Combined'!$C$10:$X$30,MATCH($B16,'Table A - Combined'!$B$10:$B$30,0),MATCH(F$6,'Table A - Combined'!$C$4:$X$4,0))</f>
        <v>40.604780467039994</v>
      </c>
      <c r="G16" s="295">
        <f>INDEX('[3]Exhibit 4 - Comparison'!F:F,MATCH($B16,'[3]Exhibit 4 - Comparison'!$B:$B,0),1)</f>
        <v>41.296088154622169</v>
      </c>
      <c r="H16" s="296">
        <f t="shared" si="1"/>
        <v>-0.69130768758217442</v>
      </c>
      <c r="I16" s="294">
        <f>INDEX('Table A - Combined'!$C$10:$X$30,MATCH($B16,'Table A - Combined'!$B$10:$B$30,0),MATCH(I$6,'Table A - Combined'!$C$4:$X$4,0))</f>
        <v>33.300107055074626</v>
      </c>
      <c r="J16" s="295">
        <f>INDEX('[3]Exhibit 4 - Comparison'!I:I,MATCH($B16,'[3]Exhibit 4 - Comparison'!$B:$B,0),1)</f>
        <v>34.364937331752593</v>
      </c>
      <c r="K16" s="296">
        <f t="shared" si="2"/>
        <v>-1.0648302766779665</v>
      </c>
      <c r="L16" s="294">
        <f>INDEX('Table A - Combined'!$C$10:$X$30,MATCH($B16,'Table A - Combined'!$B$10:$B$30,0),MATCH(L$6,'Table A - Combined'!$C$4:$X$4,0))</f>
        <v>34.882368312617352</v>
      </c>
      <c r="M16" s="295">
        <f>INDEX('[3]Exhibit 4 - Comparison'!L:L,MATCH($B16,'[3]Exhibit 4 - Comparison'!$B:$B,0),1)</f>
        <v>37.453836107438178</v>
      </c>
      <c r="N16" s="296">
        <f t="shared" si="3"/>
        <v>-2.5714677948208262</v>
      </c>
      <c r="O16" s="30"/>
      <c r="P16" s="30"/>
      <c r="Q16" s="30"/>
      <c r="R16" s="30"/>
    </row>
    <row r="17" spans="2:18">
      <c r="B17" s="297">
        <f t="shared" si="4"/>
        <v>2028</v>
      </c>
      <c r="C17" s="290">
        <f>INDEX('Table A - Combined'!$C$10:$X$30,MATCH($B17,'Table A - Combined'!$B$10:$B$30,0),MATCH(C$6,'Table A - Combined'!$C$4:$X$4,0))</f>
        <v>54.759279787244644</v>
      </c>
      <c r="D17" s="290">
        <f>INDEX('[3]Exhibit 4 - Comparison'!C:C,MATCH($B17,'[3]Exhibit 4 - Comparison'!$B:$B,0),1)</f>
        <v>56.645262568023298</v>
      </c>
      <c r="E17" s="291">
        <f t="shared" si="0"/>
        <v>-1.8859827807786544</v>
      </c>
      <c r="F17" s="289">
        <f>INDEX('Table A - Combined'!$C$10:$X$30,MATCH($B17,'Table A - Combined'!$B$10:$B$30,0),MATCH(F$6,'Table A - Combined'!$C$4:$X$4,0))</f>
        <v>41.73684149464875</v>
      </c>
      <c r="G17" s="290">
        <f>INDEX('[3]Exhibit 4 - Comparison'!F:F,MATCH($B17,'[3]Exhibit 4 - Comparison'!$B:$B,0),1)</f>
        <v>43.314483941209893</v>
      </c>
      <c r="H17" s="291">
        <f t="shared" si="1"/>
        <v>-1.5776424465611427</v>
      </c>
      <c r="I17" s="289">
        <f>INDEX('Table A - Combined'!$C$10:$X$30,MATCH($B17,'Table A - Combined'!$B$10:$B$30,0),MATCH(I$6,'Table A - Combined'!$C$4:$X$4,0))</f>
        <v>33.65071179604773</v>
      </c>
      <c r="J17" s="290">
        <f>INDEX('[3]Exhibit 4 - Comparison'!I:I,MATCH($B17,'[3]Exhibit 4 - Comparison'!$B:$B,0),1)</f>
        <v>36.138335483268939</v>
      </c>
      <c r="K17" s="291">
        <f t="shared" si="2"/>
        <v>-2.487623687221209</v>
      </c>
      <c r="L17" s="289">
        <f>INDEX('Table A - Combined'!$C$10:$X$30,MATCH($B17,'Table A - Combined'!$B$10:$B$30,0),MATCH(L$6,'Table A - Combined'!$C$4:$X$4,0))</f>
        <v>35.118003942030441</v>
      </c>
      <c r="M17" s="290">
        <f>INDEX('[3]Exhibit 4 - Comparison'!L:L,MATCH($B17,'[3]Exhibit 4 - Comparison'!$B:$B,0),1)</f>
        <v>39.462248929948608</v>
      </c>
      <c r="N17" s="291">
        <f t="shared" si="3"/>
        <v>-4.3442449879181666</v>
      </c>
      <c r="O17" s="30"/>
      <c r="P17" s="30"/>
      <c r="Q17" s="30"/>
      <c r="R17" s="30"/>
    </row>
    <row r="18" spans="2:18">
      <c r="B18" s="298">
        <f t="shared" si="4"/>
        <v>2029</v>
      </c>
      <c r="C18" s="290">
        <f>INDEX('Table A - Combined'!$C$10:$X$30,MATCH($B18,'Table A - Combined'!$B$10:$B$30,0),MATCH(C$6,'Table A - Combined'!$C$4:$X$4,0))</f>
        <v>56.761707806465225</v>
      </c>
      <c r="D18" s="290">
        <f>INDEX('[3]Exhibit 4 - Comparison'!C:C,MATCH($B18,'[3]Exhibit 4 - Comparison'!$B:$B,0),1)</f>
        <v>59.057995175629912</v>
      </c>
      <c r="E18" s="291">
        <f t="shared" si="0"/>
        <v>-2.2962873691646877</v>
      </c>
      <c r="F18" s="289">
        <f>INDEX('Table A - Combined'!$C$10:$X$30,MATCH($B18,'Table A - Combined'!$B$10:$B$30,0),MATCH(F$6,'Table A - Combined'!$C$4:$X$4,0))</f>
        <v>43.358292491169472</v>
      </c>
      <c r="G18" s="290">
        <f>INDEX('[3]Exhibit 4 - Comparison'!F:F,MATCH($B18,'[3]Exhibit 4 - Comparison'!$B:$B,0),1)</f>
        <v>45.21173033164677</v>
      </c>
      <c r="H18" s="291">
        <f t="shared" si="1"/>
        <v>-1.853437840477298</v>
      </c>
      <c r="I18" s="289">
        <f>INDEX('Table A - Combined'!$C$10:$X$30,MATCH($B18,'Table A - Combined'!$B$10:$B$30,0),MATCH(I$6,'Table A - Combined'!$C$4:$X$4,0))</f>
        <v>34.753977002831633</v>
      </c>
      <c r="J18" s="290">
        <f>INDEX('[3]Exhibit 4 - Comparison'!I:I,MATCH($B18,'[3]Exhibit 4 - Comparison'!$B:$B,0),1)</f>
        <v>37.775545987795574</v>
      </c>
      <c r="K18" s="291">
        <f t="shared" si="2"/>
        <v>-3.0215689849639418</v>
      </c>
      <c r="L18" s="289">
        <f>INDEX('Table A - Combined'!$C$10:$X$30,MATCH($B18,'Table A - Combined'!$B$10:$B$30,0),MATCH(L$6,'Table A - Combined'!$C$4:$X$4,0))</f>
        <v>35.940638922538035</v>
      </c>
      <c r="M18" s="290">
        <f>INDEX('[3]Exhibit 4 - Comparison'!L:L,MATCH($B18,'[3]Exhibit 4 - Comparison'!$B:$B,0),1)</f>
        <v>41.207508958048351</v>
      </c>
      <c r="N18" s="291">
        <f t="shared" si="3"/>
        <v>-5.2668700355103155</v>
      </c>
      <c r="O18" s="30"/>
      <c r="P18" s="30"/>
      <c r="Q18" s="30"/>
      <c r="R18" s="30"/>
    </row>
    <row r="19" spans="2:18">
      <c r="B19" s="298">
        <f t="shared" si="4"/>
        <v>2030</v>
      </c>
      <c r="C19" s="290">
        <f>INDEX('Table A - Combined'!$C$10:$X$30,MATCH($B19,'Table A - Combined'!$B$10:$B$30,0),MATCH(C$6,'Table A - Combined'!$C$4:$X$4,0))</f>
        <v>58.091193752724358</v>
      </c>
      <c r="D19" s="290">
        <f>INDEX('[3]Exhibit 4 - Comparison'!C:C,MATCH($B19,'[3]Exhibit 4 - Comparison'!$B:$B,0),1)</f>
        <v>60.955779894577837</v>
      </c>
      <c r="E19" s="300">
        <f t="shared" si="0"/>
        <v>-2.8645861418534793</v>
      </c>
      <c r="F19" s="289">
        <f>INDEX('Table A - Combined'!$C$10:$X$30,MATCH($B19,'Table A - Combined'!$B$10:$B$30,0),MATCH(F$6,'Table A - Combined'!$C$4:$X$4,0))</f>
        <v>44.482253879983375</v>
      </c>
      <c r="G19" s="290">
        <f>INDEX('[3]Exhibit 4 - Comparison'!F:F,MATCH($B19,'[3]Exhibit 4 - Comparison'!$B:$B,0),1)</f>
        <v>46.701718444164399</v>
      </c>
      <c r="H19" s="300">
        <f t="shared" si="1"/>
        <v>-2.219464564181024</v>
      </c>
      <c r="I19" s="289">
        <f>INDEX('Table A - Combined'!$C$10:$X$30,MATCH($B19,'Table A - Combined'!$B$10:$B$30,0),MATCH(I$6,'Table A - Combined'!$C$4:$X$4,0))</f>
        <v>35.169148526272679</v>
      </c>
      <c r="J19" s="290">
        <f>INDEX('[3]Exhibit 4 - Comparison'!I:I,MATCH($B19,'[3]Exhibit 4 - Comparison'!$B:$B,0),1)</f>
        <v>39.216720866235342</v>
      </c>
      <c r="K19" s="300">
        <f t="shared" si="2"/>
        <v>-4.0475723399626631</v>
      </c>
      <c r="L19" s="289">
        <f>INDEX('Table A - Combined'!$C$10:$X$30,MATCH($B19,'Table A - Combined'!$B$10:$B$30,0),MATCH(L$6,'Table A - Combined'!$C$4:$X$4,0))</f>
        <v>35.977965781593127</v>
      </c>
      <c r="M19" s="290">
        <f>INDEX('[3]Exhibit 4 - Comparison'!L:L,MATCH($B19,'[3]Exhibit 4 - Comparison'!$B:$B,0),1)</f>
        <v>42.781170594568266</v>
      </c>
      <c r="N19" s="300">
        <f t="shared" si="3"/>
        <v>-6.8032048129751388</v>
      </c>
      <c r="O19" s="31"/>
      <c r="P19" s="30"/>
      <c r="Q19" s="30"/>
      <c r="R19" s="30"/>
    </row>
    <row r="20" spans="2:18">
      <c r="B20" s="298">
        <f t="shared" si="4"/>
        <v>2031</v>
      </c>
      <c r="C20" s="290">
        <f>INDEX('Table A - Combined'!$C$10:$X$30,MATCH($B20,'Table A - Combined'!$B$10:$B$30,0),MATCH(C$6,'Table A - Combined'!$C$4:$X$4,0))</f>
        <v>58.986668825786566</v>
      </c>
      <c r="D20" s="290">
        <f>INDEX('[3]Exhibit 4 - Comparison'!C:C,MATCH($B20,'[3]Exhibit 4 - Comparison'!$B:$B,0),1)</f>
        <v>63.394987030783383</v>
      </c>
      <c r="E20" s="300">
        <f t="shared" si="0"/>
        <v>-4.4083182049968173</v>
      </c>
      <c r="F20" s="289">
        <f>INDEX('Table A - Combined'!$C$10:$X$30,MATCH($B20,'Table A - Combined'!$B$10:$B$30,0),MATCH(F$6,'Table A - Combined'!$C$4:$X$4,0))</f>
        <v>45.168207584312626</v>
      </c>
      <c r="G20" s="290">
        <f>INDEX('[3]Exhibit 4 - Comparison'!F:F,MATCH($B20,'[3]Exhibit 4 - Comparison'!$B:$B,0),1)</f>
        <v>48.818417371438187</v>
      </c>
      <c r="H20" s="300">
        <f t="shared" si="1"/>
        <v>-3.6502097871255614</v>
      </c>
      <c r="I20" s="289">
        <f>INDEX('Table A - Combined'!$C$10:$X$30,MATCH($B20,'Table A - Combined'!$B$10:$B$30,0),MATCH(I$6,'Table A - Combined'!$C$4:$X$4,0))</f>
        <v>35.313697858360172</v>
      </c>
      <c r="J20" s="290">
        <f>INDEX('[3]Exhibit 4 - Comparison'!I:I,MATCH($B20,'[3]Exhibit 4 - Comparison'!$B:$B,0),1)</f>
        <v>40.959503844750742</v>
      </c>
      <c r="K20" s="300">
        <f t="shared" si="2"/>
        <v>-5.6458059863905703</v>
      </c>
      <c r="L20" s="289">
        <f>INDEX('Table A - Combined'!$C$10:$X$30,MATCH($B20,'Table A - Combined'!$B$10:$B$30,0),MATCH(L$6,'Table A - Combined'!$C$4:$X$4,0))</f>
        <v>36.064957967581741</v>
      </c>
      <c r="M20" s="290">
        <f>INDEX('[3]Exhibit 4 - Comparison'!L:L,MATCH($B20,'[3]Exhibit 4 - Comparison'!$B:$B,0),1)</f>
        <v>44.745983450772563</v>
      </c>
      <c r="N20" s="300">
        <f t="shared" si="3"/>
        <v>-8.6810254831908225</v>
      </c>
      <c r="O20" s="31"/>
      <c r="P20" s="30"/>
      <c r="Q20" s="30"/>
      <c r="R20" s="30"/>
    </row>
    <row r="21" spans="2:18">
      <c r="B21" s="298">
        <f t="shared" si="4"/>
        <v>2032</v>
      </c>
      <c r="C21" s="290">
        <f>INDEX('Table A - Combined'!$C$10:$X$30,MATCH($B21,'Table A - Combined'!$B$10:$B$30,0),MATCH(C$6,'Table A - Combined'!$C$4:$X$4,0))</f>
        <v>60.047585479878521</v>
      </c>
      <c r="D21" s="290">
        <f>INDEX('[3]Exhibit 4 - Comparison'!C:C,MATCH($B21,'[3]Exhibit 4 - Comparison'!$B:$B,0),1)</f>
        <v>65.798561347064862</v>
      </c>
      <c r="E21" s="300">
        <f t="shared" si="0"/>
        <v>-5.7509758671863409</v>
      </c>
      <c r="F21" s="289">
        <f>INDEX('Table A - Combined'!$C$10:$X$30,MATCH($B21,'Table A - Combined'!$B$10:$B$30,0),MATCH(F$6,'Table A - Combined'!$C$4:$X$4,0))</f>
        <v>46.080879952912959</v>
      </c>
      <c r="G21" s="290">
        <f>INDEX('[3]Exhibit 4 - Comparison'!F:F,MATCH($B21,'[3]Exhibit 4 - Comparison'!$B:$B,0),1)</f>
        <v>51.066588899923126</v>
      </c>
      <c r="H21" s="300">
        <f t="shared" si="1"/>
        <v>-4.985708947010167</v>
      </c>
      <c r="I21" s="289">
        <f>INDEX('Table A - Combined'!$C$10:$X$30,MATCH($B21,'Table A - Combined'!$B$10:$B$30,0),MATCH(I$6,'Table A - Combined'!$C$4:$X$4,0))</f>
        <v>35.928601252190795</v>
      </c>
      <c r="J21" s="290">
        <f>INDEX('[3]Exhibit 4 - Comparison'!I:I,MATCH($B21,'[3]Exhibit 4 - Comparison'!$B:$B,0),1)</f>
        <v>42.65773728157194</v>
      </c>
      <c r="K21" s="300">
        <f t="shared" si="2"/>
        <v>-6.7291360293811451</v>
      </c>
      <c r="L21" s="289">
        <f>INDEX('Table A - Combined'!$C$10:$X$30,MATCH($B21,'Table A - Combined'!$B$10:$B$30,0),MATCH(L$6,'Table A - Combined'!$C$4:$X$4,0))</f>
        <v>36.652899771451253</v>
      </c>
      <c r="M21" s="290">
        <f>INDEX('[3]Exhibit 4 - Comparison'!L:L,MATCH($B21,'[3]Exhibit 4 - Comparison'!$B:$B,0),1)</f>
        <v>46.53890114665267</v>
      </c>
      <c r="N21" s="300">
        <f t="shared" si="3"/>
        <v>-9.8860013752014169</v>
      </c>
      <c r="O21" s="31"/>
      <c r="P21" s="30"/>
      <c r="Q21" s="30"/>
      <c r="R21" s="30"/>
    </row>
    <row r="22" spans="2:18">
      <c r="B22" s="298">
        <f t="shared" si="4"/>
        <v>2033</v>
      </c>
      <c r="C22" s="290">
        <f>INDEX('Table A - Combined'!$C$10:$X$30,MATCH($B22,'Table A - Combined'!$B$10:$B$30,0),MATCH(C$6,'Table A - Combined'!$C$4:$X$4,0))</f>
        <v>61.331652908767794</v>
      </c>
      <c r="D22" s="290">
        <f>INDEX('[3]Exhibit 4 - Comparison'!C:C,MATCH($B22,'[3]Exhibit 4 - Comparison'!$B:$B,0),1)</f>
        <v>70.092218870578549</v>
      </c>
      <c r="E22" s="291">
        <f t="shared" si="0"/>
        <v>-8.7605659618107552</v>
      </c>
      <c r="F22" s="289">
        <f>INDEX('Table A - Combined'!$C$10:$X$30,MATCH($B22,'Table A - Combined'!$B$10:$B$30,0),MATCH(F$6,'Table A - Combined'!$C$4:$X$4,0))</f>
        <v>46.874407449525783</v>
      </c>
      <c r="G22" s="290">
        <f>INDEX('[3]Exhibit 4 - Comparison'!F:F,MATCH($B22,'[3]Exhibit 4 - Comparison'!$B:$B,0),1)</f>
        <v>54.717823258644621</v>
      </c>
      <c r="H22" s="291">
        <f t="shared" si="1"/>
        <v>-7.843415809118838</v>
      </c>
      <c r="I22" s="289">
        <f>INDEX('Table A - Combined'!$C$10:$X$30,MATCH($B22,'Table A - Combined'!$B$10:$B$30,0),MATCH(I$6,'Table A - Combined'!$C$4:$X$4,0))</f>
        <v>36.720483565550026</v>
      </c>
      <c r="J22" s="290">
        <f>INDEX('[3]Exhibit 4 - Comparison'!I:I,MATCH($B22,'[3]Exhibit 4 - Comparison'!$B:$B,0),1)</f>
        <v>46.314584233700899</v>
      </c>
      <c r="K22" s="291">
        <f t="shared" si="2"/>
        <v>-9.5941006681508725</v>
      </c>
      <c r="L22" s="289">
        <f>INDEX('Table A - Combined'!$C$10:$X$30,MATCH($B22,'Table A - Combined'!$B$10:$B$30,0),MATCH(L$6,'Table A - Combined'!$C$4:$X$4,0))</f>
        <v>37.352969368176339</v>
      </c>
      <c r="M22" s="290">
        <f>INDEX('[3]Exhibit 4 - Comparison'!L:L,MATCH($B22,'[3]Exhibit 4 - Comparison'!$B:$B,0),1)</f>
        <v>50.642196399456516</v>
      </c>
      <c r="N22" s="291">
        <f t="shared" si="3"/>
        <v>-13.289227031280177</v>
      </c>
      <c r="O22" s="30"/>
      <c r="P22" s="30"/>
      <c r="Q22" s="30"/>
      <c r="R22" s="30"/>
    </row>
    <row r="23" spans="2:18">
      <c r="B23" s="298">
        <f t="shared" si="4"/>
        <v>2034</v>
      </c>
      <c r="C23" s="290">
        <f>INDEX('Table A - Combined'!$C$10:$X$30,MATCH($B23,'Table A - Combined'!$B$10:$B$30,0),MATCH(C$6,'Table A - Combined'!$C$4:$X$4,0))</f>
        <v>62.34527984702094</v>
      </c>
      <c r="D23" s="290">
        <f>INDEX('[3]Exhibit 4 - Comparison'!C:C,MATCH($B23,'[3]Exhibit 4 - Comparison'!$B:$B,0),1)</f>
        <v>72.986639242809133</v>
      </c>
      <c r="E23" s="291">
        <f t="shared" si="0"/>
        <v>-10.641359395788193</v>
      </c>
      <c r="F23" s="289">
        <f>INDEX('Table A - Combined'!$C$10:$X$30,MATCH($B23,'Table A - Combined'!$B$10:$B$30,0),MATCH(F$6,'Table A - Combined'!$C$4:$X$4,0))</f>
        <v>47.556269983264237</v>
      </c>
      <c r="G23" s="290">
        <f>INDEX('[3]Exhibit 4 - Comparison'!F:F,MATCH($B23,'[3]Exhibit 4 - Comparison'!$B:$B,0),1)</f>
        <v>57.115664355652058</v>
      </c>
      <c r="H23" s="291">
        <f t="shared" si="1"/>
        <v>-9.5593943723878212</v>
      </c>
      <c r="I23" s="289">
        <f>INDEX('Table A - Combined'!$C$10:$X$30,MATCH($B23,'Table A - Combined'!$B$10:$B$30,0),MATCH(I$6,'Table A - Combined'!$C$4:$X$4,0))</f>
        <v>37.268218985050709</v>
      </c>
      <c r="J23" s="290">
        <f>INDEX('[3]Exhibit 4 - Comparison'!I:I,MATCH($B23,'[3]Exhibit 4 - Comparison'!$B:$B,0),1)</f>
        <v>48.770218235229308</v>
      </c>
      <c r="K23" s="291">
        <f t="shared" si="2"/>
        <v>-11.501999250178599</v>
      </c>
      <c r="L23" s="289">
        <f>INDEX('Table A - Combined'!$C$10:$X$30,MATCH($B23,'Table A - Combined'!$B$10:$B$30,0),MATCH(L$6,'Table A - Combined'!$C$4:$X$4,0))</f>
        <v>38.019188107524855</v>
      </c>
      <c r="M23" s="290">
        <f>INDEX('[3]Exhibit 4 - Comparison'!L:L,MATCH($B23,'[3]Exhibit 4 - Comparison'!$B:$B,0),1)</f>
        <v>53.634746311730346</v>
      </c>
      <c r="N23" s="291">
        <f t="shared" si="3"/>
        <v>-15.615558204205492</v>
      </c>
      <c r="O23" s="30"/>
      <c r="P23" s="30"/>
      <c r="Q23" s="30"/>
      <c r="R23" s="30"/>
    </row>
    <row r="24" spans="2:18">
      <c r="B24" s="298">
        <f t="shared" si="4"/>
        <v>2035</v>
      </c>
      <c r="C24" s="290">
        <f>INDEX('Table A - Combined'!$C$10:$X$30,MATCH($B24,'Table A - Combined'!$B$10:$B$30,0),MATCH(C$6,'Table A - Combined'!$C$4:$X$4,0))</f>
        <v>66.049957543443071</v>
      </c>
      <c r="D24" s="290">
        <f>INDEX('[3]Exhibit 4 - Comparison'!C:C,MATCH($B24,'[3]Exhibit 4 - Comparison'!$B:$B,0),1)</f>
        <v>76.232415835831205</v>
      </c>
      <c r="E24" s="291">
        <f t="shared" si="0"/>
        <v>-10.182458292388134</v>
      </c>
      <c r="F24" s="289">
        <f>INDEX('Table A - Combined'!$C$10:$X$30,MATCH($B24,'Table A - Combined'!$B$10:$B$30,0),MATCH(F$6,'Table A - Combined'!$C$4:$X$4,0))</f>
        <v>50.509914605933929</v>
      </c>
      <c r="G24" s="290">
        <f>INDEX('[3]Exhibit 4 - Comparison'!F:F,MATCH($B24,'[3]Exhibit 4 - Comparison'!$B:$B,0),1)</f>
        <v>59.524137452991731</v>
      </c>
      <c r="H24" s="291">
        <f t="shared" si="1"/>
        <v>-9.0142228470578019</v>
      </c>
      <c r="I24" s="289">
        <f>INDEX('Table A - Combined'!$C$10:$X$30,MATCH($B24,'Table A - Combined'!$B$10:$B$30,0),MATCH(I$6,'Table A - Combined'!$C$4:$X$4,0))</f>
        <v>41.04440010841865</v>
      </c>
      <c r="J24" s="290">
        <f>INDEX('[3]Exhibit 4 - Comparison'!I:I,MATCH($B24,'[3]Exhibit 4 - Comparison'!$B:$B,0),1)</f>
        <v>51.753596432005153</v>
      </c>
      <c r="K24" s="291">
        <f t="shared" si="2"/>
        <v>-10.709196323586504</v>
      </c>
      <c r="L24" s="289">
        <f>INDEX('Table A - Combined'!$C$10:$X$30,MATCH($B24,'Table A - Combined'!$B$10:$B$30,0),MATCH(L$6,'Table A - Combined'!$C$4:$X$4,0))</f>
        <v>42.115059389454579</v>
      </c>
      <c r="M24" s="290">
        <f>INDEX('[3]Exhibit 4 - Comparison'!L:L,MATCH($B24,'[3]Exhibit 4 - Comparison'!$B:$B,0),1)</f>
        <v>56.956739769455915</v>
      </c>
      <c r="N24" s="291">
        <f t="shared" si="3"/>
        <v>-14.841680380001335</v>
      </c>
      <c r="O24" s="30"/>
      <c r="P24" s="30"/>
      <c r="Q24" s="30"/>
      <c r="R24" s="30"/>
    </row>
    <row r="25" spans="2:18">
      <c r="B25" s="298">
        <f t="shared" si="4"/>
        <v>2036</v>
      </c>
      <c r="C25" s="290">
        <f>INDEX('Table A - Combined'!$C$10:$X$30,MATCH($B25,'Table A - Combined'!$B$10:$B$30,0),MATCH(C$6,'Table A - Combined'!$C$4:$X$4,0))</f>
        <v>67.607829587955393</v>
      </c>
      <c r="D25" s="290">
        <f>INDEX('[3]Exhibit 4 - Comparison'!C:C,MATCH($B25,'[3]Exhibit 4 - Comparison'!$B:$B,0),1)</f>
        <v>77.35995957132269</v>
      </c>
      <c r="E25" s="291">
        <f t="shared" si="0"/>
        <v>-9.752129983367297</v>
      </c>
      <c r="F25" s="289">
        <f>INDEX('Table A - Combined'!$C$10:$X$30,MATCH($B25,'Table A - Combined'!$B$10:$B$30,0),MATCH(F$6,'Table A - Combined'!$C$4:$X$4,0))</f>
        <v>51.758356379019752</v>
      </c>
      <c r="G25" s="290">
        <f>INDEX('[3]Exhibit 4 - Comparison'!F:F,MATCH($B25,'[3]Exhibit 4 - Comparison'!$B:$B,0),1)</f>
        <v>60.439147301629141</v>
      </c>
      <c r="H25" s="291">
        <f t="shared" si="1"/>
        <v>-8.6807909226093898</v>
      </c>
      <c r="I25" s="289">
        <f>INDEX('Table A - Combined'!$C$10:$X$30,MATCH($B25,'Table A - Combined'!$B$10:$B$30,0),MATCH(I$6,'Table A - Combined'!$C$4:$X$4,0))</f>
        <v>41.964283181985593</v>
      </c>
      <c r="J25" s="290">
        <f>INDEX('[3]Exhibit 4 - Comparison'!I:I,MATCH($B25,'[3]Exhibit 4 - Comparison'!$B:$B,0),1)</f>
        <v>52.217255220813605</v>
      </c>
      <c r="K25" s="291">
        <f t="shared" si="2"/>
        <v>-10.252972038828013</v>
      </c>
      <c r="L25" s="289">
        <f>INDEX('Table A - Combined'!$C$10:$X$30,MATCH($B25,'Table A - Combined'!$B$10:$B$30,0),MATCH(L$6,'Table A - Combined'!$C$4:$X$4,0))</f>
        <v>42.999258769139821</v>
      </c>
      <c r="M25" s="290">
        <f>INDEX('[3]Exhibit 4 - Comparison'!L:L,MATCH($B25,'[3]Exhibit 4 - Comparison'!$B:$B,0),1)</f>
        <v>57.588421539735705</v>
      </c>
      <c r="N25" s="291">
        <f t="shared" si="3"/>
        <v>-14.589162770595884</v>
      </c>
      <c r="O25" s="30"/>
      <c r="P25" s="30"/>
      <c r="Q25" s="30"/>
      <c r="R25" s="30"/>
    </row>
    <row r="26" spans="2:18">
      <c r="B26" s="298">
        <f t="shared" si="4"/>
        <v>2037</v>
      </c>
      <c r="C26" s="290">
        <f>INDEX('Table A - Combined'!$C$10:$X$30,MATCH($B26,'Table A - Combined'!$B$10:$B$30,0),MATCH(C$6,'Table A - Combined'!$C$4:$X$4,0))</f>
        <v>68.474728130595651</v>
      </c>
      <c r="D26" s="290">
        <f>INDEX('[3]Exhibit 4 - Comparison'!C:C,MATCH($B26,'[3]Exhibit 4 - Comparison'!$B:$B,0),1)</f>
        <v>85.34886524671721</v>
      </c>
      <c r="E26" s="291">
        <f t="shared" si="0"/>
        <v>-16.87413711612156</v>
      </c>
      <c r="F26" s="289">
        <f>INDEX('Table A - Combined'!$C$10:$X$30,MATCH($B26,'Table A - Combined'!$B$10:$B$30,0),MATCH(F$6,'Table A - Combined'!$C$4:$X$4,0))</f>
        <v>52.362996911751864</v>
      </c>
      <c r="G26" s="290">
        <f>INDEX('[3]Exhibit 4 - Comparison'!F:F,MATCH($B26,'[3]Exhibit 4 - Comparison'!$B:$B,0),1)</f>
        <v>67.394174468710219</v>
      </c>
      <c r="H26" s="291">
        <f t="shared" si="1"/>
        <v>-15.031177556958355</v>
      </c>
      <c r="I26" s="289">
        <f>INDEX('Table A - Combined'!$C$10:$X$30,MATCH($B26,'Table A - Combined'!$B$10:$B$30,0),MATCH(I$6,'Table A - Combined'!$C$4:$X$4,0))</f>
        <v>42.207119541281685</v>
      </c>
      <c r="J26" s="290">
        <f>INDEX('[3]Exhibit 4 - Comparison'!I:I,MATCH($B26,'[3]Exhibit 4 - Comparison'!$B:$B,0),1)</f>
        <v>60.19108914768082</v>
      </c>
      <c r="K26" s="291">
        <f t="shared" si="2"/>
        <v>-17.983969606399135</v>
      </c>
      <c r="L26" s="289">
        <f>INDEX('Table A - Combined'!$C$10:$X$30,MATCH($B26,'Table A - Combined'!$B$10:$B$30,0),MATCH(L$6,'Table A - Combined'!$C$4:$X$4,0))</f>
        <v>43.233737048312037</v>
      </c>
      <c r="M26" s="290">
        <f>INDEX('[3]Exhibit 4 - Comparison'!L:L,MATCH($B26,'[3]Exhibit 4 - Comparison'!$B:$B,0),1)</f>
        <v>67.056480545450427</v>
      </c>
      <c r="N26" s="291">
        <f t="shared" si="3"/>
        <v>-23.82274349713839</v>
      </c>
      <c r="O26" s="30"/>
      <c r="P26" s="30"/>
      <c r="Q26" s="30"/>
      <c r="R26" s="30"/>
    </row>
    <row r="27" spans="2:18">
      <c r="B27" s="298">
        <f t="shared" si="4"/>
        <v>2038</v>
      </c>
      <c r="C27" s="290">
        <f>INDEX('Table A - Combined'!$C$10:$X$30,MATCH($B27,'Table A - Combined'!$B$10:$B$30,0),MATCH(C$6,'Table A - Combined'!$C$4:$X$4,0))</f>
        <v>71.570428098278754</v>
      </c>
      <c r="D27" s="290">
        <f>INDEX('[3]Exhibit 4 - Comparison'!C:C,MATCH($B27,'[3]Exhibit 4 - Comparison'!$B:$B,0),1)</f>
        <v>89.149007884884824</v>
      </c>
      <c r="E27" s="291">
        <f t="shared" si="0"/>
        <v>-17.57857978660607</v>
      </c>
      <c r="F27" s="289">
        <f>INDEX('Table A - Combined'!$C$10:$X$30,MATCH($B27,'Table A - Combined'!$B$10:$B$30,0),MATCH(F$6,'Table A - Combined'!$C$4:$X$4,0))</f>
        <v>55.156597388836786</v>
      </c>
      <c r="G27" s="290">
        <f>INDEX('[3]Exhibit 4 - Comparison'!F:F,MATCH($B27,'[3]Exhibit 4 - Comparison'!$B:$B,0),1)</f>
        <v>70.79800317955133</v>
      </c>
      <c r="H27" s="291">
        <f t="shared" si="1"/>
        <v>-15.641405790714543</v>
      </c>
      <c r="I27" s="289">
        <f>INDEX('Table A - Combined'!$C$10:$X$30,MATCH($B27,'Table A - Combined'!$B$10:$B$30,0),MATCH(I$6,'Table A - Combined'!$C$4:$X$4,0))</f>
        <v>44.304753322057756</v>
      </c>
      <c r="J27" s="290">
        <f>INDEX('[3]Exhibit 4 - Comparison'!I:I,MATCH($B27,'[3]Exhibit 4 - Comparison'!$B:$B,0),1)</f>
        <v>63.132990205750609</v>
      </c>
      <c r="K27" s="291">
        <f t="shared" si="2"/>
        <v>-18.828236883692853</v>
      </c>
      <c r="L27" s="289">
        <f>INDEX('Table A - Combined'!$C$10:$X$30,MATCH($B27,'Table A - Combined'!$B$10:$B$30,0),MATCH(L$6,'Table A - Combined'!$C$4:$X$4,0))</f>
        <v>45.436923252116038</v>
      </c>
      <c r="M27" s="290">
        <f>INDEX('[3]Exhibit 4 - Comparison'!L:L,MATCH($B27,'[3]Exhibit 4 - Comparison'!$B:$B,0),1)</f>
        <v>70.20660110519205</v>
      </c>
      <c r="N27" s="291">
        <f t="shared" si="3"/>
        <v>-24.769677853076011</v>
      </c>
      <c r="O27" s="30"/>
      <c r="P27" s="30"/>
      <c r="Q27" s="30"/>
      <c r="R27" s="30"/>
    </row>
    <row r="28" spans="2:18">
      <c r="B28" s="298">
        <f t="shared" si="4"/>
        <v>2039</v>
      </c>
      <c r="C28" s="290">
        <f>INDEX('Table A - Combined'!$C$10:$X$30,MATCH($B28,'Table A - Combined'!$B$10:$B$30,0),MATCH(C$6,'Table A - Combined'!$C$4:$X$4,0))</f>
        <v>74.301949060945631</v>
      </c>
      <c r="D28" s="290">
        <f>INDEX('[3]Exhibit 4 - Comparison'!C:C,MATCH($B28,'[3]Exhibit 4 - Comparison'!$B:$B,0),1)</f>
        <v>91.703195425932066</v>
      </c>
      <c r="E28" s="291">
        <f t="shared" si="0"/>
        <v>-17.401246364986434</v>
      </c>
      <c r="F28" s="289">
        <f>INDEX('Table A - Combined'!$C$10:$X$30,MATCH($B28,'Table A - Combined'!$B$10:$B$30,0),MATCH(F$6,'Table A - Combined'!$C$4:$X$4,0))</f>
        <v>57.414610931590744</v>
      </c>
      <c r="G28" s="290">
        <f>INDEX('[3]Exhibit 4 - Comparison'!F:F,MATCH($B28,'[3]Exhibit 4 - Comparison'!$B:$B,0),1)</f>
        <v>72.925816846657568</v>
      </c>
      <c r="H28" s="291">
        <f t="shared" si="1"/>
        <v>-15.511205915066824</v>
      </c>
      <c r="I28" s="289">
        <f>INDEX('Table A - Combined'!$C$10:$X$30,MATCH($B28,'Table A - Combined'!$B$10:$B$30,0),MATCH(I$6,'Table A - Combined'!$C$4:$X$4,0))</f>
        <v>45.924320395850522</v>
      </c>
      <c r="J28" s="290">
        <f>INDEX('[3]Exhibit 4 - Comparison'!I:I,MATCH($B28,'[3]Exhibit 4 - Comparison'!$B:$B,0),1)</f>
        <v>64.923203205031953</v>
      </c>
      <c r="K28" s="291">
        <f t="shared" si="2"/>
        <v>-18.998882809181431</v>
      </c>
      <c r="L28" s="289">
        <f>INDEX('Table A - Combined'!$C$10:$X$30,MATCH($B28,'Table A - Combined'!$B$10:$B$30,0),MATCH(L$6,'Table A - Combined'!$C$4:$X$4,0))</f>
        <v>46.723002666077178</v>
      </c>
      <c r="M28" s="290">
        <f>INDEX('[3]Exhibit 4 - Comparison'!L:L,MATCH($B28,'[3]Exhibit 4 - Comparison'!$B:$B,0),1)</f>
        <v>72.134158357691959</v>
      </c>
      <c r="N28" s="291">
        <f t="shared" si="3"/>
        <v>-25.41115569161478</v>
      </c>
      <c r="O28" s="30"/>
      <c r="P28" s="30"/>
      <c r="Q28" s="30"/>
      <c r="R28" s="30"/>
    </row>
    <row r="29" spans="2:18">
      <c r="B29" s="298">
        <f t="shared" si="4"/>
        <v>2040</v>
      </c>
      <c r="C29" s="290">
        <f>INDEX('Table A - Combined'!$C$10:$X$30,MATCH($B29,'Table A - Combined'!$B$10:$B$30,0),MATCH(C$6,'Table A - Combined'!$C$4:$X$4,0))</f>
        <v>77.365264990237662</v>
      </c>
      <c r="D29" s="299">
        <f>ROUND(D28*(1+(IFERROR(INDEX('Table D - Integration'!$C$41:$C$49,MATCH($B29,'Table D - Integration'!$B$41:$B$49,0),1),0)+IFERROR(INDEX('Table D - Integration'!$F$41:$F$49,MATCH($B29,'Table D - Integration'!$E$41:$E$49,0),1),0)+IFERROR(INDEX('Table D - Integration'!$I$41:$I$49,MATCH($B29,'Table D - Integration'!$H$41:$H$49,0),1),0))),2)</f>
        <v>93.63</v>
      </c>
      <c r="E29" s="291">
        <f t="shared" si="0"/>
        <v>-16.264735009762333</v>
      </c>
      <c r="F29" s="289">
        <f>INDEX('Table A - Combined'!$C$10:$X$30,MATCH($B29,'Table A - Combined'!$B$10:$B$30,0),MATCH(F$6,'Table A - Combined'!$C$4:$X$4,0))</f>
        <v>60.148801644460001</v>
      </c>
      <c r="G29" s="299">
        <f>ROUND(G28*(1+(IFERROR(INDEX('Table D - Integration'!$C$41:$C$49,MATCH($B29,'Table D - Integration'!$B$41:$B$49,0),1),0)+IFERROR(INDEX('Table D - Integration'!$F$41:$F$49,MATCH($B29,'Table D - Integration'!$E$41:$E$49,0),1),0)+IFERROR(INDEX('Table D - Integration'!$I$41:$I$49,MATCH($B29,'Table D - Integration'!$H$41:$H$49,0),1),0))),2)</f>
        <v>74.459999999999994</v>
      </c>
      <c r="H29" s="291">
        <f t="shared" si="1"/>
        <v>-14.311198355539993</v>
      </c>
      <c r="I29" s="289">
        <f>INDEX('Table A - Combined'!$C$10:$X$30,MATCH($B29,'Table A - Combined'!$B$10:$B$30,0),MATCH(I$6,'Table A - Combined'!$C$4:$X$4,0))</f>
        <v>47.966877415030211</v>
      </c>
      <c r="J29" s="299">
        <f>ROUND(J28*(1+(IFERROR(INDEX('Table D - Integration'!$C$41:$C$49,MATCH($B29,'Table D - Integration'!$B$41:$B$49,0),1),0)+IFERROR(INDEX('Table D - Integration'!$F$41:$F$49,MATCH($B29,'Table D - Integration'!$E$41:$E$49,0),1),0)+IFERROR(INDEX('Table D - Integration'!$I$41:$I$49,MATCH($B29,'Table D - Integration'!$H$41:$H$49,0),1),0))),2)</f>
        <v>66.290000000000006</v>
      </c>
      <c r="K29" s="291">
        <f t="shared" si="2"/>
        <v>-18.323122584969795</v>
      </c>
      <c r="L29" s="289">
        <f>INDEX('Table A - Combined'!$C$10:$X$30,MATCH($B29,'Table A - Combined'!$B$10:$B$30,0),MATCH(L$6,'Table A - Combined'!$C$4:$X$4,0))</f>
        <v>49.160633212925987</v>
      </c>
      <c r="M29" s="299">
        <f>ROUND(M28*(1+(IFERROR(INDEX('Table D - Integration'!$C$41:$C$49,MATCH($B29,'Table D - Integration'!$B$41:$B$49,0),1),0)+IFERROR(INDEX('Table D - Integration'!$F$41:$F$49,MATCH($B29,'Table D - Integration'!$E$41:$E$49,0),1),0)+IFERROR(INDEX('Table D - Integration'!$I$41:$I$49,MATCH($B29,'Table D - Integration'!$H$41:$H$49,0),1),0))),2)</f>
        <v>73.650000000000006</v>
      </c>
      <c r="N29" s="291">
        <f t="shared" si="3"/>
        <v>-24.489366787074019</v>
      </c>
      <c r="O29" s="30"/>
      <c r="P29" s="30"/>
      <c r="Q29" s="30"/>
      <c r="R29" s="30"/>
    </row>
    <row r="30" spans="2:18">
      <c r="B30" s="301"/>
      <c r="C30" s="295"/>
      <c r="D30" s="295"/>
      <c r="E30" s="296"/>
      <c r="F30" s="294"/>
      <c r="G30" s="295"/>
      <c r="H30" s="296"/>
      <c r="I30" s="294"/>
      <c r="J30" s="295"/>
      <c r="K30" s="296"/>
      <c r="L30" s="295"/>
      <c r="M30" s="295"/>
      <c r="N30" s="296"/>
      <c r="O30" s="30"/>
      <c r="P30" s="30"/>
      <c r="Q30" s="30"/>
      <c r="R30" s="1"/>
    </row>
    <row r="31" spans="2:18" ht="2.25" customHeight="1">
      <c r="B31" s="302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30"/>
      <c r="P31" s="30"/>
      <c r="Q31" s="1"/>
    </row>
    <row r="32" spans="2:18" ht="12" customHeight="1">
      <c r="B32" s="303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30"/>
      <c r="P32" s="30"/>
      <c r="Q32" s="1"/>
    </row>
    <row r="33" spans="2:18" s="3" customFormat="1" ht="12" customHeight="1">
      <c r="B33" s="303" t="s">
        <v>196</v>
      </c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30"/>
      <c r="P33" s="30"/>
      <c r="Q33" s="13"/>
    </row>
    <row r="34" spans="2:18" ht="2.25" customHeight="1">
      <c r="B34" s="302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30"/>
      <c r="P34" s="30"/>
      <c r="Q34" s="1"/>
    </row>
    <row r="35" spans="2:18" s="3" customFormat="1">
      <c r="B35" s="305" t="str">
        <f>" 15 Year Nominal Levelized Price ($/MWh) at "&amp;TEXT(R36,"0.000%")&amp;" Discount Rate (2017 IRP Update)"</f>
        <v xml:space="preserve"> 15 Year Nominal Levelized Price ($/MWh) at 6.910% Discount Rate (2017 IRP Update)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30"/>
      <c r="P35" s="30"/>
      <c r="Q35" s="13"/>
      <c r="R35" s="48" t="s">
        <v>155</v>
      </c>
    </row>
    <row r="36" spans="2:18" s="3" customFormat="1" ht="15" customHeight="1">
      <c r="B36" s="304" t="str">
        <f>"("&amp;B10&amp;"-"&amp;B24&amp;")"</f>
        <v>(2021-2035)</v>
      </c>
      <c r="C36" s="300">
        <f t="shared" ref="C36:D38" si="5">-PMT(DiscountRate,COUNT(C10:C24),NPV(DiscountRate,C10:C24))</f>
        <v>51.53598879559523</v>
      </c>
      <c r="D36" s="300">
        <f t="shared" si="5"/>
        <v>55.683683770898561</v>
      </c>
      <c r="E36" s="300">
        <f t="shared" ref="E36" si="6">C36-D36</f>
        <v>-4.147694975303331</v>
      </c>
      <c r="F36" s="300">
        <f t="shared" ref="F36:G38" si="7">-PMT(DiscountRate,COUNT(F10:F24),NPV(DiscountRate,F10:F24))</f>
        <v>39.090263644238419</v>
      </c>
      <c r="G36" s="300">
        <f t="shared" si="7"/>
        <v>42.651132168887429</v>
      </c>
      <c r="H36" s="300">
        <f t="shared" ref="H36" si="8">F36-G36</f>
        <v>-3.5608685246490097</v>
      </c>
      <c r="I36" s="300">
        <f t="shared" ref="I36:J38" si="9">-PMT(DiscountRate,COUNT(I10:I24),NPV(DiscountRate,I10:I24))</f>
        <v>30.503452217902492</v>
      </c>
      <c r="J36" s="300">
        <f t="shared" si="9"/>
        <v>35.287057283929556</v>
      </c>
      <c r="K36" s="300">
        <f t="shared" ref="K36" si="10">I36-J36</f>
        <v>-4.7836050660270644</v>
      </c>
      <c r="L36" s="300">
        <f t="shared" ref="L36:M38" si="11">-PMT(DiscountRate,COUNT(L10:L24),NPV(DiscountRate,L10:L24))</f>
        <v>31.201119272918607</v>
      </c>
      <c r="M36" s="300">
        <f t="shared" si="11"/>
        <v>38.217233481124019</v>
      </c>
      <c r="N36" s="300">
        <f t="shared" ref="N36" si="12">L36-M36</f>
        <v>-7.016114208205412</v>
      </c>
      <c r="O36" s="30"/>
      <c r="P36" s="30"/>
      <c r="Q36" s="13"/>
      <c r="R36" s="193">
        <v>6.9099999999999995E-2</v>
      </c>
    </row>
    <row r="37" spans="2:18" ht="15" customHeight="1">
      <c r="B37" s="304" t="str">
        <f>"("&amp;B11&amp;"-"&amp;B25&amp;")"</f>
        <v>(2022-2036)</v>
      </c>
      <c r="C37" s="300">
        <f t="shared" si="5"/>
        <v>53.0025478967734</v>
      </c>
      <c r="D37" s="300">
        <f t="shared" si="5"/>
        <v>57.308025781219534</v>
      </c>
      <c r="E37" s="300">
        <f t="shared" ref="E37" si="13">C37-D37</f>
        <v>-4.3054778844461339</v>
      </c>
      <c r="F37" s="300">
        <f t="shared" si="7"/>
        <v>40.231013550940318</v>
      </c>
      <c r="G37" s="300">
        <f t="shared" si="7"/>
        <v>43.869421317805553</v>
      </c>
      <c r="H37" s="300">
        <f t="shared" ref="H37" si="14">F37-G37</f>
        <v>-3.6384077668652353</v>
      </c>
      <c r="I37" s="300">
        <f t="shared" si="9"/>
        <v>31.559099450085739</v>
      </c>
      <c r="J37" s="300">
        <f t="shared" si="9"/>
        <v>36.620399609842693</v>
      </c>
      <c r="K37" s="300">
        <f t="shared" ref="K37" si="15">I37-J37</f>
        <v>-5.0613001597569536</v>
      </c>
      <c r="L37" s="300">
        <f t="shared" si="11"/>
        <v>32.331506404846664</v>
      </c>
      <c r="M37" s="300">
        <f t="shared" si="11"/>
        <v>39.91126381986416</v>
      </c>
      <c r="N37" s="300">
        <f t="shared" ref="N37" si="16">L37-M37</f>
        <v>-7.5797574150174967</v>
      </c>
      <c r="R37" s="1"/>
    </row>
    <row r="38" spans="2:18" ht="15" customHeight="1">
      <c r="B38" s="304" t="str">
        <f>"("&amp;B12&amp;"-"&amp;B26&amp;")"</f>
        <v>(2023-2037)</v>
      </c>
      <c r="C38" s="300">
        <f t="shared" si="5"/>
        <v>54.710560835757214</v>
      </c>
      <c r="D38" s="300">
        <f t="shared" si="5"/>
        <v>59.41842819839686</v>
      </c>
      <c r="E38" s="300">
        <f t="shared" ref="E38" si="17">C38-D38</f>
        <v>-4.7078673626396466</v>
      </c>
      <c r="F38" s="300">
        <f t="shared" si="7"/>
        <v>41.59222365337088</v>
      </c>
      <c r="G38" s="300">
        <f t="shared" si="7"/>
        <v>45.549162508506321</v>
      </c>
      <c r="H38" s="300">
        <f t="shared" ref="H38" si="18">F38-G38</f>
        <v>-3.9569388551354407</v>
      </c>
      <c r="I38" s="300">
        <f t="shared" si="9"/>
        <v>32.775657320403617</v>
      </c>
      <c r="J38" s="300">
        <f t="shared" si="9"/>
        <v>38.380025239426864</v>
      </c>
      <c r="K38" s="300">
        <f t="shared" ref="K38" si="19">I38-J38</f>
        <v>-5.6043679190232467</v>
      </c>
      <c r="L38" s="300">
        <f t="shared" si="11"/>
        <v>33.626067982237998</v>
      </c>
      <c r="M38" s="300">
        <f t="shared" si="11"/>
        <v>42.009354683992306</v>
      </c>
      <c r="N38" s="300">
        <f t="shared" ref="N38" si="20">L38-M38</f>
        <v>-8.383286701754308</v>
      </c>
    </row>
    <row r="39" spans="2:18" s="3" customFormat="1">
      <c r="B39" s="7"/>
      <c r="O39" s="6"/>
      <c r="P39" s="6"/>
      <c r="Q39" s="6"/>
      <c r="R39" s="6"/>
    </row>
    <row r="40" spans="2:18" s="3" customFormat="1">
      <c r="B40" s="7"/>
      <c r="C40" s="48"/>
      <c r="O40" s="6"/>
      <c r="P40" s="6"/>
      <c r="Q40" s="6"/>
      <c r="R40" s="6"/>
    </row>
    <row r="41" spans="2:18" s="3" customFormat="1">
      <c r="B41" s="7"/>
      <c r="C41" s="48"/>
      <c r="O41" s="6"/>
      <c r="P41" s="6"/>
      <c r="Q41" s="6"/>
      <c r="R41" s="6"/>
    </row>
    <row r="42" spans="2:18" s="3" customFormat="1">
      <c r="B42" s="7"/>
      <c r="C42" s="1"/>
      <c r="O42" s="6"/>
      <c r="P42" s="6"/>
      <c r="Q42" s="6"/>
      <c r="R42" s="6"/>
    </row>
    <row r="44" spans="2:18" s="3" customFormat="1">
      <c r="B44" s="7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 s="3" customFormat="1">
      <c r="B45" s="28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>
      <c r="B46" s="7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 s="48" customFormat="1">
      <c r="B47" s="141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 s="48" customFormat="1">
      <c r="B48" s="142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>
      <c r="B50" s="124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</sheetData>
  <mergeCells count="11">
    <mergeCell ref="B3:N3"/>
    <mergeCell ref="B2:N2"/>
    <mergeCell ref="B1:N1"/>
    <mergeCell ref="C6:E6"/>
    <mergeCell ref="F6:H6"/>
    <mergeCell ref="I6:K6"/>
    <mergeCell ref="L6:N6"/>
    <mergeCell ref="C5:E5"/>
    <mergeCell ref="F5:H5"/>
    <mergeCell ref="I5:K5"/>
    <mergeCell ref="L5:N5"/>
  </mergeCells>
  <printOptions horizontalCentered="1"/>
  <pageMargins left="0.25" right="0.25" top="0.75" bottom="0.75" header="0.3" footer="0.3"/>
  <pageSetup scale="60" orientation="landscape" r:id="rId1"/>
  <headerFooter alignWithMargins="0">
    <oddFooter>&amp;RPage &amp;P</oddFooter>
  </headerFooter>
  <colBreaks count="2" manualBreakCount="2">
    <brk id="14" max="1048575" man="1"/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499984740745262"/>
    <pageSetUpPr fitToPage="1"/>
  </sheetPr>
  <dimension ref="A1"/>
  <sheetViews>
    <sheetView zoomScale="130" zoomScaleNormal="130" workbookViewId="0"/>
  </sheetViews>
  <sheetFormatPr defaultRowHeight="12.75"/>
  <sheetData/>
  <printOptions horizontalCentered="1"/>
  <pageMargins left="0.8" right="0.3" top="0.4" bottom="0.4" header="0.5" footer="0.2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39FFFEE3AFFF4F86EE8B39C340425D" ma:contentTypeVersion="52" ma:contentTypeDescription="" ma:contentTypeScope="" ma:versionID="efa4df257983b5f1ec20ccdcd85d6a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2020-10-28T07:00:00+00:00</OpenedDate>
    <SignificantOrder xmlns="dc463f71-b30c-4ab2-9473-d307f9d35888">false</SignificantOrder>
    <Date1 xmlns="dc463f71-b30c-4ab2-9473-d307f9d35888">2020-10-28T07:00:00+00:00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200888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02DB55B-0B56-4533-A426-6E1A31974D9E}"/>
</file>

<file path=customXml/itemProps2.xml><?xml version="1.0" encoding="utf-8"?>
<ds:datastoreItem xmlns:ds="http://schemas.openxmlformats.org/officeDocument/2006/customXml" ds:itemID="{A1348103-9EF7-468C-8E32-AC4911FF57EB}"/>
</file>

<file path=customXml/itemProps3.xml><?xml version="1.0" encoding="utf-8"?>
<ds:datastoreItem xmlns:ds="http://schemas.openxmlformats.org/officeDocument/2006/customXml" ds:itemID="{BADE4847-7B37-4F75-8A8A-8CFDA2500F2B}"/>
</file>

<file path=customXml/itemProps4.xml><?xml version="1.0" encoding="utf-8"?>
<ds:datastoreItem xmlns:ds="http://schemas.openxmlformats.org/officeDocument/2006/customXml" ds:itemID="{51DDE106-85B9-43E5-ACB9-2EF0ED8C5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Table A - Combined</vt:lpstr>
      <vt:lpstr>Table B - Energy</vt:lpstr>
      <vt:lpstr>Table C - Capacity</vt:lpstr>
      <vt:lpstr>Table D - Integration</vt:lpstr>
      <vt:lpstr>Exhibit 1 - Market Capacity</vt:lpstr>
      <vt:lpstr>CONF Exhibit 2 - Planned Cap</vt:lpstr>
      <vt:lpstr>Exhibit 3 - Levelized Capacity</vt:lpstr>
      <vt:lpstr>Exhibit 4 - Comparison</vt:lpstr>
      <vt:lpstr>XX Support Pages - Do Not Print</vt:lpstr>
      <vt:lpstr>Profiles</vt:lpstr>
      <vt:lpstr>Portfolio</vt:lpstr>
      <vt:lpstr>Chart2</vt:lpstr>
      <vt:lpstr>DiscountRate</vt:lpstr>
      <vt:lpstr>'CONF Exhibit 2 - Planned Cap'!Print_Area</vt:lpstr>
      <vt:lpstr>'Exhibit 1 - Market Capacity'!Print_Area</vt:lpstr>
      <vt:lpstr>'Exhibit 3 - Levelized Capacity'!Print_Area</vt:lpstr>
      <vt:lpstr>'Exhibit 4 - Comparison'!Print_Area</vt:lpstr>
      <vt:lpstr>Portfolio!Print_Area</vt:lpstr>
      <vt:lpstr>'Table A - Combined'!Print_Area</vt:lpstr>
      <vt:lpstr>'Table B - Energy'!Print_Area</vt:lpstr>
      <vt:lpstr>'Table C - Capacity'!Print_Area</vt:lpstr>
      <vt:lpstr>'Table D - Integration'!Print_Area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2017-04-26T17:13:09Z</dcterms:created>
  <dcterms:modified xsi:type="dcterms:W3CDTF">2020-10-23T20:09:49Z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0x0101006E56B4D1795A2E4DB2F0B01679ED314A003D39FFFEE3AFFF4F86EE8B39C340425D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