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13.xml" ContentType="application/vnd.openxmlformats-officedocument.spreadsheetml.worksheet+xml"/>
  <Override PartName="/xl/worksheets/sheet20.xml" ContentType="application/vnd.openxmlformats-officedocument.spreadsheetml.worksheet+xml"/>
  <Override PartName="/xl/worksheets/sheet14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7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omments4.xml" ContentType="application/vnd.openxmlformats-officedocument.spreadsheetml.comments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9.xml" ContentType="application/vnd.openxmlformats-officedocument.spreadsheetml.comments+xml"/>
  <Override PartName="/xl/comments8.xml" ContentType="application/vnd.openxmlformats-officedocument.spreadsheetml.comment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360" yWindow="240" windowWidth="16020" windowHeight="4605" tabRatio="926"/>
  </bookViews>
  <sheets>
    <sheet name="Summary" sheetId="8" r:id="rId1"/>
    <sheet name="Hydro Energy" sheetId="14" r:id="rId2"/>
    <sheet name="Rattlesnake" sheetId="37" r:id="rId3"/>
    <sheet name="Palouse LC" sheetId="10" r:id="rId4"/>
    <sheet name="2020 CCCT LC" sheetId="36" r:id="rId5"/>
    <sheet name="2012 CCCT LC" sheetId="15" r:id="rId6"/>
    <sheet name="2007 CCCT LC" sheetId="19" r:id="rId7"/>
    <sheet name="2004 CCCT LC" sheetId="18" r:id="rId8"/>
    <sheet name="2001 CCCT LC" sheetId="17" r:id="rId9"/>
    <sheet name="1999 CCCT LC" sheetId="24" r:id="rId10"/>
    <sheet name="Palouse Wind Integration Costs" sheetId="11" r:id="rId11"/>
    <sheet name="LF_4" sheetId="25" r:id="rId12"/>
    <sheet name="LL_3" sheetId="26" r:id="rId13"/>
    <sheet name="CG_3" sheetId="27" r:id="rId14"/>
    <sheet name="CG_2" sheetId="28" r:id="rId15"/>
    <sheet name="CG_4" sheetId="29" r:id="rId16"/>
    <sheet name="NR_1" sheetId="30" r:id="rId17"/>
    <sheet name="NR_2" sheetId="31" r:id="rId18"/>
    <sheet name="NR_3" sheetId="32" r:id="rId19"/>
    <sheet name="NR_4" sheetId="33" r:id="rId20"/>
    <sheet name="NM1&amp;2" sheetId="35" r:id="rId2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Summary!$C$1:$O$20</definedName>
  </definedNames>
  <calcPr calcId="152511"/>
</workbook>
</file>

<file path=xl/calcChain.xml><?xml version="1.0" encoding="utf-8"?>
<calcChain xmlns="http://schemas.openxmlformats.org/spreadsheetml/2006/main">
  <c r="X15" i="36" l="1"/>
  <c r="G22" i="8" l="1"/>
  <c r="M18" i="8" l="1"/>
  <c r="M14" i="8" l="1"/>
  <c r="F17" i="8" l="1"/>
  <c r="M17" i="8"/>
  <c r="D17" i="8"/>
  <c r="E17" i="8" s="1"/>
  <c r="K4" i="37"/>
  <c r="K3" i="37"/>
  <c r="K2" i="37"/>
  <c r="K30" i="37"/>
  <c r="K31" i="37"/>
  <c r="K32" i="37"/>
  <c r="K33" i="37"/>
  <c r="K34" i="37"/>
  <c r="K35" i="37"/>
  <c r="K36" i="37"/>
  <c r="K37" i="37"/>
  <c r="K38" i="37"/>
  <c r="K39" i="37"/>
  <c r="K40" i="37"/>
  <c r="K41" i="37"/>
  <c r="K42" i="37"/>
  <c r="K43" i="37"/>
  <c r="K44" i="37"/>
  <c r="K45" i="37"/>
  <c r="K46" i="37"/>
  <c r="K47" i="37"/>
  <c r="K48" i="37"/>
  <c r="K49" i="37"/>
  <c r="K50" i="37"/>
  <c r="K51" i="37"/>
  <c r="K52" i="37"/>
  <c r="K53" i="37"/>
  <c r="K54" i="37"/>
  <c r="K55" i="37"/>
  <c r="K56" i="37"/>
  <c r="K57" i="37"/>
  <c r="K58" i="37"/>
  <c r="G58" i="37"/>
  <c r="G57" i="37"/>
  <c r="G56" i="37"/>
  <c r="G55" i="37"/>
  <c r="G54" i="37"/>
  <c r="G53" i="37"/>
  <c r="G52" i="37"/>
  <c r="G51" i="37"/>
  <c r="G50" i="37"/>
  <c r="G49" i="37"/>
  <c r="G48" i="37"/>
  <c r="G47" i="37"/>
  <c r="G46" i="37"/>
  <c r="G45" i="37"/>
  <c r="G44" i="37"/>
  <c r="G43" i="37"/>
  <c r="G42" i="37"/>
  <c r="G41" i="37"/>
  <c r="G40" i="37"/>
  <c r="G39" i="37"/>
  <c r="G38" i="37"/>
  <c r="G37" i="37"/>
  <c r="G36" i="37"/>
  <c r="G35" i="37"/>
  <c r="G34" i="37"/>
  <c r="G33" i="37"/>
  <c r="G32" i="37"/>
  <c r="G31" i="37"/>
  <c r="G30" i="37"/>
  <c r="G29" i="37"/>
  <c r="G28" i="37"/>
  <c r="G27" i="37"/>
  <c r="G26" i="37"/>
  <c r="G25" i="37"/>
  <c r="G24" i="37"/>
  <c r="G23" i="37"/>
  <c r="G22" i="37"/>
  <c r="G21" i="37"/>
  <c r="G20" i="37"/>
  <c r="G19" i="37"/>
  <c r="G18" i="37"/>
  <c r="G17" i="37"/>
  <c r="G16" i="37"/>
  <c r="G15" i="37"/>
  <c r="G14" i="37"/>
  <c r="G13" i="37"/>
  <c r="G12" i="37"/>
  <c r="G11" i="37"/>
  <c r="G10" i="37"/>
  <c r="G9" i="37"/>
  <c r="I29" i="37"/>
  <c r="I28" i="37"/>
  <c r="I27" i="37"/>
  <c r="I26" i="37"/>
  <c r="I25" i="37"/>
  <c r="I24" i="37"/>
  <c r="I23" i="37"/>
  <c r="I22" i="37"/>
  <c r="I21" i="37"/>
  <c r="I20" i="37"/>
  <c r="I19" i="37"/>
  <c r="I18" i="37"/>
  <c r="I17" i="37"/>
  <c r="I16" i="37"/>
  <c r="I15" i="37"/>
  <c r="I14" i="37"/>
  <c r="I13" i="37"/>
  <c r="I12" i="37"/>
  <c r="I11" i="37"/>
  <c r="I10" i="37"/>
  <c r="I9" i="37"/>
  <c r="F29" i="37" l="1"/>
  <c r="F28" i="37"/>
  <c r="F27" i="37"/>
  <c r="F26" i="37"/>
  <c r="F25" i="37"/>
  <c r="F24" i="37"/>
  <c r="F23" i="37"/>
  <c r="F22" i="37"/>
  <c r="F21" i="37"/>
  <c r="F20" i="37"/>
  <c r="F19" i="37"/>
  <c r="F18" i="37"/>
  <c r="AB17" i="37"/>
  <c r="F17" i="37"/>
  <c r="F16" i="37"/>
  <c r="F15" i="37"/>
  <c r="F14" i="37"/>
  <c r="F13" i="37"/>
  <c r="F12" i="37"/>
  <c r="F11" i="37"/>
  <c r="F10" i="37"/>
  <c r="F9" i="37"/>
  <c r="J8" i="15"/>
  <c r="J22" i="37" l="1"/>
  <c r="J21" i="37"/>
  <c r="J23" i="37"/>
  <c r="J18" i="37"/>
  <c r="F6" i="37"/>
  <c r="I6" i="37"/>
  <c r="J9" i="37"/>
  <c r="J10" i="37"/>
  <c r="J11" i="37"/>
  <c r="J12" i="37"/>
  <c r="J13" i="37"/>
  <c r="J14" i="37"/>
  <c r="J15" i="37"/>
  <c r="J16" i="37"/>
  <c r="J17" i="37"/>
  <c r="J20" i="37"/>
  <c r="J24" i="37"/>
  <c r="J19" i="37"/>
  <c r="J25" i="37"/>
  <c r="J26" i="37"/>
  <c r="J27" i="37"/>
  <c r="J28" i="37"/>
  <c r="J29" i="37"/>
  <c r="F13" i="36"/>
  <c r="G15" i="36"/>
  <c r="H15" i="36" s="1"/>
  <c r="G16" i="36"/>
  <c r="G17" i="36"/>
  <c r="G18" i="36"/>
  <c r="G19" i="36"/>
  <c r="G20" i="36"/>
  <c r="G21" i="36"/>
  <c r="G22" i="36"/>
  <c r="G23" i="36"/>
  <c r="G24" i="36"/>
  <c r="G25" i="36"/>
  <c r="G26" i="36"/>
  <c r="G27" i="36"/>
  <c r="G28" i="36"/>
  <c r="G29" i="36"/>
  <c r="G30" i="36"/>
  <c r="G31" i="36"/>
  <c r="G32" i="36"/>
  <c r="G33" i="36"/>
  <c r="G34" i="36"/>
  <c r="G35" i="36"/>
  <c r="G36" i="36"/>
  <c r="G37" i="36"/>
  <c r="G38" i="36"/>
  <c r="G39" i="36"/>
  <c r="G40" i="36"/>
  <c r="G41" i="36"/>
  <c r="G42" i="36"/>
  <c r="G43" i="36"/>
  <c r="G44" i="36"/>
  <c r="F16" i="36"/>
  <c r="F17" i="36"/>
  <c r="F18" i="36"/>
  <c r="F19" i="36"/>
  <c r="F20" i="36"/>
  <c r="F21" i="36"/>
  <c r="F22" i="36"/>
  <c r="F23" i="36"/>
  <c r="F24" i="36"/>
  <c r="F25" i="36"/>
  <c r="F26" i="36"/>
  <c r="F27" i="36"/>
  <c r="F28" i="36"/>
  <c r="F29" i="36"/>
  <c r="F30" i="36"/>
  <c r="F31" i="36"/>
  <c r="F32" i="36"/>
  <c r="F33" i="36"/>
  <c r="F34" i="36"/>
  <c r="F35" i="36"/>
  <c r="F36" i="36"/>
  <c r="F37" i="36"/>
  <c r="F38" i="36"/>
  <c r="F39" i="36"/>
  <c r="F40" i="36"/>
  <c r="F41" i="36"/>
  <c r="F42" i="36"/>
  <c r="F43" i="36"/>
  <c r="F44" i="36"/>
  <c r="F15" i="36"/>
  <c r="B15" i="36"/>
  <c r="L15" i="36" s="1"/>
  <c r="U42" i="36"/>
  <c r="U43" i="36" s="1"/>
  <c r="U44" i="36" s="1"/>
  <c r="U45" i="36" s="1"/>
  <c r="U46" i="36" s="1"/>
  <c r="U47" i="36" s="1"/>
  <c r="U41" i="36"/>
  <c r="K15" i="36" l="1"/>
  <c r="G13" i="36"/>
  <c r="M15" i="36"/>
  <c r="K26" i="37"/>
  <c r="K24" i="37"/>
  <c r="K23" i="37"/>
  <c r="K13" i="37"/>
  <c r="K21" i="37"/>
  <c r="G6" i="37"/>
  <c r="K28" i="37"/>
  <c r="K20" i="37"/>
  <c r="K27" i="37"/>
  <c r="K25" i="37"/>
  <c r="K22" i="37"/>
  <c r="K29" i="37"/>
  <c r="K19" i="37"/>
  <c r="K14" i="37"/>
  <c r="J6" i="37"/>
  <c r="K18" i="37"/>
  <c r="K10" i="37"/>
  <c r="K15" i="37"/>
  <c r="K11" i="37"/>
  <c r="K12" i="37"/>
  <c r="K16" i="37"/>
  <c r="K17" i="37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32" i="36"/>
  <c r="E33" i="36"/>
  <c r="E34" i="36"/>
  <c r="E35" i="36"/>
  <c r="E36" i="36"/>
  <c r="E37" i="36"/>
  <c r="E38" i="36"/>
  <c r="E39" i="36"/>
  <c r="E40" i="36"/>
  <c r="E41" i="36"/>
  <c r="E42" i="36"/>
  <c r="E43" i="36"/>
  <c r="E44" i="36"/>
  <c r="E15" i="36"/>
  <c r="E13" i="36" l="1"/>
  <c r="N15" i="36"/>
  <c r="K9" i="37"/>
  <c r="X18" i="36"/>
  <c r="K6" i="37" l="1"/>
  <c r="B44" i="36"/>
  <c r="K44" i="36" s="1"/>
  <c r="B43" i="36"/>
  <c r="K43" i="36" s="1"/>
  <c r="B42" i="36"/>
  <c r="K42" i="36" s="1"/>
  <c r="B41" i="36"/>
  <c r="K41" i="36" s="1"/>
  <c r="B40" i="36"/>
  <c r="K40" i="36" s="1"/>
  <c r="B39" i="36"/>
  <c r="K39" i="36" s="1"/>
  <c r="B38" i="36"/>
  <c r="K38" i="36" s="1"/>
  <c r="H37" i="36"/>
  <c r="B37" i="36"/>
  <c r="K37" i="36" s="1"/>
  <c r="B36" i="36"/>
  <c r="K36" i="36" s="1"/>
  <c r="B35" i="36"/>
  <c r="K35" i="36" s="1"/>
  <c r="B34" i="36"/>
  <c r="K34" i="36" s="1"/>
  <c r="B33" i="36"/>
  <c r="K33" i="36" s="1"/>
  <c r="B32" i="36"/>
  <c r="K32" i="36" s="1"/>
  <c r="B31" i="36"/>
  <c r="K31" i="36" s="1"/>
  <c r="X30" i="36"/>
  <c r="B30" i="36"/>
  <c r="K30" i="36" s="1"/>
  <c r="B29" i="36"/>
  <c r="K29" i="36" s="1"/>
  <c r="B28" i="36"/>
  <c r="K28" i="36" s="1"/>
  <c r="B27" i="36"/>
  <c r="K27" i="36" s="1"/>
  <c r="B26" i="36"/>
  <c r="K26" i="36" s="1"/>
  <c r="B25" i="36"/>
  <c r="K25" i="36" s="1"/>
  <c r="H24" i="36"/>
  <c r="B24" i="36"/>
  <c r="K24" i="36" s="1"/>
  <c r="H23" i="36"/>
  <c r="B23" i="36"/>
  <c r="K23" i="36" s="1"/>
  <c r="H22" i="36"/>
  <c r="B22" i="36"/>
  <c r="K22" i="36" s="1"/>
  <c r="B21" i="36"/>
  <c r="K21" i="36" s="1"/>
  <c r="B20" i="36"/>
  <c r="K20" i="36" s="1"/>
  <c r="B19" i="36"/>
  <c r="K19" i="36" s="1"/>
  <c r="B18" i="36"/>
  <c r="K18" i="36" s="1"/>
  <c r="B17" i="36"/>
  <c r="K17" i="36" s="1"/>
  <c r="B16" i="36"/>
  <c r="L16" i="36" l="1"/>
  <c r="K16" i="36"/>
  <c r="K13" i="36" s="1"/>
  <c r="L4" i="37"/>
  <c r="H33" i="36"/>
  <c r="I33" i="36" s="1"/>
  <c r="L40" i="36"/>
  <c r="L24" i="36"/>
  <c r="L34" i="36"/>
  <c r="M16" i="36"/>
  <c r="L30" i="36"/>
  <c r="M30" i="36" s="1"/>
  <c r="N30" i="36" s="1"/>
  <c r="H38" i="36"/>
  <c r="H20" i="36"/>
  <c r="H18" i="36"/>
  <c r="H43" i="36"/>
  <c r="I43" i="36" s="1"/>
  <c r="H34" i="36"/>
  <c r="H17" i="36"/>
  <c r="I17" i="36" s="1"/>
  <c r="H21" i="36"/>
  <c r="I21" i="36" s="1"/>
  <c r="H25" i="36"/>
  <c r="H30" i="36"/>
  <c r="H42" i="36"/>
  <c r="H16" i="36"/>
  <c r="L22" i="36"/>
  <c r="M22" i="36" s="1"/>
  <c r="N22" i="36" s="1"/>
  <c r="L26" i="36"/>
  <c r="H26" i="36"/>
  <c r="H27" i="36"/>
  <c r="H28" i="36"/>
  <c r="H36" i="36"/>
  <c r="H39" i="36"/>
  <c r="H40" i="36"/>
  <c r="I40" i="36" s="1"/>
  <c r="L19" i="36"/>
  <c r="H19" i="36"/>
  <c r="L28" i="36"/>
  <c r="L31" i="36"/>
  <c r="L38" i="36"/>
  <c r="L23" i="36"/>
  <c r="H31" i="36"/>
  <c r="L33" i="36"/>
  <c r="L35" i="36"/>
  <c r="L17" i="36"/>
  <c r="L20" i="36"/>
  <c r="L27" i="36"/>
  <c r="H29" i="36"/>
  <c r="H32" i="36"/>
  <c r="H35" i="36"/>
  <c r="L37" i="36"/>
  <c r="H41" i="36"/>
  <c r="L44" i="36"/>
  <c r="L42" i="36"/>
  <c r="L18" i="36"/>
  <c r="L21" i="36"/>
  <c r="I23" i="36"/>
  <c r="L25" i="36"/>
  <c r="M25" i="36" s="1"/>
  <c r="L29" i="36"/>
  <c r="L32" i="36"/>
  <c r="I34" i="36"/>
  <c r="L36" i="36"/>
  <c r="L39" i="36"/>
  <c r="M39" i="36" s="1"/>
  <c r="L41" i="36"/>
  <c r="L43" i="36"/>
  <c r="M43" i="36" s="1"/>
  <c r="I22" i="36"/>
  <c r="I37" i="36"/>
  <c r="L18" i="8"/>
  <c r="K19" i="8"/>
  <c r="L13" i="36" l="1"/>
  <c r="N16" i="36"/>
  <c r="I16" i="36"/>
  <c r="M36" i="36"/>
  <c r="N36" i="36" s="1"/>
  <c r="M21" i="36"/>
  <c r="N21" i="36" s="1"/>
  <c r="P21" i="36" s="1"/>
  <c r="M26" i="36"/>
  <c r="N26" i="36" s="1"/>
  <c r="I27" i="36"/>
  <c r="I25" i="36"/>
  <c r="I26" i="36"/>
  <c r="I39" i="36"/>
  <c r="I18" i="36"/>
  <c r="I30" i="36"/>
  <c r="P30" i="36" s="1"/>
  <c r="I41" i="36"/>
  <c r="I32" i="36"/>
  <c r="I42" i="36"/>
  <c r="I38" i="36"/>
  <c r="I35" i="36"/>
  <c r="I31" i="36"/>
  <c r="I20" i="36"/>
  <c r="I36" i="36"/>
  <c r="I29" i="36"/>
  <c r="M29" i="36"/>
  <c r="N29" i="36" s="1"/>
  <c r="M42" i="36"/>
  <c r="N42" i="36" s="1"/>
  <c r="M27" i="36"/>
  <c r="N27" i="36" s="1"/>
  <c r="P27" i="36" s="1"/>
  <c r="P22" i="36"/>
  <c r="I15" i="36"/>
  <c r="I24" i="36"/>
  <c r="N43" i="36"/>
  <c r="P43" i="36" s="1"/>
  <c r="I19" i="36"/>
  <c r="N25" i="36"/>
  <c r="H44" i="36"/>
  <c r="I44" i="36" s="1"/>
  <c r="M24" i="36"/>
  <c r="N24" i="36" s="1"/>
  <c r="M17" i="36"/>
  <c r="N17" i="36" s="1"/>
  <c r="P17" i="36" s="1"/>
  <c r="N39" i="36"/>
  <c r="M35" i="36"/>
  <c r="N35" i="36" s="1"/>
  <c r="P35" i="36" s="1"/>
  <c r="M28" i="36"/>
  <c r="N28" i="36" s="1"/>
  <c r="M20" i="36"/>
  <c r="N20" i="36" s="1"/>
  <c r="M40" i="36"/>
  <c r="N40" i="36" s="1"/>
  <c r="P40" i="36" s="1"/>
  <c r="M19" i="36"/>
  <c r="N19" i="36" s="1"/>
  <c r="M37" i="36"/>
  <c r="N37" i="36" s="1"/>
  <c r="P37" i="36" s="1"/>
  <c r="M33" i="36"/>
  <c r="N33" i="36" s="1"/>
  <c r="P33" i="36" s="1"/>
  <c r="I28" i="36"/>
  <c r="M18" i="36"/>
  <c r="M32" i="36"/>
  <c r="N32" i="36" s="1"/>
  <c r="M41" i="36"/>
  <c r="N41" i="36" s="1"/>
  <c r="M44" i="36"/>
  <c r="N44" i="36" s="1"/>
  <c r="M31" i="36"/>
  <c r="N31" i="36" s="1"/>
  <c r="M38" i="36"/>
  <c r="N38" i="36" s="1"/>
  <c r="M34" i="36"/>
  <c r="N34" i="36" s="1"/>
  <c r="P34" i="36" s="1"/>
  <c r="M23" i="36"/>
  <c r="N23" i="36" s="1"/>
  <c r="P23" i="36" s="1"/>
  <c r="P25" i="36" l="1"/>
  <c r="P16" i="36"/>
  <c r="M13" i="36"/>
  <c r="P26" i="36"/>
  <c r="I6" i="36"/>
  <c r="I7" i="36" s="1"/>
  <c r="I8" i="36" s="1"/>
  <c r="H17" i="8" s="1"/>
  <c r="J17" i="8" s="1"/>
  <c r="H13" i="36"/>
  <c r="P38" i="36"/>
  <c r="I13" i="36"/>
  <c r="P15" i="36"/>
  <c r="P36" i="36"/>
  <c r="P39" i="36"/>
  <c r="P41" i="36"/>
  <c r="P32" i="36"/>
  <c r="P20" i="36"/>
  <c r="P42" i="36"/>
  <c r="P31" i="36"/>
  <c r="P29" i="36"/>
  <c r="N18" i="36"/>
  <c r="N6" i="36" s="1"/>
  <c r="N7" i="36" s="1"/>
  <c r="P44" i="36"/>
  <c r="P28" i="36"/>
  <c r="P19" i="36"/>
  <c r="P24" i="36"/>
  <c r="N13" i="36" l="1"/>
  <c r="N8" i="36"/>
  <c r="G17" i="8" s="1"/>
  <c r="I17" i="8" s="1"/>
  <c r="P17" i="8" s="1"/>
  <c r="P18" i="36"/>
  <c r="P13" i="36" s="1"/>
  <c r="O4" i="10"/>
  <c r="D14" i="8"/>
  <c r="L17" i="8" l="1"/>
  <c r="N17" i="8" s="1"/>
  <c r="G23" i="8" s="1"/>
  <c r="T58" i="10"/>
  <c r="T57" i="10"/>
  <c r="T56" i="10"/>
  <c r="T55" i="10"/>
  <c r="T54" i="10"/>
  <c r="T53" i="10"/>
  <c r="T52" i="10"/>
  <c r="T51" i="10"/>
  <c r="T50" i="10"/>
  <c r="T49" i="10"/>
  <c r="T48" i="10"/>
  <c r="T47" i="10"/>
  <c r="T46" i="10"/>
  <c r="T45" i="10"/>
  <c r="T44" i="10"/>
  <c r="T43" i="10"/>
  <c r="T42" i="10"/>
  <c r="T41" i="10"/>
  <c r="T40" i="10"/>
  <c r="T39" i="10"/>
  <c r="T38" i="10"/>
  <c r="T37" i="10"/>
  <c r="T36" i="10"/>
  <c r="T35" i="10"/>
  <c r="T34" i="10"/>
  <c r="T33" i="10"/>
  <c r="T32" i="10"/>
  <c r="T31" i="10"/>
  <c r="T30" i="10"/>
  <c r="T29" i="10"/>
  <c r="T28" i="10"/>
  <c r="T27" i="10"/>
  <c r="T26" i="10"/>
  <c r="T25" i="10"/>
  <c r="T24" i="10"/>
  <c r="T23" i="10"/>
  <c r="T22" i="10"/>
  <c r="T21" i="10"/>
  <c r="T20" i="10"/>
  <c r="T19" i="10"/>
  <c r="T18" i="10"/>
  <c r="T17" i="10"/>
  <c r="T16" i="10"/>
  <c r="T15" i="10"/>
  <c r="T14" i="10"/>
  <c r="T13" i="10"/>
  <c r="T12" i="10"/>
  <c r="T11" i="10"/>
  <c r="T10" i="10"/>
  <c r="T9" i="10"/>
  <c r="T8" i="10"/>
  <c r="H11" i="10" l="1"/>
  <c r="F15" i="18"/>
  <c r="F15" i="19"/>
  <c r="F8" i="17"/>
  <c r="B17" i="24"/>
  <c r="O12" i="19" l="1"/>
  <c r="E20" i="15" l="1"/>
  <c r="E15" i="15"/>
  <c r="I15" i="15"/>
  <c r="F16" i="15" l="1"/>
  <c r="F15" i="15"/>
  <c r="J15" i="15" s="1"/>
  <c r="M11" i="10" l="1"/>
  <c r="I10" i="10"/>
  <c r="H10" i="10"/>
  <c r="G9" i="10"/>
  <c r="G10" i="10"/>
  <c r="E15" i="19" l="1"/>
  <c r="I15" i="19"/>
  <c r="N15" i="19"/>
  <c r="O13" i="15" l="1"/>
  <c r="P6" i="15" s="1"/>
  <c r="P7" i="15" s="1"/>
  <c r="P8" i="15" s="1"/>
  <c r="N13" i="15"/>
  <c r="M13" i="15"/>
  <c r="L13" i="15"/>
  <c r="H13" i="15"/>
  <c r="I13" i="15"/>
  <c r="G13" i="15"/>
  <c r="L45" i="15"/>
  <c r="M45" i="15"/>
  <c r="N45" i="15"/>
  <c r="O45" i="15"/>
  <c r="Q45" i="15"/>
  <c r="L46" i="15"/>
  <c r="N46" i="15" s="1"/>
  <c r="M46" i="15"/>
  <c r="L47" i="15"/>
  <c r="N47" i="15" s="1"/>
  <c r="M47" i="15"/>
  <c r="V45" i="15"/>
  <c r="V46" i="15" s="1"/>
  <c r="V47" i="15" s="1"/>
  <c r="T45" i="15"/>
  <c r="H45" i="15"/>
  <c r="B46" i="15"/>
  <c r="B47" i="15" s="1"/>
  <c r="C45" i="15"/>
  <c r="C46" i="15" s="1"/>
  <c r="C47" i="15" s="1"/>
  <c r="B45" i="15"/>
  <c r="F16" i="8"/>
  <c r="F15" i="8"/>
  <c r="G16" i="8" l="1"/>
  <c r="I16" i="8" s="1"/>
  <c r="G15" i="8"/>
  <c r="I15" i="8" s="1"/>
  <c r="O46" i="15"/>
  <c r="Q46" i="15" s="1"/>
  <c r="O47" i="15"/>
  <c r="Q47" i="15" s="1"/>
  <c r="T46" i="15"/>
  <c r="H47" i="15"/>
  <c r="H46" i="15"/>
  <c r="G45" i="15"/>
  <c r="I45" i="15" s="1"/>
  <c r="J45" i="15" s="1"/>
  <c r="T47" i="15" l="1"/>
  <c r="G47" i="15" s="1"/>
  <c r="G46" i="15"/>
  <c r="I46" i="15" s="1"/>
  <c r="J46" i="15" s="1"/>
  <c r="I47" i="15" l="1"/>
  <c r="J47" i="15" s="1"/>
  <c r="C85" i="35" l="1"/>
  <c r="E85" i="35" s="1"/>
  <c r="C84" i="35"/>
  <c r="E84" i="35" s="1"/>
  <c r="C83" i="35"/>
  <c r="E83" i="35" s="1"/>
  <c r="C82" i="35"/>
  <c r="E82" i="35" s="1"/>
  <c r="C81" i="35"/>
  <c r="E81" i="35" s="1"/>
  <c r="C80" i="35"/>
  <c r="E80" i="35" s="1"/>
  <c r="C79" i="35"/>
  <c r="E79" i="35" s="1"/>
  <c r="C78" i="35"/>
  <c r="E78" i="35" s="1"/>
  <c r="C77" i="35"/>
  <c r="E77" i="35" s="1"/>
  <c r="C76" i="35"/>
  <c r="E76" i="35" s="1"/>
  <c r="C75" i="35"/>
  <c r="E75" i="35" s="1"/>
  <c r="C74" i="35"/>
  <c r="E74" i="35" s="1"/>
  <c r="C73" i="35"/>
  <c r="E73" i="35" s="1"/>
  <c r="C72" i="35"/>
  <c r="E72" i="35" s="1"/>
  <c r="C71" i="35"/>
  <c r="E71" i="35" s="1"/>
  <c r="C70" i="35"/>
  <c r="E70" i="35" s="1"/>
  <c r="C69" i="35"/>
  <c r="E69" i="35" s="1"/>
  <c r="C68" i="35"/>
  <c r="E68" i="35" s="1"/>
  <c r="C67" i="35"/>
  <c r="E67" i="35" s="1"/>
  <c r="C66" i="35"/>
  <c r="E66" i="35" s="1"/>
  <c r="C65" i="35"/>
  <c r="E65" i="35" s="1"/>
  <c r="C64" i="35"/>
  <c r="E64" i="35" s="1"/>
  <c r="C63" i="35"/>
  <c r="E63" i="35" s="1"/>
  <c r="C62" i="35"/>
  <c r="E62" i="35" s="1"/>
  <c r="C61" i="35"/>
  <c r="E61" i="35" s="1"/>
  <c r="C60" i="35"/>
  <c r="E60" i="35" s="1"/>
  <c r="C59" i="35"/>
  <c r="E59" i="35" s="1"/>
  <c r="C58" i="35"/>
  <c r="E58" i="35" s="1"/>
  <c r="C57" i="35"/>
  <c r="E57" i="35" s="1"/>
  <c r="C56" i="35"/>
  <c r="E56" i="35" s="1"/>
  <c r="C55" i="35"/>
  <c r="E55" i="35" s="1"/>
  <c r="C54" i="35"/>
  <c r="E54" i="35" s="1"/>
  <c r="C53" i="35"/>
  <c r="E53" i="35" s="1"/>
  <c r="C52" i="35"/>
  <c r="E52" i="35" s="1"/>
  <c r="C51" i="35"/>
  <c r="E51" i="35" s="1"/>
  <c r="C50" i="35"/>
  <c r="E50" i="35" s="1"/>
  <c r="C49" i="35"/>
  <c r="E49" i="35" s="1"/>
  <c r="C48" i="35"/>
  <c r="E48" i="35" s="1"/>
  <c r="C47" i="35"/>
  <c r="E47" i="35" s="1"/>
  <c r="C46" i="35"/>
  <c r="E46" i="35" s="1"/>
  <c r="C45" i="35"/>
  <c r="E45" i="35" s="1"/>
  <c r="C44" i="35"/>
  <c r="E44" i="35" s="1"/>
  <c r="C43" i="35"/>
  <c r="E43" i="35" s="1"/>
  <c r="C42" i="35"/>
  <c r="E42" i="35" s="1"/>
  <c r="C41" i="35"/>
  <c r="E41" i="35" s="1"/>
  <c r="C40" i="35"/>
  <c r="E40" i="35" s="1"/>
  <c r="C39" i="35"/>
  <c r="E39" i="35" s="1"/>
  <c r="C38" i="35"/>
  <c r="E38" i="35" s="1"/>
  <c r="C37" i="35"/>
  <c r="E37" i="35" s="1"/>
  <c r="C36" i="35"/>
  <c r="E36" i="35" s="1"/>
  <c r="C35" i="35"/>
  <c r="E35" i="35" s="1"/>
  <c r="C34" i="35"/>
  <c r="E34" i="35" s="1"/>
  <c r="C33" i="35"/>
  <c r="E33" i="35" s="1"/>
  <c r="C32" i="35"/>
  <c r="E32" i="35" s="1"/>
  <c r="C31" i="35"/>
  <c r="E31" i="35" s="1"/>
  <c r="C30" i="35"/>
  <c r="E30" i="35" s="1"/>
  <c r="C29" i="35"/>
  <c r="E29" i="35" s="1"/>
  <c r="C28" i="35"/>
  <c r="E28" i="35" s="1"/>
  <c r="C27" i="35"/>
  <c r="E27" i="35" s="1"/>
  <c r="C26" i="35"/>
  <c r="E26" i="35" s="1"/>
  <c r="C25" i="35"/>
  <c r="E25" i="35" s="1"/>
  <c r="C24" i="35"/>
  <c r="E24" i="35" s="1"/>
  <c r="C23" i="35"/>
  <c r="E23" i="35" s="1"/>
  <c r="C22" i="35"/>
  <c r="E22" i="35" s="1"/>
  <c r="C21" i="35"/>
  <c r="E21" i="35" s="1"/>
  <c r="C20" i="35"/>
  <c r="E20" i="35" s="1"/>
  <c r="C19" i="35"/>
  <c r="E19" i="35" s="1"/>
  <c r="C18" i="35"/>
  <c r="E18" i="35" s="1"/>
  <c r="C17" i="35"/>
  <c r="E17" i="35" s="1"/>
  <c r="C16" i="35"/>
  <c r="E16" i="35" s="1"/>
  <c r="C15" i="35"/>
  <c r="E15" i="35" s="1"/>
  <c r="C14" i="35"/>
  <c r="E14" i="35" s="1"/>
  <c r="C13" i="35"/>
  <c r="E13" i="35" s="1"/>
  <c r="C12" i="35"/>
  <c r="E12" i="35" s="1"/>
  <c r="C11" i="35"/>
  <c r="E11" i="35" s="1"/>
  <c r="C10" i="35"/>
  <c r="E10" i="35" s="1"/>
  <c r="E5" i="35" l="1"/>
  <c r="E7" i="35" s="1"/>
  <c r="D16" i="8" l="1"/>
  <c r="E16" i="8" s="1"/>
  <c r="D15" i="8"/>
  <c r="E15" i="8" s="1"/>
  <c r="U44" i="19" l="1"/>
  <c r="U45" i="19"/>
  <c r="U46" i="19"/>
  <c r="U47" i="19"/>
  <c r="U38" i="19"/>
  <c r="U43" i="19" s="1"/>
  <c r="U48" i="19" s="1"/>
  <c r="U49" i="19" s="1"/>
  <c r="B45" i="19"/>
  <c r="C45" i="19"/>
  <c r="B46" i="19"/>
  <c r="C46" i="19"/>
  <c r="B47" i="19"/>
  <c r="C47" i="19"/>
  <c r="B48" i="19"/>
  <c r="C48" i="19"/>
  <c r="B49" i="19"/>
  <c r="C49" i="19"/>
  <c r="K18" i="10" l="1"/>
  <c r="F10" i="10"/>
  <c r="C61" i="33" l="1"/>
  <c r="E61" i="33" s="1"/>
  <c r="C62" i="33"/>
  <c r="E62" i="33" s="1"/>
  <c r="C63" i="33"/>
  <c r="E63" i="33" s="1"/>
  <c r="C64" i="33"/>
  <c r="E64" i="33" s="1"/>
  <c r="C65" i="33"/>
  <c r="E65" i="33" s="1"/>
  <c r="C66" i="33"/>
  <c r="E66" i="33" s="1"/>
  <c r="C67" i="33"/>
  <c r="E67" i="33" s="1"/>
  <c r="C68" i="33"/>
  <c r="E68" i="33" s="1"/>
  <c r="C69" i="33"/>
  <c r="E69" i="33" s="1"/>
  <c r="C70" i="33"/>
  <c r="E70" i="33" s="1"/>
  <c r="C71" i="33"/>
  <c r="E71" i="33" s="1"/>
  <c r="C72" i="33"/>
  <c r="E72" i="33" s="1"/>
  <c r="C73" i="33"/>
  <c r="E73" i="33" s="1"/>
  <c r="C74" i="33"/>
  <c r="E74" i="33" s="1"/>
  <c r="C75" i="33"/>
  <c r="E75" i="33" s="1"/>
  <c r="C76" i="33"/>
  <c r="E76" i="33" s="1"/>
  <c r="C77" i="33"/>
  <c r="E77" i="33" s="1"/>
  <c r="C78" i="33"/>
  <c r="E78" i="33" s="1"/>
  <c r="C79" i="33"/>
  <c r="E79" i="33" s="1"/>
  <c r="C80" i="33"/>
  <c r="E80" i="33" s="1"/>
  <c r="C81" i="33"/>
  <c r="E81" i="33" s="1"/>
  <c r="C82" i="33"/>
  <c r="E82" i="33" s="1"/>
  <c r="C83" i="33"/>
  <c r="E83" i="33" s="1"/>
  <c r="C84" i="33"/>
  <c r="E84" i="33" s="1"/>
  <c r="C85" i="33"/>
  <c r="E85" i="33" s="1"/>
  <c r="C60" i="33"/>
  <c r="E60" i="33" s="1"/>
  <c r="C59" i="33"/>
  <c r="E59" i="33" s="1"/>
  <c r="C58" i="33"/>
  <c r="E58" i="33" s="1"/>
  <c r="C57" i="33"/>
  <c r="E57" i="33" s="1"/>
  <c r="C56" i="33"/>
  <c r="E56" i="33" s="1"/>
  <c r="C55" i="33"/>
  <c r="E55" i="33" s="1"/>
  <c r="C54" i="33"/>
  <c r="E54" i="33" s="1"/>
  <c r="C53" i="33"/>
  <c r="E53" i="33" s="1"/>
  <c r="C52" i="33"/>
  <c r="E52" i="33" s="1"/>
  <c r="C51" i="33"/>
  <c r="E51" i="33" s="1"/>
  <c r="C50" i="33"/>
  <c r="E50" i="33" s="1"/>
  <c r="C49" i="33"/>
  <c r="E49" i="33" s="1"/>
  <c r="C48" i="33"/>
  <c r="E48" i="33" s="1"/>
  <c r="C47" i="33"/>
  <c r="E47" i="33" s="1"/>
  <c r="C46" i="33"/>
  <c r="E46" i="33" s="1"/>
  <c r="C45" i="33"/>
  <c r="E45" i="33" s="1"/>
  <c r="C44" i="33"/>
  <c r="E44" i="33" s="1"/>
  <c r="C43" i="33"/>
  <c r="E43" i="33" s="1"/>
  <c r="C42" i="33"/>
  <c r="E42" i="33" s="1"/>
  <c r="C41" i="33"/>
  <c r="E41" i="33" s="1"/>
  <c r="C40" i="33"/>
  <c r="E40" i="33" s="1"/>
  <c r="C39" i="33"/>
  <c r="E39" i="33" s="1"/>
  <c r="C38" i="33"/>
  <c r="E38" i="33" s="1"/>
  <c r="C37" i="33"/>
  <c r="E37" i="33" s="1"/>
  <c r="C36" i="33"/>
  <c r="E36" i="33" s="1"/>
  <c r="C35" i="33"/>
  <c r="E35" i="33" s="1"/>
  <c r="C34" i="33"/>
  <c r="E34" i="33" s="1"/>
  <c r="C33" i="33"/>
  <c r="E33" i="33" s="1"/>
  <c r="C32" i="33"/>
  <c r="E32" i="33" s="1"/>
  <c r="C31" i="33"/>
  <c r="E31" i="33" s="1"/>
  <c r="C30" i="33"/>
  <c r="E30" i="33" s="1"/>
  <c r="C29" i="33"/>
  <c r="E29" i="33" s="1"/>
  <c r="C28" i="33"/>
  <c r="E28" i="33" s="1"/>
  <c r="C27" i="33"/>
  <c r="E27" i="33" s="1"/>
  <c r="C26" i="33"/>
  <c r="E26" i="33" s="1"/>
  <c r="C25" i="33"/>
  <c r="E25" i="33" s="1"/>
  <c r="C24" i="33"/>
  <c r="E24" i="33" s="1"/>
  <c r="C23" i="33"/>
  <c r="E23" i="33" s="1"/>
  <c r="C22" i="33"/>
  <c r="E22" i="33" s="1"/>
  <c r="C21" i="33"/>
  <c r="E21" i="33" s="1"/>
  <c r="C20" i="33"/>
  <c r="E20" i="33" s="1"/>
  <c r="C19" i="33"/>
  <c r="E19" i="33" s="1"/>
  <c r="C18" i="33"/>
  <c r="E18" i="33" s="1"/>
  <c r="C17" i="33"/>
  <c r="E17" i="33" s="1"/>
  <c r="C16" i="33"/>
  <c r="E16" i="33" s="1"/>
  <c r="C15" i="33"/>
  <c r="E15" i="33" s="1"/>
  <c r="C14" i="33"/>
  <c r="E14" i="33" s="1"/>
  <c r="C13" i="33"/>
  <c r="E13" i="33" s="1"/>
  <c r="C12" i="33"/>
  <c r="E12" i="33" s="1"/>
  <c r="C11" i="33"/>
  <c r="E11" i="33" s="1"/>
  <c r="C10" i="33"/>
  <c r="E10" i="33" s="1"/>
  <c r="C60" i="32"/>
  <c r="E60" i="32" s="1"/>
  <c r="C59" i="32"/>
  <c r="E59" i="32" s="1"/>
  <c r="C58" i="32"/>
  <c r="E58" i="32" s="1"/>
  <c r="C57" i="32"/>
  <c r="E57" i="32" s="1"/>
  <c r="C56" i="32"/>
  <c r="E56" i="32" s="1"/>
  <c r="C55" i="32"/>
  <c r="E55" i="32" s="1"/>
  <c r="C54" i="32"/>
  <c r="E54" i="32" s="1"/>
  <c r="C53" i="32"/>
  <c r="E53" i="32" s="1"/>
  <c r="C52" i="32"/>
  <c r="E52" i="32" s="1"/>
  <c r="C51" i="32"/>
  <c r="E51" i="32" s="1"/>
  <c r="C50" i="32"/>
  <c r="E50" i="32" s="1"/>
  <c r="C49" i="32"/>
  <c r="E49" i="32" s="1"/>
  <c r="C48" i="32"/>
  <c r="E48" i="32" s="1"/>
  <c r="C47" i="32"/>
  <c r="E47" i="32" s="1"/>
  <c r="C46" i="32"/>
  <c r="E46" i="32" s="1"/>
  <c r="C45" i="32"/>
  <c r="E45" i="32" s="1"/>
  <c r="C44" i="32"/>
  <c r="E44" i="32" s="1"/>
  <c r="C43" i="32"/>
  <c r="E43" i="32" s="1"/>
  <c r="C42" i="32"/>
  <c r="E42" i="32" s="1"/>
  <c r="C41" i="32"/>
  <c r="E41" i="32" s="1"/>
  <c r="C40" i="32"/>
  <c r="E40" i="32" s="1"/>
  <c r="C39" i="32"/>
  <c r="E39" i="32" s="1"/>
  <c r="C38" i="32"/>
  <c r="E38" i="32" s="1"/>
  <c r="C37" i="32"/>
  <c r="E37" i="32" s="1"/>
  <c r="C36" i="32"/>
  <c r="E36" i="32" s="1"/>
  <c r="C35" i="32"/>
  <c r="E35" i="32" s="1"/>
  <c r="C34" i="32"/>
  <c r="E34" i="32" s="1"/>
  <c r="C33" i="32"/>
  <c r="E33" i="32" s="1"/>
  <c r="C32" i="32"/>
  <c r="E32" i="32" s="1"/>
  <c r="C31" i="32"/>
  <c r="E31" i="32" s="1"/>
  <c r="C30" i="32"/>
  <c r="E30" i="32" s="1"/>
  <c r="C29" i="32"/>
  <c r="E29" i="32" s="1"/>
  <c r="C28" i="32"/>
  <c r="E28" i="32" s="1"/>
  <c r="C27" i="32"/>
  <c r="E27" i="32" s="1"/>
  <c r="C26" i="32"/>
  <c r="E26" i="32" s="1"/>
  <c r="C25" i="32"/>
  <c r="E25" i="32" s="1"/>
  <c r="C24" i="32"/>
  <c r="E24" i="32" s="1"/>
  <c r="C23" i="32"/>
  <c r="E23" i="32" s="1"/>
  <c r="C22" i="32"/>
  <c r="E22" i="32" s="1"/>
  <c r="C21" i="32"/>
  <c r="E21" i="32" s="1"/>
  <c r="C20" i="32"/>
  <c r="E20" i="32" s="1"/>
  <c r="C19" i="32"/>
  <c r="E19" i="32" s="1"/>
  <c r="C18" i="32"/>
  <c r="E18" i="32" s="1"/>
  <c r="C17" i="32"/>
  <c r="E17" i="32" s="1"/>
  <c r="C16" i="32"/>
  <c r="E16" i="32" s="1"/>
  <c r="C15" i="32"/>
  <c r="E15" i="32" s="1"/>
  <c r="C14" i="32"/>
  <c r="E14" i="32" s="1"/>
  <c r="C13" i="32"/>
  <c r="E13" i="32" s="1"/>
  <c r="C12" i="32"/>
  <c r="E12" i="32" s="1"/>
  <c r="C11" i="32"/>
  <c r="E11" i="32" s="1"/>
  <c r="C10" i="32"/>
  <c r="E10" i="32" s="1"/>
  <c r="C60" i="31"/>
  <c r="E60" i="31" s="1"/>
  <c r="C59" i="31"/>
  <c r="E59" i="31" s="1"/>
  <c r="C58" i="31"/>
  <c r="E58" i="31" s="1"/>
  <c r="C57" i="31"/>
  <c r="E57" i="31" s="1"/>
  <c r="C56" i="31"/>
  <c r="E56" i="31" s="1"/>
  <c r="C55" i="31"/>
  <c r="E55" i="31" s="1"/>
  <c r="C54" i="31"/>
  <c r="E54" i="31" s="1"/>
  <c r="C53" i="31"/>
  <c r="E53" i="31" s="1"/>
  <c r="C52" i="31"/>
  <c r="E52" i="31" s="1"/>
  <c r="C51" i="31"/>
  <c r="E51" i="31" s="1"/>
  <c r="C50" i="31"/>
  <c r="E50" i="31" s="1"/>
  <c r="C49" i="31"/>
  <c r="E49" i="31" s="1"/>
  <c r="C48" i="31"/>
  <c r="E48" i="31" s="1"/>
  <c r="C47" i="31"/>
  <c r="E47" i="31" s="1"/>
  <c r="C46" i="31"/>
  <c r="E46" i="31" s="1"/>
  <c r="C45" i="31"/>
  <c r="E45" i="31" s="1"/>
  <c r="C44" i="31"/>
  <c r="E44" i="31" s="1"/>
  <c r="C43" i="31"/>
  <c r="E43" i="31" s="1"/>
  <c r="C42" i="31"/>
  <c r="E42" i="31" s="1"/>
  <c r="C41" i="31"/>
  <c r="E41" i="31" s="1"/>
  <c r="C40" i="31"/>
  <c r="E40" i="31" s="1"/>
  <c r="C39" i="31"/>
  <c r="E39" i="31" s="1"/>
  <c r="C38" i="31"/>
  <c r="E38" i="31" s="1"/>
  <c r="C37" i="31"/>
  <c r="E37" i="31" s="1"/>
  <c r="C36" i="31"/>
  <c r="E36" i="31" s="1"/>
  <c r="C35" i="31"/>
  <c r="E35" i="31" s="1"/>
  <c r="C34" i="31"/>
  <c r="E34" i="31" s="1"/>
  <c r="C33" i="31"/>
  <c r="E33" i="31" s="1"/>
  <c r="C32" i="31"/>
  <c r="E32" i="31" s="1"/>
  <c r="C31" i="31"/>
  <c r="E31" i="31" s="1"/>
  <c r="C30" i="31"/>
  <c r="E30" i="31" s="1"/>
  <c r="C29" i="31"/>
  <c r="E29" i="31" s="1"/>
  <c r="C28" i="31"/>
  <c r="E28" i="31" s="1"/>
  <c r="C27" i="31"/>
  <c r="E27" i="31" s="1"/>
  <c r="C26" i="31"/>
  <c r="E26" i="31" s="1"/>
  <c r="C25" i="31"/>
  <c r="E25" i="31" s="1"/>
  <c r="C24" i="31"/>
  <c r="E24" i="31" s="1"/>
  <c r="C23" i="31"/>
  <c r="E23" i="31" s="1"/>
  <c r="C22" i="31"/>
  <c r="E22" i="31" s="1"/>
  <c r="C21" i="31"/>
  <c r="E21" i="31" s="1"/>
  <c r="C20" i="31"/>
  <c r="E20" i="31" s="1"/>
  <c r="C19" i="31"/>
  <c r="E19" i="31" s="1"/>
  <c r="C18" i="31"/>
  <c r="E18" i="31" s="1"/>
  <c r="C17" i="31"/>
  <c r="E17" i="31" s="1"/>
  <c r="C16" i="31"/>
  <c r="E16" i="31" s="1"/>
  <c r="C15" i="31"/>
  <c r="E15" i="31" s="1"/>
  <c r="C14" i="31"/>
  <c r="E14" i="31" s="1"/>
  <c r="C13" i="31"/>
  <c r="E13" i="31" s="1"/>
  <c r="C12" i="31"/>
  <c r="E12" i="31" s="1"/>
  <c r="C11" i="31"/>
  <c r="E11" i="31" s="1"/>
  <c r="C10" i="31"/>
  <c r="E10" i="31" s="1"/>
  <c r="C58" i="29"/>
  <c r="E58" i="29" s="1"/>
  <c r="C57" i="29"/>
  <c r="E57" i="29" s="1"/>
  <c r="C56" i="29"/>
  <c r="E56" i="29" s="1"/>
  <c r="C55" i="29"/>
  <c r="E55" i="29" s="1"/>
  <c r="C54" i="29"/>
  <c r="E54" i="29" s="1"/>
  <c r="C53" i="29"/>
  <c r="E53" i="29" s="1"/>
  <c r="C52" i="29"/>
  <c r="E52" i="29" s="1"/>
  <c r="C51" i="29"/>
  <c r="E51" i="29" s="1"/>
  <c r="C50" i="29"/>
  <c r="E50" i="29" s="1"/>
  <c r="C49" i="29"/>
  <c r="E49" i="29" s="1"/>
  <c r="C48" i="29"/>
  <c r="E48" i="29" s="1"/>
  <c r="C47" i="29"/>
  <c r="E47" i="29" s="1"/>
  <c r="C46" i="29"/>
  <c r="E46" i="29" s="1"/>
  <c r="C45" i="29"/>
  <c r="E45" i="29" s="1"/>
  <c r="C44" i="29"/>
  <c r="E44" i="29" s="1"/>
  <c r="C43" i="29"/>
  <c r="E43" i="29" s="1"/>
  <c r="C42" i="29"/>
  <c r="E42" i="29" s="1"/>
  <c r="C41" i="29"/>
  <c r="E41" i="29" s="1"/>
  <c r="C40" i="29"/>
  <c r="E40" i="29" s="1"/>
  <c r="C39" i="29"/>
  <c r="E39" i="29" s="1"/>
  <c r="C38" i="29"/>
  <c r="E38" i="29" s="1"/>
  <c r="C37" i="29"/>
  <c r="E37" i="29" s="1"/>
  <c r="C36" i="29"/>
  <c r="E36" i="29" s="1"/>
  <c r="C35" i="29"/>
  <c r="E35" i="29" s="1"/>
  <c r="C34" i="29"/>
  <c r="E34" i="29" s="1"/>
  <c r="C33" i="29"/>
  <c r="E33" i="29" s="1"/>
  <c r="C32" i="29"/>
  <c r="E32" i="29" s="1"/>
  <c r="C31" i="29"/>
  <c r="E31" i="29" s="1"/>
  <c r="C30" i="29"/>
  <c r="E30" i="29" s="1"/>
  <c r="C29" i="29"/>
  <c r="E29" i="29" s="1"/>
  <c r="C28" i="29"/>
  <c r="E28" i="29" s="1"/>
  <c r="C27" i="29"/>
  <c r="E27" i="29" s="1"/>
  <c r="C26" i="29"/>
  <c r="E26" i="29" s="1"/>
  <c r="C25" i="29"/>
  <c r="E25" i="29" s="1"/>
  <c r="C24" i="29"/>
  <c r="E24" i="29" s="1"/>
  <c r="C23" i="29"/>
  <c r="E23" i="29" s="1"/>
  <c r="C22" i="29"/>
  <c r="E22" i="29" s="1"/>
  <c r="C21" i="29"/>
  <c r="E21" i="29" s="1"/>
  <c r="C20" i="29"/>
  <c r="E20" i="29" s="1"/>
  <c r="C19" i="29"/>
  <c r="E19" i="29" s="1"/>
  <c r="C18" i="29"/>
  <c r="E18" i="29" s="1"/>
  <c r="C17" i="29"/>
  <c r="E17" i="29" s="1"/>
  <c r="C16" i="29"/>
  <c r="E16" i="29" s="1"/>
  <c r="C15" i="29"/>
  <c r="E15" i="29" s="1"/>
  <c r="C14" i="29"/>
  <c r="E14" i="29" s="1"/>
  <c r="C13" i="29"/>
  <c r="E13" i="29" s="1"/>
  <c r="C12" i="29"/>
  <c r="E12" i="29" s="1"/>
  <c r="C11" i="29"/>
  <c r="E11" i="29" s="1"/>
  <c r="C10" i="29"/>
  <c r="E10" i="29" s="1"/>
  <c r="C58" i="28"/>
  <c r="E58" i="28" s="1"/>
  <c r="C57" i="28"/>
  <c r="E57" i="28" s="1"/>
  <c r="C56" i="28"/>
  <c r="E56" i="28" s="1"/>
  <c r="C55" i="28"/>
  <c r="E55" i="28" s="1"/>
  <c r="C54" i="28"/>
  <c r="E54" i="28" s="1"/>
  <c r="C53" i="28"/>
  <c r="E53" i="28" s="1"/>
  <c r="C52" i="28"/>
  <c r="E52" i="28" s="1"/>
  <c r="C51" i="28"/>
  <c r="E51" i="28" s="1"/>
  <c r="C50" i="28"/>
  <c r="E50" i="28" s="1"/>
  <c r="C49" i="28"/>
  <c r="E49" i="28" s="1"/>
  <c r="C48" i="28"/>
  <c r="E48" i="28" s="1"/>
  <c r="C47" i="28"/>
  <c r="E47" i="28" s="1"/>
  <c r="C46" i="28"/>
  <c r="E46" i="28" s="1"/>
  <c r="C45" i="28"/>
  <c r="E45" i="28" s="1"/>
  <c r="C44" i="28"/>
  <c r="E44" i="28" s="1"/>
  <c r="C43" i="28"/>
  <c r="E43" i="28" s="1"/>
  <c r="C42" i="28"/>
  <c r="E42" i="28" s="1"/>
  <c r="C41" i="28"/>
  <c r="E41" i="28" s="1"/>
  <c r="C40" i="28"/>
  <c r="E40" i="28" s="1"/>
  <c r="C39" i="28"/>
  <c r="E39" i="28" s="1"/>
  <c r="C38" i="28"/>
  <c r="E38" i="28" s="1"/>
  <c r="C37" i="28"/>
  <c r="E37" i="28" s="1"/>
  <c r="C36" i="28"/>
  <c r="E36" i="28" s="1"/>
  <c r="C35" i="28"/>
  <c r="E35" i="28" s="1"/>
  <c r="C34" i="28"/>
  <c r="E34" i="28" s="1"/>
  <c r="C33" i="28"/>
  <c r="E33" i="28" s="1"/>
  <c r="C32" i="28"/>
  <c r="E32" i="28" s="1"/>
  <c r="C31" i="28"/>
  <c r="E31" i="28" s="1"/>
  <c r="C30" i="28"/>
  <c r="E30" i="28" s="1"/>
  <c r="C29" i="28"/>
  <c r="E29" i="28" s="1"/>
  <c r="C28" i="28"/>
  <c r="E28" i="28" s="1"/>
  <c r="C27" i="28"/>
  <c r="E27" i="28" s="1"/>
  <c r="C26" i="28"/>
  <c r="E26" i="28" s="1"/>
  <c r="C25" i="28"/>
  <c r="E25" i="28" s="1"/>
  <c r="C24" i="28"/>
  <c r="E24" i="28" s="1"/>
  <c r="C23" i="28"/>
  <c r="E23" i="28" s="1"/>
  <c r="C22" i="28"/>
  <c r="E22" i="28" s="1"/>
  <c r="C21" i="28"/>
  <c r="E21" i="28" s="1"/>
  <c r="C20" i="28"/>
  <c r="E20" i="28" s="1"/>
  <c r="C19" i="28"/>
  <c r="E19" i="28" s="1"/>
  <c r="C18" i="28"/>
  <c r="E18" i="28" s="1"/>
  <c r="C17" i="28"/>
  <c r="E17" i="28" s="1"/>
  <c r="C16" i="28"/>
  <c r="E16" i="28" s="1"/>
  <c r="C15" i="28"/>
  <c r="E15" i="28" s="1"/>
  <c r="C14" i="28"/>
  <c r="E14" i="28" s="1"/>
  <c r="C13" i="28"/>
  <c r="E13" i="28" s="1"/>
  <c r="C12" i="28"/>
  <c r="E12" i="28" s="1"/>
  <c r="C11" i="28"/>
  <c r="E11" i="28" s="1"/>
  <c r="C10" i="28"/>
  <c r="E10" i="28" s="1"/>
  <c r="C58" i="27"/>
  <c r="E58" i="27" s="1"/>
  <c r="C57" i="27"/>
  <c r="E57" i="27" s="1"/>
  <c r="C56" i="27"/>
  <c r="E56" i="27" s="1"/>
  <c r="C55" i="27"/>
  <c r="E55" i="27" s="1"/>
  <c r="C54" i="27"/>
  <c r="E54" i="27" s="1"/>
  <c r="C53" i="27"/>
  <c r="E53" i="27" s="1"/>
  <c r="C52" i="27"/>
  <c r="E52" i="27" s="1"/>
  <c r="C51" i="27"/>
  <c r="E51" i="27" s="1"/>
  <c r="C50" i="27"/>
  <c r="E50" i="27" s="1"/>
  <c r="C49" i="27"/>
  <c r="E49" i="27" s="1"/>
  <c r="C48" i="27"/>
  <c r="E48" i="27" s="1"/>
  <c r="C47" i="27"/>
  <c r="E47" i="27" s="1"/>
  <c r="C46" i="27"/>
  <c r="E46" i="27" s="1"/>
  <c r="C45" i="27"/>
  <c r="E45" i="27" s="1"/>
  <c r="C44" i="27"/>
  <c r="E44" i="27" s="1"/>
  <c r="C43" i="27"/>
  <c r="E43" i="27" s="1"/>
  <c r="C42" i="27"/>
  <c r="E42" i="27" s="1"/>
  <c r="C41" i="27"/>
  <c r="E41" i="27" s="1"/>
  <c r="C40" i="27"/>
  <c r="E40" i="27" s="1"/>
  <c r="C39" i="27"/>
  <c r="E39" i="27" s="1"/>
  <c r="C38" i="27"/>
  <c r="E38" i="27" s="1"/>
  <c r="C37" i="27"/>
  <c r="E37" i="27" s="1"/>
  <c r="C36" i="27"/>
  <c r="E36" i="27" s="1"/>
  <c r="C35" i="27"/>
  <c r="E35" i="27" s="1"/>
  <c r="C34" i="27"/>
  <c r="E34" i="27" s="1"/>
  <c r="C33" i="27"/>
  <c r="E33" i="27" s="1"/>
  <c r="C32" i="27"/>
  <c r="E32" i="27" s="1"/>
  <c r="C31" i="27"/>
  <c r="E31" i="27" s="1"/>
  <c r="C30" i="27"/>
  <c r="E30" i="27" s="1"/>
  <c r="C29" i="27"/>
  <c r="E29" i="27" s="1"/>
  <c r="C28" i="27"/>
  <c r="E28" i="27" s="1"/>
  <c r="C27" i="27"/>
  <c r="E27" i="27" s="1"/>
  <c r="C26" i="27"/>
  <c r="E26" i="27" s="1"/>
  <c r="C25" i="27"/>
  <c r="E25" i="27" s="1"/>
  <c r="C24" i="27"/>
  <c r="E24" i="27" s="1"/>
  <c r="C23" i="27"/>
  <c r="E23" i="27" s="1"/>
  <c r="C22" i="27"/>
  <c r="E22" i="27" s="1"/>
  <c r="C21" i="27"/>
  <c r="E21" i="27" s="1"/>
  <c r="C20" i="27"/>
  <c r="E20" i="27" s="1"/>
  <c r="C19" i="27"/>
  <c r="E19" i="27" s="1"/>
  <c r="C18" i="27"/>
  <c r="E18" i="27" s="1"/>
  <c r="C17" i="27"/>
  <c r="E17" i="27" s="1"/>
  <c r="C16" i="27"/>
  <c r="E16" i="27" s="1"/>
  <c r="C15" i="27"/>
  <c r="E15" i="27" s="1"/>
  <c r="C14" i="27"/>
  <c r="E14" i="27" s="1"/>
  <c r="C13" i="27"/>
  <c r="E13" i="27" s="1"/>
  <c r="C12" i="27"/>
  <c r="E12" i="27" s="1"/>
  <c r="C11" i="27"/>
  <c r="E11" i="27" s="1"/>
  <c r="C10" i="27"/>
  <c r="E10" i="27" s="1"/>
  <c r="C51" i="26"/>
  <c r="E51" i="26" s="1"/>
  <c r="C50" i="26"/>
  <c r="E50" i="26" s="1"/>
  <c r="C49" i="26"/>
  <c r="E49" i="26" s="1"/>
  <c r="C48" i="26"/>
  <c r="E48" i="26" s="1"/>
  <c r="C47" i="26"/>
  <c r="E47" i="26" s="1"/>
  <c r="C46" i="26"/>
  <c r="E46" i="26" s="1"/>
  <c r="C45" i="26"/>
  <c r="E45" i="26" s="1"/>
  <c r="C44" i="26"/>
  <c r="E44" i="26" s="1"/>
  <c r="C43" i="26"/>
  <c r="E43" i="26" s="1"/>
  <c r="C42" i="26"/>
  <c r="E42" i="26" s="1"/>
  <c r="C41" i="26"/>
  <c r="E41" i="26" s="1"/>
  <c r="C40" i="26"/>
  <c r="E40" i="26" s="1"/>
  <c r="C39" i="26"/>
  <c r="E39" i="26" s="1"/>
  <c r="C38" i="26"/>
  <c r="E38" i="26" s="1"/>
  <c r="C37" i="26"/>
  <c r="E37" i="26" s="1"/>
  <c r="C36" i="26"/>
  <c r="E36" i="26" s="1"/>
  <c r="C35" i="26"/>
  <c r="E35" i="26" s="1"/>
  <c r="C34" i="26"/>
  <c r="E34" i="26" s="1"/>
  <c r="C33" i="26"/>
  <c r="E33" i="26" s="1"/>
  <c r="C32" i="26"/>
  <c r="E32" i="26" s="1"/>
  <c r="C31" i="26"/>
  <c r="E31" i="26" s="1"/>
  <c r="C30" i="26"/>
  <c r="E30" i="26" s="1"/>
  <c r="C29" i="26"/>
  <c r="E29" i="26" s="1"/>
  <c r="C28" i="26"/>
  <c r="E28" i="26" s="1"/>
  <c r="C27" i="26"/>
  <c r="E27" i="26" s="1"/>
  <c r="C26" i="26"/>
  <c r="E26" i="26" s="1"/>
  <c r="C25" i="26"/>
  <c r="E25" i="26" s="1"/>
  <c r="C24" i="26"/>
  <c r="E24" i="26" s="1"/>
  <c r="C23" i="26"/>
  <c r="E23" i="26" s="1"/>
  <c r="C22" i="26"/>
  <c r="E22" i="26" s="1"/>
  <c r="C21" i="26"/>
  <c r="E21" i="26" s="1"/>
  <c r="C20" i="26"/>
  <c r="E20" i="26" s="1"/>
  <c r="C19" i="26"/>
  <c r="E19" i="26" s="1"/>
  <c r="C18" i="26"/>
  <c r="E18" i="26" s="1"/>
  <c r="C17" i="26"/>
  <c r="E17" i="26" s="1"/>
  <c r="C16" i="26"/>
  <c r="E16" i="26" s="1"/>
  <c r="C15" i="26"/>
  <c r="E15" i="26" s="1"/>
  <c r="C14" i="26"/>
  <c r="E14" i="26" s="1"/>
  <c r="C13" i="26"/>
  <c r="E13" i="26" s="1"/>
  <c r="C12" i="26"/>
  <c r="E12" i="26" s="1"/>
  <c r="C11" i="26"/>
  <c r="E11" i="26" s="1"/>
  <c r="C10" i="26"/>
  <c r="E10" i="26" s="1"/>
  <c r="C51" i="25"/>
  <c r="E51" i="25" s="1"/>
  <c r="E5" i="26" l="1"/>
  <c r="E5" i="33"/>
  <c r="E5" i="32"/>
  <c r="E5" i="31"/>
  <c r="E5" i="29"/>
  <c r="E5" i="28"/>
  <c r="E5" i="27"/>
  <c r="C11" i="25" l="1"/>
  <c r="E11" i="25" s="1"/>
  <c r="C12" i="25"/>
  <c r="E12" i="25" s="1"/>
  <c r="C13" i="25"/>
  <c r="E13" i="25" s="1"/>
  <c r="C14" i="25"/>
  <c r="E14" i="25" s="1"/>
  <c r="C15" i="25"/>
  <c r="E15" i="25" s="1"/>
  <c r="C16" i="25"/>
  <c r="E16" i="25" s="1"/>
  <c r="C17" i="25"/>
  <c r="E17" i="25" s="1"/>
  <c r="C18" i="25"/>
  <c r="E18" i="25" s="1"/>
  <c r="C19" i="25"/>
  <c r="E19" i="25" s="1"/>
  <c r="C20" i="25"/>
  <c r="E20" i="25" s="1"/>
  <c r="C21" i="25"/>
  <c r="E21" i="25" s="1"/>
  <c r="C22" i="25"/>
  <c r="E22" i="25" s="1"/>
  <c r="C23" i="25"/>
  <c r="E23" i="25" s="1"/>
  <c r="C24" i="25"/>
  <c r="E24" i="25" s="1"/>
  <c r="C25" i="25"/>
  <c r="E25" i="25" s="1"/>
  <c r="C26" i="25"/>
  <c r="E26" i="25" s="1"/>
  <c r="C27" i="25"/>
  <c r="E27" i="25" s="1"/>
  <c r="C28" i="25"/>
  <c r="E28" i="25" s="1"/>
  <c r="C29" i="25"/>
  <c r="E29" i="25" s="1"/>
  <c r="C30" i="25"/>
  <c r="E30" i="25" s="1"/>
  <c r="C31" i="25"/>
  <c r="E31" i="25" s="1"/>
  <c r="C32" i="25"/>
  <c r="E32" i="25" s="1"/>
  <c r="C33" i="25"/>
  <c r="E33" i="25" s="1"/>
  <c r="C34" i="25"/>
  <c r="E34" i="25" s="1"/>
  <c r="C35" i="25"/>
  <c r="E35" i="25" s="1"/>
  <c r="C36" i="25"/>
  <c r="E36" i="25" s="1"/>
  <c r="C37" i="25"/>
  <c r="E37" i="25" s="1"/>
  <c r="C38" i="25"/>
  <c r="E38" i="25" s="1"/>
  <c r="C39" i="25"/>
  <c r="E39" i="25" s="1"/>
  <c r="C40" i="25"/>
  <c r="E40" i="25" s="1"/>
  <c r="C41" i="25"/>
  <c r="E41" i="25" s="1"/>
  <c r="C42" i="25"/>
  <c r="E42" i="25" s="1"/>
  <c r="C43" i="25"/>
  <c r="E43" i="25" s="1"/>
  <c r="C44" i="25"/>
  <c r="E44" i="25" s="1"/>
  <c r="C45" i="25"/>
  <c r="E45" i="25" s="1"/>
  <c r="C46" i="25"/>
  <c r="E46" i="25" s="1"/>
  <c r="C47" i="25"/>
  <c r="E47" i="25" s="1"/>
  <c r="C48" i="25"/>
  <c r="E48" i="25" s="1"/>
  <c r="C49" i="25"/>
  <c r="E49" i="25" s="1"/>
  <c r="C50" i="25"/>
  <c r="E50" i="25" s="1"/>
  <c r="C10" i="25"/>
  <c r="E10" i="25" s="1"/>
  <c r="E5" i="25" l="1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T44" i="19"/>
  <c r="T16" i="18"/>
  <c r="T17" i="18" s="1"/>
  <c r="T18" i="18" s="1"/>
  <c r="T19" i="18" s="1"/>
  <c r="T20" i="18" s="1"/>
  <c r="T21" i="18" s="1"/>
  <c r="T22" i="18" s="1"/>
  <c r="T23" i="18" s="1"/>
  <c r="T24" i="18" s="1"/>
  <c r="T25" i="18" s="1"/>
  <c r="T26" i="18" s="1"/>
  <c r="T27" i="18" s="1"/>
  <c r="T28" i="18" s="1"/>
  <c r="T29" i="18" s="1"/>
  <c r="T30" i="18" s="1"/>
  <c r="T31" i="18" s="1"/>
  <c r="T32" i="18" s="1"/>
  <c r="T33" i="18" s="1"/>
  <c r="T34" i="18" s="1"/>
  <c r="T35" i="18" s="1"/>
  <c r="T36" i="18" s="1"/>
  <c r="T37" i="18" s="1"/>
  <c r="T38" i="18" s="1"/>
  <c r="T39" i="18" s="1"/>
  <c r="T40" i="18" s="1"/>
  <c r="T41" i="18" s="1"/>
  <c r="T42" i="18" s="1"/>
  <c r="T43" i="18" s="1"/>
  <c r="T44" i="18" s="1"/>
  <c r="B15" i="18"/>
  <c r="V39" i="18"/>
  <c r="V38" i="18"/>
  <c r="V37" i="18"/>
  <c r="V36" i="18"/>
  <c r="V35" i="18"/>
  <c r="V34" i="18"/>
  <c r="V33" i="18"/>
  <c r="V32" i="18"/>
  <c r="V31" i="18"/>
  <c r="V30" i="18"/>
  <c r="V29" i="18"/>
  <c r="V28" i="18"/>
  <c r="V27" i="18"/>
  <c r="V26" i="18"/>
  <c r="V25" i="18"/>
  <c r="V24" i="18"/>
  <c r="V23" i="18"/>
  <c r="V22" i="18"/>
  <c r="V21" i="18"/>
  <c r="V20" i="18"/>
  <c r="V19" i="18"/>
  <c r="V18" i="18"/>
  <c r="V17" i="18"/>
  <c r="V16" i="18"/>
  <c r="V15" i="18"/>
  <c r="Y20" i="18"/>
  <c r="Y19" i="18"/>
  <c r="G15" i="18" s="1"/>
  <c r="Y17" i="18"/>
  <c r="F44" i="19" l="1"/>
  <c r="T45" i="19"/>
  <c r="E29" i="24"/>
  <c r="C29" i="24"/>
  <c r="D30" i="24"/>
  <c r="D31" i="24" s="1"/>
  <c r="D32" i="24" s="1"/>
  <c r="D33" i="24" s="1"/>
  <c r="D34" i="24" s="1"/>
  <c r="D35" i="24" s="1"/>
  <c r="D36" i="24" s="1"/>
  <c r="D37" i="24" s="1"/>
  <c r="D38" i="24" s="1"/>
  <c r="D39" i="24" s="1"/>
  <c r="D40" i="24" s="1"/>
  <c r="D41" i="24" s="1"/>
  <c r="D42" i="24" s="1"/>
  <c r="D43" i="24" s="1"/>
  <c r="D44" i="24" s="1"/>
  <c r="D45" i="24" s="1"/>
  <c r="D46" i="24" s="1"/>
  <c r="D47" i="24" s="1"/>
  <c r="D48" i="24" s="1"/>
  <c r="D49" i="24" s="1"/>
  <c r="D50" i="24" s="1"/>
  <c r="D51" i="24" s="1"/>
  <c r="D52" i="24" s="1"/>
  <c r="D53" i="24" s="1"/>
  <c r="D54" i="24" s="1"/>
  <c r="D55" i="24" s="1"/>
  <c r="D56" i="24" s="1"/>
  <c r="D57" i="24" s="1"/>
  <c r="D58" i="24" s="1"/>
  <c r="D59" i="24" s="1"/>
  <c r="D60" i="24" s="1"/>
  <c r="D61" i="24" s="1"/>
  <c r="D62" i="24" s="1"/>
  <c r="B30" i="24"/>
  <c r="B31" i="24" s="1"/>
  <c r="T46" i="19" l="1"/>
  <c r="L45" i="19"/>
  <c r="C30" i="24"/>
  <c r="E30" i="24" s="1"/>
  <c r="B32" i="24"/>
  <c r="C31" i="24"/>
  <c r="B11" i="17"/>
  <c r="C10" i="17"/>
  <c r="C9" i="17"/>
  <c r="C8" i="17"/>
  <c r="C11" i="17" s="1"/>
  <c r="Y17" i="15"/>
  <c r="G8" i="17" l="1"/>
  <c r="L46" i="19"/>
  <c r="T47" i="19"/>
  <c r="E31" i="24"/>
  <c r="B33" i="24"/>
  <c r="C32" i="24"/>
  <c r="E44" i="19"/>
  <c r="C44" i="19"/>
  <c r="B44" i="19"/>
  <c r="H44" i="19"/>
  <c r="E43" i="19"/>
  <c r="C43" i="19"/>
  <c r="B43" i="19"/>
  <c r="H42" i="19"/>
  <c r="G42" i="19"/>
  <c r="E42" i="19"/>
  <c r="C42" i="19"/>
  <c r="B42" i="19"/>
  <c r="H41" i="19"/>
  <c r="G41" i="19"/>
  <c r="E41" i="19"/>
  <c r="C41" i="19"/>
  <c r="B41" i="19"/>
  <c r="H40" i="19"/>
  <c r="G40" i="19"/>
  <c r="E40" i="19"/>
  <c r="C40" i="19"/>
  <c r="B40" i="19"/>
  <c r="H39" i="19"/>
  <c r="G39" i="19"/>
  <c r="E39" i="19"/>
  <c r="C39" i="19"/>
  <c r="B39" i="19"/>
  <c r="V39" i="19"/>
  <c r="H38" i="19"/>
  <c r="G38" i="19"/>
  <c r="E38" i="19"/>
  <c r="C38" i="19"/>
  <c r="B38" i="19"/>
  <c r="H37" i="19"/>
  <c r="G37" i="19"/>
  <c r="E37" i="19"/>
  <c r="C37" i="19"/>
  <c r="B37" i="19"/>
  <c r="H36" i="19"/>
  <c r="G36" i="19"/>
  <c r="E36" i="19"/>
  <c r="C36" i="19"/>
  <c r="B36" i="19"/>
  <c r="H35" i="19"/>
  <c r="G35" i="19"/>
  <c r="E35" i="19"/>
  <c r="C35" i="19"/>
  <c r="B35" i="19"/>
  <c r="H34" i="19"/>
  <c r="G34" i="19"/>
  <c r="E34" i="19"/>
  <c r="C34" i="19"/>
  <c r="B34" i="19"/>
  <c r="H33" i="19"/>
  <c r="G33" i="19"/>
  <c r="E33" i="19"/>
  <c r="C33" i="19"/>
  <c r="B33" i="19"/>
  <c r="H32" i="19"/>
  <c r="G32" i="19"/>
  <c r="E32" i="19"/>
  <c r="C32" i="19"/>
  <c r="B32" i="19"/>
  <c r="H31" i="19"/>
  <c r="G31" i="19"/>
  <c r="E31" i="19"/>
  <c r="C31" i="19"/>
  <c r="B31" i="19"/>
  <c r="Y30" i="19"/>
  <c r="I40" i="19" s="1"/>
  <c r="H30" i="19"/>
  <c r="G30" i="19"/>
  <c r="E30" i="19"/>
  <c r="C30" i="19"/>
  <c r="B30" i="19"/>
  <c r="H29" i="19"/>
  <c r="G29" i="19"/>
  <c r="E29" i="19"/>
  <c r="C29" i="19"/>
  <c r="B29" i="19"/>
  <c r="H28" i="19"/>
  <c r="G28" i="19"/>
  <c r="E28" i="19"/>
  <c r="C28" i="19"/>
  <c r="B28" i="19"/>
  <c r="M28" i="19" s="1"/>
  <c r="H27" i="19"/>
  <c r="G27" i="19"/>
  <c r="E27" i="19"/>
  <c r="C27" i="19"/>
  <c r="B27" i="19"/>
  <c r="H26" i="19"/>
  <c r="G26" i="19"/>
  <c r="E26" i="19"/>
  <c r="C26" i="19"/>
  <c r="B26" i="19"/>
  <c r="H25" i="19"/>
  <c r="G25" i="19"/>
  <c r="E25" i="19"/>
  <c r="C25" i="19"/>
  <c r="B25" i="19"/>
  <c r="M25" i="19" s="1"/>
  <c r="H24" i="19"/>
  <c r="G24" i="19"/>
  <c r="E24" i="19"/>
  <c r="C24" i="19"/>
  <c r="B24" i="19"/>
  <c r="H23" i="19"/>
  <c r="G23" i="19"/>
  <c r="E23" i="19"/>
  <c r="C23" i="19"/>
  <c r="B23" i="19"/>
  <c r="H22" i="19"/>
  <c r="G22" i="19"/>
  <c r="I22" i="19" s="1"/>
  <c r="E22" i="19"/>
  <c r="C22" i="19"/>
  <c r="B22" i="19"/>
  <c r="M22" i="19" s="1"/>
  <c r="H21" i="19"/>
  <c r="G21" i="19"/>
  <c r="E21" i="19"/>
  <c r="C21" i="19"/>
  <c r="B21" i="19"/>
  <c r="H20" i="19"/>
  <c r="G20" i="19"/>
  <c r="E20" i="19"/>
  <c r="C20" i="19"/>
  <c r="B20" i="19"/>
  <c r="H19" i="19"/>
  <c r="G19" i="19"/>
  <c r="E19" i="19"/>
  <c r="C19" i="19"/>
  <c r="B19" i="19"/>
  <c r="M19" i="19" s="1"/>
  <c r="H18" i="19"/>
  <c r="G18" i="19"/>
  <c r="E18" i="19"/>
  <c r="C18" i="19"/>
  <c r="B18" i="19"/>
  <c r="H17" i="19"/>
  <c r="G17" i="19"/>
  <c r="E17" i="19"/>
  <c r="C17" i="19"/>
  <c r="B17" i="19"/>
  <c r="H16" i="19"/>
  <c r="G16" i="19"/>
  <c r="E16" i="19"/>
  <c r="C16" i="19"/>
  <c r="B16" i="19"/>
  <c r="M16" i="19" s="1"/>
  <c r="H15" i="19"/>
  <c r="G15" i="19"/>
  <c r="C15" i="19"/>
  <c r="B15" i="19"/>
  <c r="E44" i="18"/>
  <c r="C44" i="18"/>
  <c r="B44" i="18"/>
  <c r="H44" i="18"/>
  <c r="G43" i="18"/>
  <c r="E43" i="18"/>
  <c r="C43" i="18"/>
  <c r="B43" i="18"/>
  <c r="H42" i="18"/>
  <c r="G42" i="18"/>
  <c r="E42" i="18"/>
  <c r="C42" i="18"/>
  <c r="B42" i="18"/>
  <c r="H41" i="18"/>
  <c r="G41" i="18"/>
  <c r="E41" i="18"/>
  <c r="C41" i="18"/>
  <c r="B41" i="18"/>
  <c r="H40" i="18"/>
  <c r="G40" i="18"/>
  <c r="E40" i="18"/>
  <c r="C40" i="18"/>
  <c r="B40" i="18"/>
  <c r="H39" i="18"/>
  <c r="G39" i="18"/>
  <c r="E39" i="18"/>
  <c r="C39" i="18"/>
  <c r="B39" i="18"/>
  <c r="V40" i="18"/>
  <c r="V41" i="18" s="1"/>
  <c r="V42" i="18" s="1"/>
  <c r="V43" i="18" s="1"/>
  <c r="V44" i="18" s="1"/>
  <c r="H38" i="18"/>
  <c r="G38" i="18"/>
  <c r="E38" i="18"/>
  <c r="C38" i="18"/>
  <c r="B38" i="18"/>
  <c r="H37" i="18"/>
  <c r="G37" i="18"/>
  <c r="F37" i="18"/>
  <c r="E37" i="18"/>
  <c r="C37" i="18"/>
  <c r="B37" i="18"/>
  <c r="H36" i="18"/>
  <c r="G36" i="18"/>
  <c r="E36" i="18"/>
  <c r="C36" i="18"/>
  <c r="B36" i="18"/>
  <c r="H35" i="18"/>
  <c r="G35" i="18"/>
  <c r="F35" i="18"/>
  <c r="E35" i="18"/>
  <c r="C35" i="18"/>
  <c r="B35" i="18"/>
  <c r="H34" i="18"/>
  <c r="G34" i="18"/>
  <c r="F34" i="18"/>
  <c r="E34" i="18"/>
  <c r="C34" i="18"/>
  <c r="B34" i="18"/>
  <c r="H33" i="18"/>
  <c r="G33" i="18"/>
  <c r="E33" i="18"/>
  <c r="C33" i="18"/>
  <c r="B33" i="18"/>
  <c r="H32" i="18"/>
  <c r="G32" i="18"/>
  <c r="E32" i="18"/>
  <c r="C32" i="18"/>
  <c r="B32" i="18"/>
  <c r="H31" i="18"/>
  <c r="G31" i="18"/>
  <c r="F31" i="18"/>
  <c r="E31" i="18"/>
  <c r="C31" i="18"/>
  <c r="B31" i="18"/>
  <c r="Y30" i="18"/>
  <c r="H30" i="18"/>
  <c r="G30" i="18"/>
  <c r="F30" i="18"/>
  <c r="E30" i="18"/>
  <c r="C30" i="18"/>
  <c r="B30" i="18"/>
  <c r="H29" i="18"/>
  <c r="G29" i="18"/>
  <c r="F29" i="18"/>
  <c r="E29" i="18"/>
  <c r="C29" i="18"/>
  <c r="B29" i="18"/>
  <c r="H28" i="18"/>
  <c r="G28" i="18"/>
  <c r="E28" i="18"/>
  <c r="C28" i="18"/>
  <c r="B28" i="18"/>
  <c r="H27" i="18"/>
  <c r="G27" i="18"/>
  <c r="E27" i="18"/>
  <c r="C27" i="18"/>
  <c r="B27" i="18"/>
  <c r="H26" i="18"/>
  <c r="G26" i="18"/>
  <c r="F26" i="18"/>
  <c r="E26" i="18"/>
  <c r="C26" i="18"/>
  <c r="B26" i="18"/>
  <c r="H25" i="18"/>
  <c r="G25" i="18"/>
  <c r="E25" i="18"/>
  <c r="C25" i="18"/>
  <c r="B25" i="18"/>
  <c r="M25" i="18" s="1"/>
  <c r="H24" i="18"/>
  <c r="G24" i="18"/>
  <c r="F24" i="18"/>
  <c r="E24" i="18"/>
  <c r="C24" i="18"/>
  <c r="B24" i="18"/>
  <c r="L24" i="18" s="1"/>
  <c r="H23" i="18"/>
  <c r="G23" i="18"/>
  <c r="F23" i="18"/>
  <c r="E23" i="18"/>
  <c r="C23" i="18"/>
  <c r="B23" i="18"/>
  <c r="M23" i="18" s="1"/>
  <c r="H22" i="18"/>
  <c r="G22" i="18"/>
  <c r="E22" i="18"/>
  <c r="C22" i="18"/>
  <c r="B22" i="18"/>
  <c r="H21" i="18"/>
  <c r="G21" i="18"/>
  <c r="E21" i="18"/>
  <c r="C21" i="18"/>
  <c r="B21" i="18"/>
  <c r="H20" i="18"/>
  <c r="G20" i="18"/>
  <c r="F20" i="18"/>
  <c r="E20" i="18"/>
  <c r="C20" i="18"/>
  <c r="B20" i="18"/>
  <c r="H19" i="18"/>
  <c r="G19" i="18"/>
  <c r="E19" i="18"/>
  <c r="C19" i="18"/>
  <c r="B19" i="18"/>
  <c r="F44" i="18"/>
  <c r="H18" i="18"/>
  <c r="G18" i="18"/>
  <c r="F18" i="18"/>
  <c r="E18" i="18"/>
  <c r="C18" i="18"/>
  <c r="B18" i="18"/>
  <c r="M18" i="18" s="1"/>
  <c r="H17" i="18"/>
  <c r="G17" i="18"/>
  <c r="F17" i="18"/>
  <c r="E17" i="18"/>
  <c r="C17" i="18"/>
  <c r="B17" i="18"/>
  <c r="M17" i="18" s="1"/>
  <c r="H16" i="18"/>
  <c r="G16" i="18"/>
  <c r="F16" i="18"/>
  <c r="E16" i="18"/>
  <c r="C16" i="18"/>
  <c r="B16" i="18"/>
  <c r="M16" i="18" s="1"/>
  <c r="H15" i="18"/>
  <c r="E15" i="18"/>
  <c r="C15" i="18"/>
  <c r="L19" i="18" l="1"/>
  <c r="L33" i="18"/>
  <c r="M15" i="19"/>
  <c r="M26" i="19"/>
  <c r="M33" i="19"/>
  <c r="M22" i="18"/>
  <c r="L40" i="18"/>
  <c r="M34" i="18"/>
  <c r="M35" i="18"/>
  <c r="M35" i="19"/>
  <c r="N35" i="19" s="1"/>
  <c r="O35" i="19" s="1"/>
  <c r="L25" i="18"/>
  <c r="I32" i="18"/>
  <c r="T48" i="19"/>
  <c r="L47" i="19"/>
  <c r="I26" i="18"/>
  <c r="J26" i="18" s="1"/>
  <c r="E12" i="18"/>
  <c r="E32" i="24"/>
  <c r="L27" i="18"/>
  <c r="M34" i="19"/>
  <c r="I17" i="18"/>
  <c r="I19" i="18"/>
  <c r="I21" i="18"/>
  <c r="M28" i="18"/>
  <c r="M32" i="18"/>
  <c r="M29" i="19"/>
  <c r="M36" i="19"/>
  <c r="I39" i="19"/>
  <c r="M27" i="19"/>
  <c r="L42" i="19"/>
  <c r="M19" i="18"/>
  <c r="M36" i="18"/>
  <c r="H8" i="17"/>
  <c r="I31" i="18"/>
  <c r="I40" i="18"/>
  <c r="I41" i="18"/>
  <c r="I21" i="19"/>
  <c r="M24" i="19"/>
  <c r="M30" i="19"/>
  <c r="M31" i="19"/>
  <c r="M37" i="19"/>
  <c r="I24" i="19"/>
  <c r="I23" i="19"/>
  <c r="I25" i="19"/>
  <c r="J25" i="19" s="1"/>
  <c r="I16" i="19"/>
  <c r="I17" i="19"/>
  <c r="I18" i="19"/>
  <c r="J18" i="19" s="1"/>
  <c r="I19" i="19"/>
  <c r="I32" i="19"/>
  <c r="I33" i="19"/>
  <c r="I34" i="19"/>
  <c r="I35" i="19"/>
  <c r="J35" i="19" s="1"/>
  <c r="I27" i="19"/>
  <c r="J27" i="19" s="1"/>
  <c r="I28" i="19"/>
  <c r="J28" i="19" s="1"/>
  <c r="I29" i="19"/>
  <c r="J29" i="19" s="1"/>
  <c r="I30" i="19"/>
  <c r="J30" i="19" s="1"/>
  <c r="I41" i="19"/>
  <c r="I42" i="19"/>
  <c r="J42" i="19" s="1"/>
  <c r="I38" i="19"/>
  <c r="J38" i="19" s="1"/>
  <c r="L41" i="19"/>
  <c r="M21" i="19"/>
  <c r="L38" i="19"/>
  <c r="M17" i="19"/>
  <c r="J22" i="19"/>
  <c r="I20" i="19"/>
  <c r="J39" i="19"/>
  <c r="E12" i="19"/>
  <c r="I37" i="19"/>
  <c r="I26" i="19"/>
  <c r="J26" i="19" s="1"/>
  <c r="I31" i="19"/>
  <c r="J31" i="19" s="1"/>
  <c r="J16" i="19"/>
  <c r="L39" i="19"/>
  <c r="L40" i="19"/>
  <c r="L32" i="19"/>
  <c r="L33" i="19"/>
  <c r="N33" i="19" s="1"/>
  <c r="O33" i="19" s="1"/>
  <c r="L35" i="19"/>
  <c r="L36" i="19"/>
  <c r="L17" i="19"/>
  <c r="M18" i="19"/>
  <c r="L23" i="19"/>
  <c r="L24" i="19"/>
  <c r="N24" i="19" s="1"/>
  <c r="O24" i="19" s="1"/>
  <c r="L20" i="19"/>
  <c r="L43" i="19"/>
  <c r="L18" i="19"/>
  <c r="M23" i="19"/>
  <c r="M38" i="19"/>
  <c r="N38" i="19" s="1"/>
  <c r="O38" i="19" s="1"/>
  <c r="L30" i="19"/>
  <c r="N30" i="19" s="1"/>
  <c r="O30" i="19" s="1"/>
  <c r="M32" i="19"/>
  <c r="L37" i="19"/>
  <c r="L25" i="19"/>
  <c r="N25" i="19" s="1"/>
  <c r="O25" i="19" s="1"/>
  <c r="L34" i="19"/>
  <c r="L19" i="19"/>
  <c r="L27" i="19"/>
  <c r="N27" i="19" s="1"/>
  <c r="O27" i="19" s="1"/>
  <c r="L28" i="19"/>
  <c r="L29" i="19"/>
  <c r="L31" i="19"/>
  <c r="L15" i="19"/>
  <c r="L16" i="19"/>
  <c r="M20" i="19"/>
  <c r="N20" i="19" s="1"/>
  <c r="O20" i="19" s="1"/>
  <c r="L21" i="19"/>
  <c r="L22" i="19"/>
  <c r="L26" i="19"/>
  <c r="I15" i="18"/>
  <c r="I16" i="18"/>
  <c r="M43" i="18"/>
  <c r="I38" i="18"/>
  <c r="I20" i="18"/>
  <c r="I37" i="18"/>
  <c r="J37" i="18" s="1"/>
  <c r="L21" i="18"/>
  <c r="M29" i="18"/>
  <c r="M33" i="18"/>
  <c r="N33" i="18" s="1"/>
  <c r="O33" i="18" s="1"/>
  <c r="M24" i="18"/>
  <c r="N24" i="18" s="1"/>
  <c r="O24" i="18" s="1"/>
  <c r="L23" i="18"/>
  <c r="L28" i="18"/>
  <c r="M20" i="18"/>
  <c r="L38" i="18"/>
  <c r="L39" i="18"/>
  <c r="M30" i="18"/>
  <c r="J20" i="18"/>
  <c r="I27" i="18"/>
  <c r="I22" i="18"/>
  <c r="I23" i="18"/>
  <c r="I24" i="18"/>
  <c r="J24" i="18" s="1"/>
  <c r="I42" i="18"/>
  <c r="L22" i="18"/>
  <c r="N22" i="18" s="1"/>
  <c r="O22" i="18" s="1"/>
  <c r="L30" i="18"/>
  <c r="J31" i="18"/>
  <c r="M37" i="18"/>
  <c r="M15" i="18"/>
  <c r="M26" i="18"/>
  <c r="L29" i="18"/>
  <c r="I33" i="18"/>
  <c r="I34" i="18"/>
  <c r="I35" i="18"/>
  <c r="I36" i="18"/>
  <c r="J16" i="18"/>
  <c r="L17" i="18"/>
  <c r="L18" i="18"/>
  <c r="I25" i="18"/>
  <c r="L35" i="18"/>
  <c r="N35" i="18" s="1"/>
  <c r="L43" i="18"/>
  <c r="I28" i="18"/>
  <c r="I29" i="18"/>
  <c r="J29" i="18" s="1"/>
  <c r="I30" i="18"/>
  <c r="J30" i="18" s="1"/>
  <c r="M31" i="18"/>
  <c r="L34" i="18"/>
  <c r="L36" i="18"/>
  <c r="I39" i="18"/>
  <c r="J15" i="18"/>
  <c r="B34" i="24"/>
  <c r="C33" i="24"/>
  <c r="E33" i="24" s="1"/>
  <c r="V40" i="19"/>
  <c r="V41" i="19" s="1"/>
  <c r="V42" i="19" s="1"/>
  <c r="M39" i="19"/>
  <c r="N39" i="19" s="1"/>
  <c r="J17" i="19"/>
  <c r="J23" i="19"/>
  <c r="L44" i="19"/>
  <c r="G44" i="19"/>
  <c r="I44" i="19" s="1"/>
  <c r="J15" i="19"/>
  <c r="N28" i="19"/>
  <c r="O28" i="19" s="1"/>
  <c r="N31" i="19"/>
  <c r="O31" i="19" s="1"/>
  <c r="J33" i="19"/>
  <c r="N16" i="19"/>
  <c r="O16" i="19" s="1"/>
  <c r="N22" i="19"/>
  <c r="O22" i="19" s="1"/>
  <c r="J24" i="19"/>
  <c r="J34" i="19"/>
  <c r="J40" i="19"/>
  <c r="N19" i="19"/>
  <c r="O19" i="19" s="1"/>
  <c r="N36" i="19"/>
  <c r="O36" i="19" s="1"/>
  <c r="G43" i="19"/>
  <c r="J21" i="19"/>
  <c r="J32" i="19"/>
  <c r="J41" i="19"/>
  <c r="H43" i="19"/>
  <c r="H12" i="19" s="1"/>
  <c r="I36" i="19"/>
  <c r="J23" i="18"/>
  <c r="N34" i="18"/>
  <c r="O34" i="18" s="1"/>
  <c r="J17" i="18"/>
  <c r="J34" i="18"/>
  <c r="J35" i="18"/>
  <c r="L44" i="18"/>
  <c r="G44" i="18"/>
  <c r="I44" i="18" s="1"/>
  <c r="N17" i="18"/>
  <c r="O17" i="18" s="1"/>
  <c r="N18" i="18"/>
  <c r="O18" i="18" s="1"/>
  <c r="N28" i="18"/>
  <c r="O28" i="18" s="1"/>
  <c r="M40" i="18"/>
  <c r="N40" i="18" s="1"/>
  <c r="O40" i="18" s="1"/>
  <c r="M41" i="18"/>
  <c r="M42" i="18"/>
  <c r="M44" i="18"/>
  <c r="M39" i="18"/>
  <c r="N23" i="18"/>
  <c r="O23" i="18" s="1"/>
  <c r="L15" i="18"/>
  <c r="F19" i="18"/>
  <c r="L20" i="18"/>
  <c r="F25" i="18"/>
  <c r="J25" i="18" s="1"/>
  <c r="L26" i="18"/>
  <c r="L31" i="18"/>
  <c r="F36" i="18"/>
  <c r="L37" i="18"/>
  <c r="F40" i="18"/>
  <c r="F43" i="18"/>
  <c r="L16" i="18"/>
  <c r="N19" i="18"/>
  <c r="O19" i="18" s="1"/>
  <c r="N25" i="18"/>
  <c r="O25" i="18" s="1"/>
  <c r="L32" i="18"/>
  <c r="L41" i="18"/>
  <c r="F21" i="18"/>
  <c r="M21" i="18"/>
  <c r="F27" i="18"/>
  <c r="J27" i="18" s="1"/>
  <c r="M27" i="18"/>
  <c r="F32" i="18"/>
  <c r="J32" i="18" s="1"/>
  <c r="F38" i="18"/>
  <c r="M38" i="18"/>
  <c r="N38" i="18" s="1"/>
  <c r="O38" i="18" s="1"/>
  <c r="F41" i="18"/>
  <c r="J41" i="18" s="1"/>
  <c r="H43" i="18"/>
  <c r="I43" i="18" s="1"/>
  <c r="I18" i="18"/>
  <c r="F22" i="18"/>
  <c r="F28" i="18"/>
  <c r="F33" i="18"/>
  <c r="L42" i="18"/>
  <c r="F39" i="18"/>
  <c r="F42" i="18"/>
  <c r="J42" i="18" s="1"/>
  <c r="Q22" i="19" l="1"/>
  <c r="N37" i="19"/>
  <c r="O37" i="19" s="1"/>
  <c r="N21" i="19"/>
  <c r="O21" i="19" s="1"/>
  <c r="N43" i="18"/>
  <c r="O43" i="18" s="1"/>
  <c r="J21" i="18"/>
  <c r="J40" i="18"/>
  <c r="Q40" i="18" s="1"/>
  <c r="N26" i="19"/>
  <c r="O26" i="19" s="1"/>
  <c r="L48" i="19"/>
  <c r="T49" i="19"/>
  <c r="L49" i="19" s="1"/>
  <c r="G12" i="19"/>
  <c r="N36" i="18"/>
  <c r="O36" i="18" s="1"/>
  <c r="N32" i="19"/>
  <c r="O32" i="19" s="1"/>
  <c r="Q32" i="19" s="1"/>
  <c r="M40" i="19"/>
  <c r="N40" i="19" s="1"/>
  <c r="F12" i="18"/>
  <c r="M12" i="18"/>
  <c r="Q30" i="19"/>
  <c r="M41" i="19"/>
  <c r="N41" i="19" s="1"/>
  <c r="Q35" i="19"/>
  <c r="J20" i="19"/>
  <c r="Q20" i="19" s="1"/>
  <c r="J19" i="19"/>
  <c r="Q19" i="19" s="1"/>
  <c r="J37" i="19"/>
  <c r="Q37" i="19" s="1"/>
  <c r="N17" i="19"/>
  <c r="O17" i="19" s="1"/>
  <c r="J44" i="19"/>
  <c r="J36" i="19"/>
  <c r="Q36" i="19" s="1"/>
  <c r="F12" i="19"/>
  <c r="Q16" i="19"/>
  <c r="Q38" i="19"/>
  <c r="Q25" i="19"/>
  <c r="N34" i="19"/>
  <c r="O34" i="19" s="1"/>
  <c r="Q34" i="19" s="1"/>
  <c r="N29" i="19"/>
  <c r="O29" i="19" s="1"/>
  <c r="Q29" i="19" s="1"/>
  <c r="Q24" i="19"/>
  <c r="N18" i="19"/>
  <c r="O18" i="19" s="1"/>
  <c r="N23" i="19"/>
  <c r="O23" i="19" s="1"/>
  <c r="Q23" i="19" s="1"/>
  <c r="L12" i="19"/>
  <c r="I12" i="18"/>
  <c r="H12" i="18"/>
  <c r="L12" i="18"/>
  <c r="N29" i="18"/>
  <c r="O29" i="18" s="1"/>
  <c r="Q29" i="18" s="1"/>
  <c r="G12" i="18"/>
  <c r="J38" i="18"/>
  <c r="Q38" i="18" s="1"/>
  <c r="J22" i="18"/>
  <c r="Q22" i="18" s="1"/>
  <c r="N30" i="18"/>
  <c r="O30" i="18" s="1"/>
  <c r="Q30" i="18" s="1"/>
  <c r="Q24" i="18"/>
  <c r="J36" i="18"/>
  <c r="J39" i="18"/>
  <c r="J33" i="18"/>
  <c r="Q33" i="18" s="1"/>
  <c r="J28" i="18"/>
  <c r="Q28" i="18" s="1"/>
  <c r="J43" i="18"/>
  <c r="Q43" i="18" s="1"/>
  <c r="Q25" i="18"/>
  <c r="J18" i="18"/>
  <c r="Q18" i="18" s="1"/>
  <c r="O35" i="18"/>
  <c r="Q35" i="18" s="1"/>
  <c r="J19" i="18"/>
  <c r="Q19" i="18" s="1"/>
  <c r="B35" i="24"/>
  <c r="C34" i="24"/>
  <c r="E34" i="24" s="1"/>
  <c r="Q26" i="19"/>
  <c r="Q28" i="19"/>
  <c r="Q33" i="19"/>
  <c r="Q31" i="19"/>
  <c r="Q21" i="19"/>
  <c r="I43" i="19"/>
  <c r="J43" i="19" s="1"/>
  <c r="Q27" i="19"/>
  <c r="M42" i="19"/>
  <c r="V43" i="19"/>
  <c r="O15" i="19"/>
  <c r="O40" i="19"/>
  <c r="Q40" i="19" s="1"/>
  <c r="O39" i="19"/>
  <c r="Q39" i="19" s="1"/>
  <c r="N42" i="18"/>
  <c r="O42" i="18" s="1"/>
  <c r="Q42" i="18" s="1"/>
  <c r="N41" i="18"/>
  <c r="O41" i="18" s="1"/>
  <c r="Q41" i="18" s="1"/>
  <c r="N20" i="18"/>
  <c r="O20" i="18" s="1"/>
  <c r="Q20" i="18" s="1"/>
  <c r="N27" i="18"/>
  <c r="O27" i="18" s="1"/>
  <c r="Q27" i="18" s="1"/>
  <c r="Q34" i="18"/>
  <c r="N32" i="18"/>
  <c r="O32" i="18" s="1"/>
  <c r="Q32" i="18" s="1"/>
  <c r="N37" i="18"/>
  <c r="O37" i="18" s="1"/>
  <c r="Q37" i="18" s="1"/>
  <c r="N15" i="18"/>
  <c r="N39" i="18"/>
  <c r="O39" i="18" s="1"/>
  <c r="N31" i="18"/>
  <c r="O31" i="18" s="1"/>
  <c r="Q31" i="18" s="1"/>
  <c r="J44" i="18"/>
  <c r="N21" i="18"/>
  <c r="O21" i="18" s="1"/>
  <c r="Q21" i="18" s="1"/>
  <c r="N44" i="18"/>
  <c r="O44" i="18" s="1"/>
  <c r="N16" i="18"/>
  <c r="O16" i="18" s="1"/>
  <c r="Q16" i="18" s="1"/>
  <c r="N26" i="18"/>
  <c r="O26" i="18" s="1"/>
  <c r="Q26" i="18" s="1"/>
  <c r="Q17" i="18"/>
  <c r="Q23" i="18"/>
  <c r="Y30" i="15"/>
  <c r="Y18" i="15"/>
  <c r="Q39" i="18" l="1"/>
  <c r="J6" i="19"/>
  <c r="J7" i="19" s="1"/>
  <c r="J8" i="19" s="1"/>
  <c r="H9" i="8" s="1"/>
  <c r="Q15" i="19"/>
  <c r="Q36" i="18"/>
  <c r="Q18" i="19"/>
  <c r="Q17" i="19"/>
  <c r="J6" i="18"/>
  <c r="O41" i="19"/>
  <c r="J12" i="19"/>
  <c r="I12" i="19"/>
  <c r="J12" i="18"/>
  <c r="O15" i="18"/>
  <c r="N12" i="18"/>
  <c r="B36" i="24"/>
  <c r="C35" i="24"/>
  <c r="E35" i="24" s="1"/>
  <c r="V44" i="19"/>
  <c r="M43" i="19"/>
  <c r="N42" i="19"/>
  <c r="O42" i="19" s="1"/>
  <c r="Q42" i="19" s="1"/>
  <c r="Q44" i="18"/>
  <c r="H42" i="15"/>
  <c r="H41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43" i="15"/>
  <c r="B15" i="15"/>
  <c r="C44" i="15"/>
  <c r="B44" i="15"/>
  <c r="C43" i="15"/>
  <c r="B43" i="15"/>
  <c r="C42" i="15"/>
  <c r="B42" i="15"/>
  <c r="C41" i="15"/>
  <c r="B41" i="15"/>
  <c r="C40" i="15"/>
  <c r="B40" i="15"/>
  <c r="C39" i="15"/>
  <c r="L39" i="15" s="1"/>
  <c r="B39" i="15"/>
  <c r="C38" i="15"/>
  <c r="B38" i="15"/>
  <c r="C37" i="15"/>
  <c r="B37" i="15"/>
  <c r="C36" i="15"/>
  <c r="B36" i="15"/>
  <c r="C35" i="15"/>
  <c r="B35" i="15"/>
  <c r="C34" i="15"/>
  <c r="B34" i="15"/>
  <c r="C33" i="15"/>
  <c r="L33" i="15" s="1"/>
  <c r="B33" i="15"/>
  <c r="C32" i="15"/>
  <c r="B32" i="15"/>
  <c r="C31" i="15"/>
  <c r="B31" i="15"/>
  <c r="C30" i="15"/>
  <c r="B30" i="15"/>
  <c r="C29" i="15"/>
  <c r="B29" i="15"/>
  <c r="C28" i="15"/>
  <c r="B28" i="15"/>
  <c r="C27" i="15"/>
  <c r="L27" i="15" s="1"/>
  <c r="B27" i="15"/>
  <c r="C26" i="15"/>
  <c r="B26" i="15"/>
  <c r="C25" i="15"/>
  <c r="B25" i="15"/>
  <c r="C24" i="15"/>
  <c r="B24" i="15"/>
  <c r="C23" i="15"/>
  <c r="B23" i="15"/>
  <c r="C22" i="15"/>
  <c r="B22" i="15"/>
  <c r="C21" i="15"/>
  <c r="L21" i="15" s="1"/>
  <c r="B21" i="15"/>
  <c r="C20" i="15"/>
  <c r="B20" i="15"/>
  <c r="C19" i="15"/>
  <c r="B19" i="15"/>
  <c r="C18" i="15"/>
  <c r="B18" i="15"/>
  <c r="C17" i="15"/>
  <c r="B17" i="15"/>
  <c r="C16" i="15"/>
  <c r="B16" i="15"/>
  <c r="C15" i="15"/>
  <c r="L15" i="15" s="1"/>
  <c r="G16" i="15"/>
  <c r="G17" i="15"/>
  <c r="I17" i="15" s="1"/>
  <c r="G18" i="15"/>
  <c r="G19" i="15"/>
  <c r="I19" i="15" s="1"/>
  <c r="G20" i="15"/>
  <c r="G21" i="15"/>
  <c r="G22" i="15"/>
  <c r="G23" i="15"/>
  <c r="I23" i="15" s="1"/>
  <c r="G24" i="15"/>
  <c r="G25" i="15"/>
  <c r="I25" i="15" s="1"/>
  <c r="G26" i="15"/>
  <c r="G27" i="15"/>
  <c r="G28" i="15"/>
  <c r="G29" i="15"/>
  <c r="I29" i="15" s="1"/>
  <c r="G30" i="15"/>
  <c r="G31" i="15"/>
  <c r="I31" i="15" s="1"/>
  <c r="G32" i="15"/>
  <c r="G33" i="15"/>
  <c r="G34" i="15"/>
  <c r="G35" i="15"/>
  <c r="I35" i="15" s="1"/>
  <c r="G36" i="15"/>
  <c r="G37" i="15"/>
  <c r="I37" i="15" s="1"/>
  <c r="G38" i="15"/>
  <c r="G39" i="15"/>
  <c r="G40" i="15"/>
  <c r="G41" i="15"/>
  <c r="I41" i="15" s="1"/>
  <c r="G42" i="15"/>
  <c r="G15" i="15"/>
  <c r="E16" i="15"/>
  <c r="E17" i="15"/>
  <c r="E18" i="15"/>
  <c r="E19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3" i="15" s="1"/>
  <c r="J7" i="18" l="1"/>
  <c r="E13" i="15"/>
  <c r="J13" i="15" s="1"/>
  <c r="K6" i="15" s="1"/>
  <c r="K7" i="15" s="1"/>
  <c r="K8" i="15" s="1"/>
  <c r="I38" i="15"/>
  <c r="I32" i="15"/>
  <c r="I26" i="15"/>
  <c r="I20" i="15"/>
  <c r="L16" i="15"/>
  <c r="N16" i="15" s="1"/>
  <c r="O16" i="15" s="1"/>
  <c r="L19" i="15"/>
  <c r="L22" i="15"/>
  <c r="L25" i="15"/>
  <c r="L28" i="15"/>
  <c r="L31" i="15"/>
  <c r="L34" i="15"/>
  <c r="N34" i="15" s="1"/>
  <c r="O34" i="15" s="1"/>
  <c r="L37" i="15"/>
  <c r="L40" i="15"/>
  <c r="V45" i="19"/>
  <c r="M44" i="19"/>
  <c r="F12" i="15"/>
  <c r="Q41" i="19"/>
  <c r="I39" i="15"/>
  <c r="I33" i="15"/>
  <c r="J33" i="15" s="1"/>
  <c r="I27" i="15"/>
  <c r="I21" i="15"/>
  <c r="H12" i="8"/>
  <c r="H13" i="8"/>
  <c r="J13" i="8" s="1"/>
  <c r="H11" i="8"/>
  <c r="J11" i="8" s="1"/>
  <c r="H10" i="8"/>
  <c r="L17" i="15"/>
  <c r="L20" i="15"/>
  <c r="L23" i="15"/>
  <c r="L26" i="15"/>
  <c r="L29" i="15"/>
  <c r="L32" i="15"/>
  <c r="L35" i="15"/>
  <c r="L38" i="15"/>
  <c r="L41" i="15"/>
  <c r="D9" i="17"/>
  <c r="M16" i="15"/>
  <c r="Q15" i="18"/>
  <c r="Q6" i="18" s="1"/>
  <c r="Q7" i="18" s="1"/>
  <c r="Q8" i="18" s="1"/>
  <c r="O6" i="18"/>
  <c r="O7" i="18" s="1"/>
  <c r="O8" i="18" s="1"/>
  <c r="G7" i="8" s="1"/>
  <c r="J8" i="18"/>
  <c r="H7" i="8" s="1"/>
  <c r="M12" i="19"/>
  <c r="O12" i="18"/>
  <c r="B37" i="24"/>
  <c r="C36" i="24"/>
  <c r="E36" i="24" s="1"/>
  <c r="L42" i="15"/>
  <c r="M19" i="15"/>
  <c r="M22" i="15"/>
  <c r="N22" i="15" s="1"/>
  <c r="O22" i="15" s="1"/>
  <c r="M25" i="15"/>
  <c r="N25" i="15" s="1"/>
  <c r="O25" i="15" s="1"/>
  <c r="M28" i="15"/>
  <c r="M31" i="15"/>
  <c r="M34" i="15"/>
  <c r="M37" i="15"/>
  <c r="I42" i="15"/>
  <c r="J42" i="15" s="1"/>
  <c r="I36" i="15"/>
  <c r="J36" i="15" s="1"/>
  <c r="I30" i="15"/>
  <c r="J30" i="15" s="1"/>
  <c r="I24" i="15"/>
  <c r="J24" i="15" s="1"/>
  <c r="I18" i="15"/>
  <c r="I40" i="15"/>
  <c r="J40" i="15" s="1"/>
  <c r="I34" i="15"/>
  <c r="J34" i="15" s="1"/>
  <c r="I28" i="15"/>
  <c r="J28" i="15" s="1"/>
  <c r="I22" i="15"/>
  <c r="J22" i="15" s="1"/>
  <c r="I16" i="15"/>
  <c r="J16" i="15" s="1"/>
  <c r="J21" i="15"/>
  <c r="J37" i="15"/>
  <c r="J31" i="15"/>
  <c r="J25" i="15"/>
  <c r="J19" i="15"/>
  <c r="J27" i="15"/>
  <c r="J18" i="15"/>
  <c r="J41" i="15"/>
  <c r="J35" i="15"/>
  <c r="J17" i="15"/>
  <c r="J39" i="15"/>
  <c r="M21" i="15"/>
  <c r="N21" i="15" s="1"/>
  <c r="O21" i="15" s="1"/>
  <c r="M27" i="15"/>
  <c r="N27" i="15" s="1"/>
  <c r="O27" i="15" s="1"/>
  <c r="M33" i="15"/>
  <c r="N33" i="15" s="1"/>
  <c r="O33" i="15" s="1"/>
  <c r="M15" i="15"/>
  <c r="M32" i="15"/>
  <c r="J29" i="15"/>
  <c r="J23" i="15"/>
  <c r="M18" i="15"/>
  <c r="L18" i="15"/>
  <c r="M24" i="15"/>
  <c r="L24" i="15"/>
  <c r="M30" i="15"/>
  <c r="L30" i="15"/>
  <c r="M36" i="15"/>
  <c r="L36" i="15"/>
  <c r="M26" i="15"/>
  <c r="M20" i="15"/>
  <c r="N20" i="15" s="1"/>
  <c r="N19" i="15"/>
  <c r="O19" i="15" s="1"/>
  <c r="N28" i="15"/>
  <c r="O28" i="15" s="1"/>
  <c r="N37" i="15"/>
  <c r="O37" i="15" s="1"/>
  <c r="E12" i="15"/>
  <c r="J38" i="15"/>
  <c r="J32" i="15"/>
  <c r="J26" i="15"/>
  <c r="J20" i="15"/>
  <c r="M17" i="15"/>
  <c r="N17" i="15" s="1"/>
  <c r="M23" i="15"/>
  <c r="N23" i="15" s="1"/>
  <c r="O23" i="15" s="1"/>
  <c r="M29" i="15"/>
  <c r="M35" i="15"/>
  <c r="N35" i="15" s="1"/>
  <c r="N44" i="19"/>
  <c r="O44" i="19" s="1"/>
  <c r="Q44" i="19" s="1"/>
  <c r="N43" i="19"/>
  <c r="O43" i="19" s="1"/>
  <c r="H44" i="15"/>
  <c r="H12" i="15" s="1"/>
  <c r="V38" i="15"/>
  <c r="H15" i="8" l="1"/>
  <c r="J15" i="8" s="1"/>
  <c r="H16" i="8"/>
  <c r="J16" i="8" s="1"/>
  <c r="P16" i="8" s="1"/>
  <c r="N26" i="15"/>
  <c r="O26" i="15" s="1"/>
  <c r="O6" i="19"/>
  <c r="Q12" i="18"/>
  <c r="V46" i="19"/>
  <c r="M45" i="19"/>
  <c r="N45" i="19" s="1"/>
  <c r="O45" i="19" s="1"/>
  <c r="N32" i="15"/>
  <c r="O32" i="15" s="1"/>
  <c r="Q32" i="15" s="1"/>
  <c r="N31" i="15"/>
  <c r="O31" i="15" s="1"/>
  <c r="Q31" i="15" s="1"/>
  <c r="F9" i="17"/>
  <c r="G9" i="17"/>
  <c r="N15" i="15"/>
  <c r="O15" i="15" s="1"/>
  <c r="D10" i="17"/>
  <c r="N12" i="19"/>
  <c r="B38" i="24"/>
  <c r="C37" i="24"/>
  <c r="E37" i="24" s="1"/>
  <c r="Q25" i="15"/>
  <c r="Q37" i="15"/>
  <c r="Q19" i="15"/>
  <c r="Q22" i="15"/>
  <c r="Q34" i="15"/>
  <c r="Q16" i="15"/>
  <c r="Q21" i="15"/>
  <c r="O35" i="15"/>
  <c r="Q35" i="15" s="1"/>
  <c r="Q27" i="15"/>
  <c r="Q28" i="15"/>
  <c r="Q26" i="15"/>
  <c r="Q33" i="15"/>
  <c r="O20" i="15"/>
  <c r="Q20" i="15" s="1"/>
  <c r="Q23" i="15"/>
  <c r="N29" i="15"/>
  <c r="O29" i="15" s="1"/>
  <c r="Q29" i="15" s="1"/>
  <c r="N24" i="15"/>
  <c r="O24" i="15" s="1"/>
  <c r="Q24" i="15" s="1"/>
  <c r="N30" i="15"/>
  <c r="O30" i="15" s="1"/>
  <c r="Q30" i="15" s="1"/>
  <c r="O17" i="15"/>
  <c r="N36" i="15"/>
  <c r="O36" i="15" s="1"/>
  <c r="Q36" i="15" s="1"/>
  <c r="N18" i="15"/>
  <c r="O18" i="15" s="1"/>
  <c r="Q18" i="15" s="1"/>
  <c r="Q43" i="19"/>
  <c r="Q12" i="19" s="1"/>
  <c r="O7" i="19"/>
  <c r="O8" i="19" s="1"/>
  <c r="G9" i="8" s="1"/>
  <c r="V39" i="15"/>
  <c r="M38" i="15"/>
  <c r="T43" i="15"/>
  <c r="L43" i="15" s="1"/>
  <c r="P15" i="8" l="1"/>
  <c r="L16" i="8"/>
  <c r="N16" i="8" s="1"/>
  <c r="L15" i="8"/>
  <c r="N15" i="8" s="1"/>
  <c r="V47" i="19"/>
  <c r="M46" i="19"/>
  <c r="F10" i="17"/>
  <c r="F11" i="17" s="1"/>
  <c r="G10" i="17"/>
  <c r="G11" i="17" s="1"/>
  <c r="Q15" i="15"/>
  <c r="H9" i="17"/>
  <c r="B39" i="24"/>
  <c r="C38" i="24"/>
  <c r="E38" i="24" s="1"/>
  <c r="Q17" i="15"/>
  <c r="N38" i="15"/>
  <c r="O38" i="15" s="1"/>
  <c r="Q38" i="15" s="1"/>
  <c r="Q6" i="19"/>
  <c r="Q7" i="19" s="1"/>
  <c r="Q8" i="19" s="1"/>
  <c r="V40" i="15"/>
  <c r="M39" i="15"/>
  <c r="G43" i="15"/>
  <c r="T44" i="15"/>
  <c r="L44" i="15" s="1"/>
  <c r="L12" i="15" s="1"/>
  <c r="H10" i="17" l="1"/>
  <c r="N46" i="19"/>
  <c r="O46" i="19" s="1"/>
  <c r="V48" i="19"/>
  <c r="M47" i="19"/>
  <c r="N47" i="19" s="1"/>
  <c r="O47" i="19" s="1"/>
  <c r="G8" i="8"/>
  <c r="G5" i="8"/>
  <c r="F12" i="17"/>
  <c r="H11" i="17"/>
  <c r="B18" i="24" s="1"/>
  <c r="B40" i="24"/>
  <c r="C39" i="24"/>
  <c r="E39" i="24" s="1"/>
  <c r="I43" i="15"/>
  <c r="J43" i="15" s="1"/>
  <c r="N39" i="15"/>
  <c r="O39" i="15" s="1"/>
  <c r="V41" i="15"/>
  <c r="M40" i="15"/>
  <c r="G44" i="15"/>
  <c r="C18" i="24" l="1"/>
  <c r="B19" i="24"/>
  <c r="C19" i="24" s="1"/>
  <c r="H8" i="24" s="1"/>
  <c r="O53" i="19"/>
  <c r="O54" i="19" s="1"/>
  <c r="O55" i="19" s="1"/>
  <c r="G10" i="8" s="1"/>
  <c r="O57" i="19"/>
  <c r="O58" i="19" s="1"/>
  <c r="O59" i="19" s="1"/>
  <c r="G12" i="8" s="1"/>
  <c r="V49" i="19"/>
  <c r="M49" i="19" s="1"/>
  <c r="M48" i="19"/>
  <c r="H8" i="8"/>
  <c r="H5" i="8"/>
  <c r="J5" i="8" s="1"/>
  <c r="B41" i="24"/>
  <c r="C40" i="24"/>
  <c r="E40" i="24" s="1"/>
  <c r="I44" i="15"/>
  <c r="J44" i="15" s="1"/>
  <c r="J6" i="15" s="1"/>
  <c r="Q39" i="15"/>
  <c r="G12" i="15"/>
  <c r="N40" i="15"/>
  <c r="O40" i="15" s="1"/>
  <c r="V42" i="15"/>
  <c r="M41" i="15"/>
  <c r="I12" i="15" l="1"/>
  <c r="N48" i="19"/>
  <c r="O48" i="19"/>
  <c r="O61" i="19" s="1"/>
  <c r="O62" i="19" s="1"/>
  <c r="O63" i="19" s="1"/>
  <c r="G11" i="8" s="1"/>
  <c r="N49" i="19"/>
  <c r="O49" i="19"/>
  <c r="O65" i="19" s="1"/>
  <c r="O66" i="19" s="1"/>
  <c r="O67" i="19" s="1"/>
  <c r="G13" i="8" s="1"/>
  <c r="B42" i="24"/>
  <c r="C41" i="24"/>
  <c r="E41" i="24" s="1"/>
  <c r="J7" i="15"/>
  <c r="J12" i="15"/>
  <c r="Q40" i="15"/>
  <c r="N41" i="15"/>
  <c r="O41" i="15" s="1"/>
  <c r="V43" i="15"/>
  <c r="M42" i="15"/>
  <c r="B43" i="24" l="1"/>
  <c r="C42" i="24"/>
  <c r="E42" i="24" s="1"/>
  <c r="Q41" i="15"/>
  <c r="N42" i="15"/>
  <c r="O42" i="15" s="1"/>
  <c r="V44" i="15"/>
  <c r="M44" i="15" s="1"/>
  <c r="M43" i="15"/>
  <c r="H14" i="8" l="1"/>
  <c r="J14" i="8" s="1"/>
  <c r="B44" i="24"/>
  <c r="C43" i="24"/>
  <c r="E43" i="24" s="1"/>
  <c r="Q42" i="15"/>
  <c r="N44" i="15"/>
  <c r="M12" i="15"/>
  <c r="N43" i="15"/>
  <c r="O43" i="15" s="1"/>
  <c r="J12" i="8"/>
  <c r="J10" i="8"/>
  <c r="J9" i="8"/>
  <c r="J8" i="8"/>
  <c r="J7" i="8"/>
  <c r="AE17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7" i="10"/>
  <c r="K16" i="10"/>
  <c r="K15" i="10"/>
  <c r="K14" i="10"/>
  <c r="K13" i="10"/>
  <c r="K12" i="10"/>
  <c r="K11" i="10"/>
  <c r="K10" i="10"/>
  <c r="C15" i="11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10" i="10"/>
  <c r="I39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I6" i="10" l="1"/>
  <c r="H6" i="10"/>
  <c r="J6" i="10"/>
  <c r="G6" i="10"/>
  <c r="M10" i="10"/>
  <c r="K6" i="10"/>
  <c r="B45" i="24"/>
  <c r="C44" i="24"/>
  <c r="E44" i="24" s="1"/>
  <c r="N12" i="15"/>
  <c r="Q43" i="15"/>
  <c r="O44" i="15"/>
  <c r="O6" i="15" s="1"/>
  <c r="O7" i="15" s="1"/>
  <c r="F9" i="10"/>
  <c r="F39" i="10"/>
  <c r="V39" i="10" s="1"/>
  <c r="W39" i="10" s="1"/>
  <c r="X39" i="10" s="1"/>
  <c r="Y39" i="10" s="1"/>
  <c r="Z39" i="10" s="1"/>
  <c r="AA39" i="10" s="1"/>
  <c r="L39" i="10" s="1"/>
  <c r="F38" i="10"/>
  <c r="V38" i="10" s="1"/>
  <c r="W38" i="10" s="1"/>
  <c r="X38" i="10" s="1"/>
  <c r="Y38" i="10" s="1"/>
  <c r="Z38" i="10" s="1"/>
  <c r="AA38" i="10" s="1"/>
  <c r="L38" i="10" s="1"/>
  <c r="F37" i="10"/>
  <c r="V37" i="10" s="1"/>
  <c r="W37" i="10" s="1"/>
  <c r="X37" i="10" s="1"/>
  <c r="Y37" i="10" s="1"/>
  <c r="Z37" i="10" s="1"/>
  <c r="AA37" i="10" s="1"/>
  <c r="L37" i="10" s="1"/>
  <c r="F36" i="10"/>
  <c r="M36" i="10" s="1"/>
  <c r="F35" i="10"/>
  <c r="M35" i="10" s="1"/>
  <c r="F34" i="10"/>
  <c r="M34" i="10" s="1"/>
  <c r="F33" i="10"/>
  <c r="M33" i="10" s="1"/>
  <c r="F32" i="10"/>
  <c r="F31" i="10"/>
  <c r="F30" i="10"/>
  <c r="F29" i="10"/>
  <c r="M29" i="10" s="1"/>
  <c r="F28" i="10"/>
  <c r="M28" i="10" s="1"/>
  <c r="F27" i="10"/>
  <c r="F26" i="10"/>
  <c r="M26" i="10" s="1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M12" i="10" s="1"/>
  <c r="F11" i="10"/>
  <c r="O8" i="15" l="1"/>
  <c r="G14" i="8" s="1"/>
  <c r="I14" i="8" s="1"/>
  <c r="V19" i="10"/>
  <c r="W19" i="10" s="1"/>
  <c r="X19" i="10" s="1"/>
  <c r="Y19" i="10" s="1"/>
  <c r="Z19" i="10" s="1"/>
  <c r="AA19" i="10" s="1"/>
  <c r="L19" i="10" s="1"/>
  <c r="V31" i="10"/>
  <c r="W31" i="10" s="1"/>
  <c r="X31" i="10" s="1"/>
  <c r="Y31" i="10" s="1"/>
  <c r="V13" i="10"/>
  <c r="W13" i="10" s="1"/>
  <c r="X13" i="10" s="1"/>
  <c r="Y13" i="10" s="1"/>
  <c r="Z13" i="10" s="1"/>
  <c r="V32" i="10"/>
  <c r="W32" i="10" s="1"/>
  <c r="X32" i="10" s="1"/>
  <c r="Y32" i="10" s="1"/>
  <c r="Z32" i="10" s="1"/>
  <c r="V25" i="10"/>
  <c r="W25" i="10" s="1"/>
  <c r="X25" i="10" s="1"/>
  <c r="Y25" i="10" s="1"/>
  <c r="Z25" i="10" s="1"/>
  <c r="Z31" i="10"/>
  <c r="AA31" i="10" s="1"/>
  <c r="L31" i="10" s="1"/>
  <c r="M25" i="10"/>
  <c r="V14" i="10"/>
  <c r="W14" i="10" s="1"/>
  <c r="X14" i="10" s="1"/>
  <c r="Y14" i="10" s="1"/>
  <c r="Z14" i="10" s="1"/>
  <c r="AA14" i="10" s="1"/>
  <c r="L14" i="10" s="1"/>
  <c r="V27" i="10"/>
  <c r="W27" i="10" s="1"/>
  <c r="X27" i="10" s="1"/>
  <c r="Y27" i="10" s="1"/>
  <c r="Z27" i="10" s="1"/>
  <c r="AA27" i="10" s="1"/>
  <c r="L27" i="10" s="1"/>
  <c r="M19" i="10"/>
  <c r="M39" i="10"/>
  <c r="N39" i="10" s="1"/>
  <c r="M38" i="10"/>
  <c r="N38" i="10" s="1"/>
  <c r="V21" i="10"/>
  <c r="W21" i="10" s="1"/>
  <c r="X21" i="10" s="1"/>
  <c r="Y21" i="10" s="1"/>
  <c r="Z21" i="10" s="1"/>
  <c r="AA21" i="10" s="1"/>
  <c r="L21" i="10" s="1"/>
  <c r="AA13" i="10"/>
  <c r="L13" i="10" s="1"/>
  <c r="V22" i="10"/>
  <c r="W22" i="10" s="1"/>
  <c r="X22" i="10" s="1"/>
  <c r="Y22" i="10" s="1"/>
  <c r="Z22" i="10" s="1"/>
  <c r="AA22" i="10" s="1"/>
  <c r="L22" i="10" s="1"/>
  <c r="V28" i="10"/>
  <c r="W28" i="10" s="1"/>
  <c r="X28" i="10" s="1"/>
  <c r="Y28" i="10" s="1"/>
  <c r="Z28" i="10" s="1"/>
  <c r="AA28" i="10" s="1"/>
  <c r="L28" i="10" s="1"/>
  <c r="N28" i="10" s="1"/>
  <c r="V34" i="10"/>
  <c r="W34" i="10" s="1"/>
  <c r="X34" i="10" s="1"/>
  <c r="Y34" i="10" s="1"/>
  <c r="Z34" i="10" s="1"/>
  <c r="AA34" i="10" s="1"/>
  <c r="L34" i="10" s="1"/>
  <c r="N34" i="10" s="1"/>
  <c r="F6" i="10"/>
  <c r="M9" i="10"/>
  <c r="V9" i="10"/>
  <c r="W9" i="10" s="1"/>
  <c r="X9" i="10" s="1"/>
  <c r="Y9" i="10" s="1"/>
  <c r="Z9" i="10" s="1"/>
  <c r="AA9" i="10" s="1"/>
  <c r="L9" i="10" s="1"/>
  <c r="M13" i="10"/>
  <c r="M22" i="10"/>
  <c r="M32" i="10"/>
  <c r="V20" i="10"/>
  <c r="W20" i="10" s="1"/>
  <c r="X20" i="10" s="1"/>
  <c r="Y20" i="10" s="1"/>
  <c r="Z20" i="10" s="1"/>
  <c r="AA20" i="10" s="1"/>
  <c r="L20" i="10" s="1"/>
  <c r="V15" i="10"/>
  <c r="W15" i="10" s="1"/>
  <c r="X15" i="10" s="1"/>
  <c r="Y15" i="10" s="1"/>
  <c r="Z15" i="10" s="1"/>
  <c r="AA15" i="10" s="1"/>
  <c r="L15" i="10" s="1"/>
  <c r="V33" i="10"/>
  <c r="W33" i="10" s="1"/>
  <c r="X33" i="10" s="1"/>
  <c r="Y33" i="10" s="1"/>
  <c r="Z33" i="10" s="1"/>
  <c r="AA33" i="10" s="1"/>
  <c r="L33" i="10" s="1"/>
  <c r="N33" i="10" s="1"/>
  <c r="V16" i="10"/>
  <c r="W16" i="10" s="1"/>
  <c r="X16" i="10" s="1"/>
  <c r="Y16" i="10" s="1"/>
  <c r="Z16" i="10" s="1"/>
  <c r="AA16" i="10" s="1"/>
  <c r="L16" i="10" s="1"/>
  <c r="N16" i="10" s="1"/>
  <c r="V11" i="10"/>
  <c r="W11" i="10" s="1"/>
  <c r="X11" i="10" s="1"/>
  <c r="Y11" i="10" s="1"/>
  <c r="Z11" i="10" s="1"/>
  <c r="AA11" i="10" s="1"/>
  <c r="L11" i="10" s="1"/>
  <c r="V10" i="10"/>
  <c r="W10" i="10" s="1"/>
  <c r="X10" i="10" s="1"/>
  <c r="Y10" i="10" s="1"/>
  <c r="Z10" i="10" s="1"/>
  <c r="AA10" i="10" s="1"/>
  <c r="L10" i="10" s="1"/>
  <c r="V17" i="10"/>
  <c r="W17" i="10" s="1"/>
  <c r="X17" i="10" s="1"/>
  <c r="Y17" i="10" s="1"/>
  <c r="V23" i="10"/>
  <c r="W23" i="10" s="1"/>
  <c r="X23" i="10" s="1"/>
  <c r="Y23" i="10" s="1"/>
  <c r="Z23" i="10" s="1"/>
  <c r="AA23" i="10" s="1"/>
  <c r="L23" i="10" s="1"/>
  <c r="V29" i="10"/>
  <c r="W29" i="10" s="1"/>
  <c r="X29" i="10" s="1"/>
  <c r="Y29" i="10" s="1"/>
  <c r="V35" i="10"/>
  <c r="W35" i="10" s="1"/>
  <c r="X35" i="10" s="1"/>
  <c r="Y35" i="10" s="1"/>
  <c r="Z35" i="10" s="1"/>
  <c r="AA35" i="10" s="1"/>
  <c r="L35" i="10" s="1"/>
  <c r="N35" i="10" s="1"/>
  <c r="M23" i="10"/>
  <c r="M16" i="10"/>
  <c r="M27" i="10"/>
  <c r="V26" i="10"/>
  <c r="W26" i="10" s="1"/>
  <c r="X26" i="10" s="1"/>
  <c r="Y26" i="10" s="1"/>
  <c r="Z26" i="10" s="1"/>
  <c r="AA26" i="10" s="1"/>
  <c r="L26" i="10" s="1"/>
  <c r="N26" i="10" s="1"/>
  <c r="V12" i="10"/>
  <c r="W12" i="10" s="1"/>
  <c r="X12" i="10" s="1"/>
  <c r="Y12" i="10" s="1"/>
  <c r="Z12" i="10" s="1"/>
  <c r="AA12" i="10" s="1"/>
  <c r="L12" i="10" s="1"/>
  <c r="N12" i="10" s="1"/>
  <c r="V18" i="10"/>
  <c r="W18" i="10" s="1"/>
  <c r="X18" i="10" s="1"/>
  <c r="Y18" i="10" s="1"/>
  <c r="Z18" i="10" s="1"/>
  <c r="AA18" i="10" s="1"/>
  <c r="L18" i="10" s="1"/>
  <c r="N18" i="10" s="1"/>
  <c r="M18" i="10"/>
  <c r="V24" i="10"/>
  <c r="W24" i="10" s="1"/>
  <c r="X24" i="10" s="1"/>
  <c r="Y24" i="10" s="1"/>
  <c r="Z24" i="10" s="1"/>
  <c r="AA24" i="10" s="1"/>
  <c r="L24" i="10" s="1"/>
  <c r="V30" i="10"/>
  <c r="W30" i="10" s="1"/>
  <c r="X30" i="10" s="1"/>
  <c r="Y30" i="10" s="1"/>
  <c r="Z30" i="10" s="1"/>
  <c r="AA30" i="10" s="1"/>
  <c r="L30" i="10" s="1"/>
  <c r="V36" i="10"/>
  <c r="W36" i="10" s="1"/>
  <c r="X36" i="10" s="1"/>
  <c r="Y36" i="10" s="1"/>
  <c r="M37" i="10"/>
  <c r="N37" i="10" s="1"/>
  <c r="M30" i="10"/>
  <c r="M17" i="10"/>
  <c r="M21" i="10"/>
  <c r="M20" i="10"/>
  <c r="M31" i="10"/>
  <c r="M24" i="10"/>
  <c r="M15" i="10"/>
  <c r="M14" i="10"/>
  <c r="B46" i="24"/>
  <c r="C45" i="24"/>
  <c r="E45" i="24" s="1"/>
  <c r="Q44" i="15"/>
  <c r="Q13" i="15" s="1"/>
  <c r="O12" i="15"/>
  <c r="P14" i="8" l="1"/>
  <c r="N10" i="10"/>
  <c r="AA32" i="10"/>
  <c r="L32" i="10" s="1"/>
  <c r="N32" i="10" s="1"/>
  <c r="N19" i="10"/>
  <c r="N22" i="10"/>
  <c r="N23" i="10"/>
  <c r="AA25" i="10"/>
  <c r="L25" i="10" s="1"/>
  <c r="N25" i="10" s="1"/>
  <c r="N11" i="10"/>
  <c r="N27" i="10"/>
  <c r="N31" i="10"/>
  <c r="Z29" i="10"/>
  <c r="AA29" i="10" s="1"/>
  <c r="L29" i="10" s="1"/>
  <c r="N29" i="10" s="1"/>
  <c r="N9" i="10"/>
  <c r="N13" i="10"/>
  <c r="N14" i="10"/>
  <c r="Z36" i="10"/>
  <c r="AA36" i="10" s="1"/>
  <c r="L36" i="10" s="1"/>
  <c r="N36" i="10" s="1"/>
  <c r="N15" i="10"/>
  <c r="N21" i="10"/>
  <c r="N24" i="10"/>
  <c r="Z17" i="10"/>
  <c r="AA17" i="10" s="1"/>
  <c r="L17" i="10" s="1"/>
  <c r="L6" i="10" s="1"/>
  <c r="N20" i="10"/>
  <c r="N30" i="10"/>
  <c r="M6" i="10"/>
  <c r="B47" i="24"/>
  <c r="C46" i="24"/>
  <c r="E46" i="24" s="1"/>
  <c r="Q12" i="15"/>
  <c r="Q6" i="15"/>
  <c r="Q7" i="15" s="1"/>
  <c r="Q8" i="15" s="1"/>
  <c r="C16" i="11"/>
  <c r="J16" i="14"/>
  <c r="E6" i="33" s="1"/>
  <c r="E7" i="33" s="1"/>
  <c r="D13" i="8" s="1"/>
  <c r="D16" i="14"/>
  <c r="E6" i="27" s="1"/>
  <c r="E7" i="27" s="1"/>
  <c r="D8" i="8" s="1"/>
  <c r="E16" i="14"/>
  <c r="E6" i="28" s="1"/>
  <c r="E7" i="28" s="1"/>
  <c r="D7" i="8" s="1"/>
  <c r="F16" i="14"/>
  <c r="E6" i="29" s="1"/>
  <c r="E7" i="29" s="1"/>
  <c r="D9" i="8" s="1"/>
  <c r="I16" i="14"/>
  <c r="E6" i="31" s="1"/>
  <c r="E7" i="31" s="1"/>
  <c r="D11" i="8" s="1"/>
  <c r="H16" i="14"/>
  <c r="E6" i="32" s="1"/>
  <c r="E7" i="32" s="1"/>
  <c r="D12" i="8" s="1"/>
  <c r="G16" i="14"/>
  <c r="E6" i="30" s="1"/>
  <c r="C16" i="14"/>
  <c r="E6" i="26" s="1"/>
  <c r="E7" i="26" s="1"/>
  <c r="D6" i="8" s="1"/>
  <c r="B16" i="14"/>
  <c r="E6" i="25" s="1"/>
  <c r="E7" i="25" s="1"/>
  <c r="D5" i="8" s="1"/>
  <c r="M11" i="8" l="1"/>
  <c r="I11" i="8" s="1"/>
  <c r="P11" i="8" s="1"/>
  <c r="M8" i="8"/>
  <c r="I8" i="8" s="1"/>
  <c r="P8" i="8" s="1"/>
  <c r="N17" i="10"/>
  <c r="N6" i="10" s="1"/>
  <c r="M6" i="8"/>
  <c r="E6" i="8" s="1"/>
  <c r="M12" i="8"/>
  <c r="E12" i="8" s="1"/>
  <c r="M5" i="8"/>
  <c r="M7" i="8"/>
  <c r="E7" i="8" s="1"/>
  <c r="M13" i="8"/>
  <c r="E13" i="8" s="1"/>
  <c r="M10" i="8"/>
  <c r="I10" i="8" s="1"/>
  <c r="P10" i="8" s="1"/>
  <c r="M9" i="8"/>
  <c r="I9" i="8" s="1"/>
  <c r="P9" i="8" s="1"/>
  <c r="B48" i="24"/>
  <c r="C47" i="24"/>
  <c r="E47" i="24" s="1"/>
  <c r="I5" i="8" l="1"/>
  <c r="M19" i="8"/>
  <c r="E11" i="8"/>
  <c r="N2" i="10"/>
  <c r="N3" i="10" s="1"/>
  <c r="N4" i="10" s="1"/>
  <c r="E14" i="8" s="1"/>
  <c r="L14" i="8" s="1"/>
  <c r="E8" i="8"/>
  <c r="L8" i="8" s="1"/>
  <c r="I7" i="8"/>
  <c r="I13" i="8"/>
  <c r="E9" i="8"/>
  <c r="L9" i="8" s="1"/>
  <c r="I12" i="8"/>
  <c r="P12" i="8" s="1"/>
  <c r="E5" i="8"/>
  <c r="L5" i="8" s="1"/>
  <c r="L11" i="8"/>
  <c r="B49" i="24"/>
  <c r="C48" i="24"/>
  <c r="E48" i="24" s="1"/>
  <c r="L13" i="8" l="1"/>
  <c r="P13" i="8"/>
  <c r="L7" i="8"/>
  <c r="N7" i="8" s="1"/>
  <c r="P7" i="8"/>
  <c r="P5" i="8"/>
  <c r="N14" i="8"/>
  <c r="L12" i="8"/>
  <c r="B50" i="24"/>
  <c r="C49" i="24"/>
  <c r="E49" i="24" s="1"/>
  <c r="B51" i="24" l="1"/>
  <c r="C50" i="24"/>
  <c r="E50" i="24" s="1"/>
  <c r="C21" i="11"/>
  <c r="B22" i="11"/>
  <c r="C22" i="11" s="1"/>
  <c r="B52" i="24" l="1"/>
  <c r="C51" i="24"/>
  <c r="E51" i="24" s="1"/>
  <c r="B23" i="11"/>
  <c r="B53" i="24" l="1"/>
  <c r="C52" i="24"/>
  <c r="E52" i="24" s="1"/>
  <c r="B24" i="11"/>
  <c r="C23" i="11"/>
  <c r="B54" i="24" l="1"/>
  <c r="C53" i="24"/>
  <c r="E53" i="24" s="1"/>
  <c r="B25" i="11"/>
  <c r="C24" i="11"/>
  <c r="B55" i="24" l="1"/>
  <c r="C54" i="24"/>
  <c r="E54" i="24" s="1"/>
  <c r="B26" i="11"/>
  <c r="C25" i="11"/>
  <c r="B56" i="24" l="1"/>
  <c r="C55" i="24"/>
  <c r="E55" i="24" s="1"/>
  <c r="B27" i="11"/>
  <c r="C26" i="11"/>
  <c r="B57" i="24" l="1"/>
  <c r="C56" i="24"/>
  <c r="E56" i="24" s="1"/>
  <c r="B28" i="11"/>
  <c r="C27" i="11"/>
  <c r="B58" i="24" l="1"/>
  <c r="C57" i="24"/>
  <c r="E57" i="24" s="1"/>
  <c r="B29" i="11"/>
  <c r="C28" i="11"/>
  <c r="C58" i="24" l="1"/>
  <c r="E58" i="24" s="1"/>
  <c r="F24" i="24" s="1"/>
  <c r="F25" i="24" s="1"/>
  <c r="F26" i="24" s="1"/>
  <c r="B59" i="24"/>
  <c r="B30" i="11"/>
  <c r="C29" i="11"/>
  <c r="C17" i="24" l="1"/>
  <c r="C59" i="24"/>
  <c r="E59" i="24" s="1"/>
  <c r="B60" i="24"/>
  <c r="B31" i="11"/>
  <c r="C30" i="11"/>
  <c r="H6" i="8" l="1"/>
  <c r="J6" i="8" s="1"/>
  <c r="B61" i="24"/>
  <c r="C60" i="24"/>
  <c r="E60" i="24" s="1"/>
  <c r="B32" i="11"/>
  <c r="C31" i="11"/>
  <c r="J19" i="8" l="1"/>
  <c r="C61" i="24"/>
  <c r="E61" i="24" s="1"/>
  <c r="B62" i="24"/>
  <c r="C62" i="24" s="1"/>
  <c r="E62" i="24" s="1"/>
  <c r="B33" i="11"/>
  <c r="C32" i="11"/>
  <c r="E24" i="24" l="1"/>
  <c r="E25" i="24" s="1"/>
  <c r="E26" i="24" s="1"/>
  <c r="H7" i="24" s="1"/>
  <c r="G6" i="8" s="1"/>
  <c r="I6" i="8" s="1"/>
  <c r="I19" i="8" s="1"/>
  <c r="B34" i="11"/>
  <c r="C34" i="11" s="1"/>
  <c r="C33" i="11"/>
  <c r="P6" i="8" l="1"/>
  <c r="L6" i="8"/>
  <c r="N9" i="8" l="1"/>
  <c r="N8" i="8" l="1"/>
  <c r="N13" i="8"/>
  <c r="N12" i="8"/>
  <c r="N11" i="8"/>
  <c r="N6" i="8"/>
  <c r="N5" i="8" l="1"/>
  <c r="C50" i="30" l="1"/>
  <c r="E50" i="30" s="1"/>
  <c r="C38" i="30"/>
  <c r="E38" i="30" s="1"/>
  <c r="C26" i="30"/>
  <c r="E26" i="30" s="1"/>
  <c r="C14" i="30"/>
  <c r="E14" i="30" s="1"/>
  <c r="C55" i="30"/>
  <c r="E55" i="30" s="1"/>
  <c r="C43" i="30"/>
  <c r="E43" i="30" s="1"/>
  <c r="C31" i="30"/>
  <c r="E31" i="30" s="1"/>
  <c r="C19" i="30"/>
  <c r="E19" i="30" s="1"/>
  <c r="C39" i="30"/>
  <c r="E39" i="30" s="1"/>
  <c r="C54" i="30"/>
  <c r="E54" i="30" s="1"/>
  <c r="C42" i="30"/>
  <c r="E42" i="30" s="1"/>
  <c r="C30" i="30"/>
  <c r="E30" i="30" s="1"/>
  <c r="C18" i="30"/>
  <c r="E18" i="30" s="1"/>
  <c r="C51" i="30"/>
  <c r="E51" i="30" s="1"/>
  <c r="C60" i="30"/>
  <c r="E60" i="30" s="1"/>
  <c r="C47" i="30"/>
  <c r="E47" i="30" s="1"/>
  <c r="C35" i="30"/>
  <c r="E35" i="30" s="1"/>
  <c r="C23" i="30"/>
  <c r="E23" i="30" s="1"/>
  <c r="C11" i="30"/>
  <c r="E11" i="30" s="1"/>
  <c r="C27" i="30"/>
  <c r="E27" i="30" s="1"/>
  <c r="C52" i="30"/>
  <c r="E52" i="30" s="1"/>
  <c r="C40" i="30"/>
  <c r="E40" i="30" s="1"/>
  <c r="C22" i="30"/>
  <c r="E22" i="30" s="1"/>
  <c r="C45" i="30"/>
  <c r="E45" i="30" s="1"/>
  <c r="C56" i="30"/>
  <c r="E56" i="30" s="1"/>
  <c r="C59" i="30"/>
  <c r="E59" i="30" s="1"/>
  <c r="C44" i="30"/>
  <c r="E44" i="30" s="1"/>
  <c r="C20" i="30"/>
  <c r="E20" i="30" s="1"/>
  <c r="C49" i="30"/>
  <c r="E49" i="30" s="1"/>
  <c r="C25" i="30"/>
  <c r="E25" i="30" s="1"/>
  <c r="C15" i="30"/>
  <c r="E15" i="30" s="1"/>
  <c r="C36" i="30"/>
  <c r="E36" i="30" s="1"/>
  <c r="C12" i="30"/>
  <c r="E12" i="30" s="1"/>
  <c r="C53" i="30"/>
  <c r="E53" i="30" s="1"/>
  <c r="C57" i="30"/>
  <c r="E57" i="30" s="1"/>
  <c r="C46" i="30"/>
  <c r="E46" i="30" s="1"/>
  <c r="C16" i="30"/>
  <c r="E16" i="30" s="1"/>
  <c r="C10" i="30"/>
  <c r="E10" i="30" s="1"/>
  <c r="C32" i="30"/>
  <c r="E32" i="30"/>
  <c r="C37" i="30"/>
  <c r="E37" i="30" s="1"/>
  <c r="C13" i="30"/>
  <c r="E13" i="30"/>
  <c r="C48" i="30"/>
  <c r="E48" i="30"/>
  <c r="C24" i="30"/>
  <c r="E24" i="30" s="1"/>
  <c r="C33" i="30"/>
  <c r="E33" i="30"/>
  <c r="C41" i="30"/>
  <c r="E41" i="30" s="1"/>
  <c r="C17" i="30"/>
  <c r="E17" i="30" s="1"/>
  <c r="C58" i="30"/>
  <c r="E58" i="30" s="1"/>
  <c r="C34" i="30"/>
  <c r="E34" i="30" s="1"/>
  <c r="C21" i="30"/>
  <c r="E21" i="30"/>
  <c r="C28" i="30"/>
  <c r="E28" i="30" s="1"/>
  <c r="C29" i="30"/>
  <c r="E29" i="30" s="1"/>
  <c r="E5" i="30" l="1"/>
  <c r="E7" i="30" s="1"/>
  <c r="D10" i="8" s="1"/>
  <c r="E10" i="8" s="1"/>
  <c r="L10" i="8" s="1"/>
  <c r="L19" i="8" l="1"/>
  <c r="N10" i="8"/>
  <c r="N19" i="8" l="1"/>
</calcChain>
</file>

<file path=xl/comments1.xml><?xml version="1.0" encoding="utf-8"?>
<comments xmlns="http://schemas.openxmlformats.org/spreadsheetml/2006/main">
  <authors>
    <author>jyl3501</author>
    <author>Lyons, John</author>
  </authors>
  <commentList>
    <comment ref="M4" authorId="0" shapeId="0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Hydro is based on average MWhs for one-time calculation.</t>
        </r>
      </text>
    </comment>
    <comment ref="M14" authorId="1" shapeId="0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Estimate 349,406 MWh from Palouse and 1,666 MWh of RECs to CARB for GHG compliance</t>
        </r>
      </text>
    </comment>
  </commentList>
</comments>
</file>

<file path=xl/comments2.xml><?xml version="1.0" encoding="utf-8"?>
<comments xmlns="http://schemas.openxmlformats.org/spreadsheetml/2006/main">
  <authors>
    <author>James Gall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This is the quanty of energy expected from the RFP analysis, not the final design</t>
        </r>
      </text>
    </comment>
    <comment ref="Q5" authorId="0" shapeId="0">
      <text>
        <r>
          <rPr>
            <sz val="9"/>
            <color indexed="81"/>
            <rFont val="Tahoma"/>
            <family val="2"/>
          </rPr>
          <t>Excludes miscellanous charges</t>
        </r>
      </text>
    </comment>
    <comment ref="AD5" authorId="0" shapeId="0">
      <text>
        <r>
          <rPr>
            <sz val="9"/>
            <color indexed="81"/>
            <rFont val="Tahoma"/>
            <family val="2"/>
          </rPr>
          <t>Excludes miscellanous charges</t>
        </r>
      </text>
    </comment>
  </commentList>
</comments>
</file>

<file path=xl/comments3.xml><?xml version="1.0" encoding="utf-8"?>
<comments xmlns="http://schemas.openxmlformats.org/spreadsheetml/2006/main">
  <authors>
    <author>James Gall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This is the quanty of energy expected from the RFP analysis, not the final design</t>
        </r>
      </text>
    </comment>
    <comment ref="T5" authorId="0" shapeId="0">
      <text>
        <r>
          <rPr>
            <sz val="9"/>
            <color indexed="81"/>
            <rFont val="Tahoma"/>
            <family val="2"/>
          </rPr>
          <t>Excludes miscellanous charges</t>
        </r>
      </text>
    </comment>
    <comment ref="AG5" authorId="0" shapeId="0">
      <text>
        <r>
          <rPr>
            <sz val="9"/>
            <color indexed="81"/>
            <rFont val="Tahoma"/>
            <family val="2"/>
          </rPr>
          <t>Excludes miscellanous charges</t>
        </r>
      </text>
    </comment>
  </commentList>
</comments>
</file>

<file path=xl/comments4.xml><?xml version="1.0" encoding="utf-8"?>
<comments xmlns="http://schemas.openxmlformats.org/spreadsheetml/2006/main">
  <authors>
    <author>James Gall</author>
  </authors>
  <commentList>
    <comment ref="Z11" authorId="0" shapeId="0">
      <text>
        <r>
          <rPr>
            <b/>
            <sz val="9"/>
            <color indexed="81"/>
            <rFont val="Tahoma"/>
            <family val="2"/>
          </rPr>
          <t>Excludes miscellanous charges</t>
        </r>
      </text>
    </comment>
  </commentList>
</comments>
</file>

<file path=xl/comments5.xml><?xml version="1.0" encoding="utf-8"?>
<comments xmlns="http://schemas.openxmlformats.org/spreadsheetml/2006/main">
  <authors>
    <author>James Gall</author>
  </authors>
  <commentList>
    <comment ref="AA11" authorId="0" shapeId="0">
      <text>
        <r>
          <rPr>
            <b/>
            <sz val="9"/>
            <color indexed="81"/>
            <rFont val="Tahoma"/>
            <family val="2"/>
          </rPr>
          <t>Excludes miscellanous charges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Capital Cost to Remain the same for this calculation for a 2016 plant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Capital Cost to Remain the same for this calculation for a 2016 plant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James Gall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James Gall:</t>
        </r>
        <r>
          <rPr>
            <sz val="9"/>
            <color indexed="81"/>
            <rFont val="Tahoma"/>
            <family val="2"/>
          </rPr>
          <t xml:space="preserve">
Assumed cost was embedded in to the fuel price at Stanfied</t>
        </r>
      </text>
    </comment>
    <comment ref="AA11" authorId="0" shapeId="0">
      <text>
        <r>
          <rPr>
            <b/>
            <sz val="9"/>
            <color indexed="81"/>
            <rFont val="Tahoma"/>
            <family val="2"/>
          </rPr>
          <t>Excludes miscellanous charges</t>
        </r>
      </text>
    </comment>
  </commentList>
</comments>
</file>

<file path=xl/comments7.xml><?xml version="1.0" encoding="utf-8"?>
<comments xmlns="http://schemas.openxmlformats.org/spreadsheetml/2006/main">
  <authors>
    <author>James Gall</author>
  </authors>
  <commentList>
    <comment ref="F11" authorId="0" shapeId="0">
      <text>
        <r>
          <rPr>
            <b/>
            <sz val="9"/>
            <color indexed="81"/>
            <rFont val="Tahoma"/>
            <family val="2"/>
          </rPr>
          <t>James Gall:</t>
        </r>
        <r>
          <rPr>
            <sz val="9"/>
            <color indexed="81"/>
            <rFont val="Tahoma"/>
            <family val="2"/>
          </rPr>
          <t xml:space="preserve">
Assumes built into capital charge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James Gall:</t>
        </r>
        <r>
          <rPr>
            <sz val="9"/>
            <color indexed="81"/>
            <rFont val="Tahoma"/>
            <family val="2"/>
          </rPr>
          <t xml:space="preserve">
Assumed in fixed o&amp;m</t>
        </r>
      </text>
    </comment>
    <comment ref="AA11" authorId="0" shapeId="0">
      <text>
        <r>
          <rPr>
            <b/>
            <sz val="9"/>
            <color indexed="81"/>
            <rFont val="Tahoma"/>
            <family val="2"/>
          </rPr>
          <t>Excludes miscellanous charges</t>
        </r>
      </text>
    </comment>
    <comment ref="X21" authorId="0" shapeId="0">
      <text>
        <r>
          <rPr>
            <b/>
            <sz val="9"/>
            <color indexed="81"/>
            <rFont val="Tahoma"/>
            <family val="2"/>
          </rPr>
          <t>James Gall:</t>
        </r>
        <r>
          <rPr>
            <sz val="9"/>
            <color indexed="81"/>
            <rFont val="Tahoma"/>
            <family val="2"/>
          </rPr>
          <t xml:space="preserve">
Assumed in fixed O&amp;M</t>
        </r>
      </text>
    </comment>
    <comment ref="X23" authorId="0" shapeId="0">
      <text>
        <r>
          <rPr>
            <b/>
            <sz val="9"/>
            <color indexed="81"/>
            <rFont val="Tahoma"/>
            <family val="2"/>
          </rPr>
          <t>James Gall:</t>
        </r>
        <r>
          <rPr>
            <sz val="9"/>
            <color indexed="81"/>
            <rFont val="Tahoma"/>
            <family val="2"/>
          </rPr>
          <t xml:space="preserve">
estimated- average heat rate is 6,946</t>
        </r>
      </text>
    </comment>
  </commentList>
</comments>
</file>

<file path=xl/comments8.xml><?xml version="1.0" encoding="utf-8"?>
<comments xmlns="http://schemas.openxmlformats.org/spreadsheetml/2006/main">
  <authors>
    <author>James Gall</author>
    <author>Gall, James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>James Gall:</t>
        </r>
        <r>
          <rPr>
            <sz val="9"/>
            <color indexed="81"/>
            <rFont val="Tahoma"/>
            <family val="2"/>
          </rPr>
          <t xml:space="preserve">
Uses 2011 IRP Spit as split was not identified in 2001 IRP</t>
        </r>
      </text>
    </comment>
    <comment ref="F8" authorId="1" shapeId="0">
      <text>
        <r>
          <rPr>
            <b/>
            <sz val="9"/>
            <color indexed="81"/>
            <rFont val="Tahoma"/>
            <family val="2"/>
          </rPr>
          <t>Gall, James:</t>
        </r>
        <r>
          <rPr>
            <sz val="9"/>
            <color indexed="81"/>
            <rFont val="Tahoma"/>
            <family val="2"/>
          </rPr>
          <t xml:space="preserve">
Discounted by 6% as an estimate for tax savings from the change from 35% to 21%, this is estimated by using the levelized change in capital revenue requirements from other project years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</rPr>
          <t>James Gall:</t>
        </r>
        <r>
          <rPr>
            <sz val="9"/>
            <color indexed="81"/>
            <rFont val="Tahoma"/>
            <family val="2"/>
          </rPr>
          <t xml:space="preserve">
From CS2 Analysis</t>
        </r>
      </text>
    </comment>
  </commentList>
</comments>
</file>

<file path=xl/comments9.xml><?xml version="1.0" encoding="utf-8"?>
<comments xmlns="http://schemas.openxmlformats.org/spreadsheetml/2006/main">
  <authors>
    <author>James Gall</author>
    <author>Gall, James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</rPr>
          <t>James Gall:</t>
        </r>
        <r>
          <rPr>
            <sz val="9"/>
            <color indexed="81"/>
            <rFont val="Tahoma"/>
            <family val="2"/>
          </rPr>
          <t xml:space="preserve">
From CS2 Analysis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>James Gall:</t>
        </r>
        <r>
          <rPr>
            <sz val="9"/>
            <color indexed="81"/>
            <rFont val="Tahoma"/>
            <family val="2"/>
          </rPr>
          <t xml:space="preserve">
IRP indicates no transmission cost are estimated, using bpa rate as what happens later with CS2</t>
        </r>
      </text>
    </comment>
    <comment ref="B19" authorId="1" shapeId="0">
      <text>
        <r>
          <rPr>
            <b/>
            <sz val="9"/>
            <color indexed="81"/>
            <rFont val="Tahoma"/>
            <family val="2"/>
          </rPr>
          <t>Adjustment was made to reduce capital portion of this cost by 6% as the estimate of savings from the tax law change from 35% to 21%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>James Gall:</t>
        </r>
        <r>
          <rPr>
            <sz val="9"/>
            <color indexed="81"/>
            <rFont val="Tahoma"/>
            <family val="2"/>
          </rPr>
          <t xml:space="preserve">
uses same factor as 2001 plant</t>
        </r>
      </text>
    </comment>
  </commentList>
</comments>
</file>

<file path=xl/sharedStrings.xml><?xml version="1.0" encoding="utf-8"?>
<sst xmlns="http://schemas.openxmlformats.org/spreadsheetml/2006/main" count="518" uniqueCount="226">
  <si>
    <t>MWh</t>
  </si>
  <si>
    <t>May</t>
  </si>
  <si>
    <t>Total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</si>
  <si>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</si>
  <si>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</si>
  <si>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</si>
  <si>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</si>
  <si>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</si>
  <si>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</si>
  <si>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</si>
  <si>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</si>
  <si>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</si>
  <si>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</si>
  <si>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</si>
  <si>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Annual</t>
  </si>
  <si>
    <t>$/MWh</t>
  </si>
  <si>
    <t>Cabinet Gorge 2</t>
  </si>
  <si>
    <t>Cabinet Gorge 3</t>
  </si>
  <si>
    <t>Cabinet Gorge 4</t>
  </si>
  <si>
    <t>Noxon Rapids 1</t>
  </si>
  <si>
    <t>Noxon Rapids 2</t>
  </si>
  <si>
    <t>Noxon Rapids 3</t>
  </si>
  <si>
    <t>Resource</t>
  </si>
  <si>
    <t>Notes</t>
  </si>
  <si>
    <t>CG3 Upgrade</t>
  </si>
  <si>
    <t>CG2 Upgrade</t>
  </si>
  <si>
    <t>CG4 Upgrade</t>
  </si>
  <si>
    <t>NR1 Upgrade</t>
  </si>
  <si>
    <t>NR3 Upgrade</t>
  </si>
  <si>
    <t>NR2 Upgrade</t>
  </si>
  <si>
    <t>Substitution Resource: Energy Value</t>
  </si>
  <si>
    <t>Substitution Resource: Capacity Value</t>
  </si>
  <si>
    <t>NR4 Upgrade</t>
  </si>
  <si>
    <t>Noxon Rapids 4</t>
  </si>
  <si>
    <t>Total Cost</t>
  </si>
  <si>
    <t>Year</t>
  </si>
  <si>
    <t>Palouse Wind</t>
  </si>
  <si>
    <t>Renewable Energy Credit Sales</t>
  </si>
  <si>
    <t>Integration Cost</t>
  </si>
  <si>
    <t xml:space="preserve"> </t>
  </si>
  <si>
    <t>2007 Wind Integration Study Costs (100MW)</t>
  </si>
  <si>
    <t>Mid-C</t>
  </si>
  <si>
    <t>Cost</t>
  </si>
  <si>
    <t>Low</t>
  </si>
  <si>
    <t>Mid</t>
  </si>
  <si>
    <t>High</t>
  </si>
  <si>
    <t>Quadratic Fit:  y=a+bx+cx^2</t>
  </si>
  <si>
    <t>Coefficient Data:</t>
  </si>
  <si>
    <t>a =</t>
  </si>
  <si>
    <t>b =</t>
  </si>
  <si>
    <t>c =</t>
  </si>
  <si>
    <t>105 MW Adjustment</t>
  </si>
  <si>
    <t>Quadratic Fit</t>
  </si>
  <si>
    <t>Integration Study</t>
  </si>
  <si>
    <t>Land</t>
  </si>
  <si>
    <t>Station</t>
  </si>
  <si>
    <t>Interconnection</t>
  </si>
  <si>
    <t>Little Falls 4</t>
  </si>
  <si>
    <t>Long Lake 3</t>
  </si>
  <si>
    <t>2014 Avg Mid C Hourly Price</t>
  </si>
  <si>
    <t>PPA Cost</t>
  </si>
  <si>
    <t>Captial Cost</t>
  </si>
  <si>
    <t>In service date</t>
  </si>
  <si>
    <t>PPA Price $/MWh</t>
  </si>
  <si>
    <t>Integration</t>
  </si>
  <si>
    <t>Mid C Flat Price Forecast at time of study</t>
  </si>
  <si>
    <t>Imputted Debt Calculation</t>
  </si>
  <si>
    <t>NPV of PPA Payments</t>
  </si>
  <si>
    <t>Discount By Risk Factor</t>
  </si>
  <si>
    <t>Incremental Equity (50/50)</t>
  </si>
  <si>
    <t>Pre-Tax Equity Return</t>
  </si>
  <si>
    <t>Offset of Debt Reduction</t>
  </si>
  <si>
    <t>Additioanl Pre-Tax Rev Req</t>
  </si>
  <si>
    <t>Imputted Debt</t>
  </si>
  <si>
    <t>Imputed Debt Discount</t>
  </si>
  <si>
    <t>Debt Equivalence</t>
  </si>
  <si>
    <t>Equity Rate</t>
  </si>
  <si>
    <t>Debt Rate</t>
  </si>
  <si>
    <t>Tax Rate</t>
  </si>
  <si>
    <t>Capital as % of Price</t>
  </si>
  <si>
    <t>FWD Market Adjustment</t>
  </si>
  <si>
    <t>Months</t>
  </si>
  <si>
    <t>Uncollectibles</t>
  </si>
  <si>
    <t>Commission Fees</t>
  </si>
  <si>
    <t>Washington excise tax</t>
  </si>
  <si>
    <t>Miscellanous Charges</t>
  </si>
  <si>
    <t>Interconnection Capital</t>
  </si>
  <si>
    <t>PPA Energy Expection</t>
  </si>
  <si>
    <t>Transmission Capital Recovery Factor</t>
  </si>
  <si>
    <t>After Tax WACC</t>
  </si>
  <si>
    <t>2012 NPV</t>
  </si>
  <si>
    <t>Levelized</t>
  </si>
  <si>
    <t>Assumptions</t>
  </si>
  <si>
    <t>Levelized Cost $/MWh</t>
  </si>
  <si>
    <t>Net Revenue Requirement</t>
  </si>
  <si>
    <t>Substitution Resource: Energy Cost $/MWh</t>
  </si>
  <si>
    <t>Substitution Resource: Capacity Cost $/kW-Yr</t>
  </si>
  <si>
    <t>Capacity Credit (MW)</t>
  </si>
  <si>
    <t>Fixed O&amp;M</t>
  </si>
  <si>
    <t>Variable O&amp;M</t>
  </si>
  <si>
    <t>Trans. Capital Recovery</t>
  </si>
  <si>
    <t>Gen. Capital Recovery</t>
  </si>
  <si>
    <t>Fuel Transport</t>
  </si>
  <si>
    <t>Fixed O&amp;M (2012$/kW/Yr)</t>
  </si>
  <si>
    <t>Variable Costs (2012$/MWh)</t>
  </si>
  <si>
    <t>Fuel Transport (2012$/Dth/D)</t>
  </si>
  <si>
    <t>AECO Prices</t>
  </si>
  <si>
    <t>Fuel Charge (%)</t>
  </si>
  <si>
    <t>Forced Outage Rate</t>
  </si>
  <si>
    <t>Maintenance Days</t>
  </si>
  <si>
    <t>Yr</t>
  </si>
  <si>
    <t>30 Yrs</t>
  </si>
  <si>
    <t>50 Yrs</t>
  </si>
  <si>
    <t>Total Fixed Costs</t>
  </si>
  <si>
    <t>Fuel Cost</t>
  </si>
  <si>
    <t>Heat Rate (Baseload)</t>
  </si>
  <si>
    <t>Heat Rate (Duct Fire)</t>
  </si>
  <si>
    <t>Baseload Size (MW)</t>
  </si>
  <si>
    <t>Ductfire Size (MW)</t>
  </si>
  <si>
    <t>Baseload MWh</t>
  </si>
  <si>
    <t>Duct Fire MWH</t>
  </si>
  <si>
    <t>Fuel Transport Inflator</t>
  </si>
  <si>
    <t>Total Variable Costs</t>
  </si>
  <si>
    <t>50/50 GDP/CPI Inflator</t>
  </si>
  <si>
    <t>$/kW-Yr</t>
  </si>
  <si>
    <t>Capital Cost w/AFUDC ($2012/kW)</t>
  </si>
  <si>
    <t>Transmission Capital Cost w/AFUDC ($2012/kW)</t>
  </si>
  <si>
    <t>2001 IRP</t>
  </si>
  <si>
    <t>Page 33</t>
  </si>
  <si>
    <t>Table D-1</t>
  </si>
  <si>
    <t>250 MW CC - West &amp; A2-15 Block 2 Base</t>
  </si>
  <si>
    <t>Capital</t>
  </si>
  <si>
    <t>O&amp;M</t>
  </si>
  <si>
    <t>Fuel</t>
  </si>
  <si>
    <t>Water-Cooled Combined Cycle from 2011 IRP</t>
  </si>
  <si>
    <t>1999$ Nominal</t>
  </si>
  <si>
    <t>Inflation</t>
  </si>
  <si>
    <t>2011$ Nominal</t>
  </si>
  <si>
    <t>Fixed Cost $/MWh</t>
  </si>
  <si>
    <t>Variable Cost $/MWh</t>
  </si>
  <si>
    <t>Total $/MWh</t>
  </si>
  <si>
    <t>VC Share</t>
  </si>
  <si>
    <t>Availability</t>
  </si>
  <si>
    <t>$/kW-yr</t>
  </si>
  <si>
    <t>On-line Year</t>
  </si>
  <si>
    <t>1997 IRP</t>
  </si>
  <si>
    <t>Page 131</t>
  </si>
  <si>
    <t>Table ES-1</t>
  </si>
  <si>
    <t>1995$</t>
  </si>
  <si>
    <t>Nominal</t>
  </si>
  <si>
    <t>Inflation Index</t>
  </si>
  <si>
    <t>Discount Rate</t>
  </si>
  <si>
    <t>Fuel Cost/ MWh</t>
  </si>
  <si>
    <t>Capital '95</t>
  </si>
  <si>
    <t>Fixed &amp; Variable O&amp;M</t>
  </si>
  <si>
    <t>First Year Fuel Cost ($/MWh)</t>
  </si>
  <si>
    <t>$/MWh (Real '95)</t>
  </si>
  <si>
    <t>$/MWh Nominal $</t>
  </si>
  <si>
    <t>Levelized Fuel</t>
  </si>
  <si>
    <t>Non Fuel $/MWH</t>
  </si>
  <si>
    <t>Estimated Variable O&amp;M from 2001 plant</t>
  </si>
  <si>
    <t>Estimated Fixed Costs (capital/O&amp;M) $/kW-Yr</t>
  </si>
  <si>
    <t>Total Variable ($/MWh)</t>
  </si>
  <si>
    <t>Total Fixed ($/kW-yr)</t>
  </si>
  <si>
    <t>Adjusted to 1999</t>
  </si>
  <si>
    <t>NPV</t>
  </si>
  <si>
    <t>1999$</t>
  </si>
  <si>
    <t>Fuel Costs</t>
  </si>
  <si>
    <t>Adjustment for transport</t>
  </si>
  <si>
    <t>CCCT from 2003 IRP</t>
  </si>
  <si>
    <t>2000$</t>
  </si>
  <si>
    <t>Fixed O&amp;M (2004$/kW/Yr)</t>
  </si>
  <si>
    <t>Variable Costs (2004$/MWh)</t>
  </si>
  <si>
    <t>Fuel Transport (2004$/Dth/D)</t>
  </si>
  <si>
    <t>HH Prices (2003 $)</t>
  </si>
  <si>
    <t>2004 NPV</t>
  </si>
  <si>
    <t>CCCT from 2007 IRP</t>
  </si>
  <si>
    <t>2007 NPV</t>
  </si>
  <si>
    <t>2003$</t>
  </si>
  <si>
    <t>Fixed O&amp;M (2007$/kW/Yr)</t>
  </si>
  <si>
    <t>Variable Costs (2007$/MWh)</t>
  </si>
  <si>
    <t>Fuel Transport (2007$/Dth/D)</t>
  </si>
  <si>
    <t>Capital Cost w/AFUDC ($2007/kW)</t>
  </si>
  <si>
    <t>Transmission Capital Cost w/AFUDC ($2007/kW)</t>
  </si>
  <si>
    <t>Trans. Wheeling</t>
  </si>
  <si>
    <t>Stanfield  Prices</t>
  </si>
  <si>
    <t>Recovery Factor</t>
  </si>
  <si>
    <t>Annual Revenue Requirement</t>
  </si>
  <si>
    <t>Capital Investment</t>
  </si>
  <si>
    <t>Change in O&amp;M</t>
  </si>
  <si>
    <t>Annual Energy</t>
  </si>
  <si>
    <t>30 Yr Levelized</t>
  </si>
  <si>
    <t>Uses 2001 IRP assumptions, levelized upgrade uses first 30 yrs</t>
  </si>
  <si>
    <t>Uses 1997 IRP assumptions, levelized upgrade uses first 30 yrs</t>
  </si>
  <si>
    <t>Uses 2003 IRP assumptions, levelized upgrade uses first 30 yrs</t>
  </si>
  <si>
    <t>Uses 2007 IRP assumptions, levelized upgrade uses first 30 yrs</t>
  </si>
  <si>
    <t>Uses 2007 IRP assumptions (decision made in 2008, adjusted for inflation), levelized upgrade uses first 30 yrs</t>
  </si>
  <si>
    <t>Uses 2011 IRP assumptions (decision made in 2011, adjusted for inflation), levelized upgrade uses first 30 yrs</t>
  </si>
  <si>
    <t>2009 NPV</t>
  </si>
  <si>
    <t>2010 NPV</t>
  </si>
  <si>
    <t>2011 NPV</t>
  </si>
  <si>
    <t xml:space="preserve">WAC 480-109-210 (2a) </t>
  </si>
  <si>
    <t>Nine Mile 1 &amp; 2</t>
  </si>
  <si>
    <t>Nine Mile 1</t>
  </si>
  <si>
    <t>Nine Mile 2</t>
  </si>
  <si>
    <t>2016 NPV</t>
  </si>
  <si>
    <t>Kettle Falls</t>
  </si>
  <si>
    <t>Uses 2011 IRP assumptions (decision made in 2012, adjusted for inflation to 2016), levelized upgrade uses first 30 yrs</t>
  </si>
  <si>
    <t>REC MWh</t>
  </si>
  <si>
    <t>Incremental Cost Calculation w/ 21% tax rates</t>
  </si>
  <si>
    <t xml:space="preserve">Updated to new tax law </t>
  </si>
  <si>
    <t>Tax rate change factor</t>
  </si>
  <si>
    <t>Rattlesnake Flat</t>
  </si>
  <si>
    <t>Capital Cost w/AFUDC ($2020/kW)</t>
  </si>
  <si>
    <t>Transmission Capital Cost w/AFUDC ($2016/kW)</t>
  </si>
  <si>
    <t>Fixed O&amp;M (2016$/kW/Yr)</t>
  </si>
  <si>
    <t>Variable Costs (2016$/MWh)</t>
  </si>
  <si>
    <t>Fuel Transport (2016$/Dth/D)</t>
  </si>
  <si>
    <t>Stanfield Prices</t>
  </si>
  <si>
    <t>Duct Fire MWh</t>
  </si>
  <si>
    <t>2020 NPV</t>
  </si>
  <si>
    <t>2020 PV</t>
  </si>
  <si>
    <t>Wheeling</t>
  </si>
  <si>
    <t>Wind Integration ($/kW-yr)</t>
  </si>
  <si>
    <t>Uses 2017 IRP Assumptions (decision made in 2018, adjusted for inflation to 2020)</t>
  </si>
  <si>
    <t>GE 7F.04 CCCT from 2017 IRP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</si>
</sst>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$&quot;#,##0"/>
    <numFmt numFmtId="167" formatCode="&quot;$&quot;#,##0.00"/>
    <numFmt numFmtId="168" formatCode="_(* #,##0.0000_);_(* \(#,##0.0000\);_(* &quot;-&quot;??_);_(@_)"/>
    <numFmt numFmtId="169" formatCode="0.0%"/>
    <numFmt numFmtId="170" formatCode="#,##0.0"/>
    <numFmt numFmtId="171" formatCode="0.0"/>
  </numFmts>
  <fonts count="26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b/>
      <sz val="1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61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name val="Courier"/>
      <family val="3"/>
    </font>
    <font>
      <sz val="10"/>
      <name val="Geneva"/>
    </font>
    <font>
      <sz val="10"/>
      <name val="MS Sans Serif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2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0" fillId="3" borderId="0" applyNumberFormat="0" applyBorder="0" applyAlignment="0" applyProtection="0"/>
    <xf numFmtId="0" fontId="19" fillId="2" borderId="0" applyNumberFormat="0" applyBorder="0" applyAlignment="0" applyProtection="0"/>
    <xf numFmtId="0" fontId="16" fillId="0" borderId="0"/>
    <xf numFmtId="0" fontId="16" fillId="0" borderId="0"/>
    <xf numFmtId="0" fontId="21" fillId="0" borderId="0"/>
    <xf numFmtId="8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7" fillId="0" borderId="0" applyNumberFormat="0" applyFont="0" applyFill="0" applyBorder="0" applyAlignment="0">
      <protection locked="0"/>
    </xf>
    <xf numFmtId="0" fontId="17" fillId="5" borderId="0" applyNumberFormat="0" applyBorder="0" applyAlignment="0">
      <protection locked="0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5" fillId="0" borderId="0"/>
    <xf numFmtId="0" fontId="17" fillId="0" borderId="0"/>
    <xf numFmtId="0" fontId="23" fillId="0" borderId="0"/>
    <xf numFmtId="0" fontId="23" fillId="0" borderId="0"/>
    <xf numFmtId="0" fontId="16" fillId="0" borderId="0"/>
    <xf numFmtId="0" fontId="16" fillId="0" borderId="0"/>
    <xf numFmtId="0" fontId="16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23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</cellStyleXfs>
  <cellXfs count="114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3" fontId="0" fillId="0" borderId="0" xfId="0" applyNumberFormat="1"/>
    <xf numFmtId="43" fontId="0" fillId="0" borderId="0" xfId="1" applyFont="1"/>
    <xf numFmtId="43" fontId="0" fillId="0" borderId="0" xfId="0" applyNumberFormat="1"/>
    <xf numFmtId="0" fontId="0" fillId="0" borderId="0" xfId="0" applyAlignment="1">
      <alignment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right" wrapText="1"/>
    </xf>
    <xf numFmtId="0" fontId="9" fillId="0" borderId="1" xfId="0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center" wrapText="1"/>
    </xf>
    <xf numFmtId="166" fontId="7" fillId="0" borderId="0" xfId="0" applyNumberFormat="1" applyFont="1"/>
    <xf numFmtId="3" fontId="7" fillId="0" borderId="0" xfId="0" applyNumberFormat="1" applyFont="1"/>
    <xf numFmtId="167" fontId="7" fillId="0" borderId="0" xfId="1" applyNumberFormat="1" applyFont="1"/>
    <xf numFmtId="0" fontId="10" fillId="0" borderId="0" xfId="0" applyFont="1"/>
    <xf numFmtId="0" fontId="9" fillId="0" borderId="2" xfId="0" applyFont="1" applyBorder="1" applyAlignment="1">
      <alignment horizontal="left" indent="1"/>
    </xf>
    <xf numFmtId="166" fontId="9" fillId="0" borderId="2" xfId="0" applyNumberFormat="1" applyFont="1" applyBorder="1"/>
    <xf numFmtId="167" fontId="9" fillId="0" borderId="2" xfId="1" applyNumberFormat="1" applyFont="1" applyBorder="1"/>
    <xf numFmtId="0" fontId="10" fillId="0" borderId="0" xfId="0" applyFont="1" applyAlignment="1">
      <alignment horizontal="left" indent="1"/>
    </xf>
    <xf numFmtId="3" fontId="0" fillId="0" borderId="0" xfId="0" applyNumberFormat="1" applyFill="1"/>
    <xf numFmtId="166" fontId="7" fillId="0" borderId="0" xfId="0" applyNumberFormat="1" applyFont="1" applyFill="1"/>
    <xf numFmtId="3" fontId="7" fillId="0" borderId="0" xfId="0" applyNumberFormat="1" applyFont="1" applyFill="1"/>
    <xf numFmtId="0" fontId="7" fillId="0" borderId="0" xfId="0" applyFont="1" applyFill="1"/>
    <xf numFmtId="167" fontId="7" fillId="0" borderId="0" xfId="0" applyNumberFormat="1" applyFont="1" applyFill="1"/>
    <xf numFmtId="0" fontId="11" fillId="0" borderId="0" xfId="0" applyFont="1"/>
    <xf numFmtId="0" fontId="12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3" fontId="0" fillId="0" borderId="0" xfId="0" applyNumberFormat="1" applyFont="1"/>
    <xf numFmtId="2" fontId="0" fillId="0" borderId="0" xfId="0" applyNumberFormat="1" applyFont="1"/>
    <xf numFmtId="2" fontId="0" fillId="0" borderId="0" xfId="1" applyNumberFormat="1" applyFont="1"/>
    <xf numFmtId="168" fontId="0" fillId="0" borderId="0" xfId="1" applyNumberFormat="1" applyFont="1"/>
    <xf numFmtId="39" fontId="0" fillId="0" borderId="0" xfId="0" applyNumberFormat="1"/>
    <xf numFmtId="0" fontId="7" fillId="0" borderId="0" xfId="0" applyFont="1" applyAlignment="1">
      <alignment wrapText="1"/>
    </xf>
    <xf numFmtId="0" fontId="4" fillId="4" borderId="0" xfId="3" applyFont="1" applyFill="1"/>
    <xf numFmtId="6" fontId="4" fillId="0" borderId="0" xfId="3" applyNumberFormat="1" applyFont="1"/>
    <xf numFmtId="164" fontId="4" fillId="0" borderId="0" xfId="3" applyNumberFormat="1" applyFont="1"/>
    <xf numFmtId="0" fontId="4" fillId="0" borderId="0" xfId="0" applyFont="1"/>
    <xf numFmtId="0" fontId="18" fillId="0" borderId="0" xfId="0" applyFont="1" applyAlignment="1">
      <alignment wrapText="1"/>
    </xf>
    <xf numFmtId="3" fontId="4" fillId="0" borderId="0" xfId="0" applyNumberFormat="1" applyFont="1"/>
    <xf numFmtId="0" fontId="18" fillId="4" borderId="0" xfId="3" applyFont="1" applyFill="1"/>
    <xf numFmtId="14" fontId="4" fillId="0" borderId="0" xfId="0" applyNumberFormat="1" applyFont="1"/>
    <xf numFmtId="0" fontId="18" fillId="0" borderId="0" xfId="0" applyFont="1" applyAlignment="1">
      <alignment horizontal="right" wrapText="1"/>
    </xf>
    <xf numFmtId="0" fontId="18" fillId="0" borderId="0" xfId="3" applyFont="1" applyAlignment="1">
      <alignment horizontal="center" vertical="center" wrapText="1"/>
    </xf>
    <xf numFmtId="169" fontId="4" fillId="0" borderId="0" xfId="2" applyNumberFormat="1" applyFont="1"/>
    <xf numFmtId="4" fontId="4" fillId="0" borderId="0" xfId="0" applyNumberFormat="1" applyFont="1"/>
    <xf numFmtId="0" fontId="4" fillId="0" borderId="0" xfId="3" applyFont="1" applyFill="1" applyBorder="1" applyAlignment="1">
      <alignment horizontal="right"/>
    </xf>
    <xf numFmtId="9" fontId="4" fillId="0" borderId="0" xfId="3" applyNumberFormat="1" applyFont="1" applyFill="1" applyBorder="1"/>
    <xf numFmtId="10" fontId="4" fillId="0" borderId="0" xfId="3" applyNumberFormat="1" applyFont="1" applyFill="1" applyBorder="1"/>
    <xf numFmtId="0" fontId="4" fillId="0" borderId="0" xfId="3" applyFont="1" applyAlignment="1">
      <alignment horizontal="right"/>
    </xf>
    <xf numFmtId="0" fontId="4" fillId="0" borderId="0" xfId="3" applyFont="1" applyFill="1" applyAlignment="1">
      <alignment horizontal="right"/>
    </xf>
    <xf numFmtId="164" fontId="4" fillId="0" borderId="0" xfId="4" applyNumberFormat="1" applyFont="1"/>
    <xf numFmtId="3" fontId="4" fillId="0" borderId="0" xfId="3" applyNumberFormat="1" applyFont="1"/>
    <xf numFmtId="39" fontId="4" fillId="0" borderId="0" xfId="0" applyNumberFormat="1" applyFont="1"/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right"/>
    </xf>
    <xf numFmtId="167" fontId="7" fillId="0" borderId="0" xfId="0" applyNumberFormat="1" applyFont="1"/>
    <xf numFmtId="3" fontId="16" fillId="0" borderId="0" xfId="6" quotePrefix="1" applyNumberFormat="1" applyFont="1" applyFill="1" applyBorder="1" applyAlignment="1">
      <alignment horizontal="right" vertical="center" wrapText="1"/>
    </xf>
    <xf numFmtId="43" fontId="4" fillId="0" borderId="0" xfId="1" applyNumberFormat="1" applyFont="1"/>
    <xf numFmtId="9" fontId="4" fillId="0" borderId="0" xfId="0" applyNumberFormat="1" applyFont="1"/>
    <xf numFmtId="165" fontId="4" fillId="0" borderId="0" xfId="1" applyNumberFormat="1" applyFont="1"/>
    <xf numFmtId="164" fontId="4" fillId="0" borderId="0" xfId="1" applyNumberFormat="1" applyFont="1"/>
    <xf numFmtId="43" fontId="4" fillId="0" borderId="0" xfId="0" applyNumberFormat="1" applyFont="1"/>
    <xf numFmtId="164" fontId="4" fillId="0" borderId="0" xfId="0" applyNumberFormat="1" applyFont="1"/>
    <xf numFmtId="0" fontId="4" fillId="0" borderId="0" xfId="0" applyFont="1" applyAlignment="1">
      <alignment horizontal="right" wrapText="1"/>
    </xf>
    <xf numFmtId="10" fontId="4" fillId="0" borderId="0" xfId="2" applyNumberFormat="1" applyFont="1"/>
    <xf numFmtId="0" fontId="4" fillId="0" borderId="0" xfId="3" applyFont="1" applyFill="1" applyAlignment="1">
      <alignment horizontal="left"/>
    </xf>
    <xf numFmtId="0" fontId="4" fillId="0" borderId="0" xfId="0" applyFont="1" applyAlignment="1">
      <alignment wrapText="1"/>
    </xf>
    <xf numFmtId="6" fontId="4" fillId="0" borderId="0" xfId="0" applyNumberFormat="1" applyFont="1" applyAlignment="1">
      <alignment horizontal="right" wrapText="1"/>
    </xf>
    <xf numFmtId="43" fontId="4" fillId="0" borderId="0" xfId="1" applyFont="1" applyAlignment="1">
      <alignment horizontal="right"/>
    </xf>
    <xf numFmtId="10" fontId="4" fillId="0" borderId="0" xfId="0" applyNumberFormat="1" applyFont="1" applyAlignment="1">
      <alignment horizontal="right"/>
    </xf>
    <xf numFmtId="170" fontId="4" fillId="0" borderId="0" xfId="1" applyNumberFormat="1" applyFont="1"/>
    <xf numFmtId="170" fontId="16" fillId="0" borderId="0" xfId="9" applyNumberFormat="1" applyFont="1"/>
    <xf numFmtId="169" fontId="4" fillId="0" borderId="0" xfId="2" applyNumberFormat="1" applyFont="1" applyAlignment="1">
      <alignment wrapText="1"/>
    </xf>
    <xf numFmtId="9" fontId="4" fillId="0" borderId="0" xfId="2" applyFont="1" applyAlignment="1">
      <alignment horizontal="right"/>
    </xf>
    <xf numFmtId="0" fontId="9" fillId="0" borderId="0" xfId="0" applyFont="1" applyAlignment="1">
      <alignment horizontal="center" wrapText="1"/>
    </xf>
    <xf numFmtId="43" fontId="4" fillId="0" borderId="0" xfId="1" applyNumberFormat="1" applyFont="1" applyAlignment="1">
      <alignment horizontal="right"/>
    </xf>
    <xf numFmtId="43" fontId="4" fillId="0" borderId="0" xfId="1" applyFont="1"/>
    <xf numFmtId="8" fontId="4" fillId="0" borderId="0" xfId="0" applyNumberFormat="1" applyFont="1"/>
    <xf numFmtId="0" fontId="4" fillId="0" borderId="3" xfId="0" applyFont="1" applyBorder="1" applyAlignment="1">
      <alignment horizontal="left" wrapText="1"/>
    </xf>
    <xf numFmtId="8" fontId="4" fillId="0" borderId="4" xfId="0" applyNumberFormat="1" applyFont="1" applyBorder="1" applyAlignment="1">
      <alignment horizontal="right" wrapText="1"/>
    </xf>
    <xf numFmtId="0" fontId="4" fillId="0" borderId="5" xfId="0" applyFont="1" applyBorder="1" applyAlignment="1">
      <alignment horizontal="left"/>
    </xf>
    <xf numFmtId="43" fontId="4" fillId="0" borderId="6" xfId="0" applyNumberFormat="1" applyFont="1" applyBorder="1"/>
    <xf numFmtId="43" fontId="4" fillId="0" borderId="0" xfId="0" applyNumberFormat="1" applyFont="1" applyAlignment="1">
      <alignment horizontal="right"/>
    </xf>
    <xf numFmtId="8" fontId="4" fillId="0" borderId="0" xfId="0" applyNumberFormat="1" applyFont="1" applyAlignment="1">
      <alignment horizontal="right"/>
    </xf>
    <xf numFmtId="165" fontId="16" fillId="0" borderId="0" xfId="15" applyNumberFormat="1"/>
    <xf numFmtId="5" fontId="16" fillId="0" borderId="0" xfId="15" applyNumberFormat="1" applyFont="1" applyBorder="1"/>
    <xf numFmtId="10" fontId="16" fillId="0" borderId="0" xfId="17" applyNumberFormat="1" applyFont="1"/>
    <xf numFmtId="6" fontId="4" fillId="0" borderId="0" xfId="0" applyNumberFormat="1" applyFont="1"/>
    <xf numFmtId="10" fontId="16" fillId="0" borderId="0" xfId="2" applyNumberFormat="1" applyFont="1"/>
    <xf numFmtId="0" fontId="3" fillId="0" borderId="0" xfId="0" applyFont="1"/>
    <xf numFmtId="164" fontId="4" fillId="0" borderId="0" xfId="1" applyNumberFormat="1" applyFont="1" applyAlignment="1">
      <alignment horizontal="right" wrapText="1"/>
    </xf>
    <xf numFmtId="165" fontId="7" fillId="0" borderId="0" xfId="1" applyNumberFormat="1" applyFont="1" applyFill="1"/>
    <xf numFmtId="166" fontId="7" fillId="6" borderId="0" xfId="0" applyNumberFormat="1" applyFont="1" applyFill="1"/>
    <xf numFmtId="0" fontId="2" fillId="0" borderId="0" xfId="0" applyFont="1"/>
    <xf numFmtId="10" fontId="4" fillId="6" borderId="0" xfId="2" applyNumberFormat="1" applyFont="1" applyFill="1"/>
    <xf numFmtId="169" fontId="16" fillId="6" borderId="0" xfId="10" applyNumberFormat="1" applyFont="1" applyFill="1"/>
    <xf numFmtId="169" fontId="4" fillId="6" borderId="0" xfId="2" applyNumberFormat="1" applyFont="1" applyFill="1"/>
    <xf numFmtId="0" fontId="4" fillId="6" borderId="0" xfId="0" applyFont="1" applyFill="1"/>
    <xf numFmtId="0" fontId="1" fillId="6" borderId="0" xfId="0" applyFont="1" applyFill="1"/>
    <xf numFmtId="8" fontId="4" fillId="6" borderId="0" xfId="0" applyNumberFormat="1" applyFont="1" applyFill="1"/>
    <xf numFmtId="43" fontId="4" fillId="6" borderId="0" xfId="0" applyNumberFormat="1" applyFont="1" applyFill="1"/>
    <xf numFmtId="9" fontId="4" fillId="0" borderId="0" xfId="2" applyFont="1"/>
    <xf numFmtId="3" fontId="7" fillId="6" borderId="0" xfId="0" applyNumberFormat="1" applyFont="1" applyFill="1"/>
    <xf numFmtId="0" fontId="1" fillId="0" borderId="0" xfId="0" applyFont="1"/>
    <xf numFmtId="0" fontId="1" fillId="0" borderId="0" xfId="0" applyFont="1" applyAlignment="1">
      <alignment wrapText="1"/>
    </xf>
    <xf numFmtId="3" fontId="1" fillId="0" borderId="0" xfId="0" applyNumberFormat="1" applyFont="1"/>
    <xf numFmtId="0" fontId="4" fillId="0" borderId="0" xfId="3" applyNumberFormat="1" applyFont="1"/>
    <xf numFmtId="171" fontId="7" fillId="0" borderId="0" xfId="0" applyNumberFormat="1" applyFont="1"/>
    <xf numFmtId="171" fontId="7" fillId="0" borderId="0" xfId="0" applyNumberFormat="1" applyFont="1" applyFill="1"/>
    <xf numFmtId="171" fontId="7" fillId="0" borderId="0" xfId="1" applyNumberFormat="1" applyFont="1" applyFill="1"/>
  </cellXfs>
  <cellStyles count="72">
    <cellStyle name="Adjustable" xfId="20"/>
    <cellStyle name="Bad 2" xfId="13"/>
    <cellStyle name="Best" xfId="21"/>
    <cellStyle name="Comma" xfId="1" builtinId="3"/>
    <cellStyle name="Comma 2" xfId="4"/>
    <cellStyle name="Comma 2 2" xfId="9"/>
    <cellStyle name="Comma 2 2 2" xfId="23"/>
    <cellStyle name="Comma 2 3" xfId="22"/>
    <cellStyle name="Comma 3" xfId="11"/>
    <cellStyle name="Comma 3 2" xfId="25"/>
    <cellStyle name="Comma 3 3" xfId="24"/>
    <cellStyle name="Comma 4" xfId="26"/>
    <cellStyle name="Comma 4 2" xfId="27"/>
    <cellStyle name="Comma 4 2 2" xfId="28"/>
    <cellStyle name="Comma 4 3" xfId="29"/>
    <cellStyle name="Comma 5" xfId="30"/>
    <cellStyle name="Comma 5 2" xfId="31"/>
    <cellStyle name="Comma 5 2 2" xfId="32"/>
    <cellStyle name="Comma 5 3" xfId="33"/>
    <cellStyle name="Comma 6" xfId="34"/>
    <cellStyle name="Currency 2" xfId="5"/>
    <cellStyle name="Currency 2 2" xfId="8"/>
    <cellStyle name="Currency 2 3" xfId="35"/>
    <cellStyle name="Currency 3" xfId="18"/>
    <cellStyle name="Good" xfId="6" builtinId="26"/>
    <cellStyle name="Good 2" xfId="14"/>
    <cellStyle name="Normal" xfId="0" builtinId="0"/>
    <cellStyle name="Normal 10" xfId="36"/>
    <cellStyle name="Normal 10 2" xfId="37"/>
    <cellStyle name="Normal 11" xfId="38"/>
    <cellStyle name="Normal 12" xfId="39"/>
    <cellStyle name="Normal 13" xfId="40"/>
    <cellStyle name="Normal 14" xfId="41"/>
    <cellStyle name="Normal 15" xfId="42"/>
    <cellStyle name="Normal 16" xfId="17"/>
    <cellStyle name="Normal 2" xfId="3"/>
    <cellStyle name="Normal 2 2" xfId="15"/>
    <cellStyle name="Normal 2 2 2" xfId="45"/>
    <cellStyle name="Normal 2 2 3" xfId="44"/>
    <cellStyle name="Normal 2 3" xfId="46"/>
    <cellStyle name="Normal 2 4" xfId="47"/>
    <cellStyle name="Normal 2 5" xfId="43"/>
    <cellStyle name="Normal 2 6" xfId="71"/>
    <cellStyle name="Normal 3" xfId="7"/>
    <cellStyle name="Normal 3 2" xfId="49"/>
    <cellStyle name="Normal 3 2 2" xfId="50"/>
    <cellStyle name="Normal 3 2 3" xfId="51"/>
    <cellStyle name="Normal 3 3" xfId="52"/>
    <cellStyle name="Normal 3 4" xfId="48"/>
    <cellStyle name="Normal 4" xfId="53"/>
    <cellStyle name="Normal 4 2" xfId="54"/>
    <cellStyle name="Normal 4 2 2" xfId="55"/>
    <cellStyle name="Normal 4 3" xfId="56"/>
    <cellStyle name="Normal 4 4" xfId="57"/>
    <cellStyle name="Normal 5" xfId="58"/>
    <cellStyle name="Normal 5 2" xfId="59"/>
    <cellStyle name="Normal 5 2 2" xfId="60"/>
    <cellStyle name="Normal 5 3" xfId="61"/>
    <cellStyle name="Normal 6" xfId="62"/>
    <cellStyle name="Normal 7" xfId="63"/>
    <cellStyle name="Normal 8" xfId="64"/>
    <cellStyle name="Normal 9" xfId="16"/>
    <cellStyle name="Normal 9 2" xfId="65"/>
    <cellStyle name="Percent" xfId="2" builtinId="5"/>
    <cellStyle name="Percent 2" xfId="10"/>
    <cellStyle name="Percent 2 2" xfId="67"/>
    <cellStyle name="Percent 2 3" xfId="66"/>
    <cellStyle name="Percent 3" xfId="12"/>
    <cellStyle name="Percent 3 2" xfId="68"/>
    <cellStyle name="Percent 4" xfId="69"/>
    <cellStyle name="Percent 5" xfId="70"/>
    <cellStyle name="Percent 6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Wind Integration Cost vs Mid-C Prices</a:t>
            </a:r>
          </a:p>
          <a:p>
            <a:pPr>
              <a:defRPr sz="1600"/>
            </a:pPr>
            <a:r>
              <a:rPr lang="en-US" sz="1600"/>
              <a:t>(100 MW)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196741384889337"/>
          <c:y val="0.18460319181071011"/>
          <c:w val="0.74091675846569782"/>
          <c:h val="0.64174224491879484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'Palouse Wind Integration Costs'!$A$2</c:f>
              <c:strCache>
                <c:ptCount val="1"/>
                <c:pt idx="0">
                  <c:v>Integration Study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'Palouse Wind Integration Costs'!$B$3:$B$5</c:f>
              <c:numCache>
                <c:formatCode>0.00</c:formatCode>
                <c:ptCount val="3"/>
                <c:pt idx="0">
                  <c:v>30.67</c:v>
                </c:pt>
                <c:pt idx="1">
                  <c:v>61.35</c:v>
                </c:pt>
                <c:pt idx="2">
                  <c:v>122.69</c:v>
                </c:pt>
              </c:numCache>
            </c:numRef>
          </c:xVal>
          <c:yVal>
            <c:numRef>
              <c:f>'Palouse Wind Integration Costs'!$C$3:$C$5</c:f>
              <c:numCache>
                <c:formatCode>0.00</c:formatCode>
                <c:ptCount val="3"/>
                <c:pt idx="0">
                  <c:v>181.9</c:v>
                </c:pt>
                <c:pt idx="1">
                  <c:v>349.80769230769232</c:v>
                </c:pt>
                <c:pt idx="2">
                  <c:v>920.56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'Palouse Wind Integration Costs'!$A$21</c:f>
              <c:strCache>
                <c:ptCount val="1"/>
                <c:pt idx="0">
                  <c:v>Quadratic Fit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marker>
          <c:xVal>
            <c:numRef>
              <c:f>'Palouse Wind Integration Costs'!$B$21:$B$34</c:f>
              <c:numCache>
                <c:formatCode>General</c:formatCode>
                <c:ptCount val="14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105</c:v>
                </c:pt>
                <c:pt idx="11">
                  <c:v>115</c:v>
                </c:pt>
                <c:pt idx="12">
                  <c:v>125</c:v>
                </c:pt>
                <c:pt idx="13">
                  <c:v>135</c:v>
                </c:pt>
              </c:numCache>
            </c:numRef>
          </c:xVal>
          <c:yVal>
            <c:numRef>
              <c:f>'Palouse Wind Integration Costs'!$C$21:$C$34</c:f>
              <c:numCache>
                <c:formatCode>_(* #,##0.00_);_(* \(#,##0.00\);_(* "-"??_);_(@_)</c:formatCode>
                <c:ptCount val="14"/>
                <c:pt idx="0">
                  <c:v>101.64247227743999</c:v>
                </c:pt>
                <c:pt idx="1">
                  <c:v>126.38252956106001</c:v>
                </c:pt>
                <c:pt idx="2">
                  <c:v>159.450664647</c:v>
                </c:pt>
                <c:pt idx="3">
                  <c:v>200.84687753526001</c:v>
                </c:pt>
                <c:pt idx="4">
                  <c:v>250.57116822583998</c:v>
                </c:pt>
                <c:pt idx="5">
                  <c:v>308.62353671874001</c:v>
                </c:pt>
                <c:pt idx="6">
                  <c:v>375.00398301396001</c:v>
                </c:pt>
                <c:pt idx="7">
                  <c:v>449.71250711150003</c:v>
                </c:pt>
                <c:pt idx="8">
                  <c:v>532.74910901136002</c:v>
                </c:pt>
                <c:pt idx="9">
                  <c:v>624.11378871354009</c:v>
                </c:pt>
                <c:pt idx="10">
                  <c:v>723.80654621804001</c:v>
                </c:pt>
                <c:pt idx="11">
                  <c:v>831.82738152486002</c:v>
                </c:pt>
                <c:pt idx="12">
                  <c:v>948.17629463399999</c:v>
                </c:pt>
                <c:pt idx="13">
                  <c:v>1072.85328554546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042032"/>
        <c:axId val="170045560"/>
      </c:scatterChart>
      <c:valAx>
        <c:axId val="170042032"/>
        <c:scaling>
          <c:orientation val="minMax"/>
          <c:max val="15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Mid-C $/MWh</a:t>
                </a:r>
              </a:p>
            </c:rich>
          </c:tx>
          <c:layout>
            <c:manualLayout>
              <c:xMode val="edge"/>
              <c:yMode val="edge"/>
              <c:x val="0.43678942988108282"/>
              <c:y val="0.9022409298203693"/>
            </c:manualLayout>
          </c:layout>
          <c:overlay val="0"/>
        </c:title>
        <c:numFmt formatCode="&quot;$&quot;#,##0" sourceLinked="0"/>
        <c:majorTickMark val="none"/>
        <c:minorTickMark val="none"/>
        <c:tickLblPos val="nextTo"/>
        <c:crossAx val="170045560"/>
        <c:crosses val="autoZero"/>
        <c:crossBetween val="midCat"/>
        <c:majorUnit val="25"/>
      </c:valAx>
      <c:valAx>
        <c:axId val="170045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Cost to Integrate ($000)</a:t>
                </a:r>
              </a:p>
            </c:rich>
          </c:tx>
          <c:overlay val="0"/>
        </c:title>
        <c:numFmt formatCode="&quot;$&quot;#,##0" sourceLinked="0"/>
        <c:majorTickMark val="none"/>
        <c:minorTickMark val="none"/>
        <c:tickLblPos val="nextTo"/>
        <c:crossAx val="170042032"/>
        <c:crosses val="autoZero"/>
        <c:crossBetween val="midCat"/>
        <c:majorUnit val="200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9536165956432372"/>
          <c:y val="0.20112559584641504"/>
          <c:w val="0.49439964062681607"/>
          <c:h val="5.7019962762559197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514349</xdr:colOff>
      <xdr:row>1</xdr:row>
      <xdr:rowOff>76199</xdr:rowOff>
    </xdr:from>
    <xdr:to>
      <xdr:col>11</xdr:col>
      <xdr:colOff>428625</xdr:colOff>
      <xdr:row>22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P1048556"/>
  <sheetViews>
    <sheetView tabSelected="1" workbookViewId="0">
      <pane xSplit="3" ySplit="4" topLeftCell="E5" activePane="bottomRight" state="frozen"/>
      <selection pane="topRight" activeCell="C1" sqref="C1"/>
      <selection pane="bottomLeft" activeCell="A5" sqref="A5"/>
      <selection pane="bottomRight" activeCell="K21" sqref="K21"/>
    </sheetView>
  </sheetViews>
  <sheetFormatPr defaultRowHeight="15"/>
  <cols>
    <col min="1" max="1" width="5" style="8" customWidth="1"/>
    <col min="2" max="2" width="3" style="8" customWidth="1"/>
    <col min="3" max="3" width="21.625" style="8" customWidth="1"/>
    <col min="4" max="9" width="12" style="8" customWidth="1"/>
    <col min="10" max="10" width="12.875" style="8" customWidth="1"/>
    <col min="11" max="14" width="12" style="8" customWidth="1"/>
    <col min="15" max="15" width="91.875" style="8" bestFit="1" customWidth="1"/>
    <col min="16" max="16" width="9.5" style="8" bestFit="1" customWidth="1"/>
    <col min="17" max="17" width="10.25" style="8" bestFit="1" customWidth="1"/>
    <col min="18" max="16384" width="9" style="8"/>
  </cols>
  <sheetData>
    <row r="1" spans="1:16" ht="25.5">
      <c r="C1" s="7" t="s">
        <v>209</v>
      </c>
    </row>
    <row r="2" spans="1:16" ht="18.75">
      <c r="C2" s="9" t="s">
        <v>201</v>
      </c>
    </row>
    <row r="3" spans="1:16">
      <c r="D3" s="27"/>
      <c r="E3" s="27"/>
      <c r="F3" s="27"/>
      <c r="G3" s="27"/>
      <c r="H3" s="27"/>
    </row>
    <row r="4" spans="1:16" ht="57.75" customHeight="1">
      <c r="A4" s="78" t="s">
        <v>144</v>
      </c>
      <c r="B4" s="36"/>
      <c r="C4" s="10" t="s">
        <v>22</v>
      </c>
      <c r="D4" s="11" t="s">
        <v>93</v>
      </c>
      <c r="E4" s="11" t="s">
        <v>34</v>
      </c>
      <c r="F4" s="11" t="s">
        <v>97</v>
      </c>
      <c r="G4" s="11" t="s">
        <v>95</v>
      </c>
      <c r="H4" s="11" t="s">
        <v>96</v>
      </c>
      <c r="I4" s="11" t="s">
        <v>30</v>
      </c>
      <c r="J4" s="11" t="s">
        <v>31</v>
      </c>
      <c r="K4" s="11" t="s">
        <v>37</v>
      </c>
      <c r="L4" s="11" t="s">
        <v>94</v>
      </c>
      <c r="M4" s="11" t="s">
        <v>208</v>
      </c>
      <c r="N4" s="12" t="s">
        <v>15</v>
      </c>
      <c r="O4" s="13" t="s">
        <v>23</v>
      </c>
    </row>
    <row r="5" spans="1:16">
      <c r="A5" s="8">
        <v>2001</v>
      </c>
      <c r="C5" s="8" t="s">
        <v>57</v>
      </c>
      <c r="D5" s="59">
        <f>LF_4!E7</f>
        <v>21.98760088690776</v>
      </c>
      <c r="E5" s="23">
        <f t="shared" ref="E5:E12" si="0">D5*M5</f>
        <v>106904.67166551256</v>
      </c>
      <c r="F5" s="111">
        <v>1</v>
      </c>
      <c r="G5" s="59">
        <f>'2001 CCCT LC'!$G$11</f>
        <v>24.886676209781058</v>
      </c>
      <c r="H5" s="59">
        <f>'2001 CCCT LC'!$F$12</f>
        <v>141.72989845153248</v>
      </c>
      <c r="I5" s="14">
        <f>G5*M5</f>
        <v>121000.10195458519</v>
      </c>
      <c r="J5" s="14">
        <f>H5*F5*1000</f>
        <v>141729.89845153247</v>
      </c>
      <c r="K5" s="14">
        <v>0</v>
      </c>
      <c r="L5" s="14">
        <f>E5-I5-J5-K5</f>
        <v>-155825.32874060509</v>
      </c>
      <c r="M5" s="15">
        <f>'Hydro Energy'!B16</f>
        <v>4862.0434860252353</v>
      </c>
      <c r="N5" s="16">
        <f t="shared" ref="N5:N12" si="1">L5/M5</f>
        <v>-32.049349041917708</v>
      </c>
      <c r="O5" s="21" t="s">
        <v>192</v>
      </c>
      <c r="P5" s="14">
        <f>I5+J5</f>
        <v>262730.00040611764</v>
      </c>
    </row>
    <row r="6" spans="1:16">
      <c r="A6" s="8">
        <v>1999</v>
      </c>
      <c r="C6" s="8" t="s">
        <v>58</v>
      </c>
      <c r="D6" s="59">
        <f>LL_3!E7</f>
        <v>6.1926865745684463</v>
      </c>
      <c r="E6" s="23">
        <f t="shared" si="0"/>
        <v>87920.207028711826</v>
      </c>
      <c r="F6" s="111">
        <v>4.5</v>
      </c>
      <c r="G6" s="59">
        <f>'1999 CCCT LC'!H7</f>
        <v>30.470651307883529</v>
      </c>
      <c r="H6" s="59">
        <f>'1999 CCCT LC'!H8</f>
        <v>149.48024651906192</v>
      </c>
      <c r="I6" s="14">
        <f t="shared" ref="I6:I13" si="2">G6*M6</f>
        <v>432604.80552828574</v>
      </c>
      <c r="J6" s="14">
        <f t="shared" ref="J6:J12" si="3">H6*F6*1000</f>
        <v>672661.10933577863</v>
      </c>
      <c r="K6" s="14">
        <v>0</v>
      </c>
      <c r="L6" s="14">
        <f t="shared" ref="L6:L13" si="4">E6-I6-J6-K6</f>
        <v>-1017345.7078353525</v>
      </c>
      <c r="M6" s="15">
        <f>'Hydro Energy'!C16</f>
        <v>14197.425619726084</v>
      </c>
      <c r="N6" s="16">
        <f t="shared" si="1"/>
        <v>-71.657054953810743</v>
      </c>
      <c r="O6" s="21" t="s">
        <v>193</v>
      </c>
      <c r="P6" s="14">
        <f t="shared" ref="P6:P15" si="5">I6+J6</f>
        <v>1105265.9148640644</v>
      </c>
    </row>
    <row r="7" spans="1:16">
      <c r="A7" s="8">
        <v>2004</v>
      </c>
      <c r="C7" s="8" t="s">
        <v>16</v>
      </c>
      <c r="D7" s="59">
        <f>CG_2!E7</f>
        <v>21.898948298663917</v>
      </c>
      <c r="E7" s="23">
        <f t="shared" si="0"/>
        <v>635250.92512515641</v>
      </c>
      <c r="F7" s="111">
        <v>17</v>
      </c>
      <c r="G7" s="59">
        <f>'2004 CCCT LC'!O8</f>
        <v>35.439629398556704</v>
      </c>
      <c r="H7" s="59">
        <f>'2004 CCCT LC'!J8</f>
        <v>125.58040328426377</v>
      </c>
      <c r="I7" s="14">
        <f t="shared" si="2"/>
        <v>1028042.8564187892</v>
      </c>
      <c r="J7" s="14">
        <f t="shared" si="3"/>
        <v>2134866.8558324841</v>
      </c>
      <c r="K7" s="14">
        <v>0</v>
      </c>
      <c r="L7" s="14">
        <f t="shared" si="4"/>
        <v>-2527658.7871261169</v>
      </c>
      <c r="M7" s="15">
        <f>'Hydro Energy'!E16</f>
        <v>29008.28461994743</v>
      </c>
      <c r="N7" s="16">
        <f>L7/M7</f>
        <v>-87.135755190018457</v>
      </c>
      <c r="O7" s="21" t="s">
        <v>194</v>
      </c>
      <c r="P7" s="14">
        <f t="shared" si="5"/>
        <v>3162909.7122512734</v>
      </c>
    </row>
    <row r="8" spans="1:16">
      <c r="A8" s="8">
        <v>2001</v>
      </c>
      <c r="C8" s="8" t="s">
        <v>17</v>
      </c>
      <c r="D8" s="59">
        <f>CG_3!E7</f>
        <v>17.931516152005898</v>
      </c>
      <c r="E8" s="23">
        <f t="shared" si="0"/>
        <v>821398.2451939655</v>
      </c>
      <c r="F8" s="111">
        <v>17</v>
      </c>
      <c r="G8" s="59">
        <f>'2001 CCCT LC'!$G$11</f>
        <v>24.886676209781058</v>
      </c>
      <c r="H8" s="59">
        <f>'2001 CCCT LC'!$F$12</f>
        <v>141.72989845153248</v>
      </c>
      <c r="I8" s="14">
        <f t="shared" si="2"/>
        <v>1139996.8632957928</v>
      </c>
      <c r="J8" s="14">
        <f t="shared" si="3"/>
        <v>2409408.2736760518</v>
      </c>
      <c r="K8" s="14">
        <v>0</v>
      </c>
      <c r="L8" s="14">
        <f t="shared" si="4"/>
        <v>-2728006.8917778791</v>
      </c>
      <c r="M8" s="15">
        <f>'Hydro Energy'!D16</f>
        <v>45807.517793306077</v>
      </c>
      <c r="N8" s="16">
        <f t="shared" si="1"/>
        <v>-59.553693873727575</v>
      </c>
      <c r="O8" s="21" t="s">
        <v>192</v>
      </c>
      <c r="P8" s="14">
        <f t="shared" si="5"/>
        <v>3549405.1369718444</v>
      </c>
    </row>
    <row r="9" spans="1:16">
      <c r="A9" s="8">
        <v>2007</v>
      </c>
      <c r="C9" s="8" t="s">
        <v>18</v>
      </c>
      <c r="D9" s="59">
        <f>CG_4!E7</f>
        <v>22.708589659946956</v>
      </c>
      <c r="E9" s="23">
        <f t="shared" si="0"/>
        <v>465906.65876672795</v>
      </c>
      <c r="F9" s="111">
        <v>9</v>
      </c>
      <c r="G9" s="59">
        <f>'2007 CCCT LC'!$O$8</f>
        <v>59.174526475501438</v>
      </c>
      <c r="H9" s="59">
        <f>'2007 CCCT LC'!$J$8</f>
        <v>127.97436322695806</v>
      </c>
      <c r="I9" s="14">
        <f t="shared" si="2"/>
        <v>1214069.4920799655</v>
      </c>
      <c r="J9" s="14">
        <f t="shared" si="3"/>
        <v>1151769.2690426225</v>
      </c>
      <c r="K9" s="14">
        <v>0</v>
      </c>
      <c r="L9" s="14">
        <f t="shared" si="4"/>
        <v>-1899932.1023558602</v>
      </c>
      <c r="M9" s="15">
        <f>'Hydro Energy'!F16</f>
        <v>20516.7588891919</v>
      </c>
      <c r="N9" s="16">
        <f t="shared" si="1"/>
        <v>-92.603910423528561</v>
      </c>
      <c r="O9" s="21" t="s">
        <v>195</v>
      </c>
      <c r="P9" s="14">
        <f t="shared" si="5"/>
        <v>2365838.7611225881</v>
      </c>
    </row>
    <row r="10" spans="1:16">
      <c r="A10" s="8">
        <v>2009</v>
      </c>
      <c r="C10" s="8" t="s">
        <v>19</v>
      </c>
      <c r="D10" s="59">
        <f>NR_1!E7</f>
        <v>78.320827909577346</v>
      </c>
      <c r="E10" s="23">
        <f t="shared" si="0"/>
        <v>1678784.6332489904</v>
      </c>
      <c r="F10" s="111">
        <v>7</v>
      </c>
      <c r="G10" s="59">
        <f>'2007 CCCT LC'!O55</f>
        <v>62.936688211664844</v>
      </c>
      <c r="H10" s="59">
        <f>H$9*'2007 CCCT LC'!$T$17/100</f>
        <v>133.30170384463446</v>
      </c>
      <c r="I10" s="14">
        <f t="shared" si="2"/>
        <v>1349029.9816456062</v>
      </c>
      <c r="J10" s="14">
        <f t="shared" si="3"/>
        <v>933111.92691244127</v>
      </c>
      <c r="K10" s="14">
        <v>0</v>
      </c>
      <c r="L10" s="14">
        <f t="shared" si="4"/>
        <v>-603357.27530905709</v>
      </c>
      <c r="M10" s="15">
        <f>'Hydro Energy'!G16</f>
        <v>21434.715107802156</v>
      </c>
      <c r="N10" s="16">
        <f t="shared" si="1"/>
        <v>-28.148602501809659</v>
      </c>
      <c r="O10" s="21" t="s">
        <v>196</v>
      </c>
      <c r="P10" s="14">
        <f t="shared" si="5"/>
        <v>2282141.9085580474</v>
      </c>
    </row>
    <row r="11" spans="1:16">
      <c r="A11" s="8">
        <v>2011</v>
      </c>
      <c r="C11" s="8" t="s">
        <v>20</v>
      </c>
      <c r="D11" s="59">
        <f>NR_2!E7</f>
        <v>108.25979968562113</v>
      </c>
      <c r="E11" s="23">
        <f>D11*M11</f>
        <v>834610.94835399883</v>
      </c>
      <c r="F11" s="111">
        <v>7</v>
      </c>
      <c r="G11" s="59">
        <f>'2007 CCCT LC'!O63</f>
        <v>68.65780585105162</v>
      </c>
      <c r="H11" s="59">
        <f>H$9*'2007 CCCT LC'!$T$19/100</f>
        <v>139.56138875325837</v>
      </c>
      <c r="I11" s="14">
        <f>G11*M11</f>
        <v>529305.95308372565</v>
      </c>
      <c r="J11" s="14">
        <f>H11*F11*1000</f>
        <v>976929.72127280862</v>
      </c>
      <c r="K11" s="14">
        <v>0</v>
      </c>
      <c r="L11" s="14">
        <f t="shared" si="4"/>
        <v>-671624.72600253543</v>
      </c>
      <c r="M11" s="15">
        <f>'Hydro Energy'!I16</f>
        <v>7709.3339427714673</v>
      </c>
      <c r="N11" s="16">
        <f t="shared" si="1"/>
        <v>-87.118385451738476</v>
      </c>
      <c r="O11" s="21" t="s">
        <v>196</v>
      </c>
      <c r="P11" s="14">
        <f t="shared" si="5"/>
        <v>1506235.6743565341</v>
      </c>
    </row>
    <row r="12" spans="1:16">
      <c r="A12" s="8">
        <v>2010</v>
      </c>
      <c r="C12" s="8" t="s">
        <v>21</v>
      </c>
      <c r="D12" s="59">
        <f>NR_3!E7</f>
        <v>56.305527815062071</v>
      </c>
      <c r="E12" s="23">
        <f t="shared" si="0"/>
        <v>818040.09401332366</v>
      </c>
      <c r="F12" s="111">
        <v>7</v>
      </c>
      <c r="G12" s="59">
        <f>'2007 CCCT LC'!O59</f>
        <v>65.536449480721032</v>
      </c>
      <c r="H12" s="59">
        <f>H$9*'2007 CCCT LC'!$T$18/100</f>
        <v>136.25894839012483</v>
      </c>
      <c r="I12" s="14">
        <f t="shared" si="2"/>
        <v>952152.39737379889</v>
      </c>
      <c r="J12" s="14">
        <f t="shared" si="3"/>
        <v>953812.63873087382</v>
      </c>
      <c r="K12" s="14">
        <v>0</v>
      </c>
      <c r="L12" s="14">
        <f t="shared" si="4"/>
        <v>-1087924.942091349</v>
      </c>
      <c r="M12" s="15">
        <f>'Hydro Energy'!H16</f>
        <v>14528.592942067989</v>
      </c>
      <c r="N12" s="16">
        <f t="shared" si="1"/>
        <v>-74.881645210199864</v>
      </c>
      <c r="O12" s="21" t="s">
        <v>196</v>
      </c>
      <c r="P12" s="14">
        <f t="shared" si="5"/>
        <v>1905965.0361046726</v>
      </c>
    </row>
    <row r="13" spans="1:16">
      <c r="A13" s="8">
        <v>2012</v>
      </c>
      <c r="C13" s="8" t="s">
        <v>33</v>
      </c>
      <c r="D13" s="59">
        <f>NR_4!E7</f>
        <v>61.325729554193643</v>
      </c>
      <c r="E13" s="23">
        <f>D13*M13</f>
        <v>737375.66412072093</v>
      </c>
      <c r="F13" s="111">
        <v>7</v>
      </c>
      <c r="G13" s="59">
        <f>'2007 CCCT LC'!O67</f>
        <v>72.251623994533105</v>
      </c>
      <c r="H13" s="59">
        <f>H$9*'2007 CCCT LC'!$T$20/100</f>
        <v>143.17128574843883</v>
      </c>
      <c r="I13" s="14">
        <f t="shared" si="2"/>
        <v>868747.74444695131</v>
      </c>
      <c r="J13" s="14">
        <f>H13*F13*1000</f>
        <v>1002199.0002390719</v>
      </c>
      <c r="K13" s="23">
        <v>0</v>
      </c>
      <c r="L13" s="14">
        <f t="shared" si="4"/>
        <v>-1133571.0805653022</v>
      </c>
      <c r="M13" s="24">
        <f>'Hydro Energy'!J16</f>
        <v>12023.919967704598</v>
      </c>
      <c r="N13" s="16">
        <f>L13/M13</f>
        <v>-94.276332810763392</v>
      </c>
      <c r="O13" s="21" t="s">
        <v>196</v>
      </c>
      <c r="P13" s="14">
        <f t="shared" si="5"/>
        <v>1870946.7446860233</v>
      </c>
    </row>
    <row r="14" spans="1:16">
      <c r="A14" s="8">
        <v>2012</v>
      </c>
      <c r="C14" s="8" t="s">
        <v>36</v>
      </c>
      <c r="D14" s="26">
        <f>'Palouse LC'!O4</f>
        <v>64.443246961558401</v>
      </c>
      <c r="E14" s="23">
        <f>D14*M14</f>
        <v>26891393.638094783</v>
      </c>
      <c r="F14" s="112">
        <v>0</v>
      </c>
      <c r="G14" s="26">
        <f>'2012 CCCT LC'!O8</f>
        <v>57.257693640773439</v>
      </c>
      <c r="H14" s="26">
        <f>'2012 CCCT LC'!J8</f>
        <v>202.7250461898401</v>
      </c>
      <c r="I14" s="14">
        <f>G14*M14</f>
        <v>23892948.463971067</v>
      </c>
      <c r="J14" s="14">
        <f>H14*F14*1000</f>
        <v>0</v>
      </c>
      <c r="K14" s="96">
        <v>0</v>
      </c>
      <c r="L14" s="14">
        <f>E14-I14-J14-K14</f>
        <v>2998445.1741237156</v>
      </c>
      <c r="M14" s="106">
        <f>347740*1.2</f>
        <v>417288</v>
      </c>
      <c r="N14" s="16">
        <f>L14/M14</f>
        <v>7.1855533207849627</v>
      </c>
      <c r="O14" s="21" t="s">
        <v>197</v>
      </c>
      <c r="P14" s="14">
        <f t="shared" si="5"/>
        <v>23892948.463971067</v>
      </c>
    </row>
    <row r="15" spans="1:16">
      <c r="A15" s="8">
        <v>2016</v>
      </c>
      <c r="C15" s="8" t="s">
        <v>203</v>
      </c>
      <c r="D15" s="26">
        <f>'NM1&amp;2'!$E$7</f>
        <v>264.68534703908637</v>
      </c>
      <c r="E15" s="23">
        <f>D15*M15</f>
        <v>2330195.5036013974</v>
      </c>
      <c r="F15" s="113">
        <f>1.07373069446741/2</f>
        <v>0.53686534723370505</v>
      </c>
      <c r="G15" s="26">
        <f>'2012 CCCT LC'!$P$8</f>
        <v>62.503855753996319</v>
      </c>
      <c r="H15" s="26">
        <f>'2012 CCCT LC'!$K$8</f>
        <v>205.97224819897124</v>
      </c>
      <c r="I15" s="14">
        <f>G15*M15</f>
        <v>550261.67963202286</v>
      </c>
      <c r="J15" s="14">
        <f>H15*F15*1000</f>
        <v>110579.36254984757</v>
      </c>
      <c r="K15" s="23">
        <v>0</v>
      </c>
      <c r="L15" s="14">
        <f>E15-I15-J15-K15</f>
        <v>1669354.461419527</v>
      </c>
      <c r="M15" s="24">
        <v>8803.6437591586619</v>
      </c>
      <c r="N15" s="16">
        <f t="shared" ref="N15:N16" si="6">L15/M15</f>
        <v>189.62085553301196</v>
      </c>
      <c r="O15" s="21" t="s">
        <v>207</v>
      </c>
      <c r="P15" s="14">
        <f t="shared" si="5"/>
        <v>660841.04218187043</v>
      </c>
    </row>
    <row r="16" spans="1:16">
      <c r="A16" s="8">
        <v>2016</v>
      </c>
      <c r="C16" s="8" t="s">
        <v>204</v>
      </c>
      <c r="D16" s="26">
        <f>'NM1&amp;2'!$E$7</f>
        <v>264.68534703908637</v>
      </c>
      <c r="E16" s="23">
        <f>D16*M16</f>
        <v>3479613.525692042</v>
      </c>
      <c r="F16" s="113">
        <f>1.07373069446741/2</f>
        <v>0.53686534723370505</v>
      </c>
      <c r="G16" s="26">
        <f>'2012 CCCT LC'!$P$8</f>
        <v>62.503855753996319</v>
      </c>
      <c r="H16" s="26">
        <f>'2012 CCCT LC'!$K$8</f>
        <v>205.97224819897124</v>
      </c>
      <c r="I16" s="14">
        <f t="shared" ref="I16" si="7">G16*M16</f>
        <v>821689.84540497849</v>
      </c>
      <c r="J16" s="14">
        <f t="shared" ref="J16" si="8">H16*F16*1000</f>
        <v>110579.36254984757</v>
      </c>
      <c r="K16" s="23">
        <v>0</v>
      </c>
      <c r="L16" s="14">
        <f t="shared" ref="L16:L18" si="9">E16-I16-J16-K16</f>
        <v>2547344.3177372161</v>
      </c>
      <c r="M16" s="24">
        <v>13146.226508633301</v>
      </c>
      <c r="N16" s="16">
        <f t="shared" si="6"/>
        <v>193.77000054459288</v>
      </c>
      <c r="O16" s="21" t="s">
        <v>207</v>
      </c>
      <c r="P16" s="14">
        <f>I16+J16</f>
        <v>932269.20795482607</v>
      </c>
    </row>
    <row r="17" spans="1:16">
      <c r="A17" s="8">
        <v>2020</v>
      </c>
      <c r="C17" s="8" t="s">
        <v>212</v>
      </c>
      <c r="D17" s="26">
        <f>Rattlesnake!K4</f>
        <v>39.827375109453278</v>
      </c>
      <c r="E17" s="23">
        <f>D17*M17</f>
        <v>18548843.237100784</v>
      </c>
      <c r="F17" s="113">
        <f>144*0.05</f>
        <v>7.2</v>
      </c>
      <c r="G17" s="26">
        <f>'2020 CCCT LC'!N8</f>
        <v>38.11963075219856</v>
      </c>
      <c r="H17" s="26">
        <f>'2020 CCCT LC'!I8</f>
        <v>133.82943608633491</v>
      </c>
      <c r="I17" s="14">
        <f>G17*M17</f>
        <v>17753493.749852188</v>
      </c>
      <c r="J17" s="14">
        <f>H17*F17*1000</f>
        <v>963571.93982161139</v>
      </c>
      <c r="K17" s="23">
        <v>0</v>
      </c>
      <c r="L17" s="14">
        <f>E17-I17-J17-K17</f>
        <v>-168222.45257301559</v>
      </c>
      <c r="M17" s="24">
        <f>Rattlesnake!D11</f>
        <v>465731</v>
      </c>
      <c r="N17" s="16">
        <f>L17/M17</f>
        <v>-0.36120089187323923</v>
      </c>
      <c r="O17" s="21" t="s">
        <v>224</v>
      </c>
      <c r="P17" s="14">
        <f>I17+J17</f>
        <v>18717065.6896738</v>
      </c>
    </row>
    <row r="18" spans="1:16">
      <c r="C18" s="8" t="s">
        <v>206</v>
      </c>
      <c r="D18" s="26"/>
      <c r="E18" s="23"/>
      <c r="F18" s="95"/>
      <c r="G18" s="26"/>
      <c r="H18" s="26"/>
      <c r="I18" s="14"/>
      <c r="J18" s="14"/>
      <c r="K18" s="96">
        <v>20000</v>
      </c>
      <c r="L18" s="14">
        <f t="shared" si="9"/>
        <v>-20000</v>
      </c>
      <c r="M18" s="24">
        <f>(307449*0.954)-7522</f>
        <v>285784.34599999996</v>
      </c>
      <c r="N18" s="16"/>
      <c r="O18" s="21"/>
      <c r="P18" s="14"/>
    </row>
    <row r="19" spans="1:16">
      <c r="C19" s="18" t="s">
        <v>2</v>
      </c>
      <c r="D19" s="19"/>
      <c r="E19" s="19"/>
      <c r="F19" s="19"/>
      <c r="G19" s="19"/>
      <c r="H19" s="19"/>
      <c r="I19" s="19">
        <f>SUM(I5:I18)</f>
        <v>50653343.934687763</v>
      </c>
      <c r="J19" s="19">
        <f t="shared" ref="J19:M19" si="10">SUM(J5:J18)</f>
        <v>11561219.358414972</v>
      </c>
      <c r="K19" s="19">
        <f t="shared" si="10"/>
        <v>20000</v>
      </c>
      <c r="L19" s="19">
        <f t="shared" si="10"/>
        <v>-4798325.3410966145</v>
      </c>
      <c r="M19" s="19">
        <f t="shared" si="10"/>
        <v>1360841.8086363347</v>
      </c>
      <c r="N19" s="20">
        <f>L19/M19</f>
        <v>-3.525997886488287</v>
      </c>
      <c r="O19" s="17"/>
    </row>
    <row r="20" spans="1:16">
      <c r="D20" s="25"/>
      <c r="E20" s="25"/>
      <c r="F20" s="25"/>
      <c r="G20" s="25"/>
      <c r="H20" s="25"/>
      <c r="I20" s="25"/>
      <c r="J20" s="23"/>
      <c r="K20" s="25" t="s">
        <v>39</v>
      </c>
      <c r="L20" s="25"/>
      <c r="M20" s="25"/>
      <c r="O20" s="17"/>
    </row>
    <row r="22" spans="1:16">
      <c r="G22" s="59">
        <f>G14+N14</f>
        <v>64.443246961558401</v>
      </c>
    </row>
    <row r="23" spans="1:16">
      <c r="G23" s="59">
        <f>G17+N17</f>
        <v>37.758429860325322</v>
      </c>
    </row>
    <row r="1048556" spans="16:16">
      <c r="P1048556" s="14"/>
    </row>
  </sheetData>
  <sortState ref="Q5:R13">
    <sortCondition ref="R5"/>
  </sortState>
  <pageMargins left="0.7" right="0" top="0.75" bottom="0.75" header="0.3" footer="0.3"/>
  <pageSetup scale="63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D62"/>
  <sheetViews>
    <sheetView zoomScaleNormal="100" workbookViewId="0">
      <selection activeCell="B19" sqref="B19"/>
    </sheetView>
  </sheetViews>
  <sheetFormatPr defaultRowHeight="12.75"/>
  <cols>
    <col min="1" max="1" width="36.75" style="40" bestFit="1" customWidth="1"/>
    <col min="2" max="2" width="11.625" style="58" bestFit="1" customWidth="1"/>
    <col min="3" max="3" width="14.25" style="58" bestFit="1" customWidth="1"/>
    <col min="4" max="4" width="11.125" style="40" bestFit="1" customWidth="1"/>
    <col min="5" max="5" width="12.75" style="40" bestFit="1" customWidth="1"/>
    <col min="6" max="6" width="6.75" style="40" bestFit="1" customWidth="1"/>
    <col min="7" max="7" width="19.5" style="40" customWidth="1"/>
    <col min="8" max="8" width="10.25" style="40" bestFit="1" customWidth="1"/>
    <col min="9" max="9" width="12.75" style="40" bestFit="1" customWidth="1"/>
    <col min="10" max="10" width="12.75" style="40" customWidth="1"/>
    <col min="11" max="11" width="13.75" style="40" bestFit="1" customWidth="1"/>
    <col min="12" max="12" width="4.375" style="40" customWidth="1"/>
    <col min="13" max="13" width="11.875" style="40" bestFit="1" customWidth="1"/>
    <col min="14" max="14" width="12.5" style="40" bestFit="1" customWidth="1"/>
    <col min="15" max="15" width="11.125" style="40" bestFit="1" customWidth="1"/>
    <col min="16" max="16" width="12.5" style="40" bestFit="1" customWidth="1"/>
    <col min="17" max="17" width="3.125" style="40" customWidth="1"/>
    <col min="18" max="18" width="12.5" style="40" bestFit="1" customWidth="1"/>
    <col min="19" max="19" width="12.125" style="40" customWidth="1"/>
    <col min="20" max="22" width="9" style="40"/>
    <col min="23" max="23" width="11.875" style="40" bestFit="1" customWidth="1"/>
    <col min="24" max="24" width="9" style="40"/>
    <col min="25" max="25" width="33.125" style="40" bestFit="1" customWidth="1"/>
    <col min="26" max="16384" width="9" style="40"/>
  </cols>
  <sheetData>
    <row r="1" spans="1:30" ht="23.25">
      <c r="A1" s="28" t="s">
        <v>145</v>
      </c>
    </row>
    <row r="2" spans="1:30">
      <c r="A2" s="40" t="s">
        <v>146</v>
      </c>
      <c r="AB2" s="40">
        <v>36</v>
      </c>
      <c r="AC2" s="47">
        <v>-8.3669071252462966E-17</v>
      </c>
      <c r="AD2" s="47">
        <v>4.4418753221941956E-2</v>
      </c>
    </row>
    <row r="3" spans="1:30">
      <c r="A3" s="40" t="s">
        <v>147</v>
      </c>
      <c r="AB3" s="40">
        <v>37</v>
      </c>
      <c r="AC3" s="47">
        <v>-8.3669071252462966E-17</v>
      </c>
      <c r="AD3" s="47">
        <v>4.2769510958889097E-2</v>
      </c>
    </row>
    <row r="4" spans="1:30">
      <c r="AB4" s="40">
        <v>38</v>
      </c>
      <c r="AC4" s="47">
        <v>-8.3669071252462966E-17</v>
      </c>
      <c r="AD4" s="47">
        <v>4.1120268695836244E-2</v>
      </c>
    </row>
    <row r="5" spans="1:30">
      <c r="AB5" s="40">
        <v>39</v>
      </c>
      <c r="AC5" s="47">
        <v>-8.3669071252462966E-17</v>
      </c>
      <c r="AD5" s="47">
        <v>3.9471026432783385E-2</v>
      </c>
    </row>
    <row r="6" spans="1:30">
      <c r="A6" s="40" t="s">
        <v>153</v>
      </c>
      <c r="B6" s="58">
        <v>754</v>
      </c>
      <c r="AC6" s="47"/>
      <c r="AD6" s="47"/>
    </row>
    <row r="7" spans="1:30" s="70" customFormat="1">
      <c r="A7" s="70" t="s">
        <v>154</v>
      </c>
      <c r="B7" s="67">
        <v>25.49</v>
      </c>
      <c r="C7" s="67"/>
      <c r="D7" s="67"/>
      <c r="G7" s="82" t="s">
        <v>162</v>
      </c>
      <c r="H7" s="83">
        <f>E26+C18</f>
        <v>30.470651307883529</v>
      </c>
      <c r="AC7" s="76"/>
      <c r="AD7" s="76"/>
    </row>
    <row r="8" spans="1:30">
      <c r="A8" s="40" t="s">
        <v>155</v>
      </c>
      <c r="B8" s="58">
        <v>16.78</v>
      </c>
      <c r="C8" s="72"/>
      <c r="D8" s="62"/>
      <c r="G8" s="84" t="s">
        <v>163</v>
      </c>
      <c r="H8" s="85">
        <f>C19</f>
        <v>149.48024651906192</v>
      </c>
      <c r="AC8" s="47"/>
      <c r="AD8" s="47"/>
    </row>
    <row r="9" spans="1:30">
      <c r="A9" s="40" t="s">
        <v>156</v>
      </c>
      <c r="B9" s="58">
        <v>31</v>
      </c>
      <c r="C9" s="72"/>
      <c r="D9" s="68"/>
      <c r="F9" s="65"/>
      <c r="G9" s="65"/>
      <c r="H9" s="65"/>
      <c r="AC9" s="47"/>
      <c r="AD9" s="47"/>
    </row>
    <row r="10" spans="1:30">
      <c r="A10" s="40" t="s">
        <v>157</v>
      </c>
      <c r="B10" s="58">
        <v>44.7</v>
      </c>
      <c r="C10" s="72"/>
      <c r="D10" s="68"/>
      <c r="F10" s="65"/>
      <c r="G10" s="65"/>
      <c r="H10" s="65"/>
      <c r="AC10" s="47"/>
      <c r="AD10" s="47"/>
    </row>
    <row r="11" spans="1:30">
      <c r="A11" s="40" t="s">
        <v>151</v>
      </c>
      <c r="B11" s="73">
        <v>8.5099999999999995E-2</v>
      </c>
      <c r="C11" s="72"/>
      <c r="D11" s="68"/>
      <c r="F11" s="65"/>
      <c r="G11" s="65"/>
      <c r="H11" s="65"/>
      <c r="AC11" s="47"/>
      <c r="AD11" s="47"/>
    </row>
    <row r="12" spans="1:30">
      <c r="A12" s="40" t="s">
        <v>136</v>
      </c>
      <c r="B12" s="73">
        <v>2.5000000000000001E-2</v>
      </c>
      <c r="C12" s="72"/>
      <c r="D12" s="68"/>
      <c r="F12" s="65"/>
      <c r="G12" s="65"/>
      <c r="H12" s="65"/>
      <c r="AC12" s="47"/>
      <c r="AD12" s="47"/>
    </row>
    <row r="13" spans="1:30">
      <c r="A13" s="40" t="s">
        <v>142</v>
      </c>
      <c r="B13" s="77">
        <v>0.88</v>
      </c>
      <c r="C13" s="72"/>
      <c r="D13" s="68"/>
      <c r="F13" s="65"/>
      <c r="G13" s="65"/>
      <c r="H13" s="65"/>
      <c r="AC13" s="47"/>
      <c r="AD13" s="47"/>
    </row>
    <row r="14" spans="1:30">
      <c r="C14" s="72"/>
      <c r="D14" s="68"/>
      <c r="F14" s="65"/>
      <c r="G14" s="65"/>
      <c r="H14" s="65"/>
      <c r="AC14" s="47"/>
      <c r="AD14" s="47"/>
    </row>
    <row r="15" spans="1:30">
      <c r="C15" s="72"/>
      <c r="D15" s="68"/>
      <c r="F15" s="65"/>
      <c r="G15" s="65"/>
      <c r="H15" s="65"/>
      <c r="AC15" s="47"/>
      <c r="AD15" s="47"/>
    </row>
    <row r="16" spans="1:30">
      <c r="B16" s="58" t="s">
        <v>148</v>
      </c>
      <c r="C16" s="72" t="s">
        <v>164</v>
      </c>
      <c r="D16" s="68"/>
      <c r="F16" s="65"/>
      <c r="G16" s="65"/>
      <c r="H16" s="65"/>
      <c r="AC16" s="47"/>
      <c r="AD16" s="47"/>
    </row>
    <row r="17" spans="1:30">
      <c r="A17" s="57" t="s">
        <v>159</v>
      </c>
      <c r="B17" s="81">
        <f>B10-F26</f>
        <v>20.528176721856276</v>
      </c>
      <c r="C17" s="65">
        <f>B17*(1+$B$12)^4</f>
        <v>22.659266086613009</v>
      </c>
      <c r="F17" s="65"/>
      <c r="G17" s="65"/>
      <c r="H17" s="65"/>
      <c r="AC17" s="47"/>
      <c r="AD17" s="47"/>
    </row>
    <row r="18" spans="1:30">
      <c r="A18" s="57" t="s">
        <v>160</v>
      </c>
      <c r="B18" s="81">
        <f>'2001 CCCT LC'!F9/'2001 CCCT LC'!H11*B10</f>
        <v>2.0507685154336492</v>
      </c>
      <c r="C18" s="65">
        <f>B18*(1+$B$12)^4</f>
        <v>2.2636647230235556</v>
      </c>
      <c r="F18" s="65"/>
      <c r="G18" s="65"/>
      <c r="H18" s="65"/>
      <c r="AC18" s="47"/>
      <c r="AD18" s="47"/>
    </row>
    <row r="19" spans="1:30">
      <c r="A19" s="57" t="s">
        <v>161</v>
      </c>
      <c r="B19" s="103">
        <f>(((B17-B18)*8760*B13/1000-B7)*0.94)+B7</f>
        <v>135.42172571877049</v>
      </c>
      <c r="C19" s="65">
        <f>B19*(1+$B$12)^4</f>
        <v>149.48024651906192</v>
      </c>
      <c r="F19" s="65"/>
      <c r="G19" s="65"/>
      <c r="H19" s="65"/>
      <c r="AC19" s="47"/>
      <c r="AD19" s="47"/>
    </row>
    <row r="20" spans="1:30">
      <c r="E20" s="58"/>
      <c r="F20" s="65"/>
      <c r="AC20" s="47"/>
      <c r="AD20" s="47"/>
    </row>
    <row r="21" spans="1:30">
      <c r="B21" s="40"/>
      <c r="AB21" s="40">
        <v>47</v>
      </c>
      <c r="AC21" s="47">
        <v>-8.3669071252462966E-17</v>
      </c>
      <c r="AD21" s="47">
        <v>2.6277088328360499E-2</v>
      </c>
    </row>
    <row r="22" spans="1:30">
      <c r="B22" s="40"/>
      <c r="C22" s="73"/>
      <c r="E22" s="40" t="s">
        <v>167</v>
      </c>
      <c r="AB22" s="40">
        <v>48</v>
      </c>
      <c r="AC22" s="47">
        <v>-8.3669071252462966E-17</v>
      </c>
      <c r="AD22" s="47">
        <v>2.4627846065307643E-2</v>
      </c>
    </row>
    <row r="23" spans="1:30">
      <c r="B23" s="40"/>
      <c r="E23" s="58" t="s">
        <v>166</v>
      </c>
      <c r="F23" s="58" t="s">
        <v>148</v>
      </c>
    </row>
    <row r="24" spans="1:30">
      <c r="D24" s="58" t="s">
        <v>165</v>
      </c>
      <c r="E24" s="86">
        <f>NPV($B$11,E34:E62)+E33</f>
        <v>336.87772426003795</v>
      </c>
      <c r="F24" s="86">
        <f>NPV($B$11,E30:E58)+E29</f>
        <v>288.6855280573493</v>
      </c>
    </row>
    <row r="25" spans="1:30">
      <c r="D25" s="58" t="s">
        <v>158</v>
      </c>
      <c r="E25" s="87">
        <f>-PMT($B$11,30,E24)</f>
        <v>31.375339688429129</v>
      </c>
      <c r="F25" s="87">
        <f>-PMT($B$11,30,F24)</f>
        <v>26.886926186135273</v>
      </c>
    </row>
    <row r="26" spans="1:30">
      <c r="D26" s="58" t="s">
        <v>168</v>
      </c>
      <c r="E26" s="87">
        <f>E25*'2001 CCCT LC'!$D$10</f>
        <v>28.206986584859973</v>
      </c>
      <c r="F26" s="87">
        <f>F25*'2001 CCCT LC'!$D$10</f>
        <v>24.171823278143727</v>
      </c>
    </row>
    <row r="28" spans="1:30" s="58" customFormat="1">
      <c r="B28" s="58" t="s">
        <v>148</v>
      </c>
      <c r="C28" s="58" t="s">
        <v>149</v>
      </c>
      <c r="D28" s="58" t="s">
        <v>150</v>
      </c>
      <c r="E28" s="58" t="s">
        <v>152</v>
      </c>
    </row>
    <row r="29" spans="1:30">
      <c r="A29" s="40">
        <v>1995</v>
      </c>
      <c r="B29" s="79">
        <v>2.16</v>
      </c>
      <c r="C29" s="72">
        <f>B29*D29/100</f>
        <v>2.16</v>
      </c>
      <c r="D29" s="63">
        <v>100</v>
      </c>
      <c r="E29" s="80">
        <f>B8</f>
        <v>16.78</v>
      </c>
    </row>
    <row r="30" spans="1:30">
      <c r="A30" s="40">
        <v>1996</v>
      </c>
      <c r="B30" s="79">
        <f>B29*1.014</f>
        <v>2.1902400000000002</v>
      </c>
      <c r="C30" s="72">
        <f t="shared" ref="C30:C62" si="0">B30*D30/100</f>
        <v>2.244996</v>
      </c>
      <c r="D30" s="63">
        <f t="shared" ref="D30:D62" si="1">D29*(1+$B$12)</f>
        <v>102.49999999999999</v>
      </c>
      <c r="E30" s="80">
        <f>C30/C29*E29</f>
        <v>17.440293</v>
      </c>
    </row>
    <row r="31" spans="1:30">
      <c r="A31" s="40">
        <v>1997</v>
      </c>
      <c r="B31" s="79">
        <f t="shared" ref="B31:B58" si="2">B30*1.014</f>
        <v>2.2209033600000003</v>
      </c>
      <c r="C31" s="72">
        <f t="shared" si="0"/>
        <v>2.3333365925999998</v>
      </c>
      <c r="D31" s="63">
        <f t="shared" si="1"/>
        <v>105.06249999999997</v>
      </c>
      <c r="E31" s="80">
        <f t="shared" ref="E31:E58" si="3">C31/C30*E30</f>
        <v>18.126568529549999</v>
      </c>
    </row>
    <row r="32" spans="1:30">
      <c r="A32" s="40">
        <v>1998</v>
      </c>
      <c r="B32" s="79">
        <f t="shared" si="2"/>
        <v>2.2519960070400002</v>
      </c>
      <c r="C32" s="72">
        <f t="shared" si="0"/>
        <v>2.4251533875188094</v>
      </c>
      <c r="D32" s="63">
        <f t="shared" si="1"/>
        <v>107.68906249999996</v>
      </c>
      <c r="E32" s="80">
        <f t="shared" si="3"/>
        <v>18.839849001187787</v>
      </c>
    </row>
    <row r="33" spans="1:5">
      <c r="A33" s="40">
        <v>1999</v>
      </c>
      <c r="B33" s="79">
        <f t="shared" si="2"/>
        <v>2.2835239511385601</v>
      </c>
      <c r="C33" s="72">
        <f t="shared" si="0"/>
        <v>2.5205831733176742</v>
      </c>
      <c r="D33" s="63">
        <f t="shared" si="1"/>
        <v>110.38128906249996</v>
      </c>
      <c r="E33" s="80">
        <f t="shared" si="3"/>
        <v>19.581197059384522</v>
      </c>
    </row>
    <row r="34" spans="1:5">
      <c r="A34" s="40">
        <v>2000</v>
      </c>
      <c r="B34" s="79">
        <f t="shared" si="2"/>
        <v>2.3154932864545001</v>
      </c>
      <c r="C34" s="72">
        <f t="shared" si="0"/>
        <v>2.6197681211877248</v>
      </c>
      <c r="D34" s="63">
        <f t="shared" si="1"/>
        <v>113.14082128906244</v>
      </c>
      <c r="E34" s="80">
        <f t="shared" si="3"/>
        <v>20.351717163671303</v>
      </c>
    </row>
    <row r="35" spans="1:5">
      <c r="A35" s="40">
        <v>2001</v>
      </c>
      <c r="B35" s="79">
        <f t="shared" si="2"/>
        <v>2.3479101924648633</v>
      </c>
      <c r="C35" s="72">
        <f t="shared" si="0"/>
        <v>2.7228559967564614</v>
      </c>
      <c r="D35" s="63">
        <f t="shared" si="1"/>
        <v>115.96934182128899</v>
      </c>
      <c r="E35" s="80">
        <f t="shared" si="3"/>
        <v>21.152557234061764</v>
      </c>
    </row>
    <row r="36" spans="1:5">
      <c r="A36" s="40">
        <v>2002</v>
      </c>
      <c r="B36" s="79">
        <f t="shared" si="2"/>
        <v>2.3807809351593714</v>
      </c>
      <c r="C36" s="72">
        <f t="shared" si="0"/>
        <v>2.830000380228828</v>
      </c>
      <c r="D36" s="63">
        <f t="shared" si="1"/>
        <v>118.8685753668212</v>
      </c>
      <c r="E36" s="80">
        <f t="shared" si="3"/>
        <v>21.984910361222095</v>
      </c>
    </row>
    <row r="37" spans="1:5">
      <c r="A37" s="40">
        <v>2003</v>
      </c>
      <c r="B37" s="79">
        <f t="shared" si="2"/>
        <v>2.4141118682516027</v>
      </c>
      <c r="C37" s="72">
        <f t="shared" si="0"/>
        <v>2.9413608951908325</v>
      </c>
      <c r="D37" s="63">
        <f t="shared" si="1"/>
        <v>121.84028975099173</v>
      </c>
      <c r="E37" s="80">
        <f t="shared" si="3"/>
        <v>22.850016583936185</v>
      </c>
    </row>
    <row r="38" spans="1:5">
      <c r="A38" s="40">
        <v>2004</v>
      </c>
      <c r="B38" s="79">
        <f t="shared" si="2"/>
        <v>2.4479094344071251</v>
      </c>
      <c r="C38" s="72">
        <f t="shared" si="0"/>
        <v>3.0571034464165909</v>
      </c>
      <c r="D38" s="63">
        <f t="shared" si="1"/>
        <v>124.88629699476651</v>
      </c>
      <c r="E38" s="80">
        <f t="shared" si="3"/>
        <v>23.749164736514068</v>
      </c>
    </row>
    <row r="39" spans="1:5">
      <c r="A39" s="40">
        <v>2005</v>
      </c>
      <c r="B39" s="79">
        <f t="shared" si="2"/>
        <v>2.482180166488825</v>
      </c>
      <c r="C39" s="72">
        <f t="shared" si="0"/>
        <v>3.1774004670330838</v>
      </c>
      <c r="D39" s="63">
        <f t="shared" si="1"/>
        <v>128.00845441963565</v>
      </c>
      <c r="E39" s="80">
        <f t="shared" si="3"/>
        <v>24.683694368895896</v>
      </c>
    </row>
    <row r="40" spans="1:5">
      <c r="A40" s="40">
        <v>2006</v>
      </c>
      <c r="B40" s="79">
        <f t="shared" si="2"/>
        <v>2.5169306888196687</v>
      </c>
      <c r="C40" s="72">
        <f t="shared" si="0"/>
        <v>3.3024311754108355</v>
      </c>
      <c r="D40" s="63">
        <f t="shared" si="1"/>
        <v>131.20866578012652</v>
      </c>
      <c r="E40" s="80">
        <f t="shared" si="3"/>
        <v>25.654997742311949</v>
      </c>
    </row>
    <row r="41" spans="1:5">
      <c r="A41" s="40">
        <v>2007</v>
      </c>
      <c r="B41" s="79">
        <f t="shared" si="2"/>
        <v>2.5521677184631439</v>
      </c>
      <c r="C41" s="72">
        <f t="shared" si="0"/>
        <v>3.432381842163251</v>
      </c>
      <c r="D41" s="63">
        <f t="shared" si="1"/>
        <v>134.48888242462968</v>
      </c>
      <c r="E41" s="80">
        <f t="shared" si="3"/>
        <v>26.664521903471918</v>
      </c>
    </row>
    <row r="42" spans="1:5">
      <c r="A42" s="40">
        <v>2008</v>
      </c>
      <c r="B42" s="79">
        <f t="shared" si="2"/>
        <v>2.5878980665216278</v>
      </c>
      <c r="C42" s="72">
        <f t="shared" si="0"/>
        <v>3.5674460676523747</v>
      </c>
      <c r="D42" s="63">
        <f t="shared" si="1"/>
        <v>137.8511044852454</v>
      </c>
      <c r="E42" s="80">
        <f t="shared" si="3"/>
        <v>27.713770840373538</v>
      </c>
    </row>
    <row r="43" spans="1:5">
      <c r="A43" s="40">
        <v>2009</v>
      </c>
      <c r="B43" s="79">
        <f t="shared" si="2"/>
        <v>2.6241286394529304</v>
      </c>
      <c r="C43" s="72">
        <f t="shared" si="0"/>
        <v>3.7078250704144948</v>
      </c>
      <c r="D43" s="63">
        <f t="shared" si="1"/>
        <v>141.29738209737653</v>
      </c>
      <c r="E43" s="80">
        <f t="shared" si="3"/>
        <v>28.80430772294223</v>
      </c>
    </row>
    <row r="44" spans="1:5">
      <c r="A44" s="40">
        <v>2010</v>
      </c>
      <c r="B44" s="79">
        <f t="shared" si="2"/>
        <v>2.6608664404052713</v>
      </c>
      <c r="C44" s="72">
        <f t="shared" si="0"/>
        <v>3.8537279869353052</v>
      </c>
      <c r="D44" s="63">
        <f t="shared" si="1"/>
        <v>144.82981664981094</v>
      </c>
      <c r="E44" s="80">
        <f t="shared" si="3"/>
        <v>29.937757231840006</v>
      </c>
    </row>
    <row r="45" spans="1:5">
      <c r="A45" s="40">
        <v>2011</v>
      </c>
      <c r="B45" s="79">
        <f t="shared" si="2"/>
        <v>2.6981185705709452</v>
      </c>
      <c r="C45" s="72">
        <f t="shared" si="0"/>
        <v>4.0053721832212092</v>
      </c>
      <c r="D45" s="63">
        <f t="shared" si="1"/>
        <v>148.45056206605619</v>
      </c>
      <c r="E45" s="80">
        <f t="shared" si="3"/>
        <v>31.115807978912912</v>
      </c>
    </row>
    <row r="46" spans="1:5">
      <c r="A46" s="40">
        <v>2012</v>
      </c>
      <c r="B46" s="79">
        <f t="shared" si="2"/>
        <v>2.7358922305589384</v>
      </c>
      <c r="C46" s="72">
        <f t="shared" si="0"/>
        <v>4.1629835786309632</v>
      </c>
      <c r="D46" s="63">
        <f t="shared" si="1"/>
        <v>152.16182611770759</v>
      </c>
      <c r="E46" s="80">
        <f t="shared" si="3"/>
        <v>32.340215022883129</v>
      </c>
    </row>
    <row r="47" spans="1:5">
      <c r="A47" s="40">
        <v>2013</v>
      </c>
      <c r="B47" s="79">
        <f t="shared" si="2"/>
        <v>2.7741947217867637</v>
      </c>
      <c r="C47" s="72">
        <f t="shared" si="0"/>
        <v>4.3267969824500918</v>
      </c>
      <c r="D47" s="63">
        <f t="shared" si="1"/>
        <v>155.96587177065027</v>
      </c>
      <c r="E47" s="80">
        <f t="shared" si="3"/>
        <v>33.61280248403358</v>
      </c>
    </row>
    <row r="48" spans="1:5">
      <c r="A48" s="40">
        <v>2014</v>
      </c>
      <c r="B48" s="79">
        <f t="shared" si="2"/>
        <v>2.8130334478917787</v>
      </c>
      <c r="C48" s="72">
        <f t="shared" si="0"/>
        <v>4.4970564437095035</v>
      </c>
      <c r="D48" s="63">
        <f t="shared" si="1"/>
        <v>159.86501856491651</v>
      </c>
      <c r="E48" s="80">
        <f t="shared" si="3"/>
        <v>34.935466261780306</v>
      </c>
    </row>
    <row r="49" spans="1:5">
      <c r="A49" s="40">
        <v>2015</v>
      </c>
      <c r="B49" s="79">
        <f t="shared" si="2"/>
        <v>2.8524159161622635</v>
      </c>
      <c r="C49" s="72">
        <f t="shared" si="0"/>
        <v>4.6740156147694716</v>
      </c>
      <c r="D49" s="63">
        <f t="shared" si="1"/>
        <v>163.86164402903941</v>
      </c>
      <c r="E49" s="80">
        <f t="shared" si="3"/>
        <v>36.310176859181354</v>
      </c>
    </row>
    <row r="50" spans="1:5">
      <c r="A50" s="40">
        <v>2016</v>
      </c>
      <c r="B50" s="79">
        <f t="shared" si="2"/>
        <v>2.8923497389885351</v>
      </c>
      <c r="C50" s="72">
        <f t="shared" si="0"/>
        <v>4.8579381292106492</v>
      </c>
      <c r="D50" s="63">
        <f t="shared" si="1"/>
        <v>167.95818512976538</v>
      </c>
      <c r="E50" s="80">
        <f t="shared" si="3"/>
        <v>37.738982318590132</v>
      </c>
    </row>
    <row r="51" spans="1:5">
      <c r="A51" s="40">
        <v>2017</v>
      </c>
      <c r="B51" s="79">
        <f t="shared" si="2"/>
        <v>2.9328426353343748</v>
      </c>
      <c r="C51" s="72">
        <f t="shared" si="0"/>
        <v>5.0490979945950887</v>
      </c>
      <c r="D51" s="63">
        <f t="shared" si="1"/>
        <v>172.15713975800949</v>
      </c>
      <c r="E51" s="80">
        <f t="shared" si="3"/>
        <v>39.224011272826651</v>
      </c>
    </row>
    <row r="52" spans="1:5">
      <c r="A52" s="40">
        <v>2018</v>
      </c>
      <c r="B52" s="79">
        <f t="shared" si="2"/>
        <v>2.9739024322290559</v>
      </c>
      <c r="C52" s="72">
        <f t="shared" si="0"/>
        <v>5.247780000682404</v>
      </c>
      <c r="D52" s="63">
        <f t="shared" si="1"/>
        <v>176.46106825195972</v>
      </c>
      <c r="E52" s="80">
        <f t="shared" si="3"/>
        <v>40.767476116412368</v>
      </c>
    </row>
    <row r="53" spans="1:5">
      <c r="A53" s="40">
        <v>2019</v>
      </c>
      <c r="B53" s="79">
        <f t="shared" si="2"/>
        <v>3.0155370662802627</v>
      </c>
      <c r="C53" s="72">
        <f t="shared" si="0"/>
        <v>5.4542801437092567</v>
      </c>
      <c r="D53" s="63">
        <f t="shared" si="1"/>
        <v>180.8725949582587</v>
      </c>
      <c r="E53" s="80">
        <f t="shared" si="3"/>
        <v>42.371676301593197</v>
      </c>
    </row>
    <row r="54" spans="1:5">
      <c r="A54" s="40">
        <v>2020</v>
      </c>
      <c r="B54" s="79">
        <f t="shared" si="2"/>
        <v>3.0577545852081864</v>
      </c>
      <c r="C54" s="72">
        <f t="shared" si="0"/>
        <v>5.6689060673642153</v>
      </c>
      <c r="D54" s="63">
        <f t="shared" si="1"/>
        <v>185.39440983221516</v>
      </c>
      <c r="E54" s="80">
        <f t="shared" si="3"/>
        <v>44.039001764060878</v>
      </c>
    </row>
    <row r="55" spans="1:5">
      <c r="A55" s="40">
        <v>2021</v>
      </c>
      <c r="B55" s="79">
        <f t="shared" si="2"/>
        <v>3.100563149401101</v>
      </c>
      <c r="C55" s="72">
        <f t="shared" si="0"/>
        <v>5.8919775211149963</v>
      </c>
      <c r="D55" s="63">
        <f t="shared" si="1"/>
        <v>190.02927007802052</v>
      </c>
      <c r="E55" s="80">
        <f t="shared" si="3"/>
        <v>45.771936483476665</v>
      </c>
    </row>
    <row r="56" spans="1:5">
      <c r="A56" s="40">
        <v>2022</v>
      </c>
      <c r="B56" s="79">
        <f t="shared" si="2"/>
        <v>3.1439710334927167</v>
      </c>
      <c r="C56" s="72">
        <f t="shared" si="0"/>
        <v>6.1238268365708723</v>
      </c>
      <c r="D56" s="63">
        <f t="shared" si="1"/>
        <v>194.78000182997101</v>
      </c>
      <c r="E56" s="80">
        <f t="shared" si="3"/>
        <v>47.573062184101481</v>
      </c>
    </row>
    <row r="57" spans="1:5">
      <c r="A57" s="40">
        <v>2023</v>
      </c>
      <c r="B57" s="79">
        <f t="shared" si="2"/>
        <v>3.1879866279616147</v>
      </c>
      <c r="C57" s="72">
        <f t="shared" si="0"/>
        <v>6.364799422589936</v>
      </c>
      <c r="D57" s="63">
        <f t="shared" si="1"/>
        <v>199.64950187572026</v>
      </c>
      <c r="E57" s="80">
        <f t="shared" si="3"/>
        <v>49.445062181045877</v>
      </c>
    </row>
    <row r="58" spans="1:5">
      <c r="A58" s="40">
        <v>2024</v>
      </c>
      <c r="B58" s="79">
        <f t="shared" si="2"/>
        <v>3.2326184407530771</v>
      </c>
      <c r="C58" s="72">
        <f t="shared" si="0"/>
        <v>6.6152542798688474</v>
      </c>
      <c r="D58" s="63">
        <f t="shared" si="1"/>
        <v>204.64073942261325</v>
      </c>
      <c r="E58" s="80">
        <f t="shared" si="3"/>
        <v>51.390725377870012</v>
      </c>
    </row>
    <row r="59" spans="1:5">
      <c r="A59" s="40">
        <v>2025</v>
      </c>
      <c r="B59" s="79">
        <f t="shared" ref="B59:B62" si="4">B58*1.014</f>
        <v>3.2778750989236203</v>
      </c>
      <c r="C59" s="72">
        <f t="shared" si="0"/>
        <v>6.8755645357816864</v>
      </c>
      <c r="D59" s="63">
        <f t="shared" si="1"/>
        <v>209.75675790817857</v>
      </c>
      <c r="E59" s="80">
        <f t="shared" ref="E59:E62" si="5">C59/C58*E58</f>
        <v>53.412950421489199</v>
      </c>
    </row>
    <row r="60" spans="1:5">
      <c r="A60" s="40">
        <v>2026</v>
      </c>
      <c r="B60" s="79">
        <f t="shared" si="4"/>
        <v>3.3237653503085509</v>
      </c>
      <c r="C60" s="72">
        <f t="shared" si="0"/>
        <v>7.1461180002646962</v>
      </c>
      <c r="D60" s="63">
        <f t="shared" si="1"/>
        <v>215.00067685588303</v>
      </c>
      <c r="E60" s="80">
        <f t="shared" si="5"/>
        <v>55.514750020574802</v>
      </c>
    </row>
    <row r="61" spans="1:5">
      <c r="A61" s="40">
        <v>2027</v>
      </c>
      <c r="B61" s="79">
        <f t="shared" si="4"/>
        <v>3.3702980652128707</v>
      </c>
      <c r="C61" s="72">
        <f t="shared" si="0"/>
        <v>7.4273177435751112</v>
      </c>
      <c r="D61" s="63">
        <f t="shared" si="1"/>
        <v>220.37569377728008</v>
      </c>
      <c r="E61" s="80">
        <f t="shared" si="5"/>
        <v>57.69925543388441</v>
      </c>
    </row>
    <row r="62" spans="1:5">
      <c r="A62" s="40">
        <v>2028</v>
      </c>
      <c r="B62" s="79">
        <f t="shared" si="4"/>
        <v>3.4174822381258507</v>
      </c>
      <c r="C62" s="72">
        <f t="shared" si="0"/>
        <v>7.7195826967847907</v>
      </c>
      <c r="D62" s="63">
        <f t="shared" si="1"/>
        <v>225.88508612171205</v>
      </c>
      <c r="E62" s="80">
        <f t="shared" si="5"/>
        <v>59.969721135207749</v>
      </c>
    </row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34"/>
  <sheetViews>
    <sheetView workbookViewId="0">
      <selection activeCell="M37" sqref="M37"/>
    </sheetView>
  </sheetViews>
  <sheetFormatPr defaultRowHeight="14.25"/>
  <cols>
    <col min="1" max="1" width="24.625" customWidth="1"/>
  </cols>
  <sheetData>
    <row r="1" spans="1:3">
      <c r="A1" s="29" t="s">
        <v>40</v>
      </c>
      <c r="B1" s="29"/>
      <c r="C1" s="29"/>
    </row>
    <row r="2" spans="1:3">
      <c r="A2" s="30" t="s">
        <v>53</v>
      </c>
      <c r="B2" s="30" t="s">
        <v>41</v>
      </c>
      <c r="C2" s="30" t="s">
        <v>42</v>
      </c>
    </row>
    <row r="3" spans="1:3">
      <c r="A3" s="31" t="s">
        <v>43</v>
      </c>
      <c r="B3" s="32">
        <v>30.67</v>
      </c>
      <c r="C3" s="33">
        <v>181.9</v>
      </c>
    </row>
    <row r="4" spans="1:3">
      <c r="A4" s="31" t="s">
        <v>44</v>
      </c>
      <c r="B4" s="32">
        <v>61.35</v>
      </c>
      <c r="C4" s="33">
        <v>349.80769230769232</v>
      </c>
    </row>
    <row r="5" spans="1:3">
      <c r="A5" s="31" t="s">
        <v>45</v>
      </c>
      <c r="B5" s="32">
        <v>122.69</v>
      </c>
      <c r="C5" s="33">
        <v>920.56</v>
      </c>
    </row>
    <row r="6" spans="1:3">
      <c r="A6" s="31"/>
      <c r="B6" s="29"/>
      <c r="C6" s="29"/>
    </row>
    <row r="7" spans="1:3">
      <c r="A7" s="29" t="s">
        <v>46</v>
      </c>
      <c r="B7" s="29"/>
      <c r="C7" s="29"/>
    </row>
    <row r="8" spans="1:3">
      <c r="A8" s="29" t="s">
        <v>47</v>
      </c>
      <c r="B8" s="29"/>
      <c r="C8" s="29"/>
    </row>
    <row r="9" spans="1:3">
      <c r="A9" s="29" t="s">
        <v>48</v>
      </c>
      <c r="B9" s="34">
        <v>92.395472811499999</v>
      </c>
      <c r="C9" s="29"/>
    </row>
    <row r="10" spans="1:3">
      <c r="A10" s="29" t="s">
        <v>49</v>
      </c>
      <c r="B10" s="34">
        <v>1.6411979481300001</v>
      </c>
      <c r="C10" s="29"/>
    </row>
    <row r="11" spans="1:3">
      <c r="A11" s="29" t="s">
        <v>50</v>
      </c>
      <c r="B11" s="34">
        <v>4.1640389011599999E-2</v>
      </c>
      <c r="C11" s="29"/>
    </row>
    <row r="12" spans="1:3">
      <c r="A12" s="31"/>
      <c r="B12" s="29"/>
      <c r="C12" s="29"/>
    </row>
    <row r="15" spans="1:3">
      <c r="A15" t="s">
        <v>59</v>
      </c>
      <c r="B15" s="35">
        <v>28.83478370049092</v>
      </c>
      <c r="C15" s="4">
        <f>$B$9+($B$10*B15)+($B$11*(B15^2))</f>
        <v>174.34074353106357</v>
      </c>
    </row>
    <row r="16" spans="1:3">
      <c r="A16" t="s">
        <v>51</v>
      </c>
      <c r="C16" s="5">
        <f>C15*1.05</f>
        <v>183.05778070761676</v>
      </c>
    </row>
    <row r="20" spans="1:3">
      <c r="B20" t="s">
        <v>41</v>
      </c>
      <c r="C20" t="s">
        <v>38</v>
      </c>
    </row>
    <row r="21" spans="1:3">
      <c r="A21" t="s">
        <v>52</v>
      </c>
      <c r="B21">
        <v>5</v>
      </c>
      <c r="C21" s="4">
        <f>$B$9+($B$10*B21)+($B$11*(B21^2))</f>
        <v>101.64247227743999</v>
      </c>
    </row>
    <row r="22" spans="1:3">
      <c r="B22">
        <f>B21+10</f>
        <v>15</v>
      </c>
      <c r="C22" s="4">
        <f t="shared" ref="C22:C34" si="0">$B$9+($B$10*B22)+($B$11*(B22^2))</f>
        <v>126.38252956106001</v>
      </c>
    </row>
    <row r="23" spans="1:3">
      <c r="B23">
        <f t="shared" ref="B23:B33" si="1">B22+10</f>
        <v>25</v>
      </c>
      <c r="C23" s="4">
        <f t="shared" si="0"/>
        <v>159.450664647</v>
      </c>
    </row>
    <row r="24" spans="1:3">
      <c r="B24">
        <f t="shared" si="1"/>
        <v>35</v>
      </c>
      <c r="C24" s="4">
        <f t="shared" si="0"/>
        <v>200.84687753526001</v>
      </c>
    </row>
    <row r="25" spans="1:3">
      <c r="B25">
        <f t="shared" si="1"/>
        <v>45</v>
      </c>
      <c r="C25" s="4">
        <f t="shared" si="0"/>
        <v>250.57116822583998</v>
      </c>
    </row>
    <row r="26" spans="1:3">
      <c r="B26">
        <f t="shared" si="1"/>
        <v>55</v>
      </c>
      <c r="C26" s="4">
        <f t="shared" si="0"/>
        <v>308.62353671874001</v>
      </c>
    </row>
    <row r="27" spans="1:3">
      <c r="B27">
        <f t="shared" si="1"/>
        <v>65</v>
      </c>
      <c r="C27" s="4">
        <f t="shared" si="0"/>
        <v>375.00398301396001</v>
      </c>
    </row>
    <row r="28" spans="1:3">
      <c r="B28">
        <f t="shared" si="1"/>
        <v>75</v>
      </c>
      <c r="C28" s="4">
        <f t="shared" si="0"/>
        <v>449.71250711150003</v>
      </c>
    </row>
    <row r="29" spans="1:3">
      <c r="B29">
        <f t="shared" si="1"/>
        <v>85</v>
      </c>
      <c r="C29" s="4">
        <f t="shared" si="0"/>
        <v>532.74910901136002</v>
      </c>
    </row>
    <row r="30" spans="1:3">
      <c r="B30">
        <f t="shared" si="1"/>
        <v>95</v>
      </c>
      <c r="C30" s="4">
        <f t="shared" si="0"/>
        <v>624.11378871354009</v>
      </c>
    </row>
    <row r="31" spans="1:3">
      <c r="B31">
        <f>B30+10</f>
        <v>105</v>
      </c>
      <c r="C31" s="4">
        <f t="shared" si="0"/>
        <v>723.80654621804001</v>
      </c>
    </row>
    <row r="32" spans="1:3">
      <c r="B32">
        <f t="shared" si="1"/>
        <v>115</v>
      </c>
      <c r="C32" s="4">
        <f t="shared" si="0"/>
        <v>831.82738152486002</v>
      </c>
    </row>
    <row r="33" spans="2:3">
      <c r="B33">
        <f t="shared" si="1"/>
        <v>125</v>
      </c>
      <c r="C33" s="4">
        <f t="shared" si="0"/>
        <v>948.17629463399999</v>
      </c>
    </row>
    <row r="34" spans="2:3">
      <c r="B34">
        <f>B33+10</f>
        <v>135</v>
      </c>
      <c r="C34" s="4">
        <f t="shared" si="0"/>
        <v>1072.85328554546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85"/>
  <sheetViews>
    <sheetView workbookViewId="0">
      <selection activeCell="B4" sqref="B4"/>
    </sheetView>
  </sheetViews>
  <sheetFormatPr defaultRowHeight="12.75"/>
  <cols>
    <col min="1" max="1" width="16" style="40" bestFit="1" customWidth="1"/>
    <col min="2" max="2" width="9" style="40"/>
    <col min="3" max="3" width="11.125" style="40" bestFit="1" customWidth="1"/>
    <col min="4" max="4" width="14.25" style="40" customWidth="1"/>
    <col min="5" max="5" width="10.25" style="40" bestFit="1" customWidth="1"/>
    <col min="6" max="16384" width="9" style="40"/>
  </cols>
  <sheetData>
    <row r="1" spans="1:5">
      <c r="A1" s="40" t="s">
        <v>57</v>
      </c>
    </row>
    <row r="3" spans="1:5">
      <c r="A3" s="40" t="s">
        <v>188</v>
      </c>
      <c r="B3" s="89">
        <v>990272</v>
      </c>
    </row>
    <row r="4" spans="1:5">
      <c r="A4" s="40" t="s">
        <v>89</v>
      </c>
      <c r="B4" s="90">
        <v>8.2719000000000001E-2</v>
      </c>
    </row>
    <row r="5" spans="1:5">
      <c r="D5" s="40" t="s">
        <v>191</v>
      </c>
      <c r="E5" s="91">
        <f>-PMT($B$4,30,NPV($B$4,E10:E39))</f>
        <v>106904.67166551256</v>
      </c>
    </row>
    <row r="6" spans="1:5">
      <c r="D6" s="40" t="s">
        <v>190</v>
      </c>
      <c r="E6" s="64">
        <f>'Hydro Energy'!B16</f>
        <v>4862.0434860252353</v>
      </c>
    </row>
    <row r="7" spans="1:5">
      <c r="D7" s="40" t="s">
        <v>15</v>
      </c>
      <c r="E7" s="81">
        <f>E5/E6</f>
        <v>21.98760088690776</v>
      </c>
    </row>
    <row r="9" spans="1:5" s="67" customFormat="1" ht="38.25">
      <c r="A9" s="67" t="s">
        <v>35</v>
      </c>
      <c r="B9" s="67" t="s">
        <v>186</v>
      </c>
      <c r="C9" s="67" t="s">
        <v>187</v>
      </c>
      <c r="D9" s="67" t="s">
        <v>189</v>
      </c>
      <c r="E9" s="67" t="s">
        <v>34</v>
      </c>
    </row>
    <row r="10" spans="1:5">
      <c r="A10" s="40">
        <v>1</v>
      </c>
      <c r="B10" s="92">
        <v>0.13811233599498909</v>
      </c>
      <c r="C10" s="64">
        <f>B10*$B$3</f>
        <v>136768.77919042984</v>
      </c>
      <c r="E10" s="66">
        <f>SUM(C10:D10)</f>
        <v>136768.77919042984</v>
      </c>
    </row>
    <row r="11" spans="1:5">
      <c r="A11" s="40">
        <v>2</v>
      </c>
      <c r="B11" s="92">
        <v>0.13466337468037226</v>
      </c>
      <c r="C11" s="64">
        <f t="shared" ref="C11:C50" si="0">B11*$B$3</f>
        <v>133353.36937148159</v>
      </c>
      <c r="E11" s="66">
        <f t="shared" ref="E11:E50" si="1">SUM(C11:D11)</f>
        <v>133353.36937148159</v>
      </c>
    </row>
    <row r="12" spans="1:5">
      <c r="A12" s="40">
        <v>3</v>
      </c>
      <c r="B12" s="92">
        <v>0.1308887637838084</v>
      </c>
      <c r="C12" s="64">
        <f t="shared" si="0"/>
        <v>129615.47788971951</v>
      </c>
      <c r="E12" s="66">
        <f t="shared" si="1"/>
        <v>129615.47788971951</v>
      </c>
    </row>
    <row r="13" spans="1:5">
      <c r="A13" s="40">
        <v>4</v>
      </c>
      <c r="B13" s="92">
        <v>0.12722993199066221</v>
      </c>
      <c r="C13" s="64">
        <f t="shared" si="0"/>
        <v>125992.23921225705</v>
      </c>
      <c r="E13" s="66">
        <f t="shared" si="1"/>
        <v>125992.23921225705</v>
      </c>
    </row>
    <row r="14" spans="1:5">
      <c r="A14" s="40">
        <v>5</v>
      </c>
      <c r="B14" s="92">
        <v>0.12367820420961129</v>
      </c>
      <c r="C14" s="64">
        <f t="shared" si="0"/>
        <v>122475.06263906018</v>
      </c>
      <c r="E14" s="66">
        <f t="shared" si="1"/>
        <v>122475.06263906018</v>
      </c>
    </row>
    <row r="15" spans="1:5">
      <c r="A15" s="40">
        <v>6</v>
      </c>
      <c r="B15" s="92">
        <v>0.12022568388316987</v>
      </c>
      <c r="C15" s="64">
        <f t="shared" si="0"/>
        <v>119056.12843035439</v>
      </c>
      <c r="E15" s="66">
        <f t="shared" si="1"/>
        <v>119056.12843035439</v>
      </c>
    </row>
    <row r="16" spans="1:5">
      <c r="A16" s="40">
        <v>7</v>
      </c>
      <c r="B16" s="92">
        <v>0.11686491933033034</v>
      </c>
      <c r="C16" s="64">
        <f t="shared" si="0"/>
        <v>115728.05739508489</v>
      </c>
      <c r="E16" s="66">
        <f t="shared" si="1"/>
        <v>115728.05739508489</v>
      </c>
    </row>
    <row r="17" spans="1:5">
      <c r="A17" s="40">
        <v>8</v>
      </c>
      <c r="B17" s="92">
        <v>0.11358901496568255</v>
      </c>
      <c r="C17" s="64">
        <f t="shared" si="0"/>
        <v>112484.02102809639</v>
      </c>
      <c r="E17" s="66">
        <f t="shared" si="1"/>
        <v>112484.02102809639</v>
      </c>
    </row>
    <row r="18" spans="1:5">
      <c r="A18" s="40">
        <v>9</v>
      </c>
      <c r="B18" s="92">
        <v>0.11036082360330775</v>
      </c>
      <c r="C18" s="64">
        <f t="shared" si="0"/>
        <v>109287.23351129478</v>
      </c>
      <c r="E18" s="66">
        <f t="shared" si="1"/>
        <v>109287.23351129478</v>
      </c>
    </row>
    <row r="19" spans="1:5">
      <c r="A19" s="40">
        <v>10</v>
      </c>
      <c r="B19" s="92">
        <v>0.10713952782634305</v>
      </c>
      <c r="C19" s="64">
        <f t="shared" si="0"/>
        <v>106097.27449964838</v>
      </c>
      <c r="E19" s="66">
        <f t="shared" si="1"/>
        <v>106097.27449964838</v>
      </c>
    </row>
    <row r="20" spans="1:5">
      <c r="A20" s="40">
        <v>11</v>
      </c>
      <c r="B20" s="92">
        <v>0.10391823204937832</v>
      </c>
      <c r="C20" s="64">
        <f t="shared" si="0"/>
        <v>102907.31548800197</v>
      </c>
      <c r="E20" s="66">
        <f t="shared" si="1"/>
        <v>102907.31548800197</v>
      </c>
    </row>
    <row r="21" spans="1:5">
      <c r="A21" s="40">
        <v>12</v>
      </c>
      <c r="B21" s="92">
        <v>0.10069693627241362</v>
      </c>
      <c r="C21" s="64">
        <f t="shared" si="0"/>
        <v>99717.356476355577</v>
      </c>
      <c r="E21" s="66">
        <f t="shared" si="1"/>
        <v>99717.356476355577</v>
      </c>
    </row>
    <row r="22" spans="1:5">
      <c r="A22" s="40">
        <v>13</v>
      </c>
      <c r="B22" s="92">
        <v>9.747564049544892E-2</v>
      </c>
      <c r="C22" s="64">
        <f t="shared" si="0"/>
        <v>96527.397464709196</v>
      </c>
      <c r="E22" s="66">
        <f t="shared" si="1"/>
        <v>96527.397464709196</v>
      </c>
    </row>
    <row r="23" spans="1:5">
      <c r="A23" s="40">
        <v>14</v>
      </c>
      <c r="B23" s="92">
        <v>9.4254344718484193E-2</v>
      </c>
      <c r="C23" s="64">
        <f t="shared" si="0"/>
        <v>93337.438453062772</v>
      </c>
      <c r="E23" s="66">
        <f t="shared" si="1"/>
        <v>93337.438453062772</v>
      </c>
    </row>
    <row r="24" spans="1:5">
      <c r="A24" s="40">
        <v>15</v>
      </c>
      <c r="B24" s="92">
        <v>9.1033048941519479E-2</v>
      </c>
      <c r="C24" s="64">
        <f t="shared" si="0"/>
        <v>90147.479441416377</v>
      </c>
      <c r="E24" s="66">
        <f t="shared" si="1"/>
        <v>90147.479441416377</v>
      </c>
    </row>
    <row r="25" spans="1:5">
      <c r="A25" s="40">
        <v>16</v>
      </c>
      <c r="B25" s="92">
        <v>8.7811753164554779E-2</v>
      </c>
      <c r="C25" s="64">
        <f t="shared" si="0"/>
        <v>86957.520429769997</v>
      </c>
      <c r="E25" s="66">
        <f t="shared" si="1"/>
        <v>86957.520429769997</v>
      </c>
    </row>
    <row r="26" spans="1:5">
      <c r="A26" s="40">
        <v>17</v>
      </c>
      <c r="B26" s="92">
        <v>8.4590457387590051E-2</v>
      </c>
      <c r="C26" s="64">
        <f t="shared" si="0"/>
        <v>83767.561418123572</v>
      </c>
      <c r="E26" s="66">
        <f t="shared" si="1"/>
        <v>83767.561418123572</v>
      </c>
    </row>
    <row r="27" spans="1:5">
      <c r="A27" s="40">
        <v>18</v>
      </c>
      <c r="B27" s="92">
        <v>8.1369161610625337E-2</v>
      </c>
      <c r="C27" s="64">
        <f t="shared" si="0"/>
        <v>80577.602406477177</v>
      </c>
      <c r="E27" s="66">
        <f t="shared" si="1"/>
        <v>80577.602406477177</v>
      </c>
    </row>
    <row r="28" spans="1:5">
      <c r="A28" s="40">
        <v>19</v>
      </c>
      <c r="B28" s="92">
        <v>7.8147865833660637E-2</v>
      </c>
      <c r="C28" s="64">
        <f t="shared" si="0"/>
        <v>77387.643394830782</v>
      </c>
      <c r="E28" s="66">
        <f t="shared" si="1"/>
        <v>77387.643394830782</v>
      </c>
    </row>
    <row r="29" spans="1:5">
      <c r="A29" s="40">
        <v>20</v>
      </c>
      <c r="B29" s="92">
        <v>7.4926570056695896E-2</v>
      </c>
      <c r="C29" s="64">
        <f t="shared" si="0"/>
        <v>74197.684383184358</v>
      </c>
      <c r="E29" s="66">
        <f t="shared" si="1"/>
        <v>74197.684383184358</v>
      </c>
    </row>
    <row r="30" spans="1:5">
      <c r="A30" s="40">
        <v>21</v>
      </c>
      <c r="B30" s="92">
        <v>7.1953515354494041E-2</v>
      </c>
      <c r="C30" s="64">
        <f t="shared" si="0"/>
        <v>71253.551557125524</v>
      </c>
      <c r="E30" s="66">
        <f t="shared" si="1"/>
        <v>71253.551557125524</v>
      </c>
    </row>
    <row r="31" spans="1:5">
      <c r="A31" s="40">
        <v>22</v>
      </c>
      <c r="B31" s="92">
        <v>6.9476609144459314E-2</v>
      </c>
      <c r="C31" s="64">
        <f t="shared" si="0"/>
        <v>68800.740690702019</v>
      </c>
      <c r="E31" s="66">
        <f t="shared" si="1"/>
        <v>68800.740690702019</v>
      </c>
    </row>
    <row r="32" spans="1:5">
      <c r="A32" s="40">
        <v>23</v>
      </c>
      <c r="B32" s="92">
        <v>6.7247610351828899E-2</v>
      </c>
      <c r="C32" s="64">
        <f t="shared" si="0"/>
        <v>66593.425598326314</v>
      </c>
      <c r="E32" s="66">
        <f t="shared" si="1"/>
        <v>66593.425598326314</v>
      </c>
    </row>
    <row r="33" spans="1:5">
      <c r="A33" s="40">
        <v>24</v>
      </c>
      <c r="B33" s="92">
        <v>6.5018611559198497E-2</v>
      </c>
      <c r="C33" s="64">
        <f t="shared" si="0"/>
        <v>64386.110505950615</v>
      </c>
      <c r="E33" s="66">
        <f t="shared" si="1"/>
        <v>64386.110505950615</v>
      </c>
    </row>
    <row r="34" spans="1:5">
      <c r="A34" s="40">
        <v>25</v>
      </c>
      <c r="B34" s="92">
        <v>6.2789612766568068E-2</v>
      </c>
      <c r="C34" s="64">
        <f t="shared" si="0"/>
        <v>62178.795413574895</v>
      </c>
      <c r="E34" s="66">
        <f t="shared" si="1"/>
        <v>62178.795413574895</v>
      </c>
    </row>
    <row r="35" spans="1:5">
      <c r="A35" s="40">
        <v>26</v>
      </c>
      <c r="B35" s="92">
        <v>6.0560613973937652E-2</v>
      </c>
      <c r="C35" s="64">
        <f t="shared" si="0"/>
        <v>59971.480321199189</v>
      </c>
      <c r="E35" s="66">
        <f t="shared" si="1"/>
        <v>59971.480321199189</v>
      </c>
    </row>
    <row r="36" spans="1:5">
      <c r="A36" s="40">
        <v>27</v>
      </c>
      <c r="B36" s="92">
        <v>5.8331615181307243E-2</v>
      </c>
      <c r="C36" s="64">
        <f t="shared" si="0"/>
        <v>57764.165228823484</v>
      </c>
      <c r="E36" s="66">
        <f t="shared" si="1"/>
        <v>57764.165228823484</v>
      </c>
    </row>
    <row r="37" spans="1:5">
      <c r="A37" s="40">
        <v>28</v>
      </c>
      <c r="B37" s="92">
        <v>5.6102616388676828E-2</v>
      </c>
      <c r="C37" s="64">
        <f t="shared" si="0"/>
        <v>55556.850136447778</v>
      </c>
      <c r="E37" s="66">
        <f t="shared" si="1"/>
        <v>55556.850136447778</v>
      </c>
    </row>
    <row r="38" spans="1:5">
      <c r="A38" s="40">
        <v>29</v>
      </c>
      <c r="B38" s="92">
        <v>5.3873617596046405E-2</v>
      </c>
      <c r="C38" s="64">
        <f t="shared" si="0"/>
        <v>53349.535044072065</v>
      </c>
      <c r="E38" s="66">
        <f t="shared" si="1"/>
        <v>53349.535044072065</v>
      </c>
    </row>
    <row r="39" spans="1:5">
      <c r="A39" s="40">
        <v>30</v>
      </c>
      <c r="B39" s="92">
        <v>5.164461880341599E-2</v>
      </c>
      <c r="C39" s="64">
        <f t="shared" si="0"/>
        <v>51142.219951696359</v>
      </c>
      <c r="E39" s="66">
        <f t="shared" si="1"/>
        <v>51142.219951696359</v>
      </c>
    </row>
    <row r="40" spans="1:5">
      <c r="A40" s="40">
        <v>31</v>
      </c>
      <c r="B40" s="92">
        <v>4.9415620010785567E-2</v>
      </c>
      <c r="C40" s="64">
        <f t="shared" si="0"/>
        <v>48934.904859320646</v>
      </c>
      <c r="E40" s="66">
        <f t="shared" si="1"/>
        <v>48934.904859320646</v>
      </c>
    </row>
    <row r="41" spans="1:5">
      <c r="A41" s="40">
        <v>32</v>
      </c>
      <c r="B41" s="92">
        <v>4.7186621218155152E-2</v>
      </c>
      <c r="C41" s="64">
        <f t="shared" si="0"/>
        <v>46727.58976694494</v>
      </c>
      <c r="E41" s="66">
        <f t="shared" si="1"/>
        <v>46727.58976694494</v>
      </c>
    </row>
    <row r="42" spans="1:5">
      <c r="A42" s="40">
        <v>33</v>
      </c>
      <c r="B42" s="92">
        <v>4.4957622425524729E-2</v>
      </c>
      <c r="C42" s="64">
        <f t="shared" si="0"/>
        <v>44520.274674569227</v>
      </c>
      <c r="E42" s="66">
        <f t="shared" si="1"/>
        <v>44520.274674569227</v>
      </c>
    </row>
    <row r="43" spans="1:5">
      <c r="A43" s="40">
        <v>34</v>
      </c>
      <c r="B43" s="92">
        <v>4.2728623632894321E-2</v>
      </c>
      <c r="C43" s="64">
        <f t="shared" si="0"/>
        <v>42312.959582193522</v>
      </c>
      <c r="E43" s="66">
        <f t="shared" si="1"/>
        <v>42312.959582193522</v>
      </c>
    </row>
    <row r="44" spans="1:5">
      <c r="A44" s="40">
        <v>35</v>
      </c>
      <c r="B44" s="92">
        <v>4.0499624840263905E-2</v>
      </c>
      <c r="C44" s="64">
        <f t="shared" si="0"/>
        <v>40105.644489817816</v>
      </c>
      <c r="E44" s="66">
        <f t="shared" si="1"/>
        <v>40105.644489817816</v>
      </c>
    </row>
    <row r="45" spans="1:5">
      <c r="A45" s="40">
        <v>36</v>
      </c>
      <c r="B45" s="92">
        <v>3.8270626047633476E-2</v>
      </c>
      <c r="C45" s="64">
        <f t="shared" si="0"/>
        <v>37898.329397442096</v>
      </c>
      <c r="E45" s="66">
        <f t="shared" si="1"/>
        <v>37898.329397442096</v>
      </c>
    </row>
    <row r="46" spans="1:5">
      <c r="A46" s="40">
        <v>37</v>
      </c>
      <c r="B46" s="92">
        <v>3.6041627255003067E-2</v>
      </c>
      <c r="C46" s="64">
        <f t="shared" si="0"/>
        <v>35691.014305066397</v>
      </c>
      <c r="E46" s="66">
        <f t="shared" si="1"/>
        <v>35691.014305066397</v>
      </c>
    </row>
    <row r="47" spans="1:5">
      <c r="A47" s="40">
        <v>38</v>
      </c>
      <c r="B47" s="92">
        <v>3.3812628462372651E-2</v>
      </c>
      <c r="C47" s="64">
        <f t="shared" si="0"/>
        <v>33483.699212690692</v>
      </c>
      <c r="E47" s="66">
        <f t="shared" si="1"/>
        <v>33483.699212690692</v>
      </c>
    </row>
    <row r="48" spans="1:5">
      <c r="A48" s="40">
        <v>39</v>
      </c>
      <c r="B48" s="92">
        <v>3.1583629669742229E-2</v>
      </c>
      <c r="C48" s="64">
        <f t="shared" si="0"/>
        <v>31276.384120314975</v>
      </c>
      <c r="E48" s="66">
        <f t="shared" si="1"/>
        <v>31276.384120314975</v>
      </c>
    </row>
    <row r="49" spans="1:5">
      <c r="A49" s="40">
        <v>40</v>
      </c>
      <c r="B49" s="92">
        <v>2.9354630877111817E-2</v>
      </c>
      <c r="C49" s="64">
        <f t="shared" si="0"/>
        <v>29069.069027939273</v>
      </c>
      <c r="E49" s="66">
        <f t="shared" si="1"/>
        <v>29069.069027939273</v>
      </c>
    </row>
    <row r="50" spans="1:5">
      <c r="A50" s="40">
        <v>41</v>
      </c>
      <c r="B50" s="92">
        <v>2.7125632084481394E-2</v>
      </c>
      <c r="C50" s="64">
        <f t="shared" si="0"/>
        <v>26861.75393556356</v>
      </c>
      <c r="E50" s="66">
        <f t="shared" si="1"/>
        <v>26861.75393556356</v>
      </c>
    </row>
    <row r="51" spans="1:5">
      <c r="A51" s="40">
        <v>42</v>
      </c>
      <c r="B51" s="68">
        <v>2.4896633291850982E-2</v>
      </c>
      <c r="C51" s="64">
        <f t="shared" ref="C51" si="2">B51*$B$3</f>
        <v>24654.438843187854</v>
      </c>
      <c r="E51" s="66">
        <f t="shared" ref="E51" si="3">SUM(C51:D51)</f>
        <v>24654.438843187854</v>
      </c>
    </row>
    <row r="52" spans="1:5">
      <c r="B52" s="40">
        <v>6.1854583581656612E-17</v>
      </c>
    </row>
    <row r="53" spans="1:5">
      <c r="B53" s="40">
        <v>6.1854583581656612E-17</v>
      </c>
    </row>
    <row r="54" spans="1:5">
      <c r="B54" s="40">
        <v>6.1854583581656612E-17</v>
      </c>
    </row>
    <row r="55" spans="1:5">
      <c r="B55" s="40">
        <v>6.1854583581656612E-17</v>
      </c>
    </row>
    <row r="56" spans="1:5">
      <c r="B56" s="40">
        <v>6.1854583581656612E-17</v>
      </c>
    </row>
    <row r="57" spans="1:5">
      <c r="B57" s="40">
        <v>6.1854583581656612E-17</v>
      </c>
    </row>
    <row r="58" spans="1:5">
      <c r="B58" s="40">
        <v>6.1854583581656612E-17</v>
      </c>
    </row>
    <row r="59" spans="1:5">
      <c r="B59" s="40">
        <v>6.1854583581656612E-17</v>
      </c>
    </row>
    <row r="60" spans="1:5">
      <c r="B60" s="40">
        <v>6.1854583581656612E-17</v>
      </c>
    </row>
    <row r="61" spans="1:5">
      <c r="B61" s="40">
        <v>6.1854583581656612E-17</v>
      </c>
    </row>
    <row r="62" spans="1:5">
      <c r="B62" s="40">
        <v>6.1854583581656612E-17</v>
      </c>
    </row>
    <row r="63" spans="1:5">
      <c r="B63" s="40">
        <v>6.1854583581656612E-17</v>
      </c>
    </row>
    <row r="64" spans="1:5">
      <c r="B64" s="40">
        <v>6.1854583581656612E-17</v>
      </c>
    </row>
    <row r="65" spans="2:2">
      <c r="B65" s="40">
        <v>6.1854583581656612E-17</v>
      </c>
    </row>
    <row r="66" spans="2:2">
      <c r="B66" s="40">
        <v>6.1854583581656612E-17</v>
      </c>
    </row>
    <row r="67" spans="2:2">
      <c r="B67" s="40">
        <v>6.1854583581656612E-17</v>
      </c>
    </row>
    <row r="68" spans="2:2">
      <c r="B68" s="40">
        <v>6.1854583581656612E-17</v>
      </c>
    </row>
    <row r="69" spans="2:2">
      <c r="B69" s="40">
        <v>6.1854583581656612E-17</v>
      </c>
    </row>
    <row r="70" spans="2:2">
      <c r="B70" s="40">
        <v>6.1854583581656612E-17</v>
      </c>
    </row>
    <row r="71" spans="2:2">
      <c r="B71" s="40">
        <v>6.1854583581656612E-17</v>
      </c>
    </row>
    <row r="72" spans="2:2">
      <c r="B72" s="40">
        <v>6.1854583581656612E-17</v>
      </c>
    </row>
    <row r="73" spans="2:2">
      <c r="B73" s="40">
        <v>6.1854583581656612E-17</v>
      </c>
    </row>
    <row r="74" spans="2:2">
      <c r="B74" s="40">
        <v>6.1854583581656612E-17</v>
      </c>
    </row>
    <row r="75" spans="2:2">
      <c r="B75" s="40">
        <v>6.1854583581656612E-17</v>
      </c>
    </row>
    <row r="76" spans="2:2">
      <c r="B76" s="40">
        <v>6.1854583581656612E-17</v>
      </c>
    </row>
    <row r="77" spans="2:2">
      <c r="B77" s="40">
        <v>6.1854583581656612E-17</v>
      </c>
    </row>
    <row r="78" spans="2:2">
      <c r="B78" s="40">
        <v>6.1854583581656612E-17</v>
      </c>
    </row>
    <row r="79" spans="2:2">
      <c r="B79" s="40">
        <v>6.1854583581656612E-17</v>
      </c>
    </row>
    <row r="80" spans="2:2">
      <c r="B80" s="40">
        <v>6.1854583581656612E-17</v>
      </c>
    </row>
    <row r="81" spans="2:2">
      <c r="B81" s="40">
        <v>6.1854583581656612E-17</v>
      </c>
    </row>
    <row r="82" spans="2:2">
      <c r="B82" s="40">
        <v>6.1854583581656612E-17</v>
      </c>
    </row>
    <row r="83" spans="2:2">
      <c r="B83" s="40">
        <v>6.1854583581656612E-17</v>
      </c>
    </row>
    <row r="84" spans="2:2">
      <c r="B84" s="40">
        <v>6.1854583581656612E-17</v>
      </c>
    </row>
    <row r="85" spans="2:2">
      <c r="B85" s="40">
        <v>6.1854583581656612E-17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E85"/>
  <sheetViews>
    <sheetView workbookViewId="0">
      <selection activeCell="B4" sqref="B4"/>
    </sheetView>
  </sheetViews>
  <sheetFormatPr defaultRowHeight="12.75"/>
  <cols>
    <col min="1" max="1" width="16" style="40" bestFit="1" customWidth="1"/>
    <col min="2" max="2" width="9" style="40"/>
    <col min="3" max="3" width="11.125" style="40" bestFit="1" customWidth="1"/>
    <col min="4" max="4" width="14.25" style="40" customWidth="1"/>
    <col min="5" max="5" width="10.25" style="40" bestFit="1" customWidth="1"/>
    <col min="6" max="16384" width="9" style="40"/>
  </cols>
  <sheetData>
    <row r="1" spans="1:5">
      <c r="A1" s="40" t="s">
        <v>58</v>
      </c>
    </row>
    <row r="3" spans="1:5">
      <c r="A3" s="40" t="s">
        <v>188</v>
      </c>
      <c r="B3" s="89">
        <v>813955</v>
      </c>
    </row>
    <row r="4" spans="1:5">
      <c r="A4" s="40" t="s">
        <v>89</v>
      </c>
      <c r="B4" s="90">
        <v>8.2719000000000001E-2</v>
      </c>
    </row>
    <row r="5" spans="1:5">
      <c r="D5" s="40" t="s">
        <v>191</v>
      </c>
      <c r="E5" s="91">
        <f>-PMT($B$4,30,NPV($B$4,E10:E39))</f>
        <v>87920.207028711826</v>
      </c>
    </row>
    <row r="6" spans="1:5">
      <c r="D6" s="40" t="s">
        <v>190</v>
      </c>
      <c r="E6" s="64">
        <f>'Hydro Energy'!C16</f>
        <v>14197.425619726084</v>
      </c>
    </row>
    <row r="7" spans="1:5">
      <c r="D7" s="40" t="s">
        <v>15</v>
      </c>
      <c r="E7" s="81">
        <f>E5/E6</f>
        <v>6.1926865745684463</v>
      </c>
    </row>
    <row r="9" spans="1:5" s="67" customFormat="1" ht="38.25">
      <c r="A9" s="67" t="s">
        <v>35</v>
      </c>
      <c r="B9" s="67" t="s">
        <v>186</v>
      </c>
      <c r="C9" s="67" t="s">
        <v>187</v>
      </c>
      <c r="D9" s="67" t="s">
        <v>189</v>
      </c>
      <c r="E9" s="67" t="s">
        <v>34</v>
      </c>
    </row>
    <row r="10" spans="1:5">
      <c r="A10" s="40">
        <v>1</v>
      </c>
      <c r="B10" s="92">
        <v>0.13866520512911643</v>
      </c>
      <c r="C10" s="64">
        <f>B10*$B$3</f>
        <v>112867.23704086996</v>
      </c>
      <c r="E10" s="66">
        <f>SUM(C10:D10)</f>
        <v>112867.23704086996</v>
      </c>
    </row>
    <row r="11" spans="1:5">
      <c r="A11" s="40">
        <v>2</v>
      </c>
      <c r="B11" s="92">
        <v>0.13516187799028903</v>
      </c>
      <c r="C11" s="64">
        <f t="shared" ref="C11:C51" si="0">B11*$B$3</f>
        <v>110015.68639958571</v>
      </c>
      <c r="E11" s="66">
        <f t="shared" ref="E11:E51" si="1">SUM(C11:D11)</f>
        <v>110015.68639958571</v>
      </c>
    </row>
    <row r="12" spans="1:5">
      <c r="A12" s="40">
        <v>3</v>
      </c>
      <c r="B12" s="92">
        <v>0.13133290126951472</v>
      </c>
      <c r="C12" s="64">
        <f t="shared" si="0"/>
        <v>106899.07165282786</v>
      </c>
      <c r="E12" s="66">
        <f t="shared" si="1"/>
        <v>106899.07165282786</v>
      </c>
    </row>
    <row r="13" spans="1:5">
      <c r="A13" s="40">
        <v>4</v>
      </c>
      <c r="B13" s="92">
        <v>0.12761970365215805</v>
      </c>
      <c r="C13" s="64">
        <f t="shared" si="0"/>
        <v>103876.6958861923</v>
      </c>
      <c r="E13" s="66">
        <f t="shared" si="1"/>
        <v>103876.6958861923</v>
      </c>
    </row>
    <row r="14" spans="1:5">
      <c r="A14" s="40">
        <v>5</v>
      </c>
      <c r="B14" s="92">
        <v>0.12401361004689659</v>
      </c>
      <c r="C14" s="64">
        <f t="shared" si="0"/>
        <v>100941.49796572172</v>
      </c>
      <c r="E14" s="66">
        <f t="shared" si="1"/>
        <v>100941.49796572172</v>
      </c>
    </row>
    <row r="15" spans="1:5">
      <c r="A15" s="40">
        <v>6</v>
      </c>
      <c r="B15" s="92">
        <v>0.12050672389624469</v>
      </c>
      <c r="C15" s="64">
        <f t="shared" si="0"/>
        <v>98087.050448967842</v>
      </c>
      <c r="E15" s="66">
        <f t="shared" si="1"/>
        <v>98087.050448967842</v>
      </c>
    </row>
    <row r="16" spans="1:5">
      <c r="A16" s="40">
        <v>7</v>
      </c>
      <c r="B16" s="92">
        <v>0.11709159351919463</v>
      </c>
      <c r="C16" s="64">
        <f t="shared" si="0"/>
        <v>95307.288002916059</v>
      </c>
      <c r="E16" s="66">
        <f t="shared" si="1"/>
        <v>95307.288002916059</v>
      </c>
    </row>
    <row r="17" spans="1:5">
      <c r="A17" s="40">
        <v>8</v>
      </c>
      <c r="B17" s="92">
        <v>0.11376132333033634</v>
      </c>
      <c r="C17" s="64">
        <f t="shared" si="0"/>
        <v>92596.597931343917</v>
      </c>
      <c r="E17" s="66">
        <f t="shared" si="1"/>
        <v>92596.597931343917</v>
      </c>
    </row>
    <row r="18" spans="1:5">
      <c r="A18" s="40">
        <v>9</v>
      </c>
      <c r="B18" s="92">
        <v>0.11047876614375103</v>
      </c>
      <c r="C18" s="64">
        <f t="shared" si="0"/>
        <v>89924.744096536873</v>
      </c>
      <c r="E18" s="66">
        <f t="shared" si="1"/>
        <v>89924.744096536873</v>
      </c>
    </row>
    <row r="19" spans="1:5">
      <c r="A19" s="40">
        <v>10</v>
      </c>
      <c r="B19" s="92">
        <v>0.10720310454257578</v>
      </c>
      <c r="C19" s="64">
        <f t="shared" si="0"/>
        <v>87258.502957952267</v>
      </c>
      <c r="E19" s="66">
        <f t="shared" si="1"/>
        <v>87258.502957952267</v>
      </c>
    </row>
    <row r="20" spans="1:5">
      <c r="A20" s="40">
        <v>11</v>
      </c>
      <c r="B20" s="92">
        <v>0.10392744294140055</v>
      </c>
      <c r="C20" s="64">
        <f t="shared" si="0"/>
        <v>84592.26181936769</v>
      </c>
      <c r="E20" s="66">
        <f t="shared" si="1"/>
        <v>84592.26181936769</v>
      </c>
    </row>
    <row r="21" spans="1:5">
      <c r="A21" s="40">
        <v>12</v>
      </c>
      <c r="B21" s="92">
        <v>0.10065178134022533</v>
      </c>
      <c r="C21" s="64">
        <f t="shared" si="0"/>
        <v>81926.020680783113</v>
      </c>
      <c r="E21" s="66">
        <f t="shared" si="1"/>
        <v>81926.020680783113</v>
      </c>
    </row>
    <row r="22" spans="1:5">
      <c r="A22" s="40">
        <v>13</v>
      </c>
      <c r="B22" s="92">
        <v>9.7376119739050138E-2</v>
      </c>
      <c r="C22" s="64">
        <f t="shared" si="0"/>
        <v>79259.77954219855</v>
      </c>
      <c r="E22" s="66">
        <f t="shared" si="1"/>
        <v>79259.77954219855</v>
      </c>
    </row>
    <row r="23" spans="1:5">
      <c r="A23" s="40">
        <v>14</v>
      </c>
      <c r="B23" s="92">
        <v>9.410045813787489E-2</v>
      </c>
      <c r="C23" s="64">
        <f t="shared" si="0"/>
        <v>76593.538403613959</v>
      </c>
      <c r="E23" s="66">
        <f t="shared" si="1"/>
        <v>76593.538403613959</v>
      </c>
    </row>
    <row r="24" spans="1:5">
      <c r="A24" s="40">
        <v>15</v>
      </c>
      <c r="B24" s="92">
        <v>9.082479653669967E-2</v>
      </c>
      <c r="C24" s="64">
        <f t="shared" si="0"/>
        <v>73927.297265029381</v>
      </c>
      <c r="E24" s="66">
        <f t="shared" si="1"/>
        <v>73927.297265029381</v>
      </c>
    </row>
    <row r="25" spans="1:5">
      <c r="A25" s="40">
        <v>16</v>
      </c>
      <c r="B25" s="92">
        <v>8.7549134935524464E-2</v>
      </c>
      <c r="C25" s="64">
        <f t="shared" si="0"/>
        <v>71261.056126444819</v>
      </c>
      <c r="E25" s="66">
        <f t="shared" si="1"/>
        <v>71261.056126444819</v>
      </c>
    </row>
    <row r="26" spans="1:5">
      <c r="A26" s="40">
        <v>17</v>
      </c>
      <c r="B26" s="92">
        <v>8.4273473334349244E-2</v>
      </c>
      <c r="C26" s="64">
        <f t="shared" si="0"/>
        <v>68594.814987860242</v>
      </c>
      <c r="E26" s="66">
        <f t="shared" si="1"/>
        <v>68594.814987860242</v>
      </c>
    </row>
    <row r="27" spans="1:5">
      <c r="A27" s="40">
        <v>18</v>
      </c>
      <c r="B27" s="92">
        <v>8.0997811733174024E-2</v>
      </c>
      <c r="C27" s="64">
        <f t="shared" si="0"/>
        <v>65928.573849275665</v>
      </c>
      <c r="E27" s="66">
        <f t="shared" si="1"/>
        <v>65928.573849275665</v>
      </c>
    </row>
    <row r="28" spans="1:5">
      <c r="A28" s="40">
        <v>19</v>
      </c>
      <c r="B28" s="92">
        <v>7.7722150131998818E-2</v>
      </c>
      <c r="C28" s="64">
        <f t="shared" si="0"/>
        <v>63262.332710691095</v>
      </c>
      <c r="E28" s="66">
        <f t="shared" si="1"/>
        <v>63262.332710691095</v>
      </c>
    </row>
    <row r="29" spans="1:5">
      <c r="A29" s="40">
        <v>20</v>
      </c>
      <c r="B29" s="92">
        <v>7.4446488530823599E-2</v>
      </c>
      <c r="C29" s="64">
        <f t="shared" si="0"/>
        <v>60596.091572106525</v>
      </c>
      <c r="E29" s="66">
        <f t="shared" si="1"/>
        <v>60596.091572106525</v>
      </c>
    </row>
    <row r="30" spans="1:5">
      <c r="A30" s="40">
        <v>21</v>
      </c>
      <c r="B30" s="92">
        <v>7.1419068004411224E-2</v>
      </c>
      <c r="C30" s="64">
        <f t="shared" si="0"/>
        <v>58131.907497530534</v>
      </c>
      <c r="E30" s="66">
        <f t="shared" si="1"/>
        <v>58131.907497530534</v>
      </c>
    </row>
    <row r="31" spans="1:5">
      <c r="A31" s="40">
        <v>22</v>
      </c>
      <c r="B31" s="92">
        <v>6.8887795970166019E-2</v>
      </c>
      <c r="C31" s="64">
        <f t="shared" si="0"/>
        <v>56071.565968896481</v>
      </c>
      <c r="E31" s="66">
        <f t="shared" si="1"/>
        <v>56071.565968896481</v>
      </c>
    </row>
    <row r="32" spans="1:5">
      <c r="A32" s="40">
        <v>23</v>
      </c>
      <c r="B32" s="92">
        <v>6.6604431353325097E-2</v>
      </c>
      <c r="C32" s="64">
        <f t="shared" si="0"/>
        <v>54213.009922195728</v>
      </c>
      <c r="E32" s="66">
        <f t="shared" si="1"/>
        <v>54213.009922195728</v>
      </c>
    </row>
    <row r="33" spans="1:5">
      <c r="A33" s="40">
        <v>24</v>
      </c>
      <c r="B33" s="92">
        <v>6.4321066736484189E-2</v>
      </c>
      <c r="C33" s="64">
        <f t="shared" si="0"/>
        <v>52354.45387549499</v>
      </c>
      <c r="E33" s="66">
        <f t="shared" si="1"/>
        <v>52354.45387549499</v>
      </c>
    </row>
    <row r="34" spans="1:5">
      <c r="A34" s="40">
        <v>25</v>
      </c>
      <c r="B34" s="92">
        <v>6.2037702119643261E-2</v>
      </c>
      <c r="C34" s="64">
        <f t="shared" si="0"/>
        <v>50495.89782879423</v>
      </c>
      <c r="E34" s="66">
        <f t="shared" si="1"/>
        <v>50495.89782879423</v>
      </c>
    </row>
    <row r="35" spans="1:5">
      <c r="A35" s="40">
        <v>26</v>
      </c>
      <c r="B35" s="92">
        <v>5.9754337502802346E-2</v>
      </c>
      <c r="C35" s="64">
        <f t="shared" si="0"/>
        <v>48637.341782093485</v>
      </c>
      <c r="E35" s="66">
        <f t="shared" si="1"/>
        <v>48637.341782093485</v>
      </c>
    </row>
    <row r="36" spans="1:5">
      <c r="A36" s="40">
        <v>27</v>
      </c>
      <c r="B36" s="92">
        <v>5.7470972885961431E-2</v>
      </c>
      <c r="C36" s="64">
        <f t="shared" si="0"/>
        <v>46778.785735392739</v>
      </c>
      <c r="E36" s="66">
        <f t="shared" si="1"/>
        <v>46778.785735392739</v>
      </c>
    </row>
    <row r="37" spans="1:5">
      <c r="A37" s="40">
        <v>28</v>
      </c>
      <c r="B37" s="92">
        <v>5.5187608269120524E-2</v>
      </c>
      <c r="C37" s="64">
        <f t="shared" si="0"/>
        <v>44920.229688691994</v>
      </c>
      <c r="E37" s="66">
        <f t="shared" si="1"/>
        <v>44920.229688691994</v>
      </c>
    </row>
    <row r="38" spans="1:5">
      <c r="A38" s="40">
        <v>29</v>
      </c>
      <c r="B38" s="92">
        <v>5.2904243652279602E-2</v>
      </c>
      <c r="C38" s="64">
        <f t="shared" si="0"/>
        <v>43061.673641991241</v>
      </c>
      <c r="E38" s="66">
        <f t="shared" si="1"/>
        <v>43061.673641991241</v>
      </c>
    </row>
    <row r="39" spans="1:5">
      <c r="A39" s="40">
        <v>30</v>
      </c>
      <c r="B39" s="92">
        <v>5.0620879035438701E-2</v>
      </c>
      <c r="C39" s="64">
        <f t="shared" si="0"/>
        <v>41203.117595290511</v>
      </c>
      <c r="E39" s="66">
        <f t="shared" si="1"/>
        <v>41203.117595290511</v>
      </c>
    </row>
    <row r="40" spans="1:5">
      <c r="A40" s="40">
        <v>31</v>
      </c>
      <c r="B40" s="92">
        <v>4.833751441859778E-2</v>
      </c>
      <c r="C40" s="64">
        <f t="shared" si="0"/>
        <v>39344.561548589758</v>
      </c>
      <c r="E40" s="66">
        <f t="shared" si="1"/>
        <v>39344.561548589758</v>
      </c>
    </row>
    <row r="41" spans="1:5">
      <c r="A41" s="40">
        <v>32</v>
      </c>
      <c r="B41" s="92">
        <v>4.6054149801756872E-2</v>
      </c>
      <c r="C41" s="64">
        <f t="shared" si="0"/>
        <v>37486.005501889013</v>
      </c>
      <c r="E41" s="66">
        <f t="shared" si="1"/>
        <v>37486.005501889013</v>
      </c>
    </row>
    <row r="42" spans="1:5">
      <c r="A42" s="40">
        <v>33</v>
      </c>
      <c r="B42" s="92">
        <v>4.3770785184915957E-2</v>
      </c>
      <c r="C42" s="64">
        <f t="shared" si="0"/>
        <v>35627.449455188267</v>
      </c>
      <c r="E42" s="66">
        <f t="shared" si="1"/>
        <v>35627.449455188267</v>
      </c>
    </row>
    <row r="43" spans="1:5">
      <c r="A43" s="40">
        <v>34</v>
      </c>
      <c r="B43" s="92">
        <v>4.1487420568075042E-2</v>
      </c>
      <c r="C43" s="64">
        <f t="shared" si="0"/>
        <v>33768.893408487522</v>
      </c>
      <c r="E43" s="66">
        <f t="shared" si="1"/>
        <v>33768.893408487522</v>
      </c>
    </row>
    <row r="44" spans="1:5">
      <c r="A44" s="40">
        <v>35</v>
      </c>
      <c r="B44" s="92">
        <v>3.9204055951234128E-2</v>
      </c>
      <c r="C44" s="64">
        <f t="shared" si="0"/>
        <v>31910.337361786773</v>
      </c>
      <c r="E44" s="66">
        <f t="shared" si="1"/>
        <v>31910.337361786773</v>
      </c>
    </row>
    <row r="45" spans="1:5">
      <c r="A45" s="40">
        <v>36</v>
      </c>
      <c r="B45" s="92">
        <v>3.692069133439322E-2</v>
      </c>
      <c r="C45" s="64">
        <f t="shared" si="0"/>
        <v>30051.781315086035</v>
      </c>
      <c r="E45" s="66">
        <f t="shared" si="1"/>
        <v>30051.781315086035</v>
      </c>
    </row>
    <row r="46" spans="1:5">
      <c r="A46" s="40">
        <v>37</v>
      </c>
      <c r="B46" s="92">
        <v>3.4637326717552305E-2</v>
      </c>
      <c r="C46" s="64">
        <f t="shared" si="0"/>
        <v>28193.225268385286</v>
      </c>
      <c r="E46" s="66">
        <f t="shared" si="1"/>
        <v>28193.225268385286</v>
      </c>
    </row>
    <row r="47" spans="1:5">
      <c r="A47" s="40">
        <v>38</v>
      </c>
      <c r="B47" s="92">
        <v>3.2353962100711391E-2</v>
      </c>
      <c r="C47" s="64">
        <f t="shared" si="0"/>
        <v>26334.66922168454</v>
      </c>
      <c r="E47" s="66">
        <f t="shared" si="1"/>
        <v>26334.66922168454</v>
      </c>
    </row>
    <row r="48" spans="1:5">
      <c r="A48" s="40">
        <v>39</v>
      </c>
      <c r="B48" s="92">
        <v>3.0070597483870469E-2</v>
      </c>
      <c r="C48" s="64">
        <f t="shared" si="0"/>
        <v>24476.113174983788</v>
      </c>
      <c r="E48" s="66">
        <f t="shared" si="1"/>
        <v>24476.113174983788</v>
      </c>
    </row>
    <row r="49" spans="1:5">
      <c r="A49" s="40">
        <v>40</v>
      </c>
      <c r="B49" s="92">
        <v>2.7787232867029558E-2</v>
      </c>
      <c r="C49" s="64">
        <f t="shared" si="0"/>
        <v>22617.557128283042</v>
      </c>
      <c r="E49" s="66">
        <f t="shared" si="1"/>
        <v>22617.557128283042</v>
      </c>
    </row>
    <row r="50" spans="1:5">
      <c r="A50" s="40">
        <v>41</v>
      </c>
      <c r="B50" s="92">
        <v>2.5503868250188643E-2</v>
      </c>
      <c r="C50" s="64">
        <f t="shared" si="0"/>
        <v>20759.001081582297</v>
      </c>
      <c r="E50" s="66">
        <f t="shared" si="1"/>
        <v>20759.001081582297</v>
      </c>
    </row>
    <row r="51" spans="1:5">
      <c r="A51" s="40">
        <v>42</v>
      </c>
      <c r="B51" s="68">
        <v>-1.1016775916526404E-16</v>
      </c>
      <c r="C51" s="64">
        <f t="shared" si="0"/>
        <v>-8.9671598411362493E-11</v>
      </c>
      <c r="E51" s="66">
        <f t="shared" si="1"/>
        <v>-8.9671598411362493E-11</v>
      </c>
    </row>
    <row r="52" spans="1:5">
      <c r="B52" s="40">
        <v>-1.1016775916526404E-16</v>
      </c>
    </row>
    <row r="53" spans="1:5">
      <c r="B53" s="40">
        <v>-1.1016775916526404E-16</v>
      </c>
    </row>
    <row r="54" spans="1:5">
      <c r="B54" s="40">
        <v>-1.1016775916526404E-16</v>
      </c>
    </row>
    <row r="55" spans="1:5">
      <c r="B55" s="40">
        <v>-1.1016775916526404E-16</v>
      </c>
    </row>
    <row r="56" spans="1:5">
      <c r="B56" s="40">
        <v>-1.1016775916526404E-16</v>
      </c>
    </row>
    <row r="57" spans="1:5">
      <c r="B57" s="40">
        <v>-1.1016775916526404E-16</v>
      </c>
    </row>
    <row r="58" spans="1:5">
      <c r="B58" s="40">
        <v>-1.1016775916526404E-16</v>
      </c>
    </row>
    <row r="59" spans="1:5">
      <c r="B59" s="40">
        <v>-1.1016775916526404E-16</v>
      </c>
    </row>
    <row r="60" spans="1:5">
      <c r="B60" s="40">
        <v>-1.1016775916526404E-16</v>
      </c>
    </row>
    <row r="61" spans="1:5">
      <c r="B61" s="40">
        <v>-1.1016775916526404E-16</v>
      </c>
    </row>
    <row r="62" spans="1:5">
      <c r="B62" s="40">
        <v>-1.1016775916526404E-16</v>
      </c>
    </row>
    <row r="63" spans="1:5">
      <c r="B63" s="40">
        <v>-1.1016775916526404E-16</v>
      </c>
    </row>
    <row r="64" spans="1:5">
      <c r="B64" s="40">
        <v>-1.1016775916526404E-16</v>
      </c>
    </row>
    <row r="65" spans="2:2">
      <c r="B65" s="40">
        <v>-1.1016775916526404E-16</v>
      </c>
    </row>
    <row r="66" spans="2:2">
      <c r="B66" s="40">
        <v>-1.1016775916526404E-16</v>
      </c>
    </row>
    <row r="67" spans="2:2">
      <c r="B67" s="40">
        <v>-1.1016775916526404E-16</v>
      </c>
    </row>
    <row r="68" spans="2:2">
      <c r="B68" s="40">
        <v>-1.1016775916526404E-16</v>
      </c>
    </row>
    <row r="69" spans="2:2">
      <c r="B69" s="40">
        <v>-1.1016775916526404E-16</v>
      </c>
    </row>
    <row r="70" spans="2:2">
      <c r="B70" s="40">
        <v>-1.1016775916526404E-16</v>
      </c>
    </row>
    <row r="71" spans="2:2">
      <c r="B71" s="40">
        <v>-1.1016775916526404E-16</v>
      </c>
    </row>
    <row r="72" spans="2:2">
      <c r="B72" s="40">
        <v>-1.1016775916526404E-16</v>
      </c>
    </row>
    <row r="73" spans="2:2">
      <c r="B73" s="40">
        <v>-1.1016775916526404E-16</v>
      </c>
    </row>
    <row r="74" spans="2:2">
      <c r="B74" s="40">
        <v>-1.1016775916526404E-16</v>
      </c>
    </row>
    <row r="75" spans="2:2">
      <c r="B75" s="40">
        <v>-1.1016775916526404E-16</v>
      </c>
    </row>
    <row r="76" spans="2:2">
      <c r="B76" s="40">
        <v>-1.1016775916526404E-16</v>
      </c>
    </row>
    <row r="77" spans="2:2">
      <c r="B77" s="40">
        <v>-1.1016775916526404E-16</v>
      </c>
    </row>
    <row r="78" spans="2:2">
      <c r="B78" s="40">
        <v>-1.1016775916526404E-16</v>
      </c>
    </row>
    <row r="79" spans="2:2">
      <c r="B79" s="40">
        <v>-1.1016775916526404E-16</v>
      </c>
    </row>
    <row r="80" spans="2:2">
      <c r="B80" s="40">
        <v>-1.1016775916526404E-16</v>
      </c>
    </row>
    <row r="81" spans="2:2">
      <c r="B81" s="40">
        <v>-1.1016775916526404E-16</v>
      </c>
    </row>
    <row r="82" spans="2:2">
      <c r="B82" s="40">
        <v>-1.1016775916526404E-16</v>
      </c>
    </row>
    <row r="83" spans="2:2">
      <c r="B83" s="40">
        <v>-1.1016775916526404E-16</v>
      </c>
    </row>
    <row r="84" spans="2:2">
      <c r="B84" s="40">
        <v>-1.1016775916526404E-16</v>
      </c>
    </row>
    <row r="85" spans="2:2">
      <c r="B85" s="40">
        <v>-1.1016775916526404E-16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E85"/>
  <sheetViews>
    <sheetView workbookViewId="0">
      <selection activeCell="B4" sqref="B4"/>
    </sheetView>
  </sheetViews>
  <sheetFormatPr defaultRowHeight="12.75"/>
  <cols>
    <col min="1" max="1" width="16" style="40" bestFit="1" customWidth="1"/>
    <col min="2" max="2" width="9.375" style="40" bestFit="1" customWidth="1"/>
    <col min="3" max="3" width="11.125" style="40" bestFit="1" customWidth="1"/>
    <col min="4" max="4" width="14.25" style="40" customWidth="1"/>
    <col min="5" max="5" width="10.25" style="40" bestFit="1" customWidth="1"/>
    <col min="6" max="16384" width="9" style="40"/>
  </cols>
  <sheetData>
    <row r="1" spans="1:5">
      <c r="A1" s="40" t="s">
        <v>17</v>
      </c>
    </row>
    <row r="3" spans="1:5">
      <c r="A3" s="40" t="s">
        <v>188</v>
      </c>
      <c r="B3" s="89">
        <v>7634067</v>
      </c>
    </row>
    <row r="4" spans="1:5">
      <c r="A4" s="40" t="s">
        <v>89</v>
      </c>
      <c r="B4" s="90">
        <v>8.2719000000000001E-2</v>
      </c>
    </row>
    <row r="5" spans="1:5">
      <c r="D5" s="40" t="s">
        <v>191</v>
      </c>
      <c r="E5" s="91">
        <f>-PMT($B$4,30,NPV($B$4,E10:E39))</f>
        <v>821398.2451939655</v>
      </c>
    </row>
    <row r="6" spans="1:5">
      <c r="D6" s="40" t="s">
        <v>190</v>
      </c>
      <c r="E6" s="64">
        <f>'Hydro Energy'!D16</f>
        <v>45807.517793306077</v>
      </c>
    </row>
    <row r="7" spans="1:5">
      <c r="D7" s="40" t="s">
        <v>15</v>
      </c>
      <c r="E7" s="81">
        <f>E5/E6</f>
        <v>17.931516152005898</v>
      </c>
    </row>
    <row r="9" spans="1:5" s="67" customFormat="1" ht="38.25">
      <c r="A9" s="67" t="s">
        <v>35</v>
      </c>
      <c r="B9" s="67" t="s">
        <v>186</v>
      </c>
      <c r="C9" s="67" t="s">
        <v>187</v>
      </c>
      <c r="D9" s="67" t="s">
        <v>189</v>
      </c>
      <c r="E9" s="67" t="s">
        <v>34</v>
      </c>
    </row>
    <row r="10" spans="1:5">
      <c r="A10" s="40">
        <v>1</v>
      </c>
      <c r="B10" s="92">
        <v>0.13487410249510046</v>
      </c>
      <c r="C10" s="64">
        <f>B10*$B$3</f>
        <v>1029637.9350124641</v>
      </c>
      <c r="E10" s="66">
        <f>SUM(C10:D10)</f>
        <v>1029637.9350124641</v>
      </c>
    </row>
    <row r="11" spans="1:5">
      <c r="A11" s="40">
        <v>2</v>
      </c>
      <c r="B11" s="92">
        <v>0.13174356957943081</v>
      </c>
      <c r="C11" s="64">
        <f t="shared" ref="C11:C58" si="0">B11*$B$3</f>
        <v>1005739.2369885367</v>
      </c>
      <c r="E11" s="66">
        <f t="shared" ref="E11:E58" si="1">SUM(C11:D11)</f>
        <v>1005739.2369885367</v>
      </c>
    </row>
    <row r="12" spans="1:5">
      <c r="A12" s="40">
        <v>3</v>
      </c>
      <c r="B12" s="92">
        <v>0.1282873870818142</v>
      </c>
      <c r="C12" s="64">
        <f t="shared" si="0"/>
        <v>979354.50823750405</v>
      </c>
      <c r="E12" s="66">
        <f t="shared" si="1"/>
        <v>979354.50823750405</v>
      </c>
    </row>
    <row r="13" spans="1:5">
      <c r="A13" s="40">
        <v>4</v>
      </c>
      <c r="B13" s="92">
        <v>0.1249469836876152</v>
      </c>
      <c r="C13" s="64">
        <f t="shared" si="0"/>
        <v>953853.64491916145</v>
      </c>
      <c r="E13" s="66">
        <f t="shared" si="1"/>
        <v>953853.64491916145</v>
      </c>
    </row>
    <row r="14" spans="1:5">
      <c r="A14" s="40">
        <v>5</v>
      </c>
      <c r="B14" s="92">
        <v>0.12171368430551147</v>
      </c>
      <c r="C14" s="64">
        <f t="shared" si="0"/>
        <v>929170.42080512305</v>
      </c>
      <c r="E14" s="66">
        <f t="shared" si="1"/>
        <v>929170.42080512305</v>
      </c>
    </row>
    <row r="15" spans="1:5">
      <c r="A15" s="40">
        <v>6</v>
      </c>
      <c r="B15" s="92">
        <v>0.11857959237801725</v>
      </c>
      <c r="C15" s="64">
        <f t="shared" si="0"/>
        <v>905244.55304647307</v>
      </c>
      <c r="E15" s="66">
        <f t="shared" si="1"/>
        <v>905244.55304647307</v>
      </c>
    </row>
    <row r="16" spans="1:5">
      <c r="A16" s="40">
        <v>7</v>
      </c>
      <c r="B16" s="92">
        <v>0.11553725622412493</v>
      </c>
      <c r="C16" s="64">
        <f t="shared" si="0"/>
        <v>882019.15501113678</v>
      </c>
      <c r="E16" s="66">
        <f t="shared" si="1"/>
        <v>882019.15501113678</v>
      </c>
    </row>
    <row r="17" spans="1:5">
      <c r="A17" s="40">
        <v>8</v>
      </c>
      <c r="B17" s="92">
        <v>0.11257978025842436</v>
      </c>
      <c r="C17" s="64">
        <f t="shared" si="0"/>
        <v>859441.5853380888</v>
      </c>
      <c r="E17" s="66">
        <f t="shared" si="1"/>
        <v>859441.5853380888</v>
      </c>
    </row>
    <row r="18" spans="1:5">
      <c r="A18" s="40">
        <v>9</v>
      </c>
      <c r="B18" s="92">
        <v>0.10967001729499676</v>
      </c>
      <c r="C18" s="64">
        <f t="shared" si="0"/>
        <v>837228.25992116402</v>
      </c>
      <c r="E18" s="66">
        <f t="shared" si="1"/>
        <v>837228.25992116402</v>
      </c>
    </row>
    <row r="19" spans="1:5">
      <c r="A19" s="40">
        <v>10</v>
      </c>
      <c r="B19" s="92">
        <v>0.10676714991697923</v>
      </c>
      <c r="C19" s="64">
        <f t="shared" si="0"/>
        <v>815067.57586526393</v>
      </c>
      <c r="E19" s="66">
        <f t="shared" si="1"/>
        <v>815067.57586526393</v>
      </c>
    </row>
    <row r="20" spans="1:5">
      <c r="A20" s="40">
        <v>11</v>
      </c>
      <c r="B20" s="92">
        <v>0.10386428253896171</v>
      </c>
      <c r="C20" s="64">
        <f t="shared" si="0"/>
        <v>792906.89180936385</v>
      </c>
      <c r="E20" s="66">
        <f t="shared" si="1"/>
        <v>792906.89180936385</v>
      </c>
    </row>
    <row r="21" spans="1:5">
      <c r="A21" s="40">
        <v>12</v>
      </c>
      <c r="B21" s="92">
        <v>0.1009614151609442</v>
      </c>
      <c r="C21" s="64">
        <f t="shared" si="0"/>
        <v>770746.20775346376</v>
      </c>
      <c r="E21" s="66">
        <f t="shared" si="1"/>
        <v>770746.20775346376</v>
      </c>
    </row>
    <row r="22" spans="1:5">
      <c r="A22" s="40">
        <v>13</v>
      </c>
      <c r="B22" s="92">
        <v>9.8058547782926692E-2</v>
      </c>
      <c r="C22" s="64">
        <f t="shared" si="0"/>
        <v>748585.5236975638</v>
      </c>
      <c r="E22" s="66">
        <f t="shared" si="1"/>
        <v>748585.5236975638</v>
      </c>
    </row>
    <row r="23" spans="1:5">
      <c r="A23" s="40">
        <v>14</v>
      </c>
      <c r="B23" s="92">
        <v>9.5155680404909168E-2</v>
      </c>
      <c r="C23" s="64">
        <f t="shared" si="0"/>
        <v>726424.83964166371</v>
      </c>
      <c r="E23" s="66">
        <f t="shared" si="1"/>
        <v>726424.83964166371</v>
      </c>
    </row>
    <row r="24" spans="1:5">
      <c r="A24" s="40">
        <v>15</v>
      </c>
      <c r="B24" s="92">
        <v>9.2252813026891645E-2</v>
      </c>
      <c r="C24" s="64">
        <f t="shared" si="0"/>
        <v>704264.15558576363</v>
      </c>
      <c r="E24" s="66">
        <f t="shared" si="1"/>
        <v>704264.15558576363</v>
      </c>
    </row>
    <row r="25" spans="1:5">
      <c r="A25" s="40">
        <v>16</v>
      </c>
      <c r="B25" s="92">
        <v>8.9349945648874121E-2</v>
      </c>
      <c r="C25" s="64">
        <f t="shared" si="0"/>
        <v>682103.47152986354</v>
      </c>
      <c r="E25" s="66">
        <f t="shared" si="1"/>
        <v>682103.47152986354</v>
      </c>
    </row>
    <row r="26" spans="1:5">
      <c r="A26" s="40">
        <v>17</v>
      </c>
      <c r="B26" s="92">
        <v>8.6447078270856598E-2</v>
      </c>
      <c r="C26" s="64">
        <f t="shared" si="0"/>
        <v>659942.78747396346</v>
      </c>
      <c r="E26" s="66">
        <f t="shared" si="1"/>
        <v>659942.78747396346</v>
      </c>
    </row>
    <row r="27" spans="1:5">
      <c r="A27" s="40">
        <v>18</v>
      </c>
      <c r="B27" s="92">
        <v>8.3544210892839088E-2</v>
      </c>
      <c r="C27" s="64">
        <f t="shared" si="0"/>
        <v>637782.10341806337</v>
      </c>
      <c r="E27" s="66">
        <f t="shared" si="1"/>
        <v>637782.10341806337</v>
      </c>
    </row>
    <row r="28" spans="1:5">
      <c r="A28" s="40">
        <v>19</v>
      </c>
      <c r="B28" s="92">
        <v>8.0641343514821578E-2</v>
      </c>
      <c r="C28" s="64">
        <f t="shared" si="0"/>
        <v>615621.4193621634</v>
      </c>
      <c r="E28" s="66">
        <f t="shared" si="1"/>
        <v>615621.4193621634</v>
      </c>
    </row>
    <row r="29" spans="1:5">
      <c r="A29" s="40">
        <v>20</v>
      </c>
      <c r="B29" s="92">
        <v>7.7738476136804069E-2</v>
      </c>
      <c r="C29" s="64">
        <f t="shared" si="0"/>
        <v>593460.73530626344</v>
      </c>
      <c r="E29" s="66">
        <f t="shared" si="1"/>
        <v>593460.73530626344</v>
      </c>
    </row>
    <row r="30" spans="1:5">
      <c r="A30" s="40">
        <v>21</v>
      </c>
      <c r="B30" s="92">
        <v>7.5083849833549376E-2</v>
      </c>
      <c r="C30" s="64">
        <f t="shared" si="0"/>
        <v>573195.14024725475</v>
      </c>
      <c r="E30" s="66">
        <f t="shared" si="1"/>
        <v>573195.14024725475</v>
      </c>
    </row>
    <row r="31" spans="1:5">
      <c r="A31" s="40">
        <v>22</v>
      </c>
      <c r="B31" s="92">
        <v>7.2925372022461868E-2</v>
      </c>
      <c r="C31" s="64">
        <f t="shared" si="0"/>
        <v>556717.17601939943</v>
      </c>
      <c r="E31" s="66">
        <f t="shared" si="1"/>
        <v>556717.17601939943</v>
      </c>
    </row>
    <row r="32" spans="1:5">
      <c r="A32" s="40">
        <v>23</v>
      </c>
      <c r="B32" s="92">
        <v>7.101480162877867E-2</v>
      </c>
      <c r="C32" s="64">
        <f t="shared" si="0"/>
        <v>542131.75362580549</v>
      </c>
      <c r="E32" s="66">
        <f t="shared" si="1"/>
        <v>542131.75362580549</v>
      </c>
    </row>
    <row r="33" spans="1:5">
      <c r="A33" s="40">
        <v>24</v>
      </c>
      <c r="B33" s="92">
        <v>6.9104231235095431E-2</v>
      </c>
      <c r="C33" s="64">
        <f t="shared" si="0"/>
        <v>527546.33123221132</v>
      </c>
      <c r="E33" s="66">
        <f t="shared" si="1"/>
        <v>527546.33123221132</v>
      </c>
    </row>
    <row r="34" spans="1:5">
      <c r="A34" s="40">
        <v>25</v>
      </c>
      <c r="B34" s="92">
        <v>6.7193660841412234E-2</v>
      </c>
      <c r="C34" s="64">
        <f t="shared" si="0"/>
        <v>512960.90883861738</v>
      </c>
      <c r="E34" s="66">
        <f t="shared" si="1"/>
        <v>512960.90883861738</v>
      </c>
    </row>
    <row r="35" spans="1:5">
      <c r="A35" s="40">
        <v>26</v>
      </c>
      <c r="B35" s="92">
        <v>6.5283090447729022E-2</v>
      </c>
      <c r="C35" s="64">
        <f t="shared" si="0"/>
        <v>498375.48644502333</v>
      </c>
      <c r="E35" s="66">
        <f t="shared" si="1"/>
        <v>498375.48644502333</v>
      </c>
    </row>
    <row r="36" spans="1:5">
      <c r="A36" s="40">
        <v>27</v>
      </c>
      <c r="B36" s="92">
        <v>6.3372520054045783E-2</v>
      </c>
      <c r="C36" s="64">
        <f t="shared" si="0"/>
        <v>483790.06405142916</v>
      </c>
      <c r="E36" s="66">
        <f t="shared" si="1"/>
        <v>483790.06405142916</v>
      </c>
    </row>
    <row r="37" spans="1:5">
      <c r="A37" s="40">
        <v>28</v>
      </c>
      <c r="B37" s="92">
        <v>6.1461949660362586E-2</v>
      </c>
      <c r="C37" s="64">
        <f t="shared" si="0"/>
        <v>469204.64165783522</v>
      </c>
      <c r="E37" s="66">
        <f t="shared" si="1"/>
        <v>469204.64165783522</v>
      </c>
    </row>
    <row r="38" spans="1:5">
      <c r="A38" s="40">
        <v>29</v>
      </c>
      <c r="B38" s="92">
        <v>5.9551379266679368E-2</v>
      </c>
      <c r="C38" s="64">
        <f t="shared" si="0"/>
        <v>454619.21926424117</v>
      </c>
      <c r="E38" s="66">
        <f t="shared" si="1"/>
        <v>454619.21926424117</v>
      </c>
    </row>
    <row r="39" spans="1:5">
      <c r="A39" s="40">
        <v>30</v>
      </c>
      <c r="B39" s="92">
        <v>5.7640808872996156E-2</v>
      </c>
      <c r="C39" s="64">
        <f t="shared" si="0"/>
        <v>440033.79687064717</v>
      </c>
      <c r="E39" s="66">
        <f t="shared" si="1"/>
        <v>440033.79687064717</v>
      </c>
    </row>
    <row r="40" spans="1:5">
      <c r="A40" s="40">
        <v>31</v>
      </c>
      <c r="B40" s="92">
        <v>5.5730238479312938E-2</v>
      </c>
      <c r="C40" s="64">
        <f t="shared" si="0"/>
        <v>425448.37447705306</v>
      </c>
      <c r="E40" s="66">
        <f t="shared" si="1"/>
        <v>425448.37447705306</v>
      </c>
    </row>
    <row r="41" spans="1:5">
      <c r="A41" s="40">
        <v>32</v>
      </c>
      <c r="B41" s="92">
        <v>5.3819668085629727E-2</v>
      </c>
      <c r="C41" s="64">
        <f t="shared" si="0"/>
        <v>410862.95208345907</v>
      </c>
      <c r="E41" s="66">
        <f t="shared" si="1"/>
        <v>410862.95208345907</v>
      </c>
    </row>
    <row r="42" spans="1:5">
      <c r="A42" s="40">
        <v>33</v>
      </c>
      <c r="B42" s="92">
        <v>5.1909097691946508E-2</v>
      </c>
      <c r="C42" s="64">
        <f t="shared" si="0"/>
        <v>396277.52968986501</v>
      </c>
      <c r="E42" s="66">
        <f t="shared" si="1"/>
        <v>396277.52968986501</v>
      </c>
    </row>
    <row r="43" spans="1:5">
      <c r="A43" s="40">
        <v>34</v>
      </c>
      <c r="B43" s="92">
        <v>4.999852729826329E-2</v>
      </c>
      <c r="C43" s="64">
        <f t="shared" si="0"/>
        <v>381692.10729627096</v>
      </c>
      <c r="E43" s="66">
        <f t="shared" si="1"/>
        <v>381692.10729627096</v>
      </c>
    </row>
    <row r="44" spans="1:5">
      <c r="A44" s="40">
        <v>35</v>
      </c>
      <c r="B44" s="92">
        <v>4.8087956904580086E-2</v>
      </c>
      <c r="C44" s="64">
        <f t="shared" si="0"/>
        <v>367106.68490267696</v>
      </c>
      <c r="E44" s="66">
        <f t="shared" si="1"/>
        <v>367106.68490267696</v>
      </c>
    </row>
    <row r="45" spans="1:5">
      <c r="A45" s="40">
        <v>36</v>
      </c>
      <c r="B45" s="92">
        <v>4.6177386510896874E-2</v>
      </c>
      <c r="C45" s="64">
        <f t="shared" si="0"/>
        <v>352521.26250908297</v>
      </c>
      <c r="E45" s="66">
        <f t="shared" si="1"/>
        <v>352521.26250908297</v>
      </c>
    </row>
    <row r="46" spans="1:5">
      <c r="A46" s="40">
        <v>37</v>
      </c>
      <c r="B46" s="92">
        <v>4.4266816117213656E-2</v>
      </c>
      <c r="C46" s="64">
        <f t="shared" si="0"/>
        <v>337935.84011548891</v>
      </c>
      <c r="E46" s="66">
        <f t="shared" si="1"/>
        <v>337935.84011548891</v>
      </c>
    </row>
    <row r="47" spans="1:5">
      <c r="A47" s="40">
        <v>38</v>
      </c>
      <c r="B47" s="92">
        <v>4.2356245723530431E-2</v>
      </c>
      <c r="C47" s="64">
        <f t="shared" si="0"/>
        <v>323350.4177218948</v>
      </c>
      <c r="E47" s="66">
        <f t="shared" si="1"/>
        <v>323350.4177218948</v>
      </c>
    </row>
    <row r="48" spans="1:5">
      <c r="A48" s="40">
        <v>39</v>
      </c>
      <c r="B48" s="92">
        <v>4.0445675329847226E-2</v>
      </c>
      <c r="C48" s="64">
        <f t="shared" si="0"/>
        <v>308764.99532830081</v>
      </c>
      <c r="E48" s="66">
        <f t="shared" si="1"/>
        <v>308764.99532830081</v>
      </c>
    </row>
    <row r="49" spans="1:5">
      <c r="A49" s="40">
        <v>40</v>
      </c>
      <c r="B49" s="92">
        <v>3.8535104936164001E-2</v>
      </c>
      <c r="C49" s="64">
        <f t="shared" si="0"/>
        <v>294179.5729347067</v>
      </c>
      <c r="E49" s="66">
        <f t="shared" si="1"/>
        <v>294179.5729347067</v>
      </c>
    </row>
    <row r="50" spans="1:5">
      <c r="A50" s="40">
        <v>41</v>
      </c>
      <c r="B50" s="92">
        <v>3.6624534542480783E-2</v>
      </c>
      <c r="C50" s="64">
        <f t="shared" si="0"/>
        <v>279594.15054111264</v>
      </c>
      <c r="E50" s="66">
        <f t="shared" si="1"/>
        <v>279594.15054111264</v>
      </c>
    </row>
    <row r="51" spans="1:5">
      <c r="A51" s="40">
        <v>42</v>
      </c>
      <c r="B51" s="92">
        <v>3.4713964148797578E-2</v>
      </c>
      <c r="C51" s="64">
        <f t="shared" si="0"/>
        <v>265008.7281475187</v>
      </c>
      <c r="E51" s="66">
        <f t="shared" si="1"/>
        <v>265008.7281475187</v>
      </c>
    </row>
    <row r="52" spans="1:5">
      <c r="A52" s="40">
        <v>43</v>
      </c>
      <c r="B52" s="92">
        <v>3.2803393755114367E-2</v>
      </c>
      <c r="C52" s="64">
        <f t="shared" si="0"/>
        <v>250423.30575392468</v>
      </c>
      <c r="E52" s="66">
        <f t="shared" si="1"/>
        <v>250423.30575392468</v>
      </c>
    </row>
    <row r="53" spans="1:5">
      <c r="A53" s="40">
        <v>44</v>
      </c>
      <c r="B53" s="92">
        <v>3.0892823361431156E-2</v>
      </c>
      <c r="C53" s="64">
        <f t="shared" si="0"/>
        <v>235837.88336033066</v>
      </c>
      <c r="E53" s="66">
        <f t="shared" si="1"/>
        <v>235837.88336033066</v>
      </c>
    </row>
    <row r="54" spans="1:5">
      <c r="A54" s="40">
        <v>45</v>
      </c>
      <c r="B54" s="92">
        <v>2.8982252967747937E-2</v>
      </c>
      <c r="C54" s="64">
        <f t="shared" si="0"/>
        <v>221252.4609667366</v>
      </c>
      <c r="E54" s="66">
        <f t="shared" si="1"/>
        <v>221252.4609667366</v>
      </c>
    </row>
    <row r="55" spans="1:5">
      <c r="A55" s="40">
        <v>46</v>
      </c>
      <c r="B55" s="92">
        <v>2.7071682574064726E-2</v>
      </c>
      <c r="C55" s="64">
        <f t="shared" si="0"/>
        <v>206667.03857314258</v>
      </c>
      <c r="E55" s="66">
        <f t="shared" si="1"/>
        <v>206667.03857314258</v>
      </c>
    </row>
    <row r="56" spans="1:5">
      <c r="A56" s="40">
        <v>47</v>
      </c>
      <c r="B56" s="92">
        <v>2.5161112180381508E-2</v>
      </c>
      <c r="C56" s="64">
        <f t="shared" si="0"/>
        <v>192081.61617954852</v>
      </c>
      <c r="E56" s="66">
        <f t="shared" si="1"/>
        <v>192081.61617954852</v>
      </c>
    </row>
    <row r="57" spans="1:5">
      <c r="A57" s="40">
        <v>48</v>
      </c>
      <c r="B57" s="92">
        <v>2.3250541786698296E-2</v>
      </c>
      <c r="C57" s="64">
        <f t="shared" si="0"/>
        <v>177496.1937859545</v>
      </c>
      <c r="E57" s="66">
        <f t="shared" si="1"/>
        <v>177496.1937859545</v>
      </c>
    </row>
    <row r="58" spans="1:5">
      <c r="A58" s="40">
        <v>49</v>
      </c>
      <c r="B58" s="92">
        <v>2.1339971393015082E-2</v>
      </c>
      <c r="C58" s="64">
        <f t="shared" si="0"/>
        <v>162910.77139236048</v>
      </c>
      <c r="E58" s="66">
        <f t="shared" si="1"/>
        <v>162910.77139236048</v>
      </c>
    </row>
    <row r="59" spans="1:5">
      <c r="B59" s="40">
        <v>6.8437407667060238E-18</v>
      </c>
    </row>
    <row r="60" spans="1:5">
      <c r="B60" s="40">
        <v>6.8437407667060238E-18</v>
      </c>
    </row>
    <row r="61" spans="1:5">
      <c r="B61" s="40">
        <v>6.8437407667060238E-18</v>
      </c>
    </row>
    <row r="62" spans="1:5">
      <c r="B62" s="40">
        <v>6.8437407667060238E-18</v>
      </c>
    </row>
    <row r="63" spans="1:5">
      <c r="B63" s="40">
        <v>6.8437407667060238E-18</v>
      </c>
    </row>
    <row r="64" spans="1:5">
      <c r="B64" s="40">
        <v>6.8437407667060238E-18</v>
      </c>
    </row>
    <row r="65" spans="2:2">
      <c r="B65" s="40">
        <v>6.8437407667060238E-18</v>
      </c>
    </row>
    <row r="66" spans="2:2">
      <c r="B66" s="40">
        <v>6.8437407667060238E-18</v>
      </c>
    </row>
    <row r="67" spans="2:2">
      <c r="B67" s="40">
        <v>6.8437407667060238E-18</v>
      </c>
    </row>
    <row r="68" spans="2:2">
      <c r="B68" s="40">
        <v>6.8437407667060238E-18</v>
      </c>
    </row>
    <row r="69" spans="2:2">
      <c r="B69" s="40">
        <v>6.8437407667060238E-18</v>
      </c>
    </row>
    <row r="70" spans="2:2">
      <c r="B70" s="40">
        <v>6.8437407667060238E-18</v>
      </c>
    </row>
    <row r="71" spans="2:2">
      <c r="B71" s="40">
        <v>6.8437407667060238E-18</v>
      </c>
    </row>
    <row r="72" spans="2:2">
      <c r="B72" s="40">
        <v>6.8437407667060238E-18</v>
      </c>
    </row>
    <row r="73" spans="2:2">
      <c r="B73" s="40">
        <v>6.8437407667060238E-18</v>
      </c>
    </row>
    <row r="74" spans="2:2">
      <c r="B74" s="40">
        <v>6.8437407667060238E-18</v>
      </c>
    </row>
    <row r="75" spans="2:2">
      <c r="B75" s="40">
        <v>6.8437407667060238E-18</v>
      </c>
    </row>
    <row r="76" spans="2:2">
      <c r="B76" s="40">
        <v>6.8437407667060238E-18</v>
      </c>
    </row>
    <row r="77" spans="2:2">
      <c r="B77" s="40">
        <v>6.8437407667060238E-18</v>
      </c>
    </row>
    <row r="78" spans="2:2">
      <c r="B78" s="40">
        <v>6.8437407667060238E-18</v>
      </c>
    </row>
    <row r="79" spans="2:2">
      <c r="B79" s="40">
        <v>6.8437407667060238E-18</v>
      </c>
    </row>
    <row r="80" spans="2:2">
      <c r="B80" s="40">
        <v>6.8437407667060238E-18</v>
      </c>
    </row>
    <row r="81" spans="2:2">
      <c r="B81" s="40">
        <v>6.8437407667060238E-18</v>
      </c>
    </row>
    <row r="82" spans="2:2">
      <c r="B82" s="40">
        <v>6.8437407667060238E-18</v>
      </c>
    </row>
    <row r="83" spans="2:2">
      <c r="B83" s="40">
        <v>6.8437407667060238E-18</v>
      </c>
    </row>
    <row r="84" spans="2:2">
      <c r="B84" s="40">
        <v>6.8437407667060238E-18</v>
      </c>
    </row>
    <row r="85" spans="2:2">
      <c r="B85" s="40">
        <v>6.8437407667060238E-18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E85"/>
  <sheetViews>
    <sheetView workbookViewId="0">
      <selection activeCell="B4" sqref="B4"/>
    </sheetView>
  </sheetViews>
  <sheetFormatPr defaultRowHeight="12.75"/>
  <cols>
    <col min="1" max="1" width="16" style="40" bestFit="1" customWidth="1"/>
    <col min="2" max="2" width="9.375" style="40" bestFit="1" customWidth="1"/>
    <col min="3" max="3" width="11.125" style="40" bestFit="1" customWidth="1"/>
    <col min="4" max="4" width="14.25" style="40" customWidth="1"/>
    <col min="5" max="5" width="10.25" style="40" bestFit="1" customWidth="1"/>
    <col min="6" max="16384" width="9" style="40"/>
  </cols>
  <sheetData>
    <row r="1" spans="1:5">
      <c r="A1" s="40" t="s">
        <v>16</v>
      </c>
    </row>
    <row r="3" spans="1:5">
      <c r="A3" s="40" t="s">
        <v>188</v>
      </c>
      <c r="B3" s="89">
        <v>5705640</v>
      </c>
    </row>
    <row r="4" spans="1:5">
      <c r="A4" s="40" t="s">
        <v>89</v>
      </c>
      <c r="B4" s="90">
        <v>8.8111999999999996E-2</v>
      </c>
    </row>
    <row r="5" spans="1:5">
      <c r="D5" s="40" t="s">
        <v>191</v>
      </c>
      <c r="E5" s="91">
        <f>-PMT($B$4,30,NPV($B$4,E10:E39))</f>
        <v>635250.92512515641</v>
      </c>
    </row>
    <row r="6" spans="1:5">
      <c r="D6" s="40" t="s">
        <v>190</v>
      </c>
      <c r="E6" s="64">
        <f>'Hydro Energy'!E16</f>
        <v>29008.28461994743</v>
      </c>
    </row>
    <row r="7" spans="1:5">
      <c r="D7" s="40" t="s">
        <v>15</v>
      </c>
      <c r="E7" s="81">
        <f>E5/E6</f>
        <v>21.898948298663917</v>
      </c>
    </row>
    <row r="9" spans="1:5" s="67" customFormat="1" ht="38.25">
      <c r="A9" s="67" t="s">
        <v>35</v>
      </c>
      <c r="B9" s="67" t="s">
        <v>186</v>
      </c>
      <c r="C9" s="67" t="s">
        <v>187</v>
      </c>
      <c r="D9" s="67" t="s">
        <v>189</v>
      </c>
      <c r="E9" s="67" t="s">
        <v>34</v>
      </c>
    </row>
    <row r="10" spans="1:5">
      <c r="A10" s="40">
        <v>1</v>
      </c>
      <c r="B10" s="92">
        <v>0.14158088216555703</v>
      </c>
      <c r="C10" s="64">
        <f>B10*$B$3</f>
        <v>807809.54451908881</v>
      </c>
      <c r="D10" s="64">
        <v>0</v>
      </c>
      <c r="E10" s="66">
        <f>SUM(C10:D10)</f>
        <v>807809.54451908881</v>
      </c>
    </row>
    <row r="11" spans="1:5">
      <c r="A11" s="40">
        <v>2</v>
      </c>
      <c r="B11" s="92">
        <v>0.13826272326481556</v>
      </c>
      <c r="C11" s="64">
        <f t="shared" ref="C11:C58" si="0">B11*$B$3</f>
        <v>788877.32436866232</v>
      </c>
      <c r="D11" s="64">
        <v>-65600</v>
      </c>
      <c r="E11" s="66">
        <f t="shared" ref="E11:E58" si="1">SUM(C11:D11)</f>
        <v>723277.32436866232</v>
      </c>
    </row>
    <row r="12" spans="1:5">
      <c r="A12" s="40">
        <v>3</v>
      </c>
      <c r="B12" s="92">
        <v>0.13459804504852463</v>
      </c>
      <c r="C12" s="64">
        <f t="shared" si="0"/>
        <v>767967.9897506641</v>
      </c>
      <c r="D12" s="64">
        <v>0</v>
      </c>
      <c r="E12" s="66">
        <f t="shared" si="1"/>
        <v>767967.9897506641</v>
      </c>
    </row>
    <row r="13" spans="1:5">
      <c r="A13" s="40">
        <v>4</v>
      </c>
      <c r="B13" s="92">
        <v>0.13105656581020056</v>
      </c>
      <c r="C13" s="64">
        <f t="shared" si="0"/>
        <v>747761.58414931269</v>
      </c>
      <c r="D13" s="64">
        <v>0</v>
      </c>
      <c r="E13" s="66">
        <f t="shared" si="1"/>
        <v>747761.58414931269</v>
      </c>
    </row>
    <row r="14" spans="1:5">
      <c r="A14" s="40">
        <v>5</v>
      </c>
      <c r="B14" s="92">
        <v>0.12762905450250289</v>
      </c>
      <c r="C14" s="64">
        <f t="shared" si="0"/>
        <v>728205.43853166059</v>
      </c>
      <c r="D14" s="64">
        <v>0</v>
      </c>
      <c r="E14" s="66">
        <f t="shared" si="1"/>
        <v>728205.43853166059</v>
      </c>
    </row>
    <row r="15" spans="1:5">
      <c r="A15" s="40">
        <v>6</v>
      </c>
      <c r="B15" s="92">
        <v>0.12430710850541662</v>
      </c>
      <c r="C15" s="64">
        <f t="shared" si="0"/>
        <v>709251.61057284533</v>
      </c>
      <c r="D15" s="64">
        <v>0</v>
      </c>
      <c r="E15" s="66">
        <f t="shared" si="1"/>
        <v>709251.61057284533</v>
      </c>
    </row>
    <row r="16" spans="1:5">
      <c r="A16" s="40">
        <v>7</v>
      </c>
      <c r="B16" s="92">
        <v>0.12108279858596988</v>
      </c>
      <c r="C16" s="64">
        <f t="shared" si="0"/>
        <v>690854.85892405314</v>
      </c>
      <c r="D16" s="64">
        <v>0</v>
      </c>
      <c r="E16" s="66">
        <f t="shared" si="1"/>
        <v>690854.85892405314</v>
      </c>
    </row>
    <row r="17" spans="1:5">
      <c r="A17" s="40">
        <v>8</v>
      </c>
      <c r="B17" s="92">
        <v>0.11794878724499444</v>
      </c>
      <c r="C17" s="64">
        <f t="shared" si="0"/>
        <v>672973.31845653011</v>
      </c>
      <c r="D17" s="64">
        <v>0</v>
      </c>
      <c r="E17" s="66">
        <f t="shared" si="1"/>
        <v>672973.31845653011</v>
      </c>
    </row>
    <row r="18" spans="1:5">
      <c r="A18" s="40">
        <v>9</v>
      </c>
      <c r="B18" s="92">
        <v>0.11486554666439155</v>
      </c>
      <c r="C18" s="64">
        <f t="shared" si="0"/>
        <v>655381.45767021901</v>
      </c>
      <c r="D18" s="64">
        <v>0</v>
      </c>
      <c r="E18" s="66">
        <f t="shared" si="1"/>
        <v>655381.45767021901</v>
      </c>
    </row>
    <row r="19" spans="1:5">
      <c r="A19" s="40">
        <v>10</v>
      </c>
      <c r="B19" s="92">
        <v>0.11178964358295673</v>
      </c>
      <c r="C19" s="64">
        <f t="shared" si="0"/>
        <v>637831.46201266127</v>
      </c>
      <c r="D19" s="64">
        <v>-65600</v>
      </c>
      <c r="E19" s="66">
        <f t="shared" si="1"/>
        <v>572231.46201266127</v>
      </c>
    </row>
    <row r="20" spans="1:5">
      <c r="A20" s="40">
        <v>11</v>
      </c>
      <c r="B20" s="92">
        <v>0.10871374050152192</v>
      </c>
      <c r="C20" s="64">
        <f t="shared" si="0"/>
        <v>620281.46635510353</v>
      </c>
      <c r="D20" s="64">
        <v>0</v>
      </c>
      <c r="E20" s="66">
        <f t="shared" si="1"/>
        <v>620281.46635510353</v>
      </c>
    </row>
    <row r="21" spans="1:5">
      <c r="A21" s="40">
        <v>12</v>
      </c>
      <c r="B21" s="92">
        <v>0.10563783742008706</v>
      </c>
      <c r="C21" s="64">
        <f t="shared" si="0"/>
        <v>602731.47069754556</v>
      </c>
      <c r="D21" s="64">
        <v>0</v>
      </c>
      <c r="E21" s="66">
        <f t="shared" si="1"/>
        <v>602731.47069754556</v>
      </c>
    </row>
    <row r="22" spans="1:5">
      <c r="A22" s="40">
        <v>13</v>
      </c>
      <c r="B22" s="92">
        <v>0.10256193433865227</v>
      </c>
      <c r="C22" s="64">
        <f t="shared" si="0"/>
        <v>585181.47503998794</v>
      </c>
      <c r="D22" s="64">
        <v>0</v>
      </c>
      <c r="E22" s="66">
        <f t="shared" si="1"/>
        <v>585181.47503998794</v>
      </c>
    </row>
    <row r="23" spans="1:5">
      <c r="A23" s="40">
        <v>14</v>
      </c>
      <c r="B23" s="92">
        <v>9.9486031257217458E-2</v>
      </c>
      <c r="C23" s="64">
        <f t="shared" si="0"/>
        <v>567631.4793824302</v>
      </c>
      <c r="D23" s="64">
        <v>-60000</v>
      </c>
      <c r="E23" s="66">
        <f t="shared" si="1"/>
        <v>507631.4793824302</v>
      </c>
    </row>
    <row r="24" spans="1:5">
      <c r="A24" s="40">
        <v>15</v>
      </c>
      <c r="B24" s="92">
        <v>9.6410128175782636E-2</v>
      </c>
      <c r="C24" s="64">
        <f t="shared" si="0"/>
        <v>550081.48372487247</v>
      </c>
      <c r="D24" s="64">
        <v>0</v>
      </c>
      <c r="E24" s="66">
        <f t="shared" si="1"/>
        <v>550081.48372487247</v>
      </c>
    </row>
    <row r="25" spans="1:5">
      <c r="A25" s="40">
        <v>16</v>
      </c>
      <c r="B25" s="92">
        <v>9.33342250943478E-2</v>
      </c>
      <c r="C25" s="64">
        <f t="shared" si="0"/>
        <v>532531.48806731461</v>
      </c>
      <c r="D25" s="64">
        <v>0</v>
      </c>
      <c r="E25" s="66">
        <f t="shared" si="1"/>
        <v>532531.48806731461</v>
      </c>
    </row>
    <row r="26" spans="1:5">
      <c r="A26" s="40">
        <v>17</v>
      </c>
      <c r="B26" s="92">
        <v>9.0258322012913006E-2</v>
      </c>
      <c r="C26" s="64">
        <f t="shared" si="0"/>
        <v>514981.49240975699</v>
      </c>
      <c r="D26" s="64">
        <v>0</v>
      </c>
      <c r="E26" s="66">
        <f t="shared" si="1"/>
        <v>514981.49240975699</v>
      </c>
    </row>
    <row r="27" spans="1:5">
      <c r="A27" s="40">
        <v>18</v>
      </c>
      <c r="B27" s="92">
        <v>8.7182418931478156E-2</v>
      </c>
      <c r="C27" s="64">
        <f t="shared" si="0"/>
        <v>497431.49675219902</v>
      </c>
      <c r="D27" s="64">
        <v>-55000</v>
      </c>
      <c r="E27" s="66">
        <f t="shared" si="1"/>
        <v>442431.49675219902</v>
      </c>
    </row>
    <row r="28" spans="1:5">
      <c r="A28" s="40">
        <v>19</v>
      </c>
      <c r="B28" s="92">
        <v>8.4106515850043348E-2</v>
      </c>
      <c r="C28" s="64">
        <f t="shared" si="0"/>
        <v>479881.50109464134</v>
      </c>
      <c r="D28" s="64">
        <v>0</v>
      </c>
      <c r="E28" s="66">
        <f t="shared" si="1"/>
        <v>479881.50109464134</v>
      </c>
    </row>
    <row r="29" spans="1:5">
      <c r="A29" s="40">
        <v>20</v>
      </c>
      <c r="B29" s="92">
        <v>8.1030612768608498E-2</v>
      </c>
      <c r="C29" s="64">
        <f t="shared" si="0"/>
        <v>462331.50543708337</v>
      </c>
      <c r="D29" s="64">
        <v>0</v>
      </c>
      <c r="E29" s="66">
        <f t="shared" si="1"/>
        <v>462331.50543708337</v>
      </c>
    </row>
    <row r="30" spans="1:5">
      <c r="A30" s="40">
        <v>21</v>
      </c>
      <c r="B30" s="92">
        <v>7.8218859657223708E-2</v>
      </c>
      <c r="C30" s="64">
        <f t="shared" si="0"/>
        <v>446288.6544146419</v>
      </c>
      <c r="D30" s="64">
        <v>0</v>
      </c>
      <c r="E30" s="66">
        <f t="shared" si="1"/>
        <v>446288.6544146419</v>
      </c>
    </row>
    <row r="31" spans="1:5">
      <c r="A31" s="40">
        <v>22</v>
      </c>
      <c r="B31" s="92">
        <v>7.5935051445656626E-2</v>
      </c>
      <c r="C31" s="64">
        <f t="shared" si="0"/>
        <v>433258.06693039625</v>
      </c>
      <c r="D31" s="64">
        <v>-50000</v>
      </c>
      <c r="E31" s="66">
        <f t="shared" si="1"/>
        <v>383258.06693039625</v>
      </c>
    </row>
    <row r="32" spans="1:5">
      <c r="A32" s="40">
        <v>23</v>
      </c>
      <c r="B32" s="92">
        <v>7.391503816385725E-2</v>
      </c>
      <c r="C32" s="64">
        <f t="shared" si="0"/>
        <v>421732.59834923048</v>
      </c>
      <c r="D32" s="64">
        <v>0</v>
      </c>
      <c r="E32" s="66">
        <f t="shared" si="1"/>
        <v>421732.59834923048</v>
      </c>
    </row>
    <row r="33" spans="1:5">
      <c r="A33" s="40">
        <v>24</v>
      </c>
      <c r="B33" s="92">
        <v>7.1895024882057831E-2</v>
      </c>
      <c r="C33" s="64">
        <f t="shared" si="0"/>
        <v>410207.12976806442</v>
      </c>
      <c r="D33" s="64">
        <v>0</v>
      </c>
      <c r="E33" s="66">
        <f t="shared" si="1"/>
        <v>410207.12976806442</v>
      </c>
    </row>
    <row r="34" spans="1:5">
      <c r="A34" s="40">
        <v>25</v>
      </c>
      <c r="B34" s="92">
        <v>6.9875011600258455E-2</v>
      </c>
      <c r="C34" s="64">
        <f t="shared" si="0"/>
        <v>398681.66118689865</v>
      </c>
      <c r="D34" s="64">
        <v>0</v>
      </c>
      <c r="E34" s="66">
        <f t="shared" si="1"/>
        <v>398681.66118689865</v>
      </c>
    </row>
    <row r="35" spans="1:5">
      <c r="A35" s="40">
        <v>26</v>
      </c>
      <c r="B35" s="92">
        <v>6.7854998318459064E-2</v>
      </c>
      <c r="C35" s="64">
        <f t="shared" si="0"/>
        <v>387156.19260573277</v>
      </c>
      <c r="D35" s="64">
        <v>-45000</v>
      </c>
      <c r="E35" s="66">
        <f t="shared" si="1"/>
        <v>342156.19260573277</v>
      </c>
    </row>
    <row r="36" spans="1:5">
      <c r="A36" s="40">
        <v>27</v>
      </c>
      <c r="B36" s="92">
        <v>6.5834985036659674E-2</v>
      </c>
      <c r="C36" s="64">
        <f t="shared" si="0"/>
        <v>375630.72402456688</v>
      </c>
      <c r="D36" s="64">
        <v>0</v>
      </c>
      <c r="E36" s="66">
        <f t="shared" si="1"/>
        <v>375630.72402456688</v>
      </c>
    </row>
    <row r="37" spans="1:5">
      <c r="A37" s="40">
        <v>28</v>
      </c>
      <c r="B37" s="92">
        <v>6.3814971754860284E-2</v>
      </c>
      <c r="C37" s="64">
        <f t="shared" si="0"/>
        <v>364105.25544340105</v>
      </c>
      <c r="D37" s="64">
        <v>0</v>
      </c>
      <c r="E37" s="66">
        <f t="shared" si="1"/>
        <v>364105.25544340105</v>
      </c>
    </row>
    <row r="38" spans="1:5">
      <c r="A38" s="40">
        <v>29</v>
      </c>
      <c r="B38" s="92">
        <v>6.1794958473060886E-2</v>
      </c>
      <c r="C38" s="64">
        <f t="shared" si="0"/>
        <v>352579.78686223511</v>
      </c>
      <c r="D38" s="64">
        <v>0</v>
      </c>
      <c r="E38" s="66">
        <f t="shared" si="1"/>
        <v>352579.78686223511</v>
      </c>
    </row>
    <row r="39" spans="1:5">
      <c r="A39" s="40">
        <v>30</v>
      </c>
      <c r="B39" s="92">
        <v>5.9774945191261503E-2</v>
      </c>
      <c r="C39" s="64">
        <f t="shared" si="0"/>
        <v>341054.31828106928</v>
      </c>
      <c r="D39" s="64">
        <v>-40000</v>
      </c>
      <c r="E39" s="66">
        <f t="shared" si="1"/>
        <v>301054.31828106928</v>
      </c>
    </row>
    <row r="40" spans="1:5">
      <c r="A40" s="40">
        <v>31</v>
      </c>
      <c r="B40" s="92">
        <v>5.7754931909462119E-2</v>
      </c>
      <c r="C40" s="64">
        <f t="shared" si="0"/>
        <v>329528.84969990345</v>
      </c>
      <c r="D40" s="64">
        <v>0</v>
      </c>
      <c r="E40" s="66">
        <f t="shared" si="1"/>
        <v>329528.84969990345</v>
      </c>
    </row>
    <row r="41" spans="1:5">
      <c r="A41" s="40">
        <v>32</v>
      </c>
      <c r="B41" s="92">
        <v>5.5734918627662729E-2</v>
      </c>
      <c r="C41" s="64">
        <f t="shared" si="0"/>
        <v>318003.38111873757</v>
      </c>
      <c r="D41" s="64">
        <v>0</v>
      </c>
      <c r="E41" s="66">
        <f t="shared" si="1"/>
        <v>318003.38111873757</v>
      </c>
    </row>
    <row r="42" spans="1:5">
      <c r="A42" s="40">
        <v>33</v>
      </c>
      <c r="B42" s="92">
        <v>5.3714905345863338E-2</v>
      </c>
      <c r="C42" s="64">
        <f t="shared" si="0"/>
        <v>306477.91253757168</v>
      </c>
      <c r="D42" s="64">
        <v>0</v>
      </c>
      <c r="E42" s="66">
        <f t="shared" si="1"/>
        <v>306477.91253757168</v>
      </c>
    </row>
    <row r="43" spans="1:5">
      <c r="A43" s="40">
        <v>34</v>
      </c>
      <c r="B43" s="92">
        <v>5.1694892064063934E-2</v>
      </c>
      <c r="C43" s="64">
        <f t="shared" si="0"/>
        <v>294952.44395640574</v>
      </c>
      <c r="D43" s="64">
        <v>-35000</v>
      </c>
      <c r="E43" s="66">
        <f t="shared" si="1"/>
        <v>259952.44395640574</v>
      </c>
    </row>
    <row r="44" spans="1:5">
      <c r="A44" s="40">
        <v>35</v>
      </c>
      <c r="B44" s="92">
        <v>4.967487878226455E-2</v>
      </c>
      <c r="C44" s="64">
        <f t="shared" si="0"/>
        <v>283426.97537523991</v>
      </c>
      <c r="D44" s="64">
        <v>0</v>
      </c>
      <c r="E44" s="66">
        <f t="shared" si="1"/>
        <v>283426.97537523991</v>
      </c>
    </row>
    <row r="45" spans="1:5">
      <c r="A45" s="40">
        <v>36</v>
      </c>
      <c r="B45" s="92">
        <v>4.765486550046516E-2</v>
      </c>
      <c r="C45" s="64">
        <f t="shared" si="0"/>
        <v>271901.50679407403</v>
      </c>
      <c r="D45" s="64">
        <v>0</v>
      </c>
      <c r="E45" s="66">
        <f t="shared" si="1"/>
        <v>271901.50679407403</v>
      </c>
    </row>
    <row r="46" spans="1:5">
      <c r="A46" s="40">
        <v>37</v>
      </c>
      <c r="B46" s="92">
        <v>4.5634852218665777E-2</v>
      </c>
      <c r="C46" s="64">
        <f t="shared" si="0"/>
        <v>260376.0382129082</v>
      </c>
      <c r="D46" s="64">
        <v>0</v>
      </c>
      <c r="E46" s="66">
        <f t="shared" si="1"/>
        <v>260376.0382129082</v>
      </c>
    </row>
    <row r="47" spans="1:5">
      <c r="A47" s="40">
        <v>38</v>
      </c>
      <c r="B47" s="92">
        <v>4.3614838936866379E-2</v>
      </c>
      <c r="C47" s="64">
        <f t="shared" si="0"/>
        <v>248850.56963174228</v>
      </c>
      <c r="D47" s="64">
        <v>0</v>
      </c>
      <c r="E47" s="66">
        <f t="shared" si="1"/>
        <v>248850.56963174228</v>
      </c>
    </row>
    <row r="48" spans="1:5">
      <c r="A48" s="40">
        <v>39</v>
      </c>
      <c r="B48" s="92">
        <v>4.1594825655066996E-2</v>
      </c>
      <c r="C48" s="64">
        <f t="shared" si="0"/>
        <v>237325.10105057646</v>
      </c>
      <c r="D48" s="64">
        <v>0</v>
      </c>
      <c r="E48" s="66">
        <f t="shared" si="1"/>
        <v>237325.10105057646</v>
      </c>
    </row>
    <row r="49" spans="1:5">
      <c r="A49" s="40">
        <v>40</v>
      </c>
      <c r="B49" s="92">
        <v>3.9574812373267612E-2</v>
      </c>
      <c r="C49" s="64">
        <f t="shared" si="0"/>
        <v>225799.63246941063</v>
      </c>
      <c r="D49" s="64">
        <v>0</v>
      </c>
      <c r="E49" s="66">
        <f t="shared" si="1"/>
        <v>225799.63246941063</v>
      </c>
    </row>
    <row r="50" spans="1:5">
      <c r="A50" s="40">
        <v>41</v>
      </c>
      <c r="B50" s="92">
        <v>3.7554799091468222E-2</v>
      </c>
      <c r="C50" s="64">
        <f t="shared" si="0"/>
        <v>214274.16388824474</v>
      </c>
      <c r="D50" s="64">
        <v>0</v>
      </c>
      <c r="E50" s="66">
        <f t="shared" si="1"/>
        <v>214274.16388824474</v>
      </c>
    </row>
    <row r="51" spans="1:5">
      <c r="A51" s="40">
        <v>42</v>
      </c>
      <c r="B51" s="92">
        <v>3.5534785809668831E-2</v>
      </c>
      <c r="C51" s="64">
        <f t="shared" si="0"/>
        <v>202748.69530707886</v>
      </c>
      <c r="D51" s="64">
        <v>0</v>
      </c>
      <c r="E51" s="66">
        <f t="shared" si="1"/>
        <v>202748.69530707886</v>
      </c>
    </row>
    <row r="52" spans="1:5">
      <c r="A52" s="40">
        <v>43</v>
      </c>
      <c r="B52" s="92">
        <v>3.3514772527869448E-2</v>
      </c>
      <c r="C52" s="64">
        <f t="shared" si="0"/>
        <v>191223.22672591303</v>
      </c>
      <c r="D52" s="64">
        <v>0</v>
      </c>
      <c r="E52" s="66">
        <f t="shared" si="1"/>
        <v>191223.22672591303</v>
      </c>
    </row>
    <row r="53" spans="1:5">
      <c r="A53" s="40">
        <v>44</v>
      </c>
      <c r="B53" s="92">
        <v>3.1494759246070057E-2</v>
      </c>
      <c r="C53" s="64">
        <f t="shared" si="0"/>
        <v>179697.75814474717</v>
      </c>
      <c r="D53" s="64">
        <v>0</v>
      </c>
      <c r="E53" s="66">
        <f t="shared" si="1"/>
        <v>179697.75814474717</v>
      </c>
    </row>
    <row r="54" spans="1:5">
      <c r="A54" s="40">
        <v>45</v>
      </c>
      <c r="B54" s="92">
        <v>2.9474745964270674E-2</v>
      </c>
      <c r="C54" s="64">
        <f t="shared" si="0"/>
        <v>168172.28956358132</v>
      </c>
      <c r="D54" s="64">
        <v>0</v>
      </c>
      <c r="E54" s="66">
        <f t="shared" si="1"/>
        <v>168172.28956358132</v>
      </c>
    </row>
    <row r="55" spans="1:5">
      <c r="A55" s="40">
        <v>46</v>
      </c>
      <c r="B55" s="92">
        <v>2.7454732682471283E-2</v>
      </c>
      <c r="C55" s="64">
        <f t="shared" si="0"/>
        <v>156646.82098241546</v>
      </c>
      <c r="D55" s="64">
        <v>0</v>
      </c>
      <c r="E55" s="66">
        <f t="shared" si="1"/>
        <v>156646.82098241546</v>
      </c>
    </row>
    <row r="56" spans="1:5">
      <c r="A56" s="40">
        <v>47</v>
      </c>
      <c r="B56" s="92">
        <v>2.5434719400671903E-2</v>
      </c>
      <c r="C56" s="64">
        <f t="shared" si="0"/>
        <v>145121.35240124963</v>
      </c>
      <c r="D56" s="64">
        <v>0</v>
      </c>
      <c r="E56" s="66">
        <f t="shared" si="1"/>
        <v>145121.35240124963</v>
      </c>
    </row>
    <row r="57" spans="1:5">
      <c r="A57" s="40">
        <v>48</v>
      </c>
      <c r="B57" s="92">
        <v>2.3414706118872506E-2</v>
      </c>
      <c r="C57" s="64">
        <f t="shared" si="0"/>
        <v>133595.88382008372</v>
      </c>
      <c r="D57" s="64">
        <v>0</v>
      </c>
      <c r="E57" s="66">
        <f t="shared" si="1"/>
        <v>133595.88382008372</v>
      </c>
    </row>
    <row r="58" spans="1:5">
      <c r="A58" s="40">
        <v>49</v>
      </c>
      <c r="B58" s="92">
        <v>2.1394692837073122E-2</v>
      </c>
      <c r="C58" s="64">
        <f t="shared" si="0"/>
        <v>122070.41523891789</v>
      </c>
      <c r="D58" s="64">
        <v>0</v>
      </c>
      <c r="E58" s="66">
        <f t="shared" si="1"/>
        <v>122070.41523891789</v>
      </c>
    </row>
    <row r="59" spans="1:5">
      <c r="B59" s="40">
        <v>-4.0115156336870012E-17</v>
      </c>
    </row>
    <row r="60" spans="1:5">
      <c r="B60" s="40">
        <v>-4.0115156336870012E-17</v>
      </c>
    </row>
    <row r="61" spans="1:5">
      <c r="B61" s="40">
        <v>-4.0115156336870012E-17</v>
      </c>
    </row>
    <row r="62" spans="1:5">
      <c r="B62" s="40">
        <v>-4.0115156336870012E-17</v>
      </c>
    </row>
    <row r="63" spans="1:5">
      <c r="B63" s="40">
        <v>-4.0115156336870012E-17</v>
      </c>
    </row>
    <row r="64" spans="1:5">
      <c r="B64" s="40">
        <v>-4.0115156336870012E-17</v>
      </c>
    </row>
    <row r="65" spans="2:2">
      <c r="B65" s="40">
        <v>-4.0115156336870012E-17</v>
      </c>
    </row>
    <row r="66" spans="2:2">
      <c r="B66" s="40">
        <v>-4.0115156336870012E-17</v>
      </c>
    </row>
    <row r="67" spans="2:2">
      <c r="B67" s="40">
        <v>-4.0115156336870012E-17</v>
      </c>
    </row>
    <row r="68" spans="2:2">
      <c r="B68" s="40">
        <v>-4.0115156336870012E-17</v>
      </c>
    </row>
    <row r="69" spans="2:2">
      <c r="B69" s="40">
        <v>-4.0115156336870012E-17</v>
      </c>
    </row>
    <row r="70" spans="2:2">
      <c r="B70" s="40">
        <v>-4.0115156336870012E-17</v>
      </c>
    </row>
    <row r="71" spans="2:2">
      <c r="B71" s="40">
        <v>-4.0115156336870012E-17</v>
      </c>
    </row>
    <row r="72" spans="2:2">
      <c r="B72" s="40">
        <v>-4.0115156336870012E-17</v>
      </c>
    </row>
    <row r="73" spans="2:2">
      <c r="B73" s="40">
        <v>-4.0115156336870012E-17</v>
      </c>
    </row>
    <row r="74" spans="2:2">
      <c r="B74" s="40">
        <v>-4.0115156336870012E-17</v>
      </c>
    </row>
    <row r="75" spans="2:2">
      <c r="B75" s="40">
        <v>-4.0115156336870012E-17</v>
      </c>
    </row>
    <row r="76" spans="2:2">
      <c r="B76" s="40">
        <v>-4.0115156336870012E-17</v>
      </c>
    </row>
    <row r="77" spans="2:2">
      <c r="B77" s="40">
        <v>-4.0115156336870012E-17</v>
      </c>
    </row>
    <row r="78" spans="2:2">
      <c r="B78" s="40">
        <v>-4.0115156336870012E-17</v>
      </c>
    </row>
    <row r="79" spans="2:2">
      <c r="B79" s="40">
        <v>-4.0115156336870012E-17</v>
      </c>
    </row>
    <row r="80" spans="2:2">
      <c r="B80" s="40">
        <v>-4.0115156336870012E-17</v>
      </c>
    </row>
    <row r="81" spans="2:2">
      <c r="B81" s="40">
        <v>-4.0115156336870012E-17</v>
      </c>
    </row>
    <row r="82" spans="2:2">
      <c r="B82" s="40">
        <v>-4.0115156336870012E-17</v>
      </c>
    </row>
    <row r="83" spans="2:2">
      <c r="B83" s="40">
        <v>-4.0115156336870012E-17</v>
      </c>
    </row>
    <row r="84" spans="2:2">
      <c r="B84" s="40">
        <v>-4.0115156336870012E-17</v>
      </c>
    </row>
    <row r="85" spans="2:2">
      <c r="B85" s="40">
        <v>-4.0115156336870012E-17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E85"/>
  <sheetViews>
    <sheetView workbookViewId="0">
      <selection activeCell="B4" sqref="B4"/>
    </sheetView>
  </sheetViews>
  <sheetFormatPr defaultRowHeight="12.75"/>
  <cols>
    <col min="1" max="1" width="16" style="40" bestFit="1" customWidth="1"/>
    <col min="2" max="2" width="9.375" style="40" bestFit="1" customWidth="1"/>
    <col min="3" max="3" width="11.125" style="40" bestFit="1" customWidth="1"/>
    <col min="4" max="4" width="14.25" style="40" customWidth="1"/>
    <col min="5" max="5" width="10.25" style="40" bestFit="1" customWidth="1"/>
    <col min="6" max="16384" width="9" style="40"/>
  </cols>
  <sheetData>
    <row r="1" spans="1:5">
      <c r="A1" s="40" t="s">
        <v>18</v>
      </c>
    </row>
    <row r="3" spans="1:5">
      <c r="A3" s="40" t="s">
        <v>188</v>
      </c>
      <c r="B3" s="89">
        <v>5911894</v>
      </c>
    </row>
    <row r="4" spans="1:5">
      <c r="A4" s="40" t="s">
        <v>89</v>
      </c>
      <c r="B4" s="90">
        <v>8.4728999999999999E-2</v>
      </c>
    </row>
    <row r="5" spans="1:5">
      <c r="D5" s="40" t="s">
        <v>191</v>
      </c>
      <c r="E5" s="91">
        <f>-PMT($B$4,30,NPV($B$4,E10:E39))</f>
        <v>465906.65876672795</v>
      </c>
    </row>
    <row r="6" spans="1:5">
      <c r="D6" s="40" t="s">
        <v>190</v>
      </c>
      <c r="E6" s="64">
        <f>'Hydro Energy'!F16</f>
        <v>20516.7588891919</v>
      </c>
    </row>
    <row r="7" spans="1:5">
      <c r="D7" s="40" t="s">
        <v>15</v>
      </c>
      <c r="E7" s="81">
        <f>E5/E6</f>
        <v>22.708589659946956</v>
      </c>
    </row>
    <row r="9" spans="1:5" s="67" customFormat="1" ht="38.25">
      <c r="A9" s="67" t="s">
        <v>35</v>
      </c>
      <c r="B9" s="67" t="s">
        <v>186</v>
      </c>
      <c r="C9" s="67" t="s">
        <v>187</v>
      </c>
      <c r="D9" s="67" t="s">
        <v>189</v>
      </c>
      <c r="E9" s="67" t="s">
        <v>34</v>
      </c>
    </row>
    <row r="10" spans="1:5">
      <c r="A10" s="40">
        <v>1</v>
      </c>
      <c r="B10" s="92">
        <v>9.3567373332126738E-2</v>
      </c>
      <c r="C10" s="64">
        <f>B10*$B$3</f>
        <v>553160.39299796009</v>
      </c>
      <c r="D10" s="64">
        <v>0</v>
      </c>
      <c r="E10" s="66">
        <f>SUM(C10:D10)</f>
        <v>553160.39299796009</v>
      </c>
    </row>
    <row r="11" spans="1:5">
      <c r="A11" s="40">
        <v>2</v>
      </c>
      <c r="B11" s="92">
        <v>8.9499122818035889E-2</v>
      </c>
      <c r="C11" s="64">
        <f t="shared" ref="C11:C58" si="0">B11*$B$3</f>
        <v>529109.32719320944</v>
      </c>
      <c r="D11" s="64">
        <v>-65600</v>
      </c>
      <c r="E11" s="66">
        <f t="shared" ref="E11:E58" si="1">SUM(C11:D11)</f>
        <v>463509.32719320944</v>
      </c>
    </row>
    <row r="12" spans="1:5">
      <c r="A12" s="40">
        <v>3</v>
      </c>
      <c r="B12" s="92">
        <v>8.5080532327736214E-2</v>
      </c>
      <c r="C12" s="64">
        <f t="shared" si="0"/>
        <v>502987.08858514973</v>
      </c>
      <c r="D12" s="64">
        <v>0</v>
      </c>
      <c r="E12" s="66">
        <f t="shared" si="1"/>
        <v>502987.08858514973</v>
      </c>
    </row>
    <row r="13" spans="1:5">
      <c r="A13" s="40">
        <v>4</v>
      </c>
      <c r="B13" s="92">
        <v>8.0762491979312512E-2</v>
      </c>
      <c r="C13" s="64">
        <f t="shared" si="0"/>
        <v>477459.29175754578</v>
      </c>
      <c r="D13" s="64">
        <v>0</v>
      </c>
      <c r="E13" s="66">
        <f t="shared" si="1"/>
        <v>477459.29175754578</v>
      </c>
    </row>
    <row r="14" spans="1:5">
      <c r="A14" s="40">
        <v>5</v>
      </c>
      <c r="B14" s="92">
        <v>7.6535777840952432E-2</v>
      </c>
      <c r="C14" s="64">
        <f t="shared" si="0"/>
        <v>452471.40580325964</v>
      </c>
      <c r="D14" s="64">
        <v>0</v>
      </c>
      <c r="E14" s="66">
        <f t="shared" si="1"/>
        <v>452471.40580325964</v>
      </c>
    </row>
    <row r="15" spans="1:5">
      <c r="A15" s="40">
        <v>6</v>
      </c>
      <c r="B15" s="92">
        <v>7.2391954696303856E-2</v>
      </c>
      <c r="C15" s="64">
        <f t="shared" si="0"/>
        <v>427973.5626173506</v>
      </c>
      <c r="D15" s="64">
        <v>0</v>
      </c>
      <c r="E15" s="66">
        <f t="shared" si="1"/>
        <v>427973.5626173506</v>
      </c>
    </row>
    <row r="16" spans="1:5">
      <c r="A16" s="40">
        <v>7</v>
      </c>
      <c r="B16" s="92">
        <v>6.8323034829360724E-2</v>
      </c>
      <c r="C16" s="64">
        <f t="shared" si="0"/>
        <v>403918.53966948867</v>
      </c>
      <c r="D16" s="64">
        <v>0</v>
      </c>
      <c r="E16" s="66">
        <f t="shared" si="1"/>
        <v>403918.53966948867</v>
      </c>
    </row>
    <row r="17" spans="1:5">
      <c r="A17" s="40">
        <v>8</v>
      </c>
      <c r="B17" s="92">
        <v>6.4321591570097272E-2</v>
      </c>
      <c r="C17" s="64">
        <f t="shared" si="0"/>
        <v>380262.43127370864</v>
      </c>
      <c r="D17" s="64">
        <v>0</v>
      </c>
      <c r="E17" s="66">
        <f t="shared" si="1"/>
        <v>380262.43127370864</v>
      </c>
    </row>
    <row r="18" spans="1:5">
      <c r="A18" s="40">
        <v>9</v>
      </c>
      <c r="B18" s="92">
        <v>6.0349266767244822E-2</v>
      </c>
      <c r="C18" s="64">
        <f t="shared" si="0"/>
        <v>356778.46810567408</v>
      </c>
      <c r="D18" s="64">
        <v>0</v>
      </c>
      <c r="E18" s="66">
        <f t="shared" si="1"/>
        <v>356778.46810567408</v>
      </c>
    </row>
    <row r="19" spans="1:5">
      <c r="A19" s="40">
        <v>10</v>
      </c>
      <c r="B19" s="92">
        <v>5.6363942762044796E-2</v>
      </c>
      <c r="C19" s="64">
        <f t="shared" si="0"/>
        <v>333217.65503127605</v>
      </c>
      <c r="D19" s="64">
        <v>-65600</v>
      </c>
      <c r="E19" s="66">
        <f t="shared" si="1"/>
        <v>267617.65503127605</v>
      </c>
    </row>
    <row r="20" spans="1:5">
      <c r="A20" s="40">
        <v>11</v>
      </c>
      <c r="B20" s="92">
        <v>0.10554601577733445</v>
      </c>
      <c r="C20" s="64">
        <f t="shared" si="0"/>
        <v>623976.85739792895</v>
      </c>
      <c r="D20" s="64">
        <v>0</v>
      </c>
      <c r="E20" s="66">
        <f t="shared" si="1"/>
        <v>623976.85739792895</v>
      </c>
    </row>
    <row r="21" spans="1:5">
      <c r="A21" s="40">
        <v>12</v>
      </c>
      <c r="B21" s="92">
        <v>0.10258314171483615</v>
      </c>
      <c r="C21" s="64">
        <f t="shared" si="0"/>
        <v>606460.66000508959</v>
      </c>
      <c r="D21" s="64">
        <v>0</v>
      </c>
      <c r="E21" s="66">
        <f t="shared" si="1"/>
        <v>606460.66000508959</v>
      </c>
    </row>
    <row r="22" spans="1:5">
      <c r="A22" s="40">
        <v>13</v>
      </c>
      <c r="B22" s="92">
        <v>9.9620267652337877E-2</v>
      </c>
      <c r="C22" s="64">
        <f t="shared" si="0"/>
        <v>588944.46261225035</v>
      </c>
      <c r="D22" s="64">
        <v>0</v>
      </c>
      <c r="E22" s="66">
        <f t="shared" si="1"/>
        <v>588944.46261225035</v>
      </c>
    </row>
    <row r="23" spans="1:5">
      <c r="A23" s="40">
        <v>14</v>
      </c>
      <c r="B23" s="92">
        <v>9.6657393589839616E-2</v>
      </c>
      <c r="C23" s="64">
        <f t="shared" si="0"/>
        <v>571428.26521941123</v>
      </c>
      <c r="D23" s="64">
        <v>-60000</v>
      </c>
      <c r="E23" s="66">
        <f t="shared" si="1"/>
        <v>511428.26521941123</v>
      </c>
    </row>
    <row r="24" spans="1:5">
      <c r="A24" s="40">
        <v>15</v>
      </c>
      <c r="B24" s="92">
        <v>9.3694519527341341E-2</v>
      </c>
      <c r="C24" s="64">
        <f t="shared" si="0"/>
        <v>553912.06782657211</v>
      </c>
      <c r="D24" s="64">
        <v>0</v>
      </c>
      <c r="E24" s="66">
        <f t="shared" si="1"/>
        <v>553912.06782657211</v>
      </c>
    </row>
    <row r="25" spans="1:5">
      <c r="A25" s="40">
        <v>16</v>
      </c>
      <c r="B25" s="92">
        <v>9.0731645464843066E-2</v>
      </c>
      <c r="C25" s="64">
        <f t="shared" si="0"/>
        <v>536395.87043373298</v>
      </c>
      <c r="D25" s="64">
        <v>0</v>
      </c>
      <c r="E25" s="66">
        <f t="shared" si="1"/>
        <v>536395.87043373298</v>
      </c>
    </row>
    <row r="26" spans="1:5">
      <c r="A26" s="40">
        <v>17</v>
      </c>
      <c r="B26" s="92">
        <v>8.7768771402344778E-2</v>
      </c>
      <c r="C26" s="64">
        <f t="shared" si="0"/>
        <v>518879.67304089369</v>
      </c>
      <c r="D26" s="64">
        <v>0</v>
      </c>
      <c r="E26" s="66">
        <f t="shared" si="1"/>
        <v>518879.67304089369</v>
      </c>
    </row>
    <row r="27" spans="1:5">
      <c r="A27" s="40">
        <v>18</v>
      </c>
      <c r="B27" s="92">
        <v>8.4805897339846503E-2</v>
      </c>
      <c r="C27" s="64">
        <f t="shared" si="0"/>
        <v>501363.4756480545</v>
      </c>
      <c r="D27" s="64">
        <v>-55000</v>
      </c>
      <c r="E27" s="66">
        <f t="shared" si="1"/>
        <v>446363.4756480545</v>
      </c>
    </row>
    <row r="28" spans="1:5">
      <c r="A28" s="40">
        <v>19</v>
      </c>
      <c r="B28" s="92">
        <v>8.1843023277348201E-2</v>
      </c>
      <c r="C28" s="64">
        <f t="shared" si="0"/>
        <v>483847.27825521515</v>
      </c>
      <c r="D28" s="64">
        <v>0</v>
      </c>
      <c r="E28" s="66">
        <f t="shared" si="1"/>
        <v>483847.27825521515</v>
      </c>
    </row>
    <row r="29" spans="1:5">
      <c r="A29" s="40">
        <v>20</v>
      </c>
      <c r="B29" s="92">
        <v>7.8880149214849926E-2</v>
      </c>
      <c r="C29" s="64">
        <f t="shared" si="0"/>
        <v>466331.08086237597</v>
      </c>
      <c r="D29" s="64">
        <v>0</v>
      </c>
      <c r="E29" s="66">
        <f t="shared" si="1"/>
        <v>466331.08086237597</v>
      </c>
    </row>
    <row r="30" spans="1:5">
      <c r="A30" s="40">
        <v>21</v>
      </c>
      <c r="B30" s="92">
        <v>7.6171033239159316E-2</v>
      </c>
      <c r="C30" s="64">
        <f t="shared" si="0"/>
        <v>450315.0743803865</v>
      </c>
      <c r="D30" s="64">
        <v>0</v>
      </c>
      <c r="E30" s="66">
        <f t="shared" si="1"/>
        <v>450315.0743803865</v>
      </c>
    </row>
    <row r="31" spans="1:5">
      <c r="A31" s="40">
        <v>22</v>
      </c>
      <c r="B31" s="92">
        <v>7.3969092364386646E-2</v>
      </c>
      <c r="C31" s="64">
        <f t="shared" si="0"/>
        <v>437297.43333446322</v>
      </c>
      <c r="D31" s="64">
        <v>-50000</v>
      </c>
      <c r="E31" s="66">
        <f t="shared" si="1"/>
        <v>387297.43333446322</v>
      </c>
    </row>
    <row r="32" spans="1:5">
      <c r="A32" s="40">
        <v>23</v>
      </c>
      <c r="B32" s="92">
        <v>7.2020568503724375E-2</v>
      </c>
      <c r="C32" s="64">
        <f t="shared" si="0"/>
        <v>425777.96681375708</v>
      </c>
      <c r="D32" s="64">
        <v>0</v>
      </c>
      <c r="E32" s="66">
        <f t="shared" si="1"/>
        <v>425777.96681375708</v>
      </c>
    </row>
    <row r="33" spans="1:5">
      <c r="A33" s="40">
        <v>24</v>
      </c>
      <c r="B33" s="92">
        <v>7.0072044643062062E-2</v>
      </c>
      <c r="C33" s="64">
        <f t="shared" si="0"/>
        <v>414258.50029305072</v>
      </c>
      <c r="D33" s="64">
        <v>0</v>
      </c>
      <c r="E33" s="66">
        <f t="shared" si="1"/>
        <v>414258.50029305072</v>
      </c>
    </row>
    <row r="34" spans="1:5">
      <c r="A34" s="40">
        <v>25</v>
      </c>
      <c r="B34" s="92">
        <v>6.8123520782399777E-2</v>
      </c>
      <c r="C34" s="64">
        <f t="shared" si="0"/>
        <v>402739.03377234453</v>
      </c>
      <c r="D34" s="64">
        <v>0</v>
      </c>
      <c r="E34" s="66">
        <f t="shared" si="1"/>
        <v>402739.03377234453</v>
      </c>
    </row>
    <row r="35" spans="1:5">
      <c r="A35" s="40">
        <v>26</v>
      </c>
      <c r="B35" s="92">
        <v>6.6174996921737478E-2</v>
      </c>
      <c r="C35" s="64">
        <f t="shared" si="0"/>
        <v>391219.56725163828</v>
      </c>
      <c r="D35" s="64">
        <v>-45000</v>
      </c>
      <c r="E35" s="66">
        <f t="shared" si="1"/>
        <v>346219.56725163828</v>
      </c>
    </row>
    <row r="36" spans="1:5">
      <c r="A36" s="40">
        <v>27</v>
      </c>
      <c r="B36" s="92">
        <v>6.4226473061075165E-2</v>
      </c>
      <c r="C36" s="64">
        <f t="shared" si="0"/>
        <v>379700.10073093191</v>
      </c>
      <c r="D36" s="64">
        <v>0</v>
      </c>
      <c r="E36" s="66">
        <f t="shared" si="1"/>
        <v>379700.10073093191</v>
      </c>
    </row>
    <row r="37" spans="1:5">
      <c r="A37" s="40">
        <v>28</v>
      </c>
      <c r="B37" s="92">
        <v>6.227794920041288E-2</v>
      </c>
      <c r="C37" s="64">
        <f t="shared" si="0"/>
        <v>368180.63421022572</v>
      </c>
      <c r="D37" s="64">
        <v>0</v>
      </c>
      <c r="E37" s="66">
        <f t="shared" si="1"/>
        <v>368180.63421022572</v>
      </c>
    </row>
    <row r="38" spans="1:5">
      <c r="A38" s="40">
        <v>29</v>
      </c>
      <c r="B38" s="92">
        <v>6.0329425339750567E-2</v>
      </c>
      <c r="C38" s="64">
        <f t="shared" si="0"/>
        <v>356661.16768951935</v>
      </c>
      <c r="D38" s="64">
        <v>0</v>
      </c>
      <c r="E38" s="66">
        <f t="shared" si="1"/>
        <v>356661.16768951935</v>
      </c>
    </row>
    <row r="39" spans="1:5">
      <c r="A39" s="40">
        <v>30</v>
      </c>
      <c r="B39" s="92">
        <v>5.8380901479088275E-2</v>
      </c>
      <c r="C39" s="64">
        <f t="shared" si="0"/>
        <v>345141.7011688131</v>
      </c>
      <c r="D39" s="64">
        <v>-40000</v>
      </c>
      <c r="E39" s="66">
        <f t="shared" si="1"/>
        <v>305141.7011688131</v>
      </c>
    </row>
    <row r="40" spans="1:5">
      <c r="A40" s="40">
        <v>31</v>
      </c>
      <c r="B40" s="92">
        <v>5.6432377618425983E-2</v>
      </c>
      <c r="C40" s="64">
        <f t="shared" si="0"/>
        <v>333622.23464810685</v>
      </c>
      <c r="D40" s="64">
        <v>0</v>
      </c>
      <c r="E40" s="66">
        <f t="shared" si="1"/>
        <v>333622.23464810685</v>
      </c>
    </row>
    <row r="41" spans="1:5">
      <c r="A41" s="40">
        <v>32</v>
      </c>
      <c r="B41" s="92">
        <v>5.448385375776367E-2</v>
      </c>
      <c r="C41" s="64">
        <f t="shared" si="0"/>
        <v>322102.76812740049</v>
      </c>
      <c r="D41" s="64">
        <v>0</v>
      </c>
      <c r="E41" s="66">
        <f t="shared" si="1"/>
        <v>322102.76812740049</v>
      </c>
    </row>
    <row r="42" spans="1:5">
      <c r="A42" s="40">
        <v>33</v>
      </c>
      <c r="B42" s="92">
        <v>5.2535329897101364E-2</v>
      </c>
      <c r="C42" s="64">
        <f t="shared" si="0"/>
        <v>310583.30160669418</v>
      </c>
      <c r="D42" s="64">
        <v>0</v>
      </c>
      <c r="E42" s="66">
        <f t="shared" si="1"/>
        <v>310583.30160669418</v>
      </c>
    </row>
    <row r="43" spans="1:5">
      <c r="A43" s="40">
        <v>34</v>
      </c>
      <c r="B43" s="92">
        <v>5.0586806036439079E-2</v>
      </c>
      <c r="C43" s="64">
        <f t="shared" si="0"/>
        <v>299063.83508598799</v>
      </c>
      <c r="D43" s="64">
        <v>-35000</v>
      </c>
      <c r="E43" s="66">
        <f t="shared" si="1"/>
        <v>264063.83508598799</v>
      </c>
    </row>
    <row r="44" spans="1:5">
      <c r="A44" s="40">
        <v>35</v>
      </c>
      <c r="B44" s="92">
        <v>4.863828217577678E-2</v>
      </c>
      <c r="C44" s="64">
        <f t="shared" si="0"/>
        <v>287544.36856528168</v>
      </c>
      <c r="D44" s="64">
        <v>0</v>
      </c>
      <c r="E44" s="66">
        <f t="shared" si="1"/>
        <v>287544.36856528168</v>
      </c>
    </row>
    <row r="45" spans="1:5">
      <c r="A45" s="40">
        <v>36</v>
      </c>
      <c r="B45" s="92">
        <v>4.6689758315114495E-2</v>
      </c>
      <c r="C45" s="64">
        <f t="shared" si="0"/>
        <v>276024.90204457549</v>
      </c>
      <c r="D45" s="64">
        <v>0</v>
      </c>
      <c r="E45" s="66">
        <f t="shared" si="1"/>
        <v>276024.90204457549</v>
      </c>
    </row>
    <row r="46" spans="1:5">
      <c r="A46" s="40">
        <v>37</v>
      </c>
      <c r="B46" s="92">
        <v>4.4741234454452196E-2</v>
      </c>
      <c r="C46" s="64">
        <f t="shared" si="0"/>
        <v>264505.43552386924</v>
      </c>
      <c r="D46" s="64">
        <v>0</v>
      </c>
      <c r="E46" s="66">
        <f t="shared" si="1"/>
        <v>264505.43552386924</v>
      </c>
    </row>
    <row r="47" spans="1:5">
      <c r="A47" s="40">
        <v>38</v>
      </c>
      <c r="B47" s="92">
        <v>4.2792710593789904E-2</v>
      </c>
      <c r="C47" s="64">
        <f t="shared" si="0"/>
        <v>252985.96900316296</v>
      </c>
      <c r="D47" s="64">
        <v>0</v>
      </c>
      <c r="E47" s="66">
        <f t="shared" si="1"/>
        <v>252985.96900316296</v>
      </c>
    </row>
    <row r="48" spans="1:5">
      <c r="A48" s="40">
        <v>39</v>
      </c>
      <c r="B48" s="92">
        <v>4.0844186733127605E-2</v>
      </c>
      <c r="C48" s="64">
        <f t="shared" si="0"/>
        <v>241466.50248245668</v>
      </c>
      <c r="D48" s="64">
        <v>0</v>
      </c>
      <c r="E48" s="66">
        <f t="shared" si="1"/>
        <v>241466.50248245668</v>
      </c>
    </row>
    <row r="49" spans="1:5">
      <c r="A49" s="40">
        <v>40</v>
      </c>
      <c r="B49" s="92">
        <v>3.8895662872465306E-2</v>
      </c>
      <c r="C49" s="64">
        <f t="shared" si="0"/>
        <v>229947.0359617504</v>
      </c>
      <c r="D49" s="64">
        <v>0</v>
      </c>
      <c r="E49" s="66">
        <f t="shared" si="1"/>
        <v>229947.0359617504</v>
      </c>
    </row>
    <row r="50" spans="1:5">
      <c r="A50" s="40">
        <v>41</v>
      </c>
      <c r="B50" s="92">
        <v>3.6947139011803007E-2</v>
      </c>
      <c r="C50" s="64">
        <f t="shared" si="0"/>
        <v>218427.56944104412</v>
      </c>
      <c r="D50" s="64">
        <v>0</v>
      </c>
      <c r="E50" s="66">
        <f t="shared" si="1"/>
        <v>218427.56944104412</v>
      </c>
    </row>
    <row r="51" spans="1:5">
      <c r="A51" s="40">
        <v>42</v>
      </c>
      <c r="B51" s="92">
        <v>3.4998615151140722E-2</v>
      </c>
      <c r="C51" s="64">
        <f t="shared" si="0"/>
        <v>206908.10292033793</v>
      </c>
      <c r="D51" s="64">
        <v>0</v>
      </c>
      <c r="E51" s="66">
        <f t="shared" si="1"/>
        <v>206908.10292033793</v>
      </c>
    </row>
    <row r="52" spans="1:5">
      <c r="A52" s="40">
        <v>43</v>
      </c>
      <c r="B52" s="92">
        <v>3.3050091290478423E-2</v>
      </c>
      <c r="C52" s="64">
        <f t="shared" si="0"/>
        <v>195388.63639963165</v>
      </c>
      <c r="D52" s="64">
        <v>0</v>
      </c>
      <c r="E52" s="66">
        <f t="shared" si="1"/>
        <v>195388.63639963165</v>
      </c>
    </row>
    <row r="53" spans="1:5">
      <c r="A53" s="40">
        <v>44</v>
      </c>
      <c r="B53" s="92">
        <v>3.1101567429816124E-2</v>
      </c>
      <c r="C53" s="64">
        <f t="shared" si="0"/>
        <v>183869.16987892537</v>
      </c>
      <c r="D53" s="64">
        <v>0</v>
      </c>
      <c r="E53" s="66">
        <f t="shared" si="1"/>
        <v>183869.16987892537</v>
      </c>
    </row>
    <row r="54" spans="1:5">
      <c r="A54" s="40">
        <v>45</v>
      </c>
      <c r="B54" s="92">
        <v>2.9153043569153828E-2</v>
      </c>
      <c r="C54" s="64">
        <f t="shared" si="0"/>
        <v>172349.70335821909</v>
      </c>
      <c r="D54" s="64">
        <v>0</v>
      </c>
      <c r="E54" s="66">
        <f t="shared" si="1"/>
        <v>172349.70335821909</v>
      </c>
    </row>
    <row r="55" spans="1:5">
      <c r="A55" s="40">
        <v>46</v>
      </c>
      <c r="B55" s="92">
        <v>2.720451970849154E-2</v>
      </c>
      <c r="C55" s="64">
        <f t="shared" si="0"/>
        <v>160830.23683751287</v>
      </c>
      <c r="D55" s="64">
        <v>0</v>
      </c>
      <c r="E55" s="66">
        <f t="shared" si="1"/>
        <v>160830.23683751287</v>
      </c>
    </row>
    <row r="56" spans="1:5">
      <c r="A56" s="40">
        <v>47</v>
      </c>
      <c r="B56" s="92">
        <v>2.5255995847829241E-2</v>
      </c>
      <c r="C56" s="64">
        <f t="shared" si="0"/>
        <v>149310.77031680659</v>
      </c>
      <c r="D56" s="64">
        <v>0</v>
      </c>
      <c r="E56" s="66">
        <f t="shared" si="1"/>
        <v>149310.77031680659</v>
      </c>
    </row>
    <row r="57" spans="1:5">
      <c r="A57" s="40">
        <v>48</v>
      </c>
      <c r="B57" s="92">
        <v>2.3307471987166942E-2</v>
      </c>
      <c r="C57" s="64">
        <f t="shared" si="0"/>
        <v>137791.30379610031</v>
      </c>
      <c r="D57" s="64">
        <v>0</v>
      </c>
      <c r="E57" s="66">
        <f t="shared" si="1"/>
        <v>137791.30379610031</v>
      </c>
    </row>
    <row r="58" spans="1:5">
      <c r="A58" s="40">
        <v>49</v>
      </c>
      <c r="B58" s="92">
        <v>2.1358948126504646E-2</v>
      </c>
      <c r="C58" s="64">
        <f t="shared" si="0"/>
        <v>126271.83727539406</v>
      </c>
      <c r="D58" s="64">
        <v>0</v>
      </c>
      <c r="E58" s="66">
        <f t="shared" si="1"/>
        <v>126271.83727539406</v>
      </c>
    </row>
    <row r="59" spans="1:5">
      <c r="B59" s="40">
        <v>3.1514785674056937E-17</v>
      </c>
    </row>
    <row r="60" spans="1:5">
      <c r="B60" s="40">
        <v>3.1514785674056937E-17</v>
      </c>
    </row>
    <row r="61" spans="1:5">
      <c r="B61" s="40">
        <v>3.1514785674056937E-17</v>
      </c>
    </row>
    <row r="62" spans="1:5">
      <c r="B62" s="40">
        <v>3.1514785674056937E-17</v>
      </c>
    </row>
    <row r="63" spans="1:5">
      <c r="B63" s="40">
        <v>3.1514785674056937E-17</v>
      </c>
    </row>
    <row r="64" spans="1:5">
      <c r="B64" s="40">
        <v>3.1514785674056937E-17</v>
      </c>
    </row>
    <row r="65" spans="2:2">
      <c r="B65" s="40">
        <v>3.1514785674056937E-17</v>
      </c>
    </row>
    <row r="66" spans="2:2">
      <c r="B66" s="40">
        <v>3.1514785674056937E-17</v>
      </c>
    </row>
    <row r="67" spans="2:2">
      <c r="B67" s="40">
        <v>3.1514785674056937E-17</v>
      </c>
    </row>
    <row r="68" spans="2:2">
      <c r="B68" s="40">
        <v>3.1514785674056937E-17</v>
      </c>
    </row>
    <row r="69" spans="2:2">
      <c r="B69" s="40">
        <v>3.1514785674056937E-17</v>
      </c>
    </row>
    <row r="70" spans="2:2">
      <c r="B70" s="40">
        <v>3.1514785674056937E-17</v>
      </c>
    </row>
    <row r="71" spans="2:2">
      <c r="B71" s="40">
        <v>3.1514785674056937E-17</v>
      </c>
    </row>
    <row r="72" spans="2:2">
      <c r="B72" s="40">
        <v>3.1514785674056937E-17</v>
      </c>
    </row>
    <row r="73" spans="2:2">
      <c r="B73" s="40">
        <v>3.1514785674056937E-17</v>
      </c>
    </row>
    <row r="74" spans="2:2">
      <c r="B74" s="40">
        <v>3.1514785674056937E-17</v>
      </c>
    </row>
    <row r="75" spans="2:2">
      <c r="B75" s="40">
        <v>3.1514785674056937E-17</v>
      </c>
    </row>
    <row r="76" spans="2:2">
      <c r="B76" s="40">
        <v>3.1514785674056937E-17</v>
      </c>
    </row>
    <row r="77" spans="2:2">
      <c r="B77" s="40">
        <v>3.1514785674056937E-17</v>
      </c>
    </row>
    <row r="78" spans="2:2">
      <c r="B78" s="40">
        <v>3.1514785674056937E-17</v>
      </c>
    </row>
    <row r="79" spans="2:2">
      <c r="B79" s="40">
        <v>3.1514785674056937E-17</v>
      </c>
    </row>
    <row r="80" spans="2:2">
      <c r="B80" s="40">
        <v>3.1514785674056937E-17</v>
      </c>
    </row>
    <row r="81" spans="2:2">
      <c r="B81" s="40">
        <v>3.1514785674056937E-17</v>
      </c>
    </row>
    <row r="82" spans="2:2">
      <c r="B82" s="40">
        <v>3.1514785674056937E-17</v>
      </c>
    </row>
    <row r="83" spans="2:2">
      <c r="B83" s="40">
        <v>3.1514785674056937E-17</v>
      </c>
    </row>
    <row r="84" spans="2:2">
      <c r="B84" s="40">
        <v>3.1514785674056937E-17</v>
      </c>
    </row>
    <row r="85" spans="2:2">
      <c r="B85" s="40">
        <v>3.1514785674056937E-17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E85"/>
  <sheetViews>
    <sheetView workbookViewId="0">
      <selection activeCell="B4" sqref="B4"/>
    </sheetView>
  </sheetViews>
  <sheetFormatPr defaultRowHeight="12.75"/>
  <cols>
    <col min="1" max="1" width="16" style="40" bestFit="1" customWidth="1"/>
    <col min="2" max="2" width="10.25" style="40" bestFit="1" customWidth="1"/>
    <col min="3" max="3" width="11.125" style="40" bestFit="1" customWidth="1"/>
    <col min="4" max="4" width="14.25" style="40" customWidth="1"/>
    <col min="5" max="5" width="10.25" style="40" bestFit="1" customWidth="1"/>
    <col min="6" max="16384" width="9" style="40"/>
  </cols>
  <sheetData>
    <row r="1" spans="1:5">
      <c r="A1" s="40" t="s">
        <v>19</v>
      </c>
    </row>
    <row r="3" spans="1:5">
      <c r="A3" s="40" t="s">
        <v>188</v>
      </c>
      <c r="B3" s="89">
        <v>17733991</v>
      </c>
    </row>
    <row r="4" spans="1:5">
      <c r="A4" s="40" t="s">
        <v>89</v>
      </c>
      <c r="B4" s="90">
        <v>7.485E-2</v>
      </c>
    </row>
    <row r="5" spans="1:5">
      <c r="D5" s="40" t="s">
        <v>191</v>
      </c>
      <c r="E5" s="91">
        <f>-PMT($B$4,30,NPV($B$4,E10:E39))</f>
        <v>1678784.6332489902</v>
      </c>
    </row>
    <row r="6" spans="1:5">
      <c r="D6" s="40" t="s">
        <v>190</v>
      </c>
      <c r="E6" s="64">
        <f>'Hydro Energy'!G16</f>
        <v>21434.715107802156</v>
      </c>
    </row>
    <row r="7" spans="1:5">
      <c r="D7" s="40" t="s">
        <v>15</v>
      </c>
      <c r="E7" s="81">
        <f>E5/E6</f>
        <v>78.320827909577346</v>
      </c>
    </row>
    <row r="9" spans="1:5" s="67" customFormat="1" ht="38.25">
      <c r="A9" s="67" t="s">
        <v>35</v>
      </c>
      <c r="B9" s="67" t="s">
        <v>186</v>
      </c>
      <c r="C9" s="67" t="s">
        <v>187</v>
      </c>
      <c r="D9" s="67" t="s">
        <v>189</v>
      </c>
      <c r="E9" s="67" t="s">
        <v>34</v>
      </c>
    </row>
    <row r="10" spans="1:5">
      <c r="A10" s="40">
        <v>1</v>
      </c>
      <c r="B10" s="92">
        <v>0.11911350470553604</v>
      </c>
      <c r="C10" s="64">
        <f>B10*$B$3</f>
        <v>2112357.8204264338</v>
      </c>
      <c r="E10" s="66">
        <f>SUM(C10:D10)</f>
        <v>2112357.8204264338</v>
      </c>
    </row>
    <row r="11" spans="1:5">
      <c r="A11" s="40">
        <v>2</v>
      </c>
      <c r="B11" s="92">
        <v>0.11643805768633217</v>
      </c>
      <c r="C11" s="64">
        <f t="shared" ref="C11:C58" si="0">B11*$B$3</f>
        <v>2064911.4670668954</v>
      </c>
      <c r="E11" s="66">
        <f t="shared" ref="E11:E58" si="1">SUM(C11:D11)</f>
        <v>2064911.4670668954</v>
      </c>
    </row>
    <row r="12" spans="1:5">
      <c r="A12" s="40">
        <v>3</v>
      </c>
      <c r="B12" s="92">
        <v>0.1135123055419405</v>
      </c>
      <c r="C12" s="64">
        <f t="shared" si="0"/>
        <v>2013026.2048700231</v>
      </c>
      <c r="E12" s="66">
        <f t="shared" si="1"/>
        <v>2013026.2048700231</v>
      </c>
    </row>
    <row r="13" spans="1:5">
      <c r="A13" s="40">
        <v>4</v>
      </c>
      <c r="B13" s="92">
        <v>0.11067554507627851</v>
      </c>
      <c r="C13" s="64">
        <f t="shared" si="0"/>
        <v>1962719.1203028176</v>
      </c>
      <c r="E13" s="66">
        <f t="shared" si="1"/>
        <v>1962719.1203028176</v>
      </c>
    </row>
    <row r="14" spans="1:5">
      <c r="A14" s="40">
        <v>5</v>
      </c>
      <c r="B14" s="92">
        <v>0.1079211083249457</v>
      </c>
      <c r="C14" s="64">
        <f t="shared" si="0"/>
        <v>1913871.9637446122</v>
      </c>
      <c r="E14" s="66">
        <f t="shared" si="1"/>
        <v>1913871.9637446122</v>
      </c>
    </row>
    <row r="15" spans="1:5">
      <c r="A15" s="40">
        <v>6</v>
      </c>
      <c r="B15" s="92">
        <v>0.10524292573060313</v>
      </c>
      <c r="C15" s="64">
        <f t="shared" si="0"/>
        <v>1866377.0977201844</v>
      </c>
      <c r="E15" s="66">
        <f t="shared" si="1"/>
        <v>1866377.0977201844</v>
      </c>
    </row>
    <row r="16" spans="1:5">
      <c r="A16" s="40">
        <v>7</v>
      </c>
      <c r="B16" s="92">
        <v>0.10263526968280426</v>
      </c>
      <c r="C16" s="64">
        <f t="shared" si="0"/>
        <v>1820132.9488374235</v>
      </c>
      <c r="E16" s="66">
        <f t="shared" si="1"/>
        <v>1820132.9488374235</v>
      </c>
    </row>
    <row r="17" spans="1:5">
      <c r="A17" s="40">
        <v>8</v>
      </c>
      <c r="B17" s="92">
        <v>0.10009284000471792</v>
      </c>
      <c r="C17" s="64">
        <f t="shared" si="0"/>
        <v>1775045.5238081077</v>
      </c>
      <c r="E17" s="66">
        <f t="shared" si="1"/>
        <v>1775045.5238081077</v>
      </c>
    </row>
    <row r="18" spans="1:5">
      <c r="A18" s="40">
        <v>9</v>
      </c>
      <c r="B18" s="92">
        <v>9.7587084130834292E-2</v>
      </c>
      <c r="C18" s="64">
        <f t="shared" si="0"/>
        <v>1730608.4716924583</v>
      </c>
      <c r="E18" s="66">
        <f t="shared" si="1"/>
        <v>1730608.4716924583</v>
      </c>
    </row>
    <row r="19" spans="1:5">
      <c r="A19" s="40">
        <v>10</v>
      </c>
      <c r="B19" s="92">
        <v>9.5086628433781836E-2</v>
      </c>
      <c r="C19" s="64">
        <f t="shared" si="0"/>
        <v>1686265.4128650313</v>
      </c>
      <c r="E19" s="66">
        <f t="shared" si="1"/>
        <v>1686265.4128650313</v>
      </c>
    </row>
    <row r="20" spans="1:5">
      <c r="A20" s="40">
        <v>11</v>
      </c>
      <c r="B20" s="92">
        <v>9.2586172736729352E-2</v>
      </c>
      <c r="C20" s="64">
        <f t="shared" si="0"/>
        <v>1641922.3540376036</v>
      </c>
      <c r="E20" s="66">
        <f t="shared" si="1"/>
        <v>1641922.3540376036</v>
      </c>
    </row>
    <row r="21" spans="1:5">
      <c r="A21" s="40">
        <v>12</v>
      </c>
      <c r="B21" s="92">
        <v>9.0085717039676896E-2</v>
      </c>
      <c r="C21" s="64">
        <f t="shared" si="0"/>
        <v>1597579.2952101766</v>
      </c>
      <c r="E21" s="66">
        <f t="shared" si="1"/>
        <v>1597579.2952101766</v>
      </c>
    </row>
    <row r="22" spans="1:5">
      <c r="A22" s="40">
        <v>13</v>
      </c>
      <c r="B22" s="92">
        <v>8.7585261342624426E-2</v>
      </c>
      <c r="C22" s="64">
        <f t="shared" si="0"/>
        <v>1553236.2363827494</v>
      </c>
      <c r="E22" s="66">
        <f t="shared" si="1"/>
        <v>1553236.2363827494</v>
      </c>
    </row>
    <row r="23" spans="1:5">
      <c r="A23" s="40">
        <v>14</v>
      </c>
      <c r="B23" s="92">
        <v>8.508480564557197E-2</v>
      </c>
      <c r="C23" s="64">
        <f t="shared" si="0"/>
        <v>1508893.1775553224</v>
      </c>
      <c r="E23" s="66">
        <f t="shared" si="1"/>
        <v>1508893.1775553224</v>
      </c>
    </row>
    <row r="24" spans="1:5">
      <c r="A24" s="40">
        <v>15</v>
      </c>
      <c r="B24" s="92">
        <v>8.25843499485195E-2</v>
      </c>
      <c r="C24" s="64">
        <f t="shared" si="0"/>
        <v>1464550.1187278952</v>
      </c>
      <c r="E24" s="66">
        <f t="shared" si="1"/>
        <v>1464550.1187278952</v>
      </c>
    </row>
    <row r="25" spans="1:5">
      <c r="A25" s="40">
        <v>16</v>
      </c>
      <c r="B25" s="92">
        <v>8.0083894251467017E-2</v>
      </c>
      <c r="C25" s="64">
        <f t="shared" si="0"/>
        <v>1420207.0599004677</v>
      </c>
      <c r="E25" s="66">
        <f t="shared" si="1"/>
        <v>1420207.0599004677</v>
      </c>
    </row>
    <row r="26" spans="1:5">
      <c r="A26" s="40">
        <v>17</v>
      </c>
      <c r="B26" s="92">
        <v>7.7583438554414547E-2</v>
      </c>
      <c r="C26" s="64">
        <f t="shared" si="0"/>
        <v>1375864.0010730405</v>
      </c>
      <c r="E26" s="66">
        <f t="shared" si="1"/>
        <v>1375864.0010730405</v>
      </c>
    </row>
    <row r="27" spans="1:5">
      <c r="A27" s="40">
        <v>18</v>
      </c>
      <c r="B27" s="92">
        <v>7.5082982857362104E-2</v>
      </c>
      <c r="C27" s="64">
        <f t="shared" si="0"/>
        <v>1331520.9422456138</v>
      </c>
      <c r="E27" s="66">
        <f t="shared" si="1"/>
        <v>1331520.9422456138</v>
      </c>
    </row>
    <row r="28" spans="1:5">
      <c r="A28" s="40">
        <v>19</v>
      </c>
      <c r="B28" s="92">
        <v>7.2582527160309607E-2</v>
      </c>
      <c r="C28" s="64">
        <f t="shared" si="0"/>
        <v>1287177.8834181861</v>
      </c>
      <c r="E28" s="66">
        <f t="shared" si="1"/>
        <v>1287177.8834181861</v>
      </c>
    </row>
    <row r="29" spans="1:5">
      <c r="A29" s="40">
        <v>20</v>
      </c>
      <c r="B29" s="92">
        <v>7.0082071463257165E-2</v>
      </c>
      <c r="C29" s="64">
        <f t="shared" si="0"/>
        <v>1242834.8245907594</v>
      </c>
      <c r="E29" s="66">
        <f t="shared" si="1"/>
        <v>1242834.8245907594</v>
      </c>
    </row>
    <row r="30" spans="1:5">
      <c r="A30" s="40">
        <v>21</v>
      </c>
      <c r="B30" s="92">
        <v>6.7772422132126531E-2</v>
      </c>
      <c r="C30" s="64">
        <f t="shared" si="0"/>
        <v>1201875.5241393328</v>
      </c>
      <c r="E30" s="66">
        <f t="shared" si="1"/>
        <v>1201875.5241393328</v>
      </c>
    </row>
    <row r="31" spans="1:5">
      <c r="A31" s="40">
        <v>22</v>
      </c>
      <c r="B31" s="92">
        <v>6.5844129072670274E-2</v>
      </c>
      <c r="C31" s="64">
        <f t="shared" si="0"/>
        <v>1167679.1923775729</v>
      </c>
      <c r="E31" s="66">
        <f t="shared" si="1"/>
        <v>1167679.1923775729</v>
      </c>
    </row>
    <row r="32" spans="1:5">
      <c r="A32" s="40">
        <v>23</v>
      </c>
      <c r="B32" s="92">
        <v>6.4106385918966599E-2</v>
      </c>
      <c r="C32" s="64">
        <f t="shared" si="0"/>
        <v>1136862.0709294805</v>
      </c>
      <c r="E32" s="66">
        <f t="shared" si="1"/>
        <v>1136862.0709294805</v>
      </c>
    </row>
    <row r="33" spans="1:5">
      <c r="A33" s="40">
        <v>24</v>
      </c>
      <c r="B33" s="92">
        <v>6.2368642765262938E-2</v>
      </c>
      <c r="C33" s="64">
        <f t="shared" si="0"/>
        <v>1106044.9494813881</v>
      </c>
      <c r="E33" s="66">
        <f t="shared" si="1"/>
        <v>1106044.9494813881</v>
      </c>
    </row>
    <row r="34" spans="1:5">
      <c r="A34" s="40">
        <v>25</v>
      </c>
      <c r="B34" s="92">
        <v>6.0630899611559291E-2</v>
      </c>
      <c r="C34" s="64">
        <f t="shared" si="0"/>
        <v>1075227.8280332959</v>
      </c>
      <c r="E34" s="66">
        <f t="shared" si="1"/>
        <v>1075227.8280332959</v>
      </c>
    </row>
    <row r="35" spans="1:5">
      <c r="A35" s="40">
        <v>26</v>
      </c>
      <c r="B35" s="92">
        <v>5.8893156457855617E-2</v>
      </c>
      <c r="C35" s="64">
        <f t="shared" si="0"/>
        <v>1044410.7065852034</v>
      </c>
      <c r="E35" s="66">
        <f t="shared" si="1"/>
        <v>1044410.7065852034</v>
      </c>
    </row>
    <row r="36" spans="1:5">
      <c r="A36" s="40">
        <v>27</v>
      </c>
      <c r="B36" s="92">
        <v>5.7155413304151963E-2</v>
      </c>
      <c r="C36" s="64">
        <f t="shared" si="0"/>
        <v>1013593.5851371111</v>
      </c>
      <c r="E36" s="66">
        <f t="shared" si="1"/>
        <v>1013593.5851371111</v>
      </c>
    </row>
    <row r="37" spans="1:5">
      <c r="A37" s="40">
        <v>28</v>
      </c>
      <c r="B37" s="92">
        <v>5.5417670150448288E-2</v>
      </c>
      <c r="C37" s="64">
        <f t="shared" si="0"/>
        <v>982776.46368901862</v>
      </c>
      <c r="E37" s="66">
        <f t="shared" si="1"/>
        <v>982776.46368901862</v>
      </c>
    </row>
    <row r="38" spans="1:5">
      <c r="A38" s="40">
        <v>29</v>
      </c>
      <c r="B38" s="92">
        <v>5.3679926996744641E-2</v>
      </c>
      <c r="C38" s="64">
        <f t="shared" si="0"/>
        <v>951959.34224092646</v>
      </c>
      <c r="E38" s="66">
        <f t="shared" si="1"/>
        <v>951959.34224092646</v>
      </c>
    </row>
    <row r="39" spans="1:5">
      <c r="A39" s="40">
        <v>30</v>
      </c>
      <c r="B39" s="92">
        <v>5.1942183843040959E-2</v>
      </c>
      <c r="C39" s="64">
        <f t="shared" si="0"/>
        <v>921142.22079283383</v>
      </c>
      <c r="E39" s="66">
        <f t="shared" si="1"/>
        <v>921142.22079283383</v>
      </c>
    </row>
    <row r="40" spans="1:5">
      <c r="A40" s="40">
        <v>31</v>
      </c>
      <c r="B40" s="92">
        <v>5.0204440689337305E-2</v>
      </c>
      <c r="C40" s="64">
        <f t="shared" si="0"/>
        <v>890325.09934474155</v>
      </c>
      <c r="E40" s="66">
        <f t="shared" si="1"/>
        <v>890325.09934474155</v>
      </c>
    </row>
    <row r="41" spans="1:5">
      <c r="A41" s="40">
        <v>32</v>
      </c>
      <c r="B41" s="92">
        <v>4.8466697535633631E-2</v>
      </c>
      <c r="C41" s="64">
        <f t="shared" si="0"/>
        <v>859507.97789664904</v>
      </c>
      <c r="E41" s="66">
        <f t="shared" si="1"/>
        <v>859507.97789664904</v>
      </c>
    </row>
    <row r="42" spans="1:5">
      <c r="A42" s="40">
        <v>33</v>
      </c>
      <c r="B42" s="92">
        <v>4.6728954381929991E-2</v>
      </c>
      <c r="C42" s="64">
        <f t="shared" si="0"/>
        <v>828690.856448557</v>
      </c>
      <c r="E42" s="66">
        <f t="shared" si="1"/>
        <v>828690.856448557</v>
      </c>
    </row>
    <row r="43" spans="1:5">
      <c r="A43" s="40">
        <v>34</v>
      </c>
      <c r="B43" s="92">
        <v>4.4991211228226316E-2</v>
      </c>
      <c r="C43" s="64">
        <f t="shared" si="0"/>
        <v>797873.73500046448</v>
      </c>
      <c r="E43" s="66">
        <f t="shared" si="1"/>
        <v>797873.73500046448</v>
      </c>
    </row>
    <row r="44" spans="1:5">
      <c r="A44" s="40">
        <v>35</v>
      </c>
      <c r="B44" s="92">
        <v>4.3253468074522655E-2</v>
      </c>
      <c r="C44" s="64">
        <f t="shared" si="0"/>
        <v>767056.61355237209</v>
      </c>
      <c r="E44" s="66">
        <f t="shared" si="1"/>
        <v>767056.61355237209</v>
      </c>
    </row>
    <row r="45" spans="1:5">
      <c r="A45" s="40">
        <v>36</v>
      </c>
      <c r="B45" s="92">
        <v>4.1515724920818987E-2</v>
      </c>
      <c r="C45" s="64">
        <f t="shared" si="0"/>
        <v>736239.49210427969</v>
      </c>
      <c r="E45" s="66">
        <f t="shared" si="1"/>
        <v>736239.49210427969</v>
      </c>
    </row>
    <row r="46" spans="1:5">
      <c r="A46" s="40">
        <v>37</v>
      </c>
      <c r="B46" s="92">
        <v>3.9777981767115327E-2</v>
      </c>
      <c r="C46" s="64">
        <f t="shared" si="0"/>
        <v>705422.3706561873</v>
      </c>
      <c r="E46" s="66">
        <f t="shared" si="1"/>
        <v>705422.3706561873</v>
      </c>
    </row>
    <row r="47" spans="1:5">
      <c r="A47" s="40">
        <v>38</v>
      </c>
      <c r="B47" s="92">
        <v>3.8040238613411666E-2</v>
      </c>
      <c r="C47" s="64">
        <f t="shared" si="0"/>
        <v>674605.2492080949</v>
      </c>
      <c r="E47" s="66">
        <f t="shared" si="1"/>
        <v>674605.2492080949</v>
      </c>
    </row>
    <row r="48" spans="1:5">
      <c r="A48" s="40">
        <v>39</v>
      </c>
      <c r="B48" s="92">
        <v>3.6302495459708005E-2</v>
      </c>
      <c r="C48" s="64">
        <f t="shared" si="0"/>
        <v>643788.12776000262</v>
      </c>
      <c r="E48" s="66">
        <f t="shared" si="1"/>
        <v>643788.12776000262</v>
      </c>
    </row>
    <row r="49" spans="1:5">
      <c r="A49" s="40">
        <v>40</v>
      </c>
      <c r="B49" s="92">
        <v>3.4564752306004337E-2</v>
      </c>
      <c r="C49" s="64">
        <f t="shared" si="0"/>
        <v>612971.00631191011</v>
      </c>
      <c r="E49" s="66">
        <f t="shared" si="1"/>
        <v>612971.00631191011</v>
      </c>
    </row>
    <row r="50" spans="1:5">
      <c r="A50" s="40">
        <v>41</v>
      </c>
      <c r="B50" s="92">
        <v>3.2827009152300662E-2</v>
      </c>
      <c r="C50" s="64">
        <f t="shared" si="0"/>
        <v>582153.8848638176</v>
      </c>
      <c r="E50" s="66">
        <f t="shared" si="1"/>
        <v>582153.8848638176</v>
      </c>
    </row>
    <row r="51" spans="1:5">
      <c r="A51" s="40">
        <v>42</v>
      </c>
      <c r="B51" s="92">
        <v>3.1089265998596995E-2</v>
      </c>
      <c r="C51" s="64">
        <f t="shared" si="0"/>
        <v>551336.76341572509</v>
      </c>
      <c r="E51" s="66">
        <f t="shared" si="1"/>
        <v>551336.76341572509</v>
      </c>
    </row>
    <row r="52" spans="1:5">
      <c r="A52" s="40">
        <v>43</v>
      </c>
      <c r="B52" s="92">
        <v>2.9351522844893334E-2</v>
      </c>
      <c r="C52" s="64">
        <f t="shared" si="0"/>
        <v>520519.64196763275</v>
      </c>
      <c r="E52" s="66">
        <f t="shared" si="1"/>
        <v>520519.64196763275</v>
      </c>
    </row>
    <row r="53" spans="1:5">
      <c r="A53" s="40">
        <v>44</v>
      </c>
      <c r="B53" s="92">
        <v>2.7613779691189669E-2</v>
      </c>
      <c r="C53" s="64">
        <f t="shared" si="0"/>
        <v>489702.52051954035</v>
      </c>
      <c r="E53" s="66">
        <f t="shared" si="1"/>
        <v>489702.52051954035</v>
      </c>
    </row>
    <row r="54" spans="1:5">
      <c r="A54" s="40">
        <v>45</v>
      </c>
      <c r="B54" s="92">
        <v>2.5876036537486002E-2</v>
      </c>
      <c r="C54" s="64">
        <f t="shared" si="0"/>
        <v>458885.3990714479</v>
      </c>
      <c r="E54" s="66">
        <f t="shared" si="1"/>
        <v>458885.3990714479</v>
      </c>
    </row>
    <row r="55" spans="1:5">
      <c r="A55" s="40">
        <v>46</v>
      </c>
      <c r="B55" s="92">
        <v>2.4138293383782337E-2</v>
      </c>
      <c r="C55" s="64">
        <f t="shared" si="0"/>
        <v>428068.27762335551</v>
      </c>
      <c r="E55" s="66">
        <f t="shared" si="1"/>
        <v>428068.27762335551</v>
      </c>
    </row>
    <row r="56" spans="1:5">
      <c r="A56" s="40">
        <v>47</v>
      </c>
      <c r="B56" s="92">
        <v>2.2400550230078673E-2</v>
      </c>
      <c r="C56" s="64">
        <f t="shared" si="0"/>
        <v>397251.15617526311</v>
      </c>
      <c r="E56" s="66">
        <f t="shared" si="1"/>
        <v>397251.15617526311</v>
      </c>
    </row>
    <row r="57" spans="1:5">
      <c r="A57" s="40">
        <v>48</v>
      </c>
      <c r="B57" s="92">
        <v>2.0662807076375009E-2</v>
      </c>
      <c r="C57" s="64">
        <f t="shared" si="0"/>
        <v>366434.03472717071</v>
      </c>
      <c r="E57" s="66">
        <f t="shared" si="1"/>
        <v>366434.03472717071</v>
      </c>
    </row>
    <row r="58" spans="1:5">
      <c r="A58" s="40">
        <v>49</v>
      </c>
      <c r="B58" s="92">
        <v>1.8925063922671341E-2</v>
      </c>
      <c r="C58" s="64">
        <f t="shared" si="0"/>
        <v>335616.91327907826</v>
      </c>
      <c r="E58" s="66">
        <f t="shared" si="1"/>
        <v>335616.91327907826</v>
      </c>
    </row>
    <row r="59" spans="1:5">
      <c r="A59" s="40">
        <v>50</v>
      </c>
      <c r="B59" s="68">
        <v>1.7187320768967677E-2</v>
      </c>
      <c r="C59" s="64">
        <f t="shared" ref="C59:C60" si="2">B59*$B$3</f>
        <v>304799.79183098587</v>
      </c>
      <c r="E59" s="66">
        <f t="shared" ref="E59:E60" si="3">SUM(C59:D59)</f>
        <v>304799.79183098587</v>
      </c>
    </row>
    <row r="60" spans="1:5">
      <c r="A60" s="40">
        <v>51</v>
      </c>
      <c r="B60" s="68">
        <v>1.5449577615264009E-2</v>
      </c>
      <c r="C60" s="64">
        <f t="shared" si="2"/>
        <v>273982.67038289341</v>
      </c>
      <c r="E60" s="66">
        <f t="shared" si="3"/>
        <v>273982.67038289341</v>
      </c>
    </row>
    <row r="61" spans="1:5">
      <c r="B61" s="40">
        <v>5.2542636802482537E-17</v>
      </c>
    </row>
    <row r="62" spans="1:5">
      <c r="B62" s="40">
        <v>5.2542636802482537E-17</v>
      </c>
    </row>
    <row r="63" spans="1:5">
      <c r="B63" s="40">
        <v>5.2542636802482537E-17</v>
      </c>
    </row>
    <row r="64" spans="1:5">
      <c r="B64" s="40">
        <v>5.2542636802482537E-17</v>
      </c>
    </row>
    <row r="65" spans="2:2">
      <c r="B65" s="40">
        <v>5.2542636802482537E-17</v>
      </c>
    </row>
    <row r="66" spans="2:2">
      <c r="B66" s="40">
        <v>5.2542636802482537E-17</v>
      </c>
    </row>
    <row r="67" spans="2:2">
      <c r="B67" s="40">
        <v>5.2542636802482537E-17</v>
      </c>
    </row>
    <row r="68" spans="2:2">
      <c r="B68" s="40">
        <v>5.2542636802482537E-17</v>
      </c>
    </row>
    <row r="69" spans="2:2">
      <c r="B69" s="40">
        <v>5.2542636802482537E-17</v>
      </c>
    </row>
    <row r="70" spans="2:2">
      <c r="B70" s="40">
        <v>5.2542636802482537E-17</v>
      </c>
    </row>
    <row r="71" spans="2:2">
      <c r="B71" s="40">
        <v>5.2542636802482537E-17</v>
      </c>
    </row>
    <row r="72" spans="2:2">
      <c r="B72" s="40">
        <v>5.2542636802482537E-17</v>
      </c>
    </row>
    <row r="73" spans="2:2">
      <c r="B73" s="40">
        <v>5.2542636802482537E-17</v>
      </c>
    </row>
    <row r="74" spans="2:2">
      <c r="B74" s="40">
        <v>5.2542636802482537E-17</v>
      </c>
    </row>
    <row r="75" spans="2:2">
      <c r="B75" s="40">
        <v>5.2542636802482537E-17</v>
      </c>
    </row>
    <row r="76" spans="2:2">
      <c r="B76" s="40">
        <v>5.2542636802482537E-17</v>
      </c>
    </row>
    <row r="77" spans="2:2">
      <c r="B77" s="40">
        <v>5.2542636802482537E-17</v>
      </c>
    </row>
    <row r="78" spans="2:2">
      <c r="B78" s="40">
        <v>5.2542636802482537E-17</v>
      </c>
    </row>
    <row r="79" spans="2:2">
      <c r="B79" s="40">
        <v>5.2542636802482537E-17</v>
      </c>
    </row>
    <row r="80" spans="2:2">
      <c r="B80" s="40">
        <v>5.2542636802482537E-17</v>
      </c>
    </row>
    <row r="81" spans="2:2">
      <c r="B81" s="40">
        <v>5.2542636802482537E-17</v>
      </c>
    </row>
    <row r="82" spans="2:2">
      <c r="B82" s="40">
        <v>5.2542636802482537E-17</v>
      </c>
    </row>
    <row r="83" spans="2:2">
      <c r="B83" s="40">
        <v>5.2542636802482537E-17</v>
      </c>
    </row>
    <row r="84" spans="2:2">
      <c r="B84" s="40">
        <v>5.2542636802482537E-17</v>
      </c>
    </row>
    <row r="85" spans="2:2">
      <c r="B85" s="40">
        <v>5.2542636802482537E-17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E85"/>
  <sheetViews>
    <sheetView workbookViewId="0">
      <selection activeCell="B4" sqref="B4"/>
    </sheetView>
  </sheetViews>
  <sheetFormatPr defaultRowHeight="12.75"/>
  <cols>
    <col min="1" max="1" width="16" style="40" bestFit="1" customWidth="1"/>
    <col min="2" max="2" width="10.25" style="40" bestFit="1" customWidth="1"/>
    <col min="3" max="3" width="11.125" style="40" bestFit="1" customWidth="1"/>
    <col min="4" max="4" width="14.25" style="40" customWidth="1"/>
    <col min="5" max="5" width="10.25" style="40" bestFit="1" customWidth="1"/>
    <col min="6" max="16384" width="9" style="40"/>
  </cols>
  <sheetData>
    <row r="1" spans="1:5">
      <c r="A1" s="40" t="s">
        <v>20</v>
      </c>
    </row>
    <row r="3" spans="1:5">
      <c r="A3" s="40" t="s">
        <v>188</v>
      </c>
      <c r="B3" s="89">
        <v>9064936</v>
      </c>
    </row>
    <row r="4" spans="1:5">
      <c r="A4" s="40" t="s">
        <v>89</v>
      </c>
      <c r="B4" s="90">
        <v>7.2442999999999994E-2</v>
      </c>
    </row>
    <row r="5" spans="1:5">
      <c r="D5" s="40" t="s">
        <v>191</v>
      </c>
      <c r="E5" s="91">
        <f>-PMT($B$4,30,NPV($B$4,E10:E39))</f>
        <v>834610.94835399883</v>
      </c>
    </row>
    <row r="6" spans="1:5">
      <c r="D6" s="40" t="s">
        <v>190</v>
      </c>
      <c r="E6" s="64">
        <f>'Hydro Energy'!I16</f>
        <v>7709.3339427714673</v>
      </c>
    </row>
    <row r="7" spans="1:5">
      <c r="D7" s="40" t="s">
        <v>15</v>
      </c>
      <c r="E7" s="81">
        <f>E5/E6</f>
        <v>108.25979968562113</v>
      </c>
    </row>
    <row r="9" spans="1:5" s="67" customFormat="1" ht="38.25">
      <c r="A9" s="67" t="s">
        <v>35</v>
      </c>
      <c r="B9" s="67" t="s">
        <v>186</v>
      </c>
      <c r="C9" s="67" t="s">
        <v>187</v>
      </c>
      <c r="D9" s="67" t="s">
        <v>189</v>
      </c>
      <c r="E9" s="67" t="s">
        <v>34</v>
      </c>
    </row>
    <row r="10" spans="1:5">
      <c r="A10" s="40">
        <v>1</v>
      </c>
      <c r="B10" s="92">
        <v>0.11612661021297399</v>
      </c>
      <c r="C10" s="64">
        <f>B10*$B$3</f>
        <v>1052680.2894775555</v>
      </c>
      <c r="E10" s="66">
        <f>SUM(C10:D10)</f>
        <v>1052680.2894775555</v>
      </c>
    </row>
    <row r="11" spans="1:5">
      <c r="A11" s="40">
        <v>2</v>
      </c>
      <c r="B11" s="92">
        <v>0.11352940888167129</v>
      </c>
      <c r="C11" s="64">
        <f t="shared" ref="C11:C60" si="0">B11*$B$3</f>
        <v>1029136.8256301818</v>
      </c>
      <c r="E11" s="66">
        <f t="shared" ref="E11:E60" si="1">SUM(C11:D11)</f>
        <v>1029136.8256301818</v>
      </c>
    </row>
    <row r="12" spans="1:5">
      <c r="A12" s="40">
        <v>3</v>
      </c>
      <c r="B12" s="92">
        <v>0.11068979791218571</v>
      </c>
      <c r="C12" s="64">
        <f t="shared" si="0"/>
        <v>1003395.9339268971</v>
      </c>
      <c r="E12" s="66">
        <f t="shared" si="1"/>
        <v>1003395.9339268971</v>
      </c>
    </row>
    <row r="13" spans="1:5">
      <c r="A13" s="40">
        <v>4</v>
      </c>
      <c r="B13" s="92">
        <v>0.10793637151693115</v>
      </c>
      <c r="C13" s="64">
        <f t="shared" si="0"/>
        <v>978436.29987320385</v>
      </c>
      <c r="E13" s="66">
        <f t="shared" si="1"/>
        <v>978436.29987320385</v>
      </c>
    </row>
    <row r="14" spans="1:5">
      <c r="A14" s="40">
        <v>5</v>
      </c>
      <c r="B14" s="92">
        <v>0.10526267206210355</v>
      </c>
      <c r="C14" s="64">
        <f t="shared" si="0"/>
        <v>954199.38543195662</v>
      </c>
      <c r="E14" s="66">
        <f t="shared" si="1"/>
        <v>954199.38543195662</v>
      </c>
    </row>
    <row r="15" spans="1:5">
      <c r="A15" s="40">
        <v>6</v>
      </c>
      <c r="B15" s="92">
        <v>0.10266282144513768</v>
      </c>
      <c r="C15" s="64">
        <f t="shared" si="0"/>
        <v>930631.90597960062</v>
      </c>
      <c r="E15" s="66">
        <f t="shared" si="1"/>
        <v>930631.90597960062</v>
      </c>
    </row>
    <row r="16" spans="1:5">
      <c r="A16" s="40">
        <v>7</v>
      </c>
      <c r="B16" s="92">
        <v>0.10013127272417617</v>
      </c>
      <c r="C16" s="64">
        <f t="shared" si="0"/>
        <v>907683.57884320267</v>
      </c>
      <c r="E16" s="66">
        <f t="shared" si="1"/>
        <v>907683.57884320267</v>
      </c>
    </row>
    <row r="17" spans="1:5">
      <c r="A17" s="40">
        <v>8</v>
      </c>
      <c r="B17" s="92">
        <v>9.7662892908246646E-2</v>
      </c>
      <c r="C17" s="64">
        <f t="shared" si="0"/>
        <v>885307.87378810975</v>
      </c>
      <c r="E17" s="66">
        <f t="shared" si="1"/>
        <v>885307.87378810975</v>
      </c>
    </row>
    <row r="18" spans="1:5">
      <c r="A18" s="40">
        <v>9</v>
      </c>
      <c r="B18" s="92">
        <v>9.523003007823938E-2</v>
      </c>
      <c r="C18" s="64">
        <f t="shared" si="0"/>
        <v>863254.12793731503</v>
      </c>
      <c r="E18" s="66">
        <f t="shared" si="1"/>
        <v>863254.12793731503</v>
      </c>
    </row>
    <row r="19" spans="1:5">
      <c r="A19" s="40">
        <v>10</v>
      </c>
      <c r="B19" s="92">
        <v>9.2802300239204605E-2</v>
      </c>
      <c r="C19" s="64">
        <f t="shared" si="0"/>
        <v>841246.9123211744</v>
      </c>
      <c r="E19" s="66">
        <f t="shared" si="1"/>
        <v>841246.9123211744</v>
      </c>
    </row>
    <row r="20" spans="1:5">
      <c r="A20" s="40">
        <v>11</v>
      </c>
      <c r="B20" s="92">
        <v>9.0374570400169774E-2</v>
      </c>
      <c r="C20" s="64">
        <f t="shared" si="0"/>
        <v>819239.69670503342</v>
      </c>
      <c r="E20" s="66">
        <f t="shared" si="1"/>
        <v>819239.69670503342</v>
      </c>
    </row>
    <row r="21" spans="1:5">
      <c r="A21" s="40">
        <v>12</v>
      </c>
      <c r="B21" s="92">
        <v>8.7946840561134998E-2</v>
      </c>
      <c r="C21" s="64">
        <f t="shared" si="0"/>
        <v>797232.48108889279</v>
      </c>
      <c r="E21" s="66">
        <f t="shared" si="1"/>
        <v>797232.48108889279</v>
      </c>
    </row>
    <row r="22" spans="1:5">
      <c r="A22" s="40">
        <v>13</v>
      </c>
      <c r="B22" s="92">
        <v>8.5519110722100181E-2</v>
      </c>
      <c r="C22" s="64">
        <f t="shared" si="0"/>
        <v>775225.26547275193</v>
      </c>
      <c r="E22" s="66">
        <f t="shared" si="1"/>
        <v>775225.26547275193</v>
      </c>
    </row>
    <row r="23" spans="1:5">
      <c r="A23" s="40">
        <v>14</v>
      </c>
      <c r="B23" s="92">
        <v>8.3091380883065391E-2</v>
      </c>
      <c r="C23" s="64">
        <f t="shared" si="0"/>
        <v>753218.04985661129</v>
      </c>
      <c r="E23" s="66">
        <f t="shared" si="1"/>
        <v>753218.04985661129</v>
      </c>
    </row>
    <row r="24" spans="1:5">
      <c r="A24" s="40">
        <v>15</v>
      </c>
      <c r="B24" s="92">
        <v>8.0663651044030588E-2</v>
      </c>
      <c r="C24" s="64">
        <f t="shared" si="0"/>
        <v>731210.83424047043</v>
      </c>
      <c r="E24" s="66">
        <f t="shared" si="1"/>
        <v>731210.83424047043</v>
      </c>
    </row>
    <row r="25" spans="1:5">
      <c r="A25" s="40">
        <v>16</v>
      </c>
      <c r="B25" s="92">
        <v>7.8235921204995798E-2</v>
      </c>
      <c r="C25" s="64">
        <f t="shared" si="0"/>
        <v>709203.6186243298</v>
      </c>
      <c r="E25" s="66">
        <f t="shared" si="1"/>
        <v>709203.6186243298</v>
      </c>
    </row>
    <row r="26" spans="1:5">
      <c r="A26" s="40">
        <v>17</v>
      </c>
      <c r="B26" s="92">
        <v>7.5808191365960981E-2</v>
      </c>
      <c r="C26" s="64">
        <f t="shared" si="0"/>
        <v>687196.40300818882</v>
      </c>
      <c r="E26" s="66">
        <f t="shared" si="1"/>
        <v>687196.40300818882</v>
      </c>
    </row>
    <row r="27" spans="1:5">
      <c r="A27" s="40">
        <v>18</v>
      </c>
      <c r="B27" s="92">
        <v>7.3380461526926177E-2</v>
      </c>
      <c r="C27" s="64">
        <f t="shared" si="0"/>
        <v>665189.18739204807</v>
      </c>
      <c r="E27" s="66">
        <f t="shared" si="1"/>
        <v>665189.18739204807</v>
      </c>
    </row>
    <row r="28" spans="1:5">
      <c r="A28" s="40">
        <v>19</v>
      </c>
      <c r="B28" s="92">
        <v>7.0952731687891388E-2</v>
      </c>
      <c r="C28" s="64">
        <f t="shared" si="0"/>
        <v>643181.97177590744</v>
      </c>
      <c r="E28" s="66">
        <f t="shared" si="1"/>
        <v>643181.97177590744</v>
      </c>
    </row>
    <row r="29" spans="1:5">
      <c r="A29" s="40">
        <v>20</v>
      </c>
      <c r="B29" s="92">
        <v>6.8525001848856612E-2</v>
      </c>
      <c r="C29" s="64">
        <f t="shared" si="0"/>
        <v>621174.75615976681</v>
      </c>
      <c r="E29" s="66">
        <f t="shared" si="1"/>
        <v>621174.75615976681</v>
      </c>
    </row>
    <row r="30" spans="1:5">
      <c r="A30" s="40">
        <v>21</v>
      </c>
      <c r="B30" s="92">
        <v>6.628205968483003E-2</v>
      </c>
      <c r="C30" s="64">
        <f t="shared" si="0"/>
        <v>600842.62899116438</v>
      </c>
      <c r="E30" s="66">
        <f t="shared" si="1"/>
        <v>600842.62899116438</v>
      </c>
    </row>
    <row r="31" spans="1:5">
      <c r="A31" s="40">
        <v>22</v>
      </c>
      <c r="B31" s="92">
        <v>6.4408444500289083E-2</v>
      </c>
      <c r="C31" s="64">
        <f t="shared" si="0"/>
        <v>583858.42725467251</v>
      </c>
      <c r="E31" s="66">
        <f t="shared" si="1"/>
        <v>583858.42725467251</v>
      </c>
    </row>
    <row r="32" spans="1:5">
      <c r="A32" s="40">
        <v>23</v>
      </c>
      <c r="B32" s="92">
        <v>6.2719368620225438E-2</v>
      </c>
      <c r="C32" s="64">
        <f t="shared" si="0"/>
        <v>568547.06250275194</v>
      </c>
      <c r="E32" s="66">
        <f t="shared" si="1"/>
        <v>568547.06250275194</v>
      </c>
    </row>
    <row r="33" spans="1:5">
      <c r="A33" s="40">
        <v>24</v>
      </c>
      <c r="B33" s="92">
        <v>6.1030292740161828E-2</v>
      </c>
      <c r="C33" s="64">
        <f t="shared" si="0"/>
        <v>553235.6977508316</v>
      </c>
      <c r="E33" s="66">
        <f t="shared" si="1"/>
        <v>553235.6977508316</v>
      </c>
    </row>
    <row r="34" spans="1:5">
      <c r="A34" s="40">
        <v>25</v>
      </c>
      <c r="B34" s="92">
        <v>5.9341216860098203E-2</v>
      </c>
      <c r="C34" s="64">
        <f t="shared" si="0"/>
        <v>537924.33299891115</v>
      </c>
      <c r="E34" s="66">
        <f t="shared" si="1"/>
        <v>537924.33299891115</v>
      </c>
    </row>
    <row r="35" spans="1:5">
      <c r="A35" s="40">
        <v>26</v>
      </c>
      <c r="B35" s="92">
        <v>5.7652140980034579E-2</v>
      </c>
      <c r="C35" s="64">
        <f t="shared" si="0"/>
        <v>522612.96824699076</v>
      </c>
      <c r="E35" s="66">
        <f t="shared" si="1"/>
        <v>522612.96824699076</v>
      </c>
    </row>
    <row r="36" spans="1:5">
      <c r="A36" s="40">
        <v>27</v>
      </c>
      <c r="B36" s="92">
        <v>5.5963065099970954E-2</v>
      </c>
      <c r="C36" s="64">
        <f t="shared" si="0"/>
        <v>507301.6034950703</v>
      </c>
      <c r="E36" s="66">
        <f t="shared" si="1"/>
        <v>507301.6034950703</v>
      </c>
    </row>
    <row r="37" spans="1:5">
      <c r="A37" s="40">
        <v>28</v>
      </c>
      <c r="B37" s="92">
        <v>5.4273989219907323E-2</v>
      </c>
      <c r="C37" s="64">
        <f t="shared" si="0"/>
        <v>491990.23874314979</v>
      </c>
      <c r="E37" s="66">
        <f t="shared" si="1"/>
        <v>491990.23874314979</v>
      </c>
    </row>
    <row r="38" spans="1:5">
      <c r="A38" s="40">
        <v>29</v>
      </c>
      <c r="B38" s="92">
        <v>5.2584913339843706E-2</v>
      </c>
      <c r="C38" s="64">
        <f t="shared" si="0"/>
        <v>476678.87399122945</v>
      </c>
      <c r="E38" s="66">
        <f t="shared" si="1"/>
        <v>476678.87399122945</v>
      </c>
    </row>
    <row r="39" spans="1:5">
      <c r="A39" s="40">
        <v>30</v>
      </c>
      <c r="B39" s="92">
        <v>5.0895837459780074E-2</v>
      </c>
      <c r="C39" s="64">
        <f t="shared" si="0"/>
        <v>461367.50923930894</v>
      </c>
      <c r="E39" s="66">
        <f t="shared" si="1"/>
        <v>461367.50923930894</v>
      </c>
    </row>
    <row r="40" spans="1:5">
      <c r="A40" s="40">
        <v>31</v>
      </c>
      <c r="B40" s="92">
        <v>4.920676157971645E-2</v>
      </c>
      <c r="C40" s="64">
        <f t="shared" si="0"/>
        <v>446056.14448738849</v>
      </c>
      <c r="E40" s="66">
        <f t="shared" si="1"/>
        <v>446056.14448738849</v>
      </c>
    </row>
    <row r="41" spans="1:5">
      <c r="A41" s="40">
        <v>32</v>
      </c>
      <c r="B41" s="92">
        <v>4.7517685699652819E-2</v>
      </c>
      <c r="C41" s="64">
        <f t="shared" si="0"/>
        <v>430744.77973546804</v>
      </c>
      <c r="E41" s="66">
        <f t="shared" si="1"/>
        <v>430744.77973546804</v>
      </c>
    </row>
    <row r="42" spans="1:5">
      <c r="A42" s="40">
        <v>33</v>
      </c>
      <c r="B42" s="92">
        <v>4.5828609819589201E-2</v>
      </c>
      <c r="C42" s="64">
        <f t="shared" si="0"/>
        <v>415433.41498354764</v>
      </c>
      <c r="E42" s="66">
        <f t="shared" si="1"/>
        <v>415433.41498354764</v>
      </c>
    </row>
    <row r="43" spans="1:5">
      <c r="A43" s="40">
        <v>34</v>
      </c>
      <c r="B43" s="92">
        <v>4.4139533939525577E-2</v>
      </c>
      <c r="C43" s="64">
        <f t="shared" si="0"/>
        <v>400122.05023162725</v>
      </c>
      <c r="E43" s="66">
        <f t="shared" si="1"/>
        <v>400122.05023162725</v>
      </c>
    </row>
    <row r="44" spans="1:5">
      <c r="A44" s="40">
        <v>35</v>
      </c>
      <c r="B44" s="92">
        <v>4.245045805946196E-2</v>
      </c>
      <c r="C44" s="64">
        <f t="shared" si="0"/>
        <v>384810.68547970685</v>
      </c>
      <c r="E44" s="66">
        <f t="shared" si="1"/>
        <v>384810.68547970685</v>
      </c>
    </row>
    <row r="45" spans="1:5">
      <c r="A45" s="40">
        <v>36</v>
      </c>
      <c r="B45" s="92">
        <v>4.0761382179398335E-2</v>
      </c>
      <c r="C45" s="64">
        <f t="shared" si="0"/>
        <v>369499.3207277864</v>
      </c>
      <c r="E45" s="66">
        <f t="shared" si="1"/>
        <v>369499.3207277864</v>
      </c>
    </row>
    <row r="46" spans="1:5">
      <c r="A46" s="40">
        <v>37</v>
      </c>
      <c r="B46" s="92">
        <v>3.9072306299334704E-2</v>
      </c>
      <c r="C46" s="64">
        <f t="shared" si="0"/>
        <v>354187.95597586595</v>
      </c>
      <c r="E46" s="66">
        <f t="shared" si="1"/>
        <v>354187.95597586595</v>
      </c>
    </row>
    <row r="47" spans="1:5">
      <c r="A47" s="40">
        <v>38</v>
      </c>
      <c r="B47" s="92">
        <v>3.7383230419271087E-2</v>
      </c>
      <c r="C47" s="64">
        <f t="shared" si="0"/>
        <v>338876.59122394555</v>
      </c>
      <c r="E47" s="66">
        <f t="shared" si="1"/>
        <v>338876.59122394555</v>
      </c>
    </row>
    <row r="48" spans="1:5">
      <c r="A48" s="40">
        <v>39</v>
      </c>
      <c r="B48" s="92">
        <v>3.5694154539207455E-2</v>
      </c>
      <c r="C48" s="64">
        <f t="shared" si="0"/>
        <v>323565.2264720251</v>
      </c>
      <c r="E48" s="66">
        <f t="shared" si="1"/>
        <v>323565.2264720251</v>
      </c>
    </row>
    <row r="49" spans="1:5">
      <c r="A49" s="40">
        <v>40</v>
      </c>
      <c r="B49" s="92">
        <v>3.4005078659143824E-2</v>
      </c>
      <c r="C49" s="64">
        <f t="shared" si="0"/>
        <v>308253.86172010459</v>
      </c>
      <c r="E49" s="66">
        <f t="shared" si="1"/>
        <v>308253.86172010459</v>
      </c>
    </row>
    <row r="50" spans="1:5">
      <c r="A50" s="40">
        <v>41</v>
      </c>
      <c r="B50" s="92">
        <v>3.2316002779080213E-2</v>
      </c>
      <c r="C50" s="64">
        <f t="shared" si="0"/>
        <v>292942.49696818425</v>
      </c>
      <c r="E50" s="66">
        <f t="shared" si="1"/>
        <v>292942.49696818425</v>
      </c>
    </row>
    <row r="51" spans="1:5">
      <c r="A51" s="40">
        <v>42</v>
      </c>
      <c r="B51" s="92">
        <v>3.0626926899016582E-2</v>
      </c>
      <c r="C51" s="64">
        <f t="shared" si="0"/>
        <v>277631.1322162638</v>
      </c>
      <c r="E51" s="66">
        <f t="shared" si="1"/>
        <v>277631.1322162638</v>
      </c>
    </row>
    <row r="52" spans="1:5">
      <c r="A52" s="40">
        <v>43</v>
      </c>
      <c r="B52" s="92">
        <v>2.8937851018952965E-2</v>
      </c>
      <c r="C52" s="64">
        <f t="shared" si="0"/>
        <v>262319.7674643434</v>
      </c>
      <c r="E52" s="66">
        <f t="shared" si="1"/>
        <v>262319.7674643434</v>
      </c>
    </row>
    <row r="53" spans="1:5">
      <c r="A53" s="40">
        <v>44</v>
      </c>
      <c r="B53" s="92">
        <v>2.7248775138889333E-2</v>
      </c>
      <c r="C53" s="64">
        <f t="shared" si="0"/>
        <v>247008.40271242292</v>
      </c>
      <c r="E53" s="66">
        <f t="shared" si="1"/>
        <v>247008.40271242292</v>
      </c>
    </row>
    <row r="54" spans="1:5">
      <c r="A54" s="40">
        <v>45</v>
      </c>
      <c r="B54" s="92">
        <v>2.5559699258825709E-2</v>
      </c>
      <c r="C54" s="64">
        <f t="shared" si="0"/>
        <v>231697.03796050249</v>
      </c>
      <c r="E54" s="66">
        <f t="shared" si="1"/>
        <v>231697.03796050249</v>
      </c>
    </row>
    <row r="55" spans="1:5">
      <c r="A55" s="40">
        <v>46</v>
      </c>
      <c r="B55" s="92">
        <v>2.3870623378762081E-2</v>
      </c>
      <c r="C55" s="64">
        <f t="shared" si="0"/>
        <v>216385.67320858204</v>
      </c>
      <c r="E55" s="66">
        <f t="shared" si="1"/>
        <v>216385.67320858204</v>
      </c>
    </row>
    <row r="56" spans="1:5">
      <c r="A56" s="40">
        <v>47</v>
      </c>
      <c r="B56" s="92">
        <v>2.2181547498698457E-2</v>
      </c>
      <c r="C56" s="64">
        <f t="shared" si="0"/>
        <v>201074.30845666159</v>
      </c>
      <c r="E56" s="66">
        <f t="shared" si="1"/>
        <v>201074.30845666159</v>
      </c>
    </row>
    <row r="57" spans="1:5">
      <c r="A57" s="40">
        <v>48</v>
      </c>
      <c r="B57" s="92">
        <v>2.0492471618634829E-2</v>
      </c>
      <c r="C57" s="64">
        <f t="shared" si="0"/>
        <v>185762.94370474113</v>
      </c>
      <c r="E57" s="66">
        <f t="shared" si="1"/>
        <v>185762.94370474113</v>
      </c>
    </row>
    <row r="58" spans="1:5">
      <c r="A58" s="40">
        <v>49</v>
      </c>
      <c r="B58" s="92">
        <v>1.8803395738571201E-2</v>
      </c>
      <c r="C58" s="64">
        <f t="shared" si="0"/>
        <v>170451.57895282068</v>
      </c>
      <c r="E58" s="66">
        <f t="shared" si="1"/>
        <v>170451.57895282068</v>
      </c>
    </row>
    <row r="59" spans="1:5">
      <c r="A59" s="40">
        <v>50</v>
      </c>
      <c r="B59" s="68">
        <v>1.711431985850758E-2</v>
      </c>
      <c r="C59" s="64">
        <f t="shared" si="0"/>
        <v>155140.21420090029</v>
      </c>
      <c r="E59" s="66">
        <f t="shared" si="1"/>
        <v>155140.21420090029</v>
      </c>
    </row>
    <row r="60" spans="1:5">
      <c r="A60" s="40">
        <v>51</v>
      </c>
      <c r="B60" s="68">
        <v>1.5425243978443953E-2</v>
      </c>
      <c r="C60" s="64">
        <f t="shared" si="0"/>
        <v>139828.8494489798</v>
      </c>
      <c r="E60" s="66">
        <f t="shared" si="1"/>
        <v>139828.8494489798</v>
      </c>
    </row>
    <row r="61" spans="1:5">
      <c r="B61" s="40">
        <v>5.3182393585566387E-18</v>
      </c>
    </row>
    <row r="62" spans="1:5">
      <c r="B62" s="40">
        <v>5.3182393585566387E-18</v>
      </c>
    </row>
    <row r="63" spans="1:5">
      <c r="B63" s="40">
        <v>5.3182393585566387E-18</v>
      </c>
    </row>
    <row r="64" spans="1:5">
      <c r="B64" s="40">
        <v>5.3182393585566387E-18</v>
      </c>
    </row>
    <row r="65" spans="2:2">
      <c r="B65" s="40">
        <v>5.3182393585566387E-18</v>
      </c>
    </row>
    <row r="66" spans="2:2">
      <c r="B66" s="40">
        <v>5.3182393585566387E-18</v>
      </c>
    </row>
    <row r="67" spans="2:2">
      <c r="B67" s="40">
        <v>5.3182393585566387E-18</v>
      </c>
    </row>
    <row r="68" spans="2:2">
      <c r="B68" s="40">
        <v>5.3182393585566387E-18</v>
      </c>
    </row>
    <row r="69" spans="2:2">
      <c r="B69" s="40">
        <v>5.3182393585566387E-18</v>
      </c>
    </row>
    <row r="70" spans="2:2">
      <c r="B70" s="40">
        <v>5.3182393585566387E-18</v>
      </c>
    </row>
    <row r="71" spans="2:2">
      <c r="B71" s="40">
        <v>5.3182393585566387E-18</v>
      </c>
    </row>
    <row r="72" spans="2:2">
      <c r="B72" s="40">
        <v>5.3182393585566387E-18</v>
      </c>
    </row>
    <row r="73" spans="2:2">
      <c r="B73" s="40">
        <v>5.3182393585566387E-18</v>
      </c>
    </row>
    <row r="74" spans="2:2">
      <c r="B74" s="40">
        <v>5.3182393585566387E-18</v>
      </c>
    </row>
    <row r="75" spans="2:2">
      <c r="B75" s="40">
        <v>5.3182393585566387E-18</v>
      </c>
    </row>
    <row r="76" spans="2:2">
      <c r="B76" s="40">
        <v>5.3182393585566387E-18</v>
      </c>
    </row>
    <row r="77" spans="2:2">
      <c r="B77" s="40">
        <v>5.3182393585566387E-18</v>
      </c>
    </row>
    <row r="78" spans="2:2">
      <c r="B78" s="40">
        <v>5.3182393585566387E-18</v>
      </c>
    </row>
    <row r="79" spans="2:2">
      <c r="B79" s="40">
        <v>5.3182393585566387E-18</v>
      </c>
    </row>
    <row r="80" spans="2:2">
      <c r="B80" s="40">
        <v>5.3182393585566387E-18</v>
      </c>
    </row>
    <row r="81" spans="2:2">
      <c r="B81" s="40">
        <v>5.3182393585566387E-18</v>
      </c>
    </row>
    <row r="82" spans="2:2">
      <c r="B82" s="40">
        <v>5.3182393585566387E-18</v>
      </c>
    </row>
    <row r="83" spans="2:2">
      <c r="B83" s="40">
        <v>5.3182393585566387E-18</v>
      </c>
    </row>
    <row r="84" spans="2:2">
      <c r="B84" s="40">
        <v>5.3182393585566387E-18</v>
      </c>
    </row>
    <row r="85" spans="2:2">
      <c r="B85" s="40">
        <v>5.3182393585566387E-18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E85"/>
  <sheetViews>
    <sheetView workbookViewId="0">
      <selection activeCell="B4" sqref="B4"/>
    </sheetView>
  </sheetViews>
  <sheetFormatPr defaultRowHeight="12.75"/>
  <cols>
    <col min="1" max="1" width="16" style="40" bestFit="1" customWidth="1"/>
    <col min="2" max="2" width="10.25" style="40" bestFit="1" customWidth="1"/>
    <col min="3" max="3" width="11.125" style="40" bestFit="1" customWidth="1"/>
    <col min="4" max="4" width="14.25" style="40" customWidth="1"/>
    <col min="5" max="5" width="10.25" style="40" bestFit="1" customWidth="1"/>
    <col min="6" max="16384" width="9" style="40"/>
  </cols>
  <sheetData>
    <row r="1" spans="1:5">
      <c r="A1" s="40" t="s">
        <v>21</v>
      </c>
    </row>
    <row r="3" spans="1:5">
      <c r="A3" s="40" t="s">
        <v>188</v>
      </c>
      <c r="B3" s="89">
        <v>8613466</v>
      </c>
    </row>
    <row r="4" spans="1:5">
      <c r="A4" s="40" t="s">
        <v>89</v>
      </c>
      <c r="B4" s="90">
        <v>7.5129000000000001E-2</v>
      </c>
    </row>
    <row r="5" spans="1:5">
      <c r="D5" s="40" t="s">
        <v>191</v>
      </c>
      <c r="E5" s="91">
        <f>-PMT($B$4,30,NPV($B$4,E10:E39))</f>
        <v>818040.09401332366</v>
      </c>
    </row>
    <row r="6" spans="1:5">
      <c r="D6" s="40" t="s">
        <v>190</v>
      </c>
      <c r="E6" s="64">
        <f>'Hydro Energy'!H16</f>
        <v>14528.592942067989</v>
      </c>
    </row>
    <row r="7" spans="1:5">
      <c r="D7" s="40" t="s">
        <v>15</v>
      </c>
      <c r="E7" s="81">
        <f>E5/E6</f>
        <v>56.305527815062071</v>
      </c>
    </row>
    <row r="9" spans="1:5" s="67" customFormat="1" ht="38.25">
      <c r="A9" s="67" t="s">
        <v>35</v>
      </c>
      <c r="B9" s="67" t="s">
        <v>186</v>
      </c>
      <c r="C9" s="67" t="s">
        <v>187</v>
      </c>
      <c r="D9" s="67" t="s">
        <v>189</v>
      </c>
      <c r="E9" s="67" t="s">
        <v>34</v>
      </c>
    </row>
    <row r="10" spans="1:5">
      <c r="A10" s="40">
        <v>1</v>
      </c>
      <c r="B10" s="92">
        <v>0.11946727748029094</v>
      </c>
      <c r="C10" s="64">
        <f>B10*$B$3</f>
        <v>1029027.3326890517</v>
      </c>
      <c r="E10" s="66">
        <f>SUM(C10:D10)</f>
        <v>1029027.3326890517</v>
      </c>
    </row>
    <row r="11" spans="1:5">
      <c r="A11" s="40">
        <v>2</v>
      </c>
      <c r="B11" s="92">
        <v>0.11678256291106466</v>
      </c>
      <c r="C11" s="64">
        <f t="shared" ref="C11:C60" si="0">B11*$B$3</f>
        <v>1005902.6350273165</v>
      </c>
      <c r="E11" s="66">
        <f t="shared" ref="E11:E60" si="1">SUM(C11:D11)</f>
        <v>1005902.6350273165</v>
      </c>
    </row>
    <row r="12" spans="1:5">
      <c r="A12" s="40">
        <v>3</v>
      </c>
      <c r="B12" s="92">
        <v>0.11384660806197651</v>
      </c>
      <c r="C12" s="64">
        <f t="shared" si="0"/>
        <v>980613.88775716058</v>
      </c>
      <c r="E12" s="66">
        <f t="shared" si="1"/>
        <v>980613.88775716058</v>
      </c>
    </row>
    <row r="13" spans="1:5">
      <c r="A13" s="40">
        <v>4</v>
      </c>
      <c r="B13" s="92">
        <v>0.1109999773697655</v>
      </c>
      <c r="C13" s="64">
        <f t="shared" si="0"/>
        <v>956094.53107524454</v>
      </c>
      <c r="E13" s="66">
        <f t="shared" si="1"/>
        <v>956094.53107524454</v>
      </c>
    </row>
    <row r="14" spans="1:5">
      <c r="A14" s="40">
        <v>5</v>
      </c>
      <c r="B14" s="92">
        <v>0.10823597795812381</v>
      </c>
      <c r="C14" s="64">
        <f t="shared" si="0"/>
        <v>932286.91611904884</v>
      </c>
      <c r="E14" s="66">
        <f t="shared" si="1"/>
        <v>932286.91611904884</v>
      </c>
    </row>
    <row r="15" spans="1:5">
      <c r="A15" s="40">
        <v>6</v>
      </c>
      <c r="B15" s="92">
        <v>0.1055485175934892</v>
      </c>
      <c r="C15" s="64">
        <f t="shared" si="0"/>
        <v>909138.56764192099</v>
      </c>
      <c r="E15" s="66">
        <f t="shared" si="1"/>
        <v>909138.56764192099</v>
      </c>
    </row>
    <row r="16" spans="1:5">
      <c r="A16" s="40">
        <v>7</v>
      </c>
      <c r="B16" s="92">
        <v>0.10293184726672548</v>
      </c>
      <c r="C16" s="64">
        <f t="shared" si="0"/>
        <v>886599.96674913284</v>
      </c>
      <c r="E16" s="66">
        <f t="shared" si="1"/>
        <v>886599.96674913284</v>
      </c>
    </row>
    <row r="17" spans="1:5">
      <c r="A17" s="40">
        <v>8</v>
      </c>
      <c r="B17" s="92">
        <v>0.10038064699922908</v>
      </c>
      <c r="C17" s="64">
        <f t="shared" si="0"/>
        <v>864625.28998586175</v>
      </c>
      <c r="E17" s="66">
        <f t="shared" si="1"/>
        <v>864625.28998586175</v>
      </c>
    </row>
    <row r="18" spans="1:5">
      <c r="A18" s="40">
        <v>9</v>
      </c>
      <c r="B18" s="92">
        <v>9.7866257551425556E-2</v>
      </c>
      <c r="C18" s="64">
        <f t="shared" si="0"/>
        <v>842967.68196644727</v>
      </c>
      <c r="E18" s="66">
        <f t="shared" si="1"/>
        <v>842967.68196644727</v>
      </c>
    </row>
    <row r="19" spans="1:5">
      <c r="A19" s="40">
        <v>10</v>
      </c>
      <c r="B19" s="92">
        <v>9.535718808222568E-2</v>
      </c>
      <c r="C19" s="64">
        <f t="shared" si="0"/>
        <v>821355.89740185614</v>
      </c>
      <c r="E19" s="66">
        <f t="shared" si="1"/>
        <v>821355.89740185614</v>
      </c>
    </row>
    <row r="20" spans="1:5">
      <c r="A20" s="40">
        <v>11</v>
      </c>
      <c r="B20" s="92">
        <v>9.284811861302579E-2</v>
      </c>
      <c r="C20" s="64">
        <f t="shared" si="0"/>
        <v>799744.11283726478</v>
      </c>
      <c r="E20" s="66">
        <f t="shared" si="1"/>
        <v>799744.11283726478</v>
      </c>
    </row>
    <row r="21" spans="1:5">
      <c r="A21" s="40">
        <v>12</v>
      </c>
      <c r="B21" s="92">
        <v>9.0339049143825914E-2</v>
      </c>
      <c r="C21" s="64">
        <f t="shared" si="0"/>
        <v>778132.32827267365</v>
      </c>
      <c r="E21" s="66">
        <f t="shared" si="1"/>
        <v>778132.32827267365</v>
      </c>
    </row>
    <row r="22" spans="1:5">
      <c r="A22" s="40">
        <v>13</v>
      </c>
      <c r="B22" s="92">
        <v>8.782997967462601E-2</v>
      </c>
      <c r="C22" s="64">
        <f t="shared" si="0"/>
        <v>756520.54370808217</v>
      </c>
      <c r="E22" s="66">
        <f t="shared" si="1"/>
        <v>756520.54370808217</v>
      </c>
    </row>
    <row r="23" spans="1:5">
      <c r="A23" s="40">
        <v>14</v>
      </c>
      <c r="B23" s="92">
        <v>8.5320910205426134E-2</v>
      </c>
      <c r="C23" s="64">
        <f t="shared" si="0"/>
        <v>734908.75914349104</v>
      </c>
      <c r="E23" s="66">
        <f t="shared" si="1"/>
        <v>734908.75914349104</v>
      </c>
    </row>
    <row r="24" spans="1:5">
      <c r="A24" s="40">
        <v>15</v>
      </c>
      <c r="B24" s="92">
        <v>8.2811840736226244E-2</v>
      </c>
      <c r="C24" s="64">
        <f t="shared" si="0"/>
        <v>713296.97457889968</v>
      </c>
      <c r="E24" s="66">
        <f t="shared" si="1"/>
        <v>713296.97457889968</v>
      </c>
    </row>
    <row r="25" spans="1:5">
      <c r="A25" s="40">
        <v>16</v>
      </c>
      <c r="B25" s="92">
        <v>8.0302771267026368E-2</v>
      </c>
      <c r="C25" s="64">
        <f t="shared" si="0"/>
        <v>691685.19001430855</v>
      </c>
      <c r="E25" s="66">
        <f t="shared" si="1"/>
        <v>691685.19001430855</v>
      </c>
    </row>
    <row r="26" spans="1:5">
      <c r="A26" s="40">
        <v>17</v>
      </c>
      <c r="B26" s="92">
        <v>7.7793701797826478E-2</v>
      </c>
      <c r="C26" s="64">
        <f t="shared" si="0"/>
        <v>670073.40544971719</v>
      </c>
      <c r="E26" s="66">
        <f t="shared" si="1"/>
        <v>670073.40544971719</v>
      </c>
    </row>
    <row r="27" spans="1:5">
      <c r="A27" s="40">
        <v>18</v>
      </c>
      <c r="B27" s="92">
        <v>7.5284632328626588E-2</v>
      </c>
      <c r="C27" s="64">
        <f t="shared" si="0"/>
        <v>648461.62088512594</v>
      </c>
      <c r="E27" s="66">
        <f t="shared" si="1"/>
        <v>648461.62088512594</v>
      </c>
    </row>
    <row r="28" spans="1:5">
      <c r="A28" s="40">
        <v>19</v>
      </c>
      <c r="B28" s="92">
        <v>7.2775562859426671E-2</v>
      </c>
      <c r="C28" s="64">
        <f t="shared" si="0"/>
        <v>626849.83632053446</v>
      </c>
      <c r="E28" s="66">
        <f t="shared" si="1"/>
        <v>626849.83632053446</v>
      </c>
    </row>
    <row r="29" spans="1:5">
      <c r="A29" s="40">
        <v>20</v>
      </c>
      <c r="B29" s="92">
        <v>7.0266493390226822E-2</v>
      </c>
      <c r="C29" s="64">
        <f t="shared" si="0"/>
        <v>605238.05175594345</v>
      </c>
      <c r="E29" s="66">
        <f t="shared" si="1"/>
        <v>605238.05175594345</v>
      </c>
    </row>
    <row r="30" spans="1:5">
      <c r="A30" s="40">
        <v>21</v>
      </c>
      <c r="B30" s="92">
        <v>6.7948943150757696E-2</v>
      </c>
      <c r="C30" s="64">
        <f t="shared" si="0"/>
        <v>585275.91156498424</v>
      </c>
      <c r="E30" s="66">
        <f t="shared" si="1"/>
        <v>585275.91156498424</v>
      </c>
    </row>
    <row r="31" spans="1:5">
      <c r="A31" s="40">
        <v>22</v>
      </c>
      <c r="B31" s="92">
        <v>6.601417395243056E-2</v>
      </c>
      <c r="C31" s="64">
        <f t="shared" si="0"/>
        <v>568610.84285734629</v>
      </c>
      <c r="E31" s="66">
        <f t="shared" si="1"/>
        <v>568610.84285734629</v>
      </c>
    </row>
    <row r="32" spans="1:5">
      <c r="A32" s="40">
        <v>23</v>
      </c>
      <c r="B32" s="92">
        <v>6.4270666565514709E-2</v>
      </c>
      <c r="C32" s="64">
        <f t="shared" si="0"/>
        <v>553593.20125939767</v>
      </c>
      <c r="E32" s="66">
        <f t="shared" si="1"/>
        <v>553593.20125939767</v>
      </c>
    </row>
    <row r="33" spans="1:5">
      <c r="A33" s="40">
        <v>24</v>
      </c>
      <c r="B33" s="92">
        <v>6.2527159178598815E-2</v>
      </c>
      <c r="C33" s="64">
        <f t="shared" si="0"/>
        <v>538575.55966144882</v>
      </c>
      <c r="E33" s="66">
        <f t="shared" si="1"/>
        <v>538575.55966144882</v>
      </c>
    </row>
    <row r="34" spans="1:5">
      <c r="A34" s="40">
        <v>25</v>
      </c>
      <c r="B34" s="92">
        <v>6.0783651791682949E-2</v>
      </c>
      <c r="C34" s="64">
        <f t="shared" si="0"/>
        <v>523557.91806350014</v>
      </c>
      <c r="E34" s="66">
        <f t="shared" si="1"/>
        <v>523557.91806350014</v>
      </c>
    </row>
    <row r="35" spans="1:5">
      <c r="A35" s="40">
        <v>26</v>
      </c>
      <c r="B35" s="92">
        <v>5.904014440476707E-2</v>
      </c>
      <c r="C35" s="64">
        <f t="shared" si="0"/>
        <v>508540.2764655514</v>
      </c>
      <c r="E35" s="66">
        <f t="shared" si="1"/>
        <v>508540.2764655514</v>
      </c>
    </row>
    <row r="36" spans="1:5">
      <c r="A36" s="40">
        <v>27</v>
      </c>
      <c r="B36" s="92">
        <v>5.7296637017851204E-2</v>
      </c>
      <c r="C36" s="64">
        <f t="shared" si="0"/>
        <v>493522.63486760273</v>
      </c>
      <c r="E36" s="66">
        <f t="shared" si="1"/>
        <v>493522.63486760273</v>
      </c>
    </row>
    <row r="37" spans="1:5">
      <c r="A37" s="40">
        <v>28</v>
      </c>
      <c r="B37" s="92">
        <v>5.5553129630935318E-2</v>
      </c>
      <c r="C37" s="64">
        <f t="shared" si="0"/>
        <v>478504.99326965393</v>
      </c>
      <c r="E37" s="66">
        <f t="shared" si="1"/>
        <v>478504.99326965393</v>
      </c>
    </row>
    <row r="38" spans="1:5">
      <c r="A38" s="40">
        <v>29</v>
      </c>
      <c r="B38" s="92">
        <v>5.3809622244019452E-2</v>
      </c>
      <c r="C38" s="64">
        <f t="shared" si="0"/>
        <v>463487.35167170526</v>
      </c>
      <c r="E38" s="66">
        <f t="shared" si="1"/>
        <v>463487.35167170526</v>
      </c>
    </row>
    <row r="39" spans="1:5">
      <c r="A39" s="40">
        <v>30</v>
      </c>
      <c r="B39" s="92">
        <v>5.2066114857103579E-2</v>
      </c>
      <c r="C39" s="64">
        <f t="shared" si="0"/>
        <v>448469.71007375652</v>
      </c>
      <c r="E39" s="66">
        <f t="shared" si="1"/>
        <v>448469.71007375652</v>
      </c>
    </row>
    <row r="40" spans="1:5">
      <c r="A40" s="40">
        <v>31</v>
      </c>
      <c r="B40" s="92">
        <v>5.0322607470187693E-2</v>
      </c>
      <c r="C40" s="64">
        <f t="shared" si="0"/>
        <v>433452.06847580773</v>
      </c>
      <c r="E40" s="66">
        <f t="shared" si="1"/>
        <v>433452.06847580773</v>
      </c>
    </row>
    <row r="41" spans="1:5">
      <c r="A41" s="40">
        <v>32</v>
      </c>
      <c r="B41" s="92">
        <v>4.8579100083271827E-2</v>
      </c>
      <c r="C41" s="64">
        <f t="shared" si="0"/>
        <v>418434.42687785905</v>
      </c>
      <c r="E41" s="66">
        <f t="shared" si="1"/>
        <v>418434.42687785905</v>
      </c>
    </row>
    <row r="42" spans="1:5">
      <c r="A42" s="40">
        <v>33</v>
      </c>
      <c r="B42" s="92">
        <v>4.6835592696355947E-2</v>
      </c>
      <c r="C42" s="64">
        <f t="shared" si="0"/>
        <v>403416.78527991025</v>
      </c>
      <c r="E42" s="66">
        <f t="shared" si="1"/>
        <v>403416.78527991025</v>
      </c>
    </row>
    <row r="43" spans="1:5">
      <c r="A43" s="40">
        <v>34</v>
      </c>
      <c r="B43" s="92">
        <v>4.5092085309440061E-2</v>
      </c>
      <c r="C43" s="64">
        <f t="shared" si="0"/>
        <v>388399.14368196146</v>
      </c>
      <c r="E43" s="66">
        <f t="shared" si="1"/>
        <v>388399.14368196146</v>
      </c>
    </row>
    <row r="44" spans="1:5">
      <c r="A44" s="40">
        <v>35</v>
      </c>
      <c r="B44" s="92">
        <v>4.3348577922524202E-2</v>
      </c>
      <c r="C44" s="64">
        <f t="shared" si="0"/>
        <v>373381.50208401284</v>
      </c>
      <c r="E44" s="66">
        <f t="shared" si="1"/>
        <v>373381.50208401284</v>
      </c>
    </row>
    <row r="45" spans="1:5">
      <c r="A45" s="40">
        <v>36</v>
      </c>
      <c r="B45" s="92">
        <v>4.1605070535608316E-2</v>
      </c>
      <c r="C45" s="64">
        <f t="shared" si="0"/>
        <v>358363.86048606399</v>
      </c>
      <c r="E45" s="66">
        <f t="shared" si="1"/>
        <v>358363.86048606399</v>
      </c>
    </row>
    <row r="46" spans="1:5">
      <c r="A46" s="40">
        <v>37</v>
      </c>
      <c r="B46" s="92">
        <v>3.9861563148692436E-2</v>
      </c>
      <c r="C46" s="64">
        <f t="shared" si="0"/>
        <v>343346.21888811525</v>
      </c>
      <c r="E46" s="66">
        <f t="shared" si="1"/>
        <v>343346.21888811525</v>
      </c>
    </row>
    <row r="47" spans="1:5">
      <c r="A47" s="40">
        <v>38</v>
      </c>
      <c r="B47" s="92">
        <v>3.811805576177657E-2</v>
      </c>
      <c r="C47" s="64">
        <f t="shared" si="0"/>
        <v>328328.57729016658</v>
      </c>
      <c r="E47" s="66">
        <f t="shared" si="1"/>
        <v>328328.57729016658</v>
      </c>
    </row>
    <row r="48" spans="1:5">
      <c r="A48" s="40">
        <v>39</v>
      </c>
      <c r="B48" s="92">
        <v>3.6374548374860684E-2</v>
      </c>
      <c r="C48" s="64">
        <f t="shared" si="0"/>
        <v>313310.93569221778</v>
      </c>
      <c r="E48" s="66">
        <f t="shared" si="1"/>
        <v>313310.93569221778</v>
      </c>
    </row>
    <row r="49" spans="1:5">
      <c r="A49" s="40">
        <v>40</v>
      </c>
      <c r="B49" s="92">
        <v>3.4631040987944818E-2</v>
      </c>
      <c r="C49" s="64">
        <f t="shared" si="0"/>
        <v>298293.29409426911</v>
      </c>
      <c r="E49" s="66">
        <f t="shared" si="1"/>
        <v>298293.29409426911</v>
      </c>
    </row>
    <row r="50" spans="1:5">
      <c r="A50" s="40">
        <v>41</v>
      </c>
      <c r="B50" s="92">
        <v>3.2887533601028938E-2</v>
      </c>
      <c r="C50" s="64">
        <f t="shared" si="0"/>
        <v>283275.65249632031</v>
      </c>
      <c r="E50" s="66">
        <f t="shared" si="1"/>
        <v>283275.65249632031</v>
      </c>
    </row>
    <row r="51" spans="1:5">
      <c r="A51" s="40">
        <v>42</v>
      </c>
      <c r="B51" s="92">
        <v>3.1144026214113062E-2</v>
      </c>
      <c r="C51" s="64">
        <f t="shared" si="0"/>
        <v>268258.01089837158</v>
      </c>
      <c r="E51" s="66">
        <f t="shared" si="1"/>
        <v>268258.01089837158</v>
      </c>
    </row>
    <row r="52" spans="1:5">
      <c r="A52" s="40">
        <v>43</v>
      </c>
      <c r="B52" s="92">
        <v>2.9400518827197186E-2</v>
      </c>
      <c r="C52" s="64">
        <f t="shared" si="0"/>
        <v>253240.36930042284</v>
      </c>
      <c r="E52" s="66">
        <f t="shared" si="1"/>
        <v>253240.36930042284</v>
      </c>
    </row>
    <row r="53" spans="1:5">
      <c r="A53" s="40">
        <v>44</v>
      </c>
      <c r="B53" s="92">
        <v>2.7657011440281317E-2</v>
      </c>
      <c r="C53" s="64">
        <f t="shared" si="0"/>
        <v>238222.72770247416</v>
      </c>
      <c r="E53" s="66">
        <f t="shared" si="1"/>
        <v>238222.72770247416</v>
      </c>
    </row>
    <row r="54" spans="1:5">
      <c r="A54" s="40">
        <v>45</v>
      </c>
      <c r="B54" s="92">
        <v>2.5913504053365437E-2</v>
      </c>
      <c r="C54" s="64">
        <f t="shared" si="0"/>
        <v>223205.08610452537</v>
      </c>
      <c r="E54" s="66">
        <f t="shared" si="1"/>
        <v>223205.08610452537</v>
      </c>
    </row>
    <row r="55" spans="1:5">
      <c r="A55" s="40">
        <v>46</v>
      </c>
      <c r="B55" s="92">
        <v>2.4169996666449558E-2</v>
      </c>
      <c r="C55" s="64">
        <f t="shared" si="0"/>
        <v>208187.4445065766</v>
      </c>
      <c r="E55" s="66">
        <f t="shared" si="1"/>
        <v>208187.4445065766</v>
      </c>
    </row>
    <row r="56" spans="1:5">
      <c r="A56" s="40">
        <v>47</v>
      </c>
      <c r="B56" s="92">
        <v>2.2426489279533685E-2</v>
      </c>
      <c r="C56" s="64">
        <f t="shared" si="0"/>
        <v>193169.8029086279</v>
      </c>
      <c r="E56" s="66">
        <f t="shared" si="1"/>
        <v>193169.8029086279</v>
      </c>
    </row>
    <row r="57" spans="1:5">
      <c r="A57" s="40">
        <v>48</v>
      </c>
      <c r="B57" s="92">
        <v>2.0682981892617813E-2</v>
      </c>
      <c r="C57" s="64">
        <f t="shared" si="0"/>
        <v>178152.16131067919</v>
      </c>
      <c r="E57" s="66">
        <f t="shared" si="1"/>
        <v>178152.16131067919</v>
      </c>
    </row>
    <row r="58" spans="1:5">
      <c r="A58" s="40">
        <v>49</v>
      </c>
      <c r="B58" s="92">
        <v>1.8939474505701936E-2</v>
      </c>
      <c r="C58" s="64">
        <f t="shared" si="0"/>
        <v>163134.51971273043</v>
      </c>
      <c r="E58" s="66">
        <f t="shared" si="1"/>
        <v>163134.51971273043</v>
      </c>
    </row>
    <row r="59" spans="1:5">
      <c r="A59" s="40">
        <v>50</v>
      </c>
      <c r="B59" s="68">
        <v>1.7195967118786064E-2</v>
      </c>
      <c r="C59" s="64">
        <f t="shared" si="0"/>
        <v>148116.87811478172</v>
      </c>
      <c r="E59" s="66">
        <f t="shared" si="1"/>
        <v>148116.87811478172</v>
      </c>
    </row>
    <row r="60" spans="1:5">
      <c r="A60" s="40">
        <v>51</v>
      </c>
      <c r="B60" s="68">
        <v>1.5452459731870186E-2</v>
      </c>
      <c r="C60" s="64">
        <f t="shared" si="0"/>
        <v>133099.23651683296</v>
      </c>
      <c r="E60" s="66">
        <f t="shared" si="1"/>
        <v>133099.23651683296</v>
      </c>
    </row>
    <row r="61" spans="1:5">
      <c r="B61" s="40">
        <v>1.1344195972042722E-16</v>
      </c>
    </row>
    <row r="62" spans="1:5">
      <c r="B62" s="40">
        <v>1.1344195972042722E-16</v>
      </c>
    </row>
    <row r="63" spans="1:5">
      <c r="B63" s="40">
        <v>1.1344195972042722E-16</v>
      </c>
    </row>
    <row r="64" spans="1:5">
      <c r="B64" s="40">
        <v>1.1344195972042722E-16</v>
      </c>
    </row>
    <row r="65" spans="2:2">
      <c r="B65" s="40">
        <v>1.1344195972042722E-16</v>
      </c>
    </row>
    <row r="66" spans="2:2">
      <c r="B66" s="40">
        <v>1.1344195972042722E-16</v>
      </c>
    </row>
    <row r="67" spans="2:2">
      <c r="B67" s="40">
        <v>1.1344195972042722E-16</v>
      </c>
    </row>
    <row r="68" spans="2:2">
      <c r="B68" s="40">
        <v>1.1344195972042722E-16</v>
      </c>
    </row>
    <row r="69" spans="2:2">
      <c r="B69" s="40">
        <v>1.1344195972042722E-16</v>
      </c>
    </row>
    <row r="70" spans="2:2">
      <c r="B70" s="40">
        <v>1.1344195972042722E-16</v>
      </c>
    </row>
    <row r="71" spans="2:2">
      <c r="B71" s="40">
        <v>1.1344195972042722E-16</v>
      </c>
    </row>
    <row r="72" spans="2:2">
      <c r="B72" s="40">
        <v>1.1344195972042722E-16</v>
      </c>
    </row>
    <row r="73" spans="2:2">
      <c r="B73" s="40">
        <v>1.1344195972042722E-16</v>
      </c>
    </row>
    <row r="74" spans="2:2">
      <c r="B74" s="40">
        <v>1.1344195972042722E-16</v>
      </c>
    </row>
    <row r="75" spans="2:2">
      <c r="B75" s="40">
        <v>1.1344195972042722E-16</v>
      </c>
    </row>
    <row r="76" spans="2:2">
      <c r="B76" s="40">
        <v>1.1344195972042722E-16</v>
      </c>
    </row>
    <row r="77" spans="2:2">
      <c r="B77" s="40">
        <v>1.1344195972042722E-16</v>
      </c>
    </row>
    <row r="78" spans="2:2">
      <c r="B78" s="40">
        <v>1.1344195972042722E-16</v>
      </c>
    </row>
    <row r="79" spans="2:2">
      <c r="B79" s="40">
        <v>1.1344195972042722E-16</v>
      </c>
    </row>
    <row r="80" spans="2:2">
      <c r="B80" s="40">
        <v>1.1344195972042722E-16</v>
      </c>
    </row>
    <row r="81" spans="2:2">
      <c r="B81" s="40">
        <v>1.1344195972042722E-16</v>
      </c>
    </row>
    <row r="82" spans="2:2">
      <c r="B82" s="40">
        <v>1.1344195972042722E-16</v>
      </c>
    </row>
    <row r="83" spans="2:2">
      <c r="B83" s="40">
        <v>1.1344195972042722E-16</v>
      </c>
    </row>
    <row r="84" spans="2:2">
      <c r="B84" s="40">
        <v>1.1344195972042722E-16</v>
      </c>
    </row>
    <row r="85" spans="2:2">
      <c r="B85" s="40">
        <v>1.1344195972042722E-16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J16"/>
  <sheetViews>
    <sheetView workbookViewId="0">
      <selection activeCell="B4" sqref="B4"/>
    </sheetView>
  </sheetViews>
  <sheetFormatPr defaultRowHeight="14.25"/>
  <sheetData>
    <row r="3" spans="1:10" ht="28.5">
      <c r="A3" s="2" t="s">
        <v>0</v>
      </c>
      <c r="B3" s="1" t="s">
        <v>57</v>
      </c>
      <c r="C3" s="6" t="s">
        <v>58</v>
      </c>
      <c r="D3" s="6" t="s">
        <v>24</v>
      </c>
      <c r="E3" s="6" t="s">
        <v>25</v>
      </c>
      <c r="F3" s="6" t="s">
        <v>26</v>
      </c>
      <c r="G3" s="6" t="s">
        <v>27</v>
      </c>
      <c r="H3" s="6" t="s">
        <v>28</v>
      </c>
      <c r="I3" s="6" t="s">
        <v>29</v>
      </c>
      <c r="J3" s="6" t="s">
        <v>32</v>
      </c>
    </row>
    <row r="4" spans="1:10">
      <c r="A4" s="2" t="s">
        <v>3</v>
      </c>
      <c r="B4" s="22">
        <v>576.22227495117113</v>
      </c>
      <c r="C4" s="3">
        <v>1632.1182315036713</v>
      </c>
      <c r="D4" s="3">
        <v>1902.9540432683425</v>
      </c>
      <c r="E4" s="3">
        <v>240.43895487775444</v>
      </c>
      <c r="F4" s="3">
        <v>1336.9145778310776</v>
      </c>
      <c r="G4" s="3">
        <v>1321.887818836316</v>
      </c>
      <c r="H4" s="3">
        <v>644.53747056936845</v>
      </c>
      <c r="I4" s="3">
        <v>492.31035378162051</v>
      </c>
      <c r="J4" s="3">
        <v>-59.97393078377354</v>
      </c>
    </row>
    <row r="5" spans="1:10">
      <c r="A5" s="2" t="s">
        <v>4</v>
      </c>
      <c r="B5" s="22">
        <v>623.94530679173477</v>
      </c>
      <c r="C5" s="3">
        <v>1521.3557917627913</v>
      </c>
      <c r="D5" s="3">
        <v>1168.3115846284491</v>
      </c>
      <c r="E5" s="3">
        <v>122.62780811835546</v>
      </c>
      <c r="F5" s="3">
        <v>1792.8488044308615</v>
      </c>
      <c r="G5" s="3">
        <v>1439.3159680708195</v>
      </c>
      <c r="H5" s="3">
        <v>505.4797057977994</v>
      </c>
      <c r="I5" s="3">
        <v>561.08158215606818</v>
      </c>
      <c r="J5" s="3">
        <v>232.4122722207685</v>
      </c>
    </row>
    <row r="6" spans="1:10">
      <c r="A6" s="2" t="s">
        <v>5</v>
      </c>
      <c r="B6" s="22">
        <v>708.86911935165699</v>
      </c>
      <c r="C6" s="3">
        <v>2173.2791087117657</v>
      </c>
      <c r="D6" s="3">
        <v>3239.280893238174</v>
      </c>
      <c r="E6" s="3">
        <v>-295.41049260867294</v>
      </c>
      <c r="F6" s="3">
        <v>1881.5906501804711</v>
      </c>
      <c r="G6" s="3">
        <v>1185.893769421411</v>
      </c>
      <c r="H6" s="3">
        <v>772.64921021729242</v>
      </c>
      <c r="I6" s="3">
        <v>688.12853116853512</v>
      </c>
      <c r="J6" s="3">
        <v>72.732453119475394</v>
      </c>
    </row>
    <row r="7" spans="1:10">
      <c r="A7" s="2" t="s">
        <v>6</v>
      </c>
      <c r="B7" s="22">
        <v>1056.934155157709</v>
      </c>
      <c r="C7" s="3">
        <v>2427.286697282776</v>
      </c>
      <c r="D7" s="3">
        <v>423.48467321309727</v>
      </c>
      <c r="E7" s="3">
        <v>1229.7618994131044</v>
      </c>
      <c r="F7" s="3">
        <v>2073.4383354295569</v>
      </c>
      <c r="G7" s="3">
        <v>1882.3837002491637</v>
      </c>
      <c r="H7" s="3">
        <v>1338.2917695611832</v>
      </c>
      <c r="I7" s="3">
        <v>823.48851475428091</v>
      </c>
      <c r="J7" s="3">
        <v>844.64003268507076</v>
      </c>
    </row>
    <row r="8" spans="1:10">
      <c r="A8" s="2" t="s">
        <v>1</v>
      </c>
      <c r="B8" s="22">
        <v>1025.4035314795183</v>
      </c>
      <c r="C8" s="3">
        <v>2687.4402583640913</v>
      </c>
      <c r="D8" s="3">
        <v>-6081.0480835072231</v>
      </c>
      <c r="E8" s="3">
        <v>10135.154191265814</v>
      </c>
      <c r="F8" s="3">
        <v>2236.6781709617353</v>
      </c>
      <c r="G8" s="3">
        <v>2538.8657364761457</v>
      </c>
      <c r="H8" s="3">
        <v>3457.9551225492032</v>
      </c>
      <c r="I8" s="3">
        <v>772.58786542556481</v>
      </c>
      <c r="J8" s="3">
        <v>2681.12198853161</v>
      </c>
    </row>
    <row r="9" spans="1:10">
      <c r="A9" s="2" t="s">
        <v>7</v>
      </c>
      <c r="B9" s="22">
        <v>697.6016988416377</v>
      </c>
      <c r="C9" s="3">
        <v>2017.2538436249306</v>
      </c>
      <c r="D9" s="3">
        <v>41993.766463454405</v>
      </c>
      <c r="E9" s="3">
        <v>13446.739124902699</v>
      </c>
      <c r="F9" s="3">
        <v>2020.2241806539241</v>
      </c>
      <c r="G9" s="3">
        <v>4520.3456509993412</v>
      </c>
      <c r="H9" s="3">
        <v>2537.461743790831</v>
      </c>
      <c r="I9" s="3">
        <v>594.59637487737928</v>
      </c>
      <c r="J9" s="3">
        <v>6444.537562935031</v>
      </c>
    </row>
    <row r="10" spans="1:10">
      <c r="A10" s="2" t="s">
        <v>8</v>
      </c>
      <c r="B10" s="22">
        <v>-14.291806944929704</v>
      </c>
      <c r="C10" s="3">
        <v>518.4768878257164</v>
      </c>
      <c r="D10" s="3">
        <v>-4813.1278121535433</v>
      </c>
      <c r="E10" s="3">
        <v>3311.0559373944998</v>
      </c>
      <c r="F10" s="3">
        <v>2244.6767807278666</v>
      </c>
      <c r="G10" s="3">
        <v>2414.5009538510931</v>
      </c>
      <c r="H10" s="3">
        <v>1961.5505061592557</v>
      </c>
      <c r="I10" s="3">
        <v>1553.0045380139491</v>
      </c>
      <c r="J10" s="3">
        <v>724.83623377321055</v>
      </c>
    </row>
    <row r="11" spans="1:10">
      <c r="A11" s="2" t="s">
        <v>9</v>
      </c>
      <c r="B11" s="22">
        <v>-12.21411482316762</v>
      </c>
      <c r="C11" s="3">
        <v>-0.30108036930323578</v>
      </c>
      <c r="D11" s="3">
        <v>1963.581131215411</v>
      </c>
      <c r="E11" s="3">
        <v>-228.17493972415105</v>
      </c>
      <c r="F11" s="3">
        <v>2208.429626457626</v>
      </c>
      <c r="G11" s="3">
        <v>354.21950425652904</v>
      </c>
      <c r="H11" s="3">
        <v>744.81620327997371</v>
      </c>
      <c r="I11" s="3">
        <v>365.84180580594693</v>
      </c>
      <c r="J11" s="3">
        <v>1236.4692469852744</v>
      </c>
    </row>
    <row r="12" spans="1:10">
      <c r="A12" s="2" t="s">
        <v>10</v>
      </c>
      <c r="B12" s="22">
        <v>-43.390291554896976</v>
      </c>
      <c r="C12" s="3">
        <v>104.56786307528091</v>
      </c>
      <c r="D12" s="3">
        <v>2150.0863519875711</v>
      </c>
      <c r="E12" s="3">
        <v>289.44106409500819</v>
      </c>
      <c r="F12" s="3">
        <v>1085.2619755452033</v>
      </c>
      <c r="G12" s="3">
        <v>754.39762337791035</v>
      </c>
      <c r="H12" s="3">
        <v>444.64500792951731</v>
      </c>
      <c r="I12" s="3">
        <v>604.17757487595372</v>
      </c>
      <c r="J12" s="3">
        <v>205.55771836647182</v>
      </c>
    </row>
    <row r="13" spans="1:10">
      <c r="A13" s="2" t="s">
        <v>11</v>
      </c>
      <c r="B13" s="22">
        <v>-56.330965457775164</v>
      </c>
      <c r="C13" s="3">
        <v>44.711493149225134</v>
      </c>
      <c r="D13" s="3">
        <v>1353.9557462538942</v>
      </c>
      <c r="E13" s="3">
        <v>53.662903252465185</v>
      </c>
      <c r="F13" s="3">
        <v>1216.158126196533</v>
      </c>
      <c r="G13" s="3">
        <v>1299.9100767062046</v>
      </c>
      <c r="H13" s="3">
        <v>610.10238701206981</v>
      </c>
      <c r="I13" s="3">
        <v>273.32278689305531</v>
      </c>
      <c r="J13" s="3">
        <v>771.72493790352019</v>
      </c>
    </row>
    <row r="14" spans="1:10">
      <c r="A14" s="2" t="s">
        <v>12</v>
      </c>
      <c r="B14" s="22">
        <v>35.109775015553168</v>
      </c>
      <c r="C14" s="3">
        <v>374.67496065946762</v>
      </c>
      <c r="D14" s="3">
        <v>1862.53208728545</v>
      </c>
      <c r="E14" s="3">
        <v>401.45465014321962</v>
      </c>
      <c r="F14" s="3">
        <v>1683.0341511581501</v>
      </c>
      <c r="G14" s="3">
        <v>1234.619137626054</v>
      </c>
      <c r="H14" s="3">
        <v>754.56765891422401</v>
      </c>
      <c r="I14" s="3">
        <v>400.59330395335564</v>
      </c>
      <c r="J14" s="3">
        <v>-651.44616795019829</v>
      </c>
    </row>
    <row r="15" spans="1:10">
      <c r="A15" s="2" t="s">
        <v>13</v>
      </c>
      <c r="B15" s="22">
        <v>264.18480321702373</v>
      </c>
      <c r="C15" s="3">
        <v>696.56156413567078</v>
      </c>
      <c r="D15" s="3">
        <v>643.74071442204877</v>
      </c>
      <c r="E15" s="3">
        <v>301.53351881733397</v>
      </c>
      <c r="F15" s="3">
        <v>737.5035096188949</v>
      </c>
      <c r="G15" s="3">
        <v>2488.3751679311681</v>
      </c>
      <c r="H15" s="3">
        <v>756.5361562872713</v>
      </c>
      <c r="I15" s="3">
        <v>580.20071106575779</v>
      </c>
      <c r="J15" s="3">
        <v>-478.69238008186221</v>
      </c>
    </row>
    <row r="16" spans="1:10">
      <c r="A16" s="2" t="s">
        <v>14</v>
      </c>
      <c r="B16" s="3">
        <f>SUM(B4:B15)</f>
        <v>4862.0434860252353</v>
      </c>
      <c r="C16" s="3">
        <f t="shared" ref="C16:J16" si="0">SUM(C4:C15)</f>
        <v>14197.425619726084</v>
      </c>
      <c r="D16" s="3">
        <f t="shared" si="0"/>
        <v>45807.517793306077</v>
      </c>
      <c r="E16" s="3">
        <f t="shared" si="0"/>
        <v>29008.28461994743</v>
      </c>
      <c r="F16" s="3">
        <f t="shared" si="0"/>
        <v>20516.7588891919</v>
      </c>
      <c r="G16" s="3">
        <f t="shared" si="0"/>
        <v>21434.715107802156</v>
      </c>
      <c r="H16" s="3">
        <f t="shared" si="0"/>
        <v>14528.592942067989</v>
      </c>
      <c r="I16" s="3">
        <f t="shared" si="0"/>
        <v>7709.3339427714673</v>
      </c>
      <c r="J16" s="3">
        <f t="shared" si="0"/>
        <v>12023.919967704598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E85"/>
  <sheetViews>
    <sheetView workbookViewId="0">
      <selection activeCell="B4" sqref="B4"/>
    </sheetView>
  </sheetViews>
  <sheetFormatPr defaultRowHeight="12.75"/>
  <cols>
    <col min="1" max="1" width="16" style="40" bestFit="1" customWidth="1"/>
    <col min="2" max="2" width="10.25" style="40" bestFit="1" customWidth="1"/>
    <col min="3" max="3" width="11.125" style="40" bestFit="1" customWidth="1"/>
    <col min="4" max="4" width="14.25" style="40" customWidth="1"/>
    <col min="5" max="5" width="10.25" style="40" bestFit="1" customWidth="1"/>
    <col min="6" max="16384" width="9" style="40"/>
  </cols>
  <sheetData>
    <row r="1" spans="1:5">
      <c r="A1" s="40" t="s">
        <v>33</v>
      </c>
    </row>
    <row r="3" spans="1:5">
      <c r="A3" s="40" t="s">
        <v>188</v>
      </c>
      <c r="B3" s="89">
        <v>7810681</v>
      </c>
    </row>
    <row r="4" spans="1:5">
      <c r="A4" s="40" t="s">
        <v>89</v>
      </c>
      <c r="B4" s="90">
        <v>7.2442999999999994E-2</v>
      </c>
    </row>
    <row r="5" spans="1:5">
      <c r="D5" s="40" t="s">
        <v>191</v>
      </c>
      <c r="E5" s="91">
        <f>-PMT($B$4,30,NPV($B$4,E10:E39))</f>
        <v>737375.66412072093</v>
      </c>
    </row>
    <row r="6" spans="1:5">
      <c r="D6" s="40" t="s">
        <v>190</v>
      </c>
      <c r="E6" s="64">
        <f>'Hydro Energy'!J16</f>
        <v>12023.919967704598</v>
      </c>
    </row>
    <row r="7" spans="1:5">
      <c r="D7" s="40" t="s">
        <v>15</v>
      </c>
      <c r="E7" s="81">
        <f>E5/E6</f>
        <v>61.325729554193643</v>
      </c>
    </row>
    <row r="9" spans="1:5" s="67" customFormat="1" ht="38.25">
      <c r="A9" s="67" t="s">
        <v>35</v>
      </c>
      <c r="B9" s="67" t="s">
        <v>186</v>
      </c>
      <c r="C9" s="67" t="s">
        <v>187</v>
      </c>
      <c r="D9" s="67" t="s">
        <v>189</v>
      </c>
      <c r="E9" s="67" t="s">
        <v>34</v>
      </c>
    </row>
    <row r="10" spans="1:5">
      <c r="A10" s="40">
        <v>1</v>
      </c>
      <c r="B10" s="92">
        <v>0.11204736749597402</v>
      </c>
      <c r="C10" s="64">
        <f>B10*$B$3</f>
        <v>875166.24440082186</v>
      </c>
      <c r="E10" s="66">
        <f>SUM(C10:D10)</f>
        <v>875166.24440082186</v>
      </c>
    </row>
    <row r="11" spans="1:5">
      <c r="A11" s="40">
        <v>2</v>
      </c>
      <c r="B11" s="92">
        <v>0.11011496693337525</v>
      </c>
      <c r="C11" s="64">
        <f t="shared" ref="C11:C60" si="0">B11*$B$3</f>
        <v>860072.88004214235</v>
      </c>
      <c r="E11" s="66">
        <f t="shared" ref="E11:E60" si="1">SUM(C11:D11)</f>
        <v>860072.88004214235</v>
      </c>
    </row>
    <row r="12" spans="1:5">
      <c r="A12" s="40">
        <v>3</v>
      </c>
      <c r="B12" s="92">
        <v>0.10793287190820941</v>
      </c>
      <c r="C12" s="64">
        <f t="shared" si="0"/>
        <v>843029.23188888503</v>
      </c>
      <c r="E12" s="66">
        <f t="shared" si="1"/>
        <v>843029.23188888503</v>
      </c>
    </row>
    <row r="13" spans="1:5">
      <c r="A13" s="40">
        <v>4</v>
      </c>
      <c r="B13" s="92">
        <v>0.10583955145118989</v>
      </c>
      <c r="C13" s="64">
        <f t="shared" si="0"/>
        <v>826678.97356833133</v>
      </c>
      <c r="E13" s="66">
        <f t="shared" si="1"/>
        <v>826678.97356833133</v>
      </c>
    </row>
    <row r="14" spans="1:5">
      <c r="A14" s="40">
        <v>5</v>
      </c>
      <c r="B14" s="92">
        <v>0.10382835386556791</v>
      </c>
      <c r="C14" s="64">
        <f t="shared" si="0"/>
        <v>810970.15079906781</v>
      </c>
      <c r="E14" s="66">
        <f t="shared" si="1"/>
        <v>810970.15079906781</v>
      </c>
    </row>
    <row r="15" spans="1:5">
      <c r="A15" s="40">
        <v>6</v>
      </c>
      <c r="B15" s="92">
        <v>0.10189322440173894</v>
      </c>
      <c r="C15" s="64">
        <f t="shared" si="0"/>
        <v>795855.47186339868</v>
      </c>
      <c r="E15" s="66">
        <f t="shared" si="1"/>
        <v>795855.47186339868</v>
      </c>
    </row>
    <row r="16" spans="1:5">
      <c r="A16" s="40">
        <v>7</v>
      </c>
      <c r="B16" s="92">
        <v>0.10002844942275213</v>
      </c>
      <c r="C16" s="64">
        <f t="shared" si="0"/>
        <v>781290.30936575099</v>
      </c>
      <c r="E16" s="66">
        <f t="shared" si="1"/>
        <v>781290.30936575099</v>
      </c>
    </row>
    <row r="17" spans="1:5">
      <c r="A17" s="40">
        <v>8</v>
      </c>
      <c r="B17" s="92">
        <v>9.8228741682473877E-2</v>
      </c>
      <c r="C17" s="64">
        <f t="shared" si="0"/>
        <v>767233.36631320673</v>
      </c>
      <c r="E17" s="66">
        <f t="shared" si="1"/>
        <v>767233.36631320673</v>
      </c>
    </row>
    <row r="18" spans="1:5">
      <c r="A18" s="40">
        <v>9</v>
      </c>
      <c r="B18" s="92">
        <v>9.6465618274313533E-2</v>
      </c>
      <c r="C18" s="64">
        <f t="shared" si="0"/>
        <v>753462.17180843349</v>
      </c>
      <c r="E18" s="66">
        <f t="shared" si="1"/>
        <v>753462.17180843349</v>
      </c>
    </row>
    <row r="19" spans="1:5">
      <c r="A19" s="40">
        <v>10</v>
      </c>
      <c r="B19" s="92">
        <v>9.4707782112286809E-2</v>
      </c>
      <c r="C19" s="64">
        <f t="shared" si="0"/>
        <v>739732.27429657849</v>
      </c>
      <c r="E19" s="66">
        <f t="shared" si="1"/>
        <v>739732.27429657849</v>
      </c>
    </row>
    <row r="20" spans="1:5">
      <c r="A20" s="40">
        <v>11</v>
      </c>
      <c r="B20" s="92">
        <v>9.2949945950260071E-2</v>
      </c>
      <c r="C20" s="64">
        <f t="shared" si="0"/>
        <v>726002.37678472325</v>
      </c>
      <c r="E20" s="66">
        <f t="shared" si="1"/>
        <v>726002.37678472325</v>
      </c>
    </row>
    <row r="21" spans="1:5">
      <c r="A21" s="40">
        <v>12</v>
      </c>
      <c r="B21" s="92">
        <v>9.1192109788233347E-2</v>
      </c>
      <c r="C21" s="64">
        <f t="shared" si="0"/>
        <v>712272.47927286825</v>
      </c>
      <c r="E21" s="66">
        <f t="shared" si="1"/>
        <v>712272.47927286825</v>
      </c>
    </row>
    <row r="22" spans="1:5">
      <c r="A22" s="40">
        <v>13</v>
      </c>
      <c r="B22" s="92">
        <v>8.9434273626206609E-2</v>
      </c>
      <c r="C22" s="64">
        <f t="shared" si="0"/>
        <v>698542.58176101302</v>
      </c>
      <c r="E22" s="66">
        <f t="shared" si="1"/>
        <v>698542.58176101302</v>
      </c>
    </row>
    <row r="23" spans="1:5">
      <c r="A23" s="40">
        <v>14</v>
      </c>
      <c r="B23" s="92">
        <v>8.7676437464179885E-2</v>
      </c>
      <c r="C23" s="64">
        <f t="shared" si="0"/>
        <v>684812.68424915802</v>
      </c>
      <c r="E23" s="66">
        <f t="shared" si="1"/>
        <v>684812.68424915802</v>
      </c>
    </row>
    <row r="24" spans="1:5">
      <c r="A24" s="40">
        <v>15</v>
      </c>
      <c r="B24" s="92">
        <v>8.5918601302153175E-2</v>
      </c>
      <c r="C24" s="64">
        <f t="shared" si="0"/>
        <v>671082.78673730302</v>
      </c>
      <c r="E24" s="66">
        <f t="shared" si="1"/>
        <v>671082.78673730302</v>
      </c>
    </row>
    <row r="25" spans="1:5">
      <c r="A25" s="40">
        <v>16</v>
      </c>
      <c r="B25" s="92">
        <v>8.4160765140126423E-2</v>
      </c>
      <c r="C25" s="64">
        <f t="shared" si="0"/>
        <v>657352.88922544778</v>
      </c>
      <c r="E25" s="66">
        <f t="shared" si="1"/>
        <v>657352.88922544778</v>
      </c>
    </row>
    <row r="26" spans="1:5">
      <c r="A26" s="40">
        <v>17</v>
      </c>
      <c r="B26" s="92">
        <v>8.2402928978099671E-2</v>
      </c>
      <c r="C26" s="64">
        <f t="shared" si="0"/>
        <v>643622.99171359255</v>
      </c>
      <c r="E26" s="66">
        <f t="shared" si="1"/>
        <v>643622.99171359255</v>
      </c>
    </row>
    <row r="27" spans="1:5">
      <c r="A27" s="40">
        <v>18</v>
      </c>
      <c r="B27" s="92">
        <v>8.0645092816072961E-2</v>
      </c>
      <c r="C27" s="64">
        <f t="shared" si="0"/>
        <v>629893.09420173755</v>
      </c>
      <c r="E27" s="66">
        <f t="shared" si="1"/>
        <v>629893.09420173755</v>
      </c>
    </row>
    <row r="28" spans="1:5">
      <c r="A28" s="40">
        <v>19</v>
      </c>
      <c r="B28" s="92">
        <v>7.8887256654046237E-2</v>
      </c>
      <c r="C28" s="64">
        <f t="shared" si="0"/>
        <v>616163.19668988255</v>
      </c>
      <c r="E28" s="66">
        <f t="shared" si="1"/>
        <v>616163.19668988255</v>
      </c>
    </row>
    <row r="29" spans="1:5">
      <c r="A29" s="40">
        <v>20</v>
      </c>
      <c r="B29" s="92">
        <v>7.7129420492019513E-2</v>
      </c>
      <c r="C29" s="64">
        <f t="shared" si="0"/>
        <v>602433.29917802743</v>
      </c>
      <c r="E29" s="66">
        <f t="shared" si="1"/>
        <v>602433.29917802743</v>
      </c>
    </row>
    <row r="30" spans="1:5">
      <c r="A30" s="40">
        <v>21</v>
      </c>
      <c r="B30" s="92">
        <v>7.5561925190802126E-2</v>
      </c>
      <c r="C30" s="64">
        <f t="shared" si="0"/>
        <v>590190.09341121954</v>
      </c>
      <c r="E30" s="66">
        <f t="shared" si="1"/>
        <v>590190.09341121954</v>
      </c>
    </row>
    <row r="31" spans="1:5">
      <c r="A31" s="40">
        <v>22</v>
      </c>
      <c r="B31" s="92">
        <v>7.4374855776713045E-2</v>
      </c>
      <c r="C31" s="64">
        <f t="shared" si="0"/>
        <v>580918.27289291285</v>
      </c>
      <c r="E31" s="66">
        <f t="shared" si="1"/>
        <v>580918.27289291285</v>
      </c>
    </row>
    <row r="32" spans="1:5">
      <c r="A32" s="40">
        <v>23</v>
      </c>
      <c r="B32" s="92">
        <v>7.3377871388943056E-2</v>
      </c>
      <c r="C32" s="64">
        <f t="shared" si="0"/>
        <v>573131.14587806119</v>
      </c>
      <c r="E32" s="66">
        <f t="shared" si="1"/>
        <v>573131.14587806119</v>
      </c>
    </row>
    <row r="33" spans="1:5">
      <c r="A33" s="40">
        <v>24</v>
      </c>
      <c r="B33" s="92">
        <v>7.2380887001173011E-2</v>
      </c>
      <c r="C33" s="64">
        <f t="shared" si="0"/>
        <v>565344.01886320906</v>
      </c>
      <c r="E33" s="66">
        <f t="shared" si="1"/>
        <v>565344.01886320906</v>
      </c>
    </row>
    <row r="34" spans="1:5">
      <c r="A34" s="40">
        <v>25</v>
      </c>
      <c r="B34" s="92">
        <v>7.1383902613403022E-2</v>
      </c>
      <c r="C34" s="64">
        <f t="shared" si="0"/>
        <v>557556.89184835728</v>
      </c>
      <c r="E34" s="66">
        <f t="shared" si="1"/>
        <v>557556.89184835728</v>
      </c>
    </row>
    <row r="35" spans="1:5">
      <c r="A35" s="40">
        <v>26</v>
      </c>
      <c r="B35" s="92">
        <v>7.0386918225632991E-2</v>
      </c>
      <c r="C35" s="64">
        <f t="shared" si="0"/>
        <v>549769.76483350527</v>
      </c>
      <c r="E35" s="66">
        <f t="shared" si="1"/>
        <v>549769.76483350527</v>
      </c>
    </row>
    <row r="36" spans="1:5">
      <c r="A36" s="40">
        <v>27</v>
      </c>
      <c r="B36" s="92">
        <v>6.9389933837862974E-2</v>
      </c>
      <c r="C36" s="64">
        <f t="shared" si="0"/>
        <v>541982.63781865337</v>
      </c>
      <c r="E36" s="66">
        <f t="shared" si="1"/>
        <v>541982.63781865337</v>
      </c>
    </row>
    <row r="37" spans="1:5">
      <c r="A37" s="40">
        <v>28</v>
      </c>
      <c r="B37" s="92">
        <v>6.8392949450092957E-2</v>
      </c>
      <c r="C37" s="64">
        <f t="shared" si="0"/>
        <v>534195.51080380147</v>
      </c>
      <c r="E37" s="66">
        <f t="shared" si="1"/>
        <v>534195.51080380147</v>
      </c>
    </row>
    <row r="38" spans="1:5">
      <c r="A38" s="40">
        <v>29</v>
      </c>
      <c r="B38" s="92">
        <v>6.7395965062322927E-2</v>
      </c>
      <c r="C38" s="64">
        <f t="shared" si="0"/>
        <v>526408.38378894946</v>
      </c>
      <c r="E38" s="66">
        <f t="shared" si="1"/>
        <v>526408.38378894946</v>
      </c>
    </row>
    <row r="39" spans="1:5">
      <c r="A39" s="40">
        <v>30</v>
      </c>
      <c r="B39" s="92">
        <v>6.639898067455291E-2</v>
      </c>
      <c r="C39" s="64">
        <f t="shared" si="0"/>
        <v>518621.25677409762</v>
      </c>
      <c r="E39" s="66">
        <f t="shared" si="1"/>
        <v>518621.25677409762</v>
      </c>
    </row>
    <row r="40" spans="1:5">
      <c r="A40" s="40">
        <v>31</v>
      </c>
      <c r="B40" s="92">
        <v>6.5401996286782893E-2</v>
      </c>
      <c r="C40" s="64">
        <f t="shared" si="0"/>
        <v>510834.12975924567</v>
      </c>
      <c r="E40" s="66">
        <f t="shared" si="1"/>
        <v>510834.12975924567</v>
      </c>
    </row>
    <row r="41" spans="1:5">
      <c r="A41" s="40">
        <v>32</v>
      </c>
      <c r="B41" s="92">
        <v>6.4405011899012862E-2</v>
      </c>
      <c r="C41" s="64">
        <f t="shared" si="0"/>
        <v>503047.00274439366</v>
      </c>
      <c r="E41" s="66">
        <f t="shared" si="1"/>
        <v>503047.00274439366</v>
      </c>
    </row>
    <row r="42" spans="1:5">
      <c r="A42" s="40">
        <v>33</v>
      </c>
      <c r="B42" s="92">
        <v>6.3408027511242845E-2</v>
      </c>
      <c r="C42" s="64">
        <f t="shared" si="0"/>
        <v>495259.87572954176</v>
      </c>
      <c r="E42" s="66">
        <f t="shared" si="1"/>
        <v>495259.87572954176</v>
      </c>
    </row>
    <row r="43" spans="1:5">
      <c r="A43" s="40">
        <v>34</v>
      </c>
      <c r="B43" s="92">
        <v>6.2411043123472829E-2</v>
      </c>
      <c r="C43" s="64">
        <f t="shared" si="0"/>
        <v>487472.74871468986</v>
      </c>
      <c r="E43" s="66">
        <f t="shared" si="1"/>
        <v>487472.74871468986</v>
      </c>
    </row>
    <row r="44" spans="1:5">
      <c r="A44" s="40">
        <v>35</v>
      </c>
      <c r="B44" s="92">
        <v>6.1414058735702805E-2</v>
      </c>
      <c r="C44" s="64">
        <f t="shared" si="0"/>
        <v>479685.62169983791</v>
      </c>
      <c r="E44" s="66">
        <f t="shared" si="1"/>
        <v>479685.62169983791</v>
      </c>
    </row>
    <row r="45" spans="1:5">
      <c r="A45" s="40">
        <v>36</v>
      </c>
      <c r="B45" s="92">
        <v>6.0417074347932788E-2</v>
      </c>
      <c r="C45" s="64">
        <f t="shared" si="0"/>
        <v>471898.49468498601</v>
      </c>
      <c r="E45" s="66">
        <f t="shared" si="1"/>
        <v>471898.49468498601</v>
      </c>
    </row>
    <row r="46" spans="1:5">
      <c r="A46" s="40">
        <v>37</v>
      </c>
      <c r="B46" s="92">
        <v>5.9420089960162764E-2</v>
      </c>
      <c r="C46" s="64">
        <f t="shared" si="0"/>
        <v>464111.36767013406</v>
      </c>
      <c r="E46" s="66">
        <f t="shared" si="1"/>
        <v>464111.36767013406</v>
      </c>
    </row>
    <row r="47" spans="1:5">
      <c r="A47" s="40">
        <v>38</v>
      </c>
      <c r="B47" s="92">
        <v>5.8423105572392733E-2</v>
      </c>
      <c r="C47" s="64">
        <f t="shared" si="0"/>
        <v>456324.24065528205</v>
      </c>
      <c r="E47" s="66">
        <f t="shared" si="1"/>
        <v>456324.24065528205</v>
      </c>
    </row>
    <row r="48" spans="1:5">
      <c r="A48" s="40">
        <v>39</v>
      </c>
      <c r="B48" s="92">
        <v>5.7426121184622723E-2</v>
      </c>
      <c r="C48" s="64">
        <f t="shared" si="0"/>
        <v>448537.11364043021</v>
      </c>
      <c r="E48" s="66">
        <f t="shared" si="1"/>
        <v>448537.11364043021</v>
      </c>
    </row>
    <row r="49" spans="1:5">
      <c r="A49" s="40">
        <v>40</v>
      </c>
      <c r="B49" s="92">
        <v>5.64291367968527E-2</v>
      </c>
      <c r="C49" s="64">
        <f t="shared" si="0"/>
        <v>440749.98662557825</v>
      </c>
      <c r="E49" s="66">
        <f t="shared" si="1"/>
        <v>440749.98662557825</v>
      </c>
    </row>
    <row r="50" spans="1:5">
      <c r="A50" s="40">
        <v>41</v>
      </c>
      <c r="B50" s="92">
        <v>5.5432152409082669E-2</v>
      </c>
      <c r="C50" s="64">
        <f t="shared" si="0"/>
        <v>432962.85961072624</v>
      </c>
      <c r="E50" s="66">
        <f t="shared" si="1"/>
        <v>432962.85961072624</v>
      </c>
    </row>
    <row r="51" spans="1:5">
      <c r="A51" s="40">
        <v>42</v>
      </c>
      <c r="B51" s="92">
        <v>5.4435168021312652E-2</v>
      </c>
      <c r="C51" s="64">
        <f t="shared" si="0"/>
        <v>425175.73259587435</v>
      </c>
      <c r="E51" s="66">
        <f t="shared" si="1"/>
        <v>425175.73259587435</v>
      </c>
    </row>
    <row r="52" spans="1:5">
      <c r="A52" s="40">
        <v>43</v>
      </c>
      <c r="B52" s="92">
        <v>5.3438183633542628E-2</v>
      </c>
      <c r="C52" s="64">
        <f t="shared" si="0"/>
        <v>417388.60558102239</v>
      </c>
      <c r="E52" s="66">
        <f t="shared" si="1"/>
        <v>417388.60558102239</v>
      </c>
    </row>
    <row r="53" spans="1:5">
      <c r="A53" s="40">
        <v>44</v>
      </c>
      <c r="B53" s="92">
        <v>5.2441199245772618E-2</v>
      </c>
      <c r="C53" s="64">
        <f t="shared" si="0"/>
        <v>409601.4785661705</v>
      </c>
      <c r="E53" s="66">
        <f t="shared" si="1"/>
        <v>409601.4785661705</v>
      </c>
    </row>
    <row r="54" spans="1:5">
      <c r="A54" s="40">
        <v>45</v>
      </c>
      <c r="B54" s="92">
        <v>5.1444214858002595E-2</v>
      </c>
      <c r="C54" s="64">
        <f t="shared" si="0"/>
        <v>401814.35155131854</v>
      </c>
      <c r="E54" s="66">
        <f t="shared" si="1"/>
        <v>401814.35155131854</v>
      </c>
    </row>
    <row r="55" spans="1:5">
      <c r="A55" s="40">
        <v>46</v>
      </c>
      <c r="B55" s="92">
        <v>5.0447230470232585E-2</v>
      </c>
      <c r="C55" s="64">
        <f t="shared" si="0"/>
        <v>394027.2245364667</v>
      </c>
      <c r="E55" s="66">
        <f t="shared" si="1"/>
        <v>394027.2245364667</v>
      </c>
    </row>
    <row r="56" spans="1:5">
      <c r="A56" s="40">
        <v>47</v>
      </c>
      <c r="B56" s="92">
        <v>4.9450246082462561E-2</v>
      </c>
      <c r="C56" s="64">
        <f t="shared" si="0"/>
        <v>386240.09752161475</v>
      </c>
      <c r="E56" s="66">
        <f t="shared" si="1"/>
        <v>386240.09752161475</v>
      </c>
    </row>
    <row r="57" spans="1:5">
      <c r="A57" s="40">
        <v>48</v>
      </c>
      <c r="B57" s="92">
        <v>4.8453261694692537E-2</v>
      </c>
      <c r="C57" s="64">
        <f t="shared" si="0"/>
        <v>378452.97050676279</v>
      </c>
      <c r="E57" s="66">
        <f t="shared" si="1"/>
        <v>378452.97050676279</v>
      </c>
    </row>
    <row r="58" spans="1:5">
      <c r="A58" s="40">
        <v>49</v>
      </c>
      <c r="B58" s="92">
        <v>4.7456277306922513E-2</v>
      </c>
      <c r="C58" s="64">
        <f t="shared" si="0"/>
        <v>370665.84349191084</v>
      </c>
      <c r="E58" s="66">
        <f t="shared" si="1"/>
        <v>370665.84349191084</v>
      </c>
    </row>
    <row r="59" spans="1:5">
      <c r="A59" s="40">
        <v>50</v>
      </c>
      <c r="B59" s="68">
        <v>4.6459292919152489E-2</v>
      </c>
      <c r="C59" s="64">
        <f t="shared" si="0"/>
        <v>362878.71647705889</v>
      </c>
      <c r="E59" s="66">
        <f t="shared" si="1"/>
        <v>362878.71647705889</v>
      </c>
    </row>
    <row r="60" spans="1:5">
      <c r="A60" s="40">
        <v>51</v>
      </c>
      <c r="B60" s="68">
        <v>4.5462308531382466E-2</v>
      </c>
      <c r="C60" s="64">
        <f t="shared" si="0"/>
        <v>355091.58946220693</v>
      </c>
      <c r="E60" s="66">
        <f t="shared" si="1"/>
        <v>355091.58946220693</v>
      </c>
    </row>
    <row r="61" spans="1:5">
      <c r="A61" s="40">
        <v>52</v>
      </c>
      <c r="B61" s="68">
        <v>4.4465324143612449E-2</v>
      </c>
      <c r="C61" s="64">
        <f t="shared" ref="C61:C85" si="2">B61*$B$3</f>
        <v>347304.46244735504</v>
      </c>
      <c r="E61" s="66">
        <f t="shared" ref="E61:E85" si="3">SUM(C61:D61)</f>
        <v>347304.46244735504</v>
      </c>
    </row>
    <row r="62" spans="1:5">
      <c r="A62" s="40">
        <v>53</v>
      </c>
      <c r="B62" s="68">
        <v>4.3468339755842425E-2</v>
      </c>
      <c r="C62" s="64">
        <f t="shared" si="2"/>
        <v>339517.33543250308</v>
      </c>
      <c r="E62" s="66">
        <f t="shared" si="3"/>
        <v>339517.33543250308</v>
      </c>
    </row>
    <row r="63" spans="1:5">
      <c r="A63" s="40">
        <v>54</v>
      </c>
      <c r="B63" s="68">
        <v>4.2471355368072401E-2</v>
      </c>
      <c r="C63" s="64">
        <f t="shared" si="2"/>
        <v>331730.20841765113</v>
      </c>
      <c r="E63" s="66">
        <f t="shared" si="3"/>
        <v>331730.20841765113</v>
      </c>
    </row>
    <row r="64" spans="1:5">
      <c r="A64" s="40">
        <v>55</v>
      </c>
      <c r="B64" s="68">
        <v>4.1474370980302384E-2</v>
      </c>
      <c r="C64" s="64">
        <f t="shared" si="2"/>
        <v>323943.08140279923</v>
      </c>
      <c r="E64" s="66">
        <f t="shared" si="3"/>
        <v>323943.08140279923</v>
      </c>
    </row>
    <row r="65" spans="1:5">
      <c r="A65" s="40">
        <v>56</v>
      </c>
      <c r="B65" s="68">
        <v>4.0477386592532361E-2</v>
      </c>
      <c r="C65" s="64">
        <f t="shared" si="2"/>
        <v>316155.95438794728</v>
      </c>
      <c r="E65" s="66">
        <f t="shared" si="3"/>
        <v>316155.95438794728</v>
      </c>
    </row>
    <row r="66" spans="1:5">
      <c r="A66" s="40">
        <v>57</v>
      </c>
      <c r="B66" s="68">
        <v>3.9480402204762344E-2</v>
      </c>
      <c r="C66" s="64">
        <f t="shared" si="2"/>
        <v>308368.82737309532</v>
      </c>
      <c r="E66" s="66">
        <f t="shared" si="3"/>
        <v>308368.82737309532</v>
      </c>
    </row>
    <row r="67" spans="1:5">
      <c r="A67" s="40">
        <v>58</v>
      </c>
      <c r="B67" s="68">
        <v>3.8483417816992334E-2</v>
      </c>
      <c r="C67" s="64">
        <f t="shared" si="2"/>
        <v>300581.70035824348</v>
      </c>
      <c r="E67" s="66">
        <f t="shared" si="3"/>
        <v>300581.70035824348</v>
      </c>
    </row>
    <row r="68" spans="1:5">
      <c r="A68" s="40">
        <v>59</v>
      </c>
      <c r="B68" s="68">
        <v>3.748643342922231E-2</v>
      </c>
      <c r="C68" s="64">
        <f t="shared" si="2"/>
        <v>292794.57334339153</v>
      </c>
      <c r="E68" s="66">
        <f t="shared" si="3"/>
        <v>292794.57334339153</v>
      </c>
    </row>
    <row r="69" spans="1:5">
      <c r="A69" s="40">
        <v>60</v>
      </c>
      <c r="B69" s="68">
        <v>3.6489449041452286E-2</v>
      </c>
      <c r="C69" s="64">
        <f t="shared" si="2"/>
        <v>285007.44632853958</v>
      </c>
      <c r="E69" s="66">
        <f t="shared" si="3"/>
        <v>285007.44632853958</v>
      </c>
    </row>
    <row r="70" spans="1:5">
      <c r="A70" s="40">
        <v>61</v>
      </c>
      <c r="B70" s="68">
        <v>3.5492464653682262E-2</v>
      </c>
      <c r="C70" s="64">
        <f t="shared" si="2"/>
        <v>277220.31931368762</v>
      </c>
      <c r="E70" s="66">
        <f t="shared" si="3"/>
        <v>277220.31931368762</v>
      </c>
    </row>
    <row r="71" spans="1:5">
      <c r="A71" s="40">
        <v>62</v>
      </c>
      <c r="B71" s="68">
        <v>3.4495480265912246E-2</v>
      </c>
      <c r="C71" s="64">
        <f t="shared" si="2"/>
        <v>269433.19229883573</v>
      </c>
      <c r="E71" s="66">
        <f t="shared" si="3"/>
        <v>269433.19229883573</v>
      </c>
    </row>
    <row r="72" spans="1:5">
      <c r="A72" s="40">
        <v>63</v>
      </c>
      <c r="B72" s="68">
        <v>3.3498495878142222E-2</v>
      </c>
      <c r="C72" s="64">
        <f t="shared" si="2"/>
        <v>261646.06528398377</v>
      </c>
      <c r="E72" s="66">
        <f t="shared" si="3"/>
        <v>261646.06528398377</v>
      </c>
    </row>
    <row r="73" spans="1:5">
      <c r="A73" s="40">
        <v>64</v>
      </c>
      <c r="B73" s="68">
        <v>3.2501511490372198E-2</v>
      </c>
      <c r="C73" s="64">
        <f t="shared" si="2"/>
        <v>253858.93826913182</v>
      </c>
      <c r="E73" s="66">
        <f t="shared" si="3"/>
        <v>253858.93826913182</v>
      </c>
    </row>
    <row r="74" spans="1:5">
      <c r="A74" s="40">
        <v>65</v>
      </c>
      <c r="B74" s="68">
        <v>3.1504527102602181E-2</v>
      </c>
      <c r="C74" s="64">
        <f t="shared" si="2"/>
        <v>246071.81125427992</v>
      </c>
      <c r="E74" s="66">
        <f t="shared" si="3"/>
        <v>246071.81125427992</v>
      </c>
    </row>
    <row r="75" spans="1:5">
      <c r="A75" s="40">
        <v>66</v>
      </c>
      <c r="B75" s="68">
        <v>3.0507542714832157E-2</v>
      </c>
      <c r="C75" s="64">
        <f t="shared" si="2"/>
        <v>238284.68423942794</v>
      </c>
      <c r="E75" s="66">
        <f t="shared" si="3"/>
        <v>238284.68423942794</v>
      </c>
    </row>
    <row r="76" spans="1:5">
      <c r="A76" s="40">
        <v>67</v>
      </c>
      <c r="B76" s="68">
        <v>2.9510558327062134E-2</v>
      </c>
      <c r="C76" s="64">
        <f t="shared" si="2"/>
        <v>230497.55722457598</v>
      </c>
      <c r="E76" s="66">
        <f t="shared" si="3"/>
        <v>230497.55722457598</v>
      </c>
    </row>
    <row r="77" spans="1:5">
      <c r="A77" s="40">
        <v>68</v>
      </c>
      <c r="B77" s="68">
        <v>2.8513573939292117E-2</v>
      </c>
      <c r="C77" s="64">
        <f t="shared" si="2"/>
        <v>222710.43020972409</v>
      </c>
      <c r="E77" s="66">
        <f t="shared" si="3"/>
        <v>222710.43020972409</v>
      </c>
    </row>
    <row r="78" spans="1:5">
      <c r="A78" s="40">
        <v>69</v>
      </c>
      <c r="B78" s="68">
        <v>2.7516589551522096E-2</v>
      </c>
      <c r="C78" s="64">
        <f t="shared" si="2"/>
        <v>214923.30319487216</v>
      </c>
      <c r="E78" s="66">
        <f t="shared" si="3"/>
        <v>214923.30319487216</v>
      </c>
    </row>
    <row r="79" spans="1:5">
      <c r="A79" s="40">
        <v>70</v>
      </c>
      <c r="B79" s="68">
        <v>2.6519605163752073E-2</v>
      </c>
      <c r="C79" s="64">
        <f t="shared" si="2"/>
        <v>207136.17618002021</v>
      </c>
      <c r="E79" s="66">
        <f t="shared" si="3"/>
        <v>207136.17618002021</v>
      </c>
    </row>
    <row r="80" spans="1:5">
      <c r="A80" s="40">
        <v>71</v>
      </c>
      <c r="B80" s="68">
        <v>2.5522620775982049E-2</v>
      </c>
      <c r="C80" s="64">
        <f t="shared" si="2"/>
        <v>199349.04916516825</v>
      </c>
      <c r="E80" s="66">
        <f t="shared" si="3"/>
        <v>199349.04916516825</v>
      </c>
    </row>
    <row r="81" spans="1:5">
      <c r="A81" s="40">
        <v>72</v>
      </c>
      <c r="B81" s="68">
        <v>2.4525636388212028E-2</v>
      </c>
      <c r="C81" s="64">
        <f t="shared" si="2"/>
        <v>191561.92215031633</v>
      </c>
      <c r="E81" s="66">
        <f t="shared" si="3"/>
        <v>191561.92215031633</v>
      </c>
    </row>
    <row r="82" spans="1:5">
      <c r="A82" s="40">
        <v>73</v>
      </c>
      <c r="B82" s="68">
        <v>2.3528652000442012E-2</v>
      </c>
      <c r="C82" s="64">
        <f t="shared" si="2"/>
        <v>183774.7951354644</v>
      </c>
      <c r="E82" s="66">
        <f t="shared" si="3"/>
        <v>183774.7951354644</v>
      </c>
    </row>
    <row r="83" spans="1:5">
      <c r="A83" s="40">
        <v>74</v>
      </c>
      <c r="B83" s="68">
        <v>2.2531667612671988E-2</v>
      </c>
      <c r="C83" s="64">
        <f t="shared" si="2"/>
        <v>175987.66812061245</v>
      </c>
      <c r="E83" s="66">
        <f t="shared" si="3"/>
        <v>175987.66812061245</v>
      </c>
    </row>
    <row r="84" spans="1:5">
      <c r="A84" s="40">
        <v>75</v>
      </c>
      <c r="B84" s="68">
        <v>2.1534683224901967E-2</v>
      </c>
      <c r="C84" s="64">
        <f t="shared" si="2"/>
        <v>168200.54110576052</v>
      </c>
      <c r="E84" s="66">
        <f t="shared" si="3"/>
        <v>168200.54110576052</v>
      </c>
    </row>
    <row r="85" spans="1:5">
      <c r="A85" s="40">
        <v>76</v>
      </c>
      <c r="B85" s="68">
        <v>2.0537698837131951E-2</v>
      </c>
      <c r="C85" s="64">
        <f t="shared" si="2"/>
        <v>160413.41409090863</v>
      </c>
      <c r="E85" s="66">
        <f t="shared" si="3"/>
        <v>160413.41409090863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workbookViewId="0">
      <selection activeCell="R38" sqref="R38"/>
    </sheetView>
  </sheetViews>
  <sheetFormatPr defaultRowHeight="12.75"/>
  <cols>
    <col min="1" max="1" width="16" style="40" bestFit="1" customWidth="1"/>
    <col min="2" max="2" width="10.25" style="40" bestFit="1" customWidth="1"/>
    <col min="3" max="3" width="11.125" style="40" bestFit="1" customWidth="1"/>
    <col min="4" max="4" width="14.25" style="64" customWidth="1"/>
    <col min="5" max="5" width="10.25" style="40" bestFit="1" customWidth="1"/>
    <col min="6" max="6" width="11.625" style="40" bestFit="1" customWidth="1"/>
    <col min="7" max="16384" width="9" style="40"/>
  </cols>
  <sheetData>
    <row r="1" spans="1:6">
      <c r="A1" s="93" t="s">
        <v>202</v>
      </c>
    </row>
    <row r="3" spans="1:6">
      <c r="A3" s="40" t="s">
        <v>188</v>
      </c>
      <c r="B3" s="89">
        <v>62150000</v>
      </c>
    </row>
    <row r="4" spans="1:6">
      <c r="A4" s="40" t="s">
        <v>89</v>
      </c>
      <c r="B4" s="90">
        <v>7.0462999999999998E-2</v>
      </c>
      <c r="F4" s="97"/>
    </row>
    <row r="5" spans="1:6">
      <c r="D5" s="64" t="s">
        <v>191</v>
      </c>
      <c r="E5" s="91">
        <f>-PMT($B$4,30,NPV($B$4,E10:E39))</f>
        <v>5809809.0292934496</v>
      </c>
      <c r="F5" s="81"/>
    </row>
    <row r="6" spans="1:6">
      <c r="D6" s="64" t="s">
        <v>190</v>
      </c>
      <c r="E6" s="64">
        <v>21949.870267792001</v>
      </c>
      <c r="F6" s="65"/>
    </row>
    <row r="7" spans="1:6">
      <c r="D7" s="64" t="s">
        <v>15</v>
      </c>
      <c r="E7" s="81">
        <f>E5/E6</f>
        <v>264.68534703908637</v>
      </c>
    </row>
    <row r="9" spans="1:6" s="67" customFormat="1" ht="38.25">
      <c r="A9" s="67" t="s">
        <v>35</v>
      </c>
      <c r="B9" s="67" t="s">
        <v>186</v>
      </c>
      <c r="C9" s="67" t="s">
        <v>187</v>
      </c>
      <c r="D9" s="94" t="s">
        <v>189</v>
      </c>
      <c r="E9" s="67" t="s">
        <v>34</v>
      </c>
    </row>
    <row r="10" spans="1:6">
      <c r="A10" s="40">
        <v>1</v>
      </c>
      <c r="B10" s="92">
        <v>0.11600154752051295</v>
      </c>
      <c r="C10" s="64">
        <f>B10*$B$3</f>
        <v>7209496.1783998795</v>
      </c>
      <c r="D10" s="64">
        <v>-770059.9265416906</v>
      </c>
      <c r="E10" s="66">
        <f>SUM(C10:D10)</f>
        <v>6439436.2518581888</v>
      </c>
      <c r="F10" s="65"/>
    </row>
    <row r="11" spans="1:6">
      <c r="A11" s="40">
        <v>2</v>
      </c>
      <c r="B11" s="92">
        <v>0.11381499079715902</v>
      </c>
      <c r="C11" s="64">
        <f t="shared" ref="C11:C74" si="0">B11*$B$3</f>
        <v>7073601.6780434335</v>
      </c>
      <c r="D11" s="64">
        <v>-166189.74975050593</v>
      </c>
      <c r="E11" s="66">
        <f t="shared" ref="E11:E74" si="1">SUM(C11:D11)</f>
        <v>6907411.9282929273</v>
      </c>
      <c r="F11" s="65"/>
    </row>
    <row r="12" spans="1:6">
      <c r="A12" s="40">
        <v>3</v>
      </c>
      <c r="B12" s="92">
        <v>0.11134260771085314</v>
      </c>
      <c r="C12" s="64">
        <f t="shared" si="0"/>
        <v>6919943.0692295227</v>
      </c>
      <c r="D12" s="64">
        <v>-259830.87843788735</v>
      </c>
      <c r="E12" s="66">
        <f t="shared" si="1"/>
        <v>6660112.1907916358</v>
      </c>
      <c r="F12" s="65"/>
    </row>
    <row r="13" spans="1:6">
      <c r="A13" s="40">
        <v>4</v>
      </c>
      <c r="B13" s="92">
        <v>0.10897184526793283</v>
      </c>
      <c r="C13" s="64">
        <f t="shared" si="0"/>
        <v>6772600.1834020251</v>
      </c>
      <c r="D13" s="64">
        <v>353129.74467449519</v>
      </c>
      <c r="E13" s="66">
        <f t="shared" si="1"/>
        <v>7125729.9280765206</v>
      </c>
      <c r="F13" s="65"/>
    </row>
    <row r="14" spans="1:6">
      <c r="A14" s="40">
        <v>5</v>
      </c>
      <c r="B14" s="92">
        <v>0.10669508924151622</v>
      </c>
      <c r="C14" s="64">
        <f t="shared" si="0"/>
        <v>6631099.7963602329</v>
      </c>
      <c r="D14" s="64">
        <v>486410.4678964027</v>
      </c>
      <c r="E14" s="66">
        <f t="shared" si="1"/>
        <v>7117510.2642566357</v>
      </c>
      <c r="F14" s="65"/>
    </row>
    <row r="15" spans="1:6">
      <c r="A15" s="40">
        <v>6</v>
      </c>
      <c r="B15" s="92">
        <v>0.10450540873277481</v>
      </c>
      <c r="C15" s="64">
        <f t="shared" si="0"/>
        <v>6495011.1527419547</v>
      </c>
      <c r="D15" s="64">
        <v>-357368.82268002548</v>
      </c>
      <c r="E15" s="66">
        <f t="shared" si="1"/>
        <v>6137642.3300619293</v>
      </c>
      <c r="F15" s="65"/>
    </row>
    <row r="16" spans="1:6">
      <c r="A16" s="40">
        <v>7</v>
      </c>
      <c r="B16" s="92">
        <v>0.1023962633160537</v>
      </c>
      <c r="C16" s="64">
        <f t="shared" si="0"/>
        <v>6363927.765092737</v>
      </c>
      <c r="D16" s="64">
        <v>241144.41733381932</v>
      </c>
      <c r="E16" s="66">
        <f t="shared" si="1"/>
        <v>6605072.182426556</v>
      </c>
      <c r="F16" s="65"/>
    </row>
    <row r="17" spans="1:6">
      <c r="A17" s="40">
        <v>8</v>
      </c>
      <c r="B17" s="92">
        <v>0.10036160065716465</v>
      </c>
      <c r="C17" s="64">
        <f t="shared" si="0"/>
        <v>6237473.4808427831</v>
      </c>
      <c r="D17" s="64">
        <v>-242789.7424104583</v>
      </c>
      <c r="E17" s="66">
        <f t="shared" si="1"/>
        <v>5994683.7384323245</v>
      </c>
      <c r="F17" s="65"/>
    </row>
    <row r="18" spans="1:6">
      <c r="A18" s="40">
        <v>9</v>
      </c>
      <c r="B18" s="92">
        <v>9.8368816246126173E-2</v>
      </c>
      <c r="C18" s="64">
        <f t="shared" si="0"/>
        <v>6113621.9296967415</v>
      </c>
      <c r="D18" s="64">
        <v>-272316.58960224217</v>
      </c>
      <c r="E18" s="66">
        <f t="shared" si="1"/>
        <v>5841305.3400944993</v>
      </c>
      <c r="F18" s="65"/>
    </row>
    <row r="19" spans="1:6">
      <c r="A19" s="40">
        <v>10</v>
      </c>
      <c r="B19" s="92">
        <v>9.6382084169275864E-2</v>
      </c>
      <c r="C19" s="64">
        <f t="shared" si="0"/>
        <v>5990146.5311204949</v>
      </c>
      <c r="D19" s="64">
        <v>-250490.25093863701</v>
      </c>
      <c r="E19" s="66">
        <f t="shared" si="1"/>
        <v>5739656.2801818578</v>
      </c>
      <c r="F19" s="65"/>
    </row>
    <row r="20" spans="1:6">
      <c r="A20" s="40">
        <v>11</v>
      </c>
      <c r="B20" s="92">
        <v>9.4395352092425597E-2</v>
      </c>
      <c r="C20" s="64">
        <f t="shared" si="0"/>
        <v>5866671.1325442512</v>
      </c>
      <c r="D20" s="64">
        <v>-182285.86934907798</v>
      </c>
      <c r="E20" s="66">
        <f t="shared" si="1"/>
        <v>5684385.2631951729</v>
      </c>
      <c r="F20" s="65"/>
    </row>
    <row r="21" spans="1:6">
      <c r="A21" s="40">
        <v>12</v>
      </c>
      <c r="B21" s="92">
        <v>9.2408620015575274E-2</v>
      </c>
      <c r="C21" s="64">
        <f t="shared" si="0"/>
        <v>5743195.7339680037</v>
      </c>
      <c r="D21" s="64">
        <v>-147517.58548684619</v>
      </c>
      <c r="E21" s="66">
        <f t="shared" si="1"/>
        <v>5595678.1484811576</v>
      </c>
      <c r="F21" s="65"/>
    </row>
    <row r="22" spans="1:6">
      <c r="A22" s="40">
        <v>13</v>
      </c>
      <c r="B22" s="92">
        <v>9.0421887938724993E-2</v>
      </c>
      <c r="C22" s="64">
        <f t="shared" si="0"/>
        <v>5619720.335391758</v>
      </c>
      <c r="D22" s="64">
        <v>-181603.02909496022</v>
      </c>
      <c r="E22" s="66">
        <f t="shared" si="1"/>
        <v>5438117.3062967975</v>
      </c>
      <c r="F22" s="65"/>
    </row>
    <row r="23" spans="1:6">
      <c r="A23" s="40">
        <v>14</v>
      </c>
      <c r="B23" s="92">
        <v>8.8435155861874698E-2</v>
      </c>
      <c r="C23" s="64">
        <f t="shared" si="0"/>
        <v>5496244.9368155124</v>
      </c>
      <c r="D23" s="64">
        <v>-139417.09742880811</v>
      </c>
      <c r="E23" s="66">
        <f t="shared" si="1"/>
        <v>5356827.8393867044</v>
      </c>
      <c r="F23" s="65"/>
    </row>
    <row r="24" spans="1:6">
      <c r="A24" s="40">
        <v>15</v>
      </c>
      <c r="B24" s="92">
        <v>8.6448423785024403E-2</v>
      </c>
      <c r="C24" s="64">
        <f t="shared" si="0"/>
        <v>5372769.5382392667</v>
      </c>
      <c r="D24" s="64">
        <v>-92878.265096027229</v>
      </c>
      <c r="E24" s="66">
        <f t="shared" si="1"/>
        <v>5279891.2731432393</v>
      </c>
      <c r="F24" s="65"/>
    </row>
    <row r="25" spans="1:6">
      <c r="A25" s="40">
        <v>16</v>
      </c>
      <c r="B25" s="92">
        <v>8.4461691708174094E-2</v>
      </c>
      <c r="C25" s="64">
        <f t="shared" si="0"/>
        <v>5249294.1396630201</v>
      </c>
      <c r="D25" s="64">
        <v>-241384.26686663728</v>
      </c>
      <c r="E25" s="66">
        <f t="shared" si="1"/>
        <v>5007909.8727963828</v>
      </c>
      <c r="F25" s="65"/>
    </row>
    <row r="26" spans="1:6">
      <c r="A26" s="40">
        <v>17</v>
      </c>
      <c r="B26" s="92">
        <v>8.2474959631323827E-2</v>
      </c>
      <c r="C26" s="64">
        <f t="shared" si="0"/>
        <v>5125818.7410867754</v>
      </c>
      <c r="D26" s="64">
        <v>-271026.42193607538</v>
      </c>
      <c r="E26" s="66">
        <f t="shared" si="1"/>
        <v>4854792.3191507002</v>
      </c>
      <c r="F26" s="65"/>
    </row>
    <row r="27" spans="1:6">
      <c r="A27" s="40">
        <v>18</v>
      </c>
      <c r="B27" s="92">
        <v>8.0488227554473518E-2</v>
      </c>
      <c r="C27" s="64">
        <f t="shared" si="0"/>
        <v>5002343.3425105289</v>
      </c>
      <c r="D27" s="64">
        <v>-267111.32021329855</v>
      </c>
      <c r="E27" s="66">
        <f t="shared" si="1"/>
        <v>4735232.0222972305</v>
      </c>
      <c r="F27" s="65"/>
    </row>
    <row r="28" spans="1:6">
      <c r="A28" s="40">
        <v>19</v>
      </c>
      <c r="B28" s="92">
        <v>7.8501495477623209E-2</v>
      </c>
      <c r="C28" s="64">
        <f t="shared" si="0"/>
        <v>4878867.9439342823</v>
      </c>
      <c r="D28" s="64">
        <v>-166537.20944851806</v>
      </c>
      <c r="E28" s="66">
        <f t="shared" si="1"/>
        <v>4712330.7344857641</v>
      </c>
      <c r="F28" s="65"/>
    </row>
    <row r="29" spans="1:6">
      <c r="A29" s="40">
        <v>20</v>
      </c>
      <c r="B29" s="92">
        <v>7.6514763400772928E-2</v>
      </c>
      <c r="C29" s="64">
        <f t="shared" si="0"/>
        <v>4755392.5453580376</v>
      </c>
      <c r="D29" s="64">
        <v>-248360.01037197025</v>
      </c>
      <c r="E29" s="66">
        <f t="shared" si="1"/>
        <v>4507032.5349860676</v>
      </c>
      <c r="F29" s="65"/>
    </row>
    <row r="30" spans="1:6">
      <c r="A30" s="40">
        <v>21</v>
      </c>
      <c r="B30" s="92">
        <v>7.4745915354697462E-2</v>
      </c>
      <c r="C30" s="64">
        <f t="shared" si="0"/>
        <v>4645458.6392944474</v>
      </c>
      <c r="D30" s="64">
        <v>-56666.783544164675</v>
      </c>
      <c r="E30" s="66">
        <f t="shared" si="1"/>
        <v>4588791.8557502823</v>
      </c>
      <c r="F30" s="65"/>
    </row>
    <row r="31" spans="1:6">
      <c r="A31" s="40">
        <v>22</v>
      </c>
      <c r="B31" s="92">
        <v>7.3412542515291668E-2</v>
      </c>
      <c r="C31" s="64">
        <f t="shared" si="0"/>
        <v>4562589.5173253771</v>
      </c>
      <c r="D31" s="64">
        <v>-238324.0495993623</v>
      </c>
      <c r="E31" s="66">
        <f t="shared" si="1"/>
        <v>4324265.4677260146</v>
      </c>
      <c r="F31" s="65"/>
    </row>
    <row r="32" spans="1:6">
      <c r="A32" s="40">
        <v>23</v>
      </c>
      <c r="B32" s="92">
        <v>7.2296760851780592E-2</v>
      </c>
      <c r="C32" s="64">
        <f t="shared" si="0"/>
        <v>4493243.6869381638</v>
      </c>
      <c r="D32" s="64">
        <v>-190006.40239836299</v>
      </c>
      <c r="E32" s="66">
        <f t="shared" si="1"/>
        <v>4303237.2845398011</v>
      </c>
      <c r="F32" s="65"/>
    </row>
    <row r="33" spans="1:6">
      <c r="A33" s="40">
        <v>24</v>
      </c>
      <c r="B33" s="92">
        <v>7.1180979188269558E-2</v>
      </c>
      <c r="C33" s="64">
        <f t="shared" si="0"/>
        <v>4423897.8565509534</v>
      </c>
      <c r="D33" s="64">
        <v>-147082.64349526758</v>
      </c>
      <c r="E33" s="66">
        <f t="shared" si="1"/>
        <v>4276815.2130556861</v>
      </c>
      <c r="F33" s="65"/>
    </row>
    <row r="34" spans="1:6">
      <c r="A34" s="40">
        <v>25</v>
      </c>
      <c r="B34" s="92">
        <v>7.0065197524758524E-2</v>
      </c>
      <c r="C34" s="64">
        <f t="shared" si="0"/>
        <v>4354552.0261637419</v>
      </c>
      <c r="D34" s="64">
        <v>30733.635121351428</v>
      </c>
      <c r="E34" s="66">
        <f t="shared" si="1"/>
        <v>4385285.6612850931</v>
      </c>
      <c r="F34" s="65"/>
    </row>
    <row r="35" spans="1:6">
      <c r="A35" s="40">
        <v>26</v>
      </c>
      <c r="B35" s="92">
        <v>6.8949415861247448E-2</v>
      </c>
      <c r="C35" s="64">
        <f t="shared" si="0"/>
        <v>4285206.1957765287</v>
      </c>
      <c r="D35" s="64">
        <v>-4487.6837789806814</v>
      </c>
      <c r="E35" s="66">
        <f t="shared" si="1"/>
        <v>4280718.5119975479</v>
      </c>
      <c r="F35" s="65"/>
    </row>
    <row r="36" spans="1:6">
      <c r="A36" s="40">
        <v>27</v>
      </c>
      <c r="B36" s="92">
        <v>6.78336341977364E-2</v>
      </c>
      <c r="C36" s="64">
        <f t="shared" si="0"/>
        <v>4215860.3653893173</v>
      </c>
      <c r="D36" s="64">
        <v>86177.241046177412</v>
      </c>
      <c r="E36" s="66">
        <f t="shared" si="1"/>
        <v>4302037.6064354945</v>
      </c>
      <c r="F36" s="65"/>
    </row>
    <row r="37" spans="1:6">
      <c r="A37" s="40">
        <v>28</v>
      </c>
      <c r="B37" s="92">
        <v>6.6717852534225339E-2</v>
      </c>
      <c r="C37" s="64">
        <f t="shared" si="0"/>
        <v>4146514.5350021049</v>
      </c>
      <c r="D37" s="64">
        <v>-146255.36343903263</v>
      </c>
      <c r="E37" s="66">
        <f t="shared" si="1"/>
        <v>4000259.1715630721</v>
      </c>
      <c r="F37" s="65"/>
    </row>
    <row r="38" spans="1:6">
      <c r="A38" s="40">
        <v>29</v>
      </c>
      <c r="B38" s="92">
        <v>6.5602070870714291E-2</v>
      </c>
      <c r="C38" s="64">
        <f t="shared" si="0"/>
        <v>4077168.7046148931</v>
      </c>
      <c r="D38" s="64">
        <v>-152692.75215715266</v>
      </c>
      <c r="E38" s="66">
        <f t="shared" si="1"/>
        <v>3924475.9524577404</v>
      </c>
      <c r="F38" s="65"/>
    </row>
    <row r="39" spans="1:6">
      <c r="A39" s="40">
        <v>30</v>
      </c>
      <c r="B39" s="92">
        <v>6.4486289207203243E-2</v>
      </c>
      <c r="C39" s="64">
        <f t="shared" si="0"/>
        <v>4007822.8742276817</v>
      </c>
      <c r="D39" s="64">
        <v>-132728.24557117475</v>
      </c>
      <c r="E39" s="66">
        <f t="shared" si="1"/>
        <v>3875094.628656507</v>
      </c>
      <c r="F39" s="65"/>
    </row>
    <row r="40" spans="1:6">
      <c r="A40" s="40">
        <v>31</v>
      </c>
      <c r="B40" s="92">
        <v>6.3370507543692195E-2</v>
      </c>
      <c r="C40" s="64">
        <f t="shared" si="0"/>
        <v>3938477.0438404698</v>
      </c>
      <c r="D40" s="64">
        <v>-311406.37546315882</v>
      </c>
      <c r="E40" s="66">
        <f t="shared" si="1"/>
        <v>3627070.668377311</v>
      </c>
      <c r="F40" s="65"/>
    </row>
    <row r="41" spans="1:6">
      <c r="A41" s="40">
        <v>32</v>
      </c>
      <c r="B41" s="92">
        <v>6.2254725880181133E-2</v>
      </c>
      <c r="C41" s="64">
        <f t="shared" si="0"/>
        <v>3869131.2134532575</v>
      </c>
      <c r="D41" s="64">
        <v>-510252.62820795388</v>
      </c>
      <c r="E41" s="66">
        <f t="shared" si="1"/>
        <v>3358878.5852453038</v>
      </c>
      <c r="F41" s="65"/>
    </row>
    <row r="42" spans="1:6">
      <c r="A42" s="40">
        <v>33</v>
      </c>
      <c r="B42" s="92">
        <v>6.1138944216670092E-2</v>
      </c>
      <c r="C42" s="64">
        <f t="shared" si="0"/>
        <v>3799785.3830660461</v>
      </c>
      <c r="D42" s="64">
        <v>-150208.35848747948</v>
      </c>
      <c r="E42" s="66">
        <f t="shared" si="1"/>
        <v>3649577.0245785667</v>
      </c>
      <c r="F42" s="65"/>
    </row>
    <row r="43" spans="1:6">
      <c r="A43" s="40">
        <v>34</v>
      </c>
      <c r="B43" s="92">
        <v>6.002316255315903E-2</v>
      </c>
      <c r="C43" s="64">
        <f t="shared" si="0"/>
        <v>3730439.5526788337</v>
      </c>
      <c r="D43" s="64">
        <v>-424932.43672483321</v>
      </c>
      <c r="E43" s="66">
        <f t="shared" si="1"/>
        <v>3305507.1159540005</v>
      </c>
      <c r="F43" s="65"/>
    </row>
    <row r="44" spans="1:6">
      <c r="A44" s="40">
        <v>35</v>
      </c>
      <c r="B44" s="92">
        <v>5.8907380889647983E-2</v>
      </c>
      <c r="C44" s="64">
        <f t="shared" si="0"/>
        <v>3661093.7222916223</v>
      </c>
      <c r="D44" s="64">
        <v>-108608.08916558471</v>
      </c>
      <c r="E44" s="66">
        <f t="shared" si="1"/>
        <v>3552485.6331260377</v>
      </c>
      <c r="F44" s="65"/>
    </row>
    <row r="45" spans="1:6">
      <c r="A45" s="40">
        <v>36</v>
      </c>
      <c r="B45" s="92">
        <v>5.7791599226136921E-2</v>
      </c>
      <c r="C45" s="64">
        <f t="shared" si="0"/>
        <v>3591747.8919044095</v>
      </c>
      <c r="D45" s="64">
        <v>-218409.62902601631</v>
      </c>
      <c r="E45" s="66">
        <f t="shared" si="1"/>
        <v>3373338.2628783933</v>
      </c>
      <c r="F45" s="65"/>
    </row>
    <row r="46" spans="1:6">
      <c r="A46" s="40">
        <v>37</v>
      </c>
      <c r="B46" s="92">
        <v>5.667581756262588E-2</v>
      </c>
      <c r="C46" s="64">
        <f t="shared" si="0"/>
        <v>3522402.0615171986</v>
      </c>
      <c r="D46" s="64">
        <v>-368866.64367726416</v>
      </c>
      <c r="E46" s="66">
        <f t="shared" si="1"/>
        <v>3153535.4178399346</v>
      </c>
      <c r="F46" s="65"/>
    </row>
    <row r="47" spans="1:6">
      <c r="A47" s="40">
        <v>38</v>
      </c>
      <c r="B47" s="92">
        <v>5.5560035899114818E-2</v>
      </c>
      <c r="C47" s="64">
        <f t="shared" si="0"/>
        <v>3453056.2311299858</v>
      </c>
      <c r="D47" s="64">
        <v>12253.977637362823</v>
      </c>
      <c r="E47" s="66">
        <f t="shared" si="1"/>
        <v>3465310.2087673484</v>
      </c>
      <c r="F47" s="65"/>
    </row>
    <row r="48" spans="1:6">
      <c r="A48" s="40">
        <v>39</v>
      </c>
      <c r="B48" s="92">
        <v>5.4444254235603763E-2</v>
      </c>
      <c r="C48" s="64">
        <f t="shared" si="0"/>
        <v>3383710.4007427739</v>
      </c>
      <c r="D48" s="64">
        <v>-271332.20953942375</v>
      </c>
      <c r="E48" s="66">
        <f t="shared" si="1"/>
        <v>3112378.1912033502</v>
      </c>
      <c r="F48" s="65"/>
    </row>
    <row r="49" spans="1:6">
      <c r="A49" s="40">
        <v>40</v>
      </c>
      <c r="B49" s="92">
        <v>5.3328472572092708E-2</v>
      </c>
      <c r="C49" s="64">
        <f t="shared" si="0"/>
        <v>3314364.570355562</v>
      </c>
      <c r="D49" s="64">
        <v>-408386.26450490847</v>
      </c>
      <c r="E49" s="66">
        <f t="shared" si="1"/>
        <v>2905978.3058506534</v>
      </c>
      <c r="F49" s="65"/>
    </row>
    <row r="50" spans="1:6">
      <c r="A50" s="40">
        <v>41</v>
      </c>
      <c r="B50" s="92">
        <v>5.2212690908581674E-2</v>
      </c>
      <c r="C50" s="64">
        <f t="shared" si="0"/>
        <v>3245018.7399683511</v>
      </c>
      <c r="D50" s="64">
        <v>-487758.96381531673</v>
      </c>
      <c r="E50" s="66">
        <f t="shared" si="1"/>
        <v>2757259.7761530345</v>
      </c>
      <c r="F50" s="65"/>
    </row>
    <row r="51" spans="1:6">
      <c r="A51" s="40">
        <v>42</v>
      </c>
      <c r="B51" s="92">
        <v>5.1096909245070599E-2</v>
      </c>
      <c r="C51" s="64">
        <f t="shared" si="0"/>
        <v>3175672.9095811378</v>
      </c>
      <c r="D51" s="64">
        <v>-272894.94638443238</v>
      </c>
      <c r="E51" s="66">
        <f t="shared" si="1"/>
        <v>2902777.9631967056</v>
      </c>
      <c r="F51" s="65"/>
    </row>
    <row r="52" spans="1:6">
      <c r="A52" s="40">
        <v>43</v>
      </c>
      <c r="B52" s="92">
        <v>4.9981127581559565E-2</v>
      </c>
      <c r="C52" s="64">
        <f t="shared" si="0"/>
        <v>3106327.0791939269</v>
      </c>
      <c r="D52" s="64">
        <v>86549.685338120064</v>
      </c>
      <c r="E52" s="66">
        <f t="shared" si="1"/>
        <v>3192876.7645320469</v>
      </c>
      <c r="F52" s="65"/>
    </row>
    <row r="53" spans="1:6">
      <c r="A53" s="40">
        <v>44</v>
      </c>
      <c r="B53" s="92">
        <v>4.8865345918048496E-2</v>
      </c>
      <c r="C53" s="64">
        <f t="shared" si="0"/>
        <v>3036981.2488067141</v>
      </c>
      <c r="D53" s="64">
        <v>-1799.7010351537028</v>
      </c>
      <c r="E53" s="66">
        <f t="shared" si="1"/>
        <v>3035181.5477715605</v>
      </c>
      <c r="F53" s="65"/>
    </row>
    <row r="54" spans="1:6">
      <c r="A54" s="40">
        <v>45</v>
      </c>
      <c r="B54" s="92">
        <v>4.7749564254537462E-2</v>
      </c>
      <c r="C54" s="64">
        <f t="shared" si="0"/>
        <v>2967635.4184195031</v>
      </c>
      <c r="D54" s="64">
        <v>231748.79920863715</v>
      </c>
      <c r="E54" s="66">
        <f t="shared" si="1"/>
        <v>3199384.2176281405</v>
      </c>
      <c r="F54" s="65"/>
    </row>
    <row r="55" spans="1:6">
      <c r="A55" s="40">
        <v>46</v>
      </c>
      <c r="B55" s="92">
        <v>4.6633782591026393E-2</v>
      </c>
      <c r="C55" s="64">
        <f t="shared" si="0"/>
        <v>2898289.5880322903</v>
      </c>
      <c r="D55" s="64">
        <v>51438.622517480326</v>
      </c>
      <c r="E55" s="66">
        <f t="shared" si="1"/>
        <v>2949728.2105497709</v>
      </c>
      <c r="F55" s="65"/>
    </row>
    <row r="56" spans="1:6">
      <c r="A56" s="40">
        <v>47</v>
      </c>
      <c r="B56" s="92">
        <v>4.5518000927515338E-2</v>
      </c>
      <c r="C56" s="64">
        <f t="shared" si="0"/>
        <v>2828943.7576450785</v>
      </c>
      <c r="D56" s="64">
        <v>-103570.10377304323</v>
      </c>
      <c r="E56" s="66">
        <f t="shared" si="1"/>
        <v>2725373.6538720354</v>
      </c>
      <c r="F56" s="65"/>
    </row>
    <row r="57" spans="1:6">
      <c r="A57" s="40">
        <v>48</v>
      </c>
      <c r="B57" s="92">
        <v>4.4402219264004297E-2</v>
      </c>
      <c r="C57" s="64">
        <f t="shared" si="0"/>
        <v>2759597.9272578671</v>
      </c>
      <c r="D57" s="64">
        <v>177285.34484781267</v>
      </c>
      <c r="E57" s="66">
        <f t="shared" si="1"/>
        <v>2936883.2721056798</v>
      </c>
      <c r="F57" s="65"/>
    </row>
    <row r="58" spans="1:6">
      <c r="A58" s="40">
        <v>49</v>
      </c>
      <c r="B58" s="92">
        <v>4.3286437600493229E-2</v>
      </c>
      <c r="C58" s="64">
        <f t="shared" si="0"/>
        <v>2690252.0968706543</v>
      </c>
      <c r="D58" s="64">
        <v>644434.26808067039</v>
      </c>
      <c r="E58" s="66">
        <f t="shared" si="1"/>
        <v>3334686.3649513246</v>
      </c>
      <c r="F58" s="65"/>
    </row>
    <row r="59" spans="1:6">
      <c r="A59" s="40">
        <v>50</v>
      </c>
      <c r="B59" s="68">
        <v>4.2170655936982181E-2</v>
      </c>
      <c r="C59" s="64">
        <f t="shared" si="0"/>
        <v>2620906.2664834424</v>
      </c>
      <c r="D59" s="64">
        <v>66878.398001127614</v>
      </c>
      <c r="E59" s="66">
        <f t="shared" si="1"/>
        <v>2687784.6644845698</v>
      </c>
      <c r="F59" s="65"/>
    </row>
    <row r="60" spans="1:6">
      <c r="A60" s="40">
        <v>51</v>
      </c>
      <c r="B60" s="68">
        <v>4.105487427347114E-2</v>
      </c>
      <c r="C60" s="64">
        <f t="shared" si="0"/>
        <v>2551560.4360962315</v>
      </c>
      <c r="D60" s="64">
        <v>316373.79198149027</v>
      </c>
      <c r="E60" s="66">
        <f t="shared" si="1"/>
        <v>2867934.2280777218</v>
      </c>
      <c r="F60" s="65"/>
    </row>
    <row r="61" spans="1:6">
      <c r="A61" s="40">
        <v>52</v>
      </c>
      <c r="B61" s="68">
        <v>3.9939092609960085E-2</v>
      </c>
      <c r="C61" s="64">
        <f t="shared" si="0"/>
        <v>2482214.6057090191</v>
      </c>
      <c r="D61" s="64">
        <v>446235.33687262988</v>
      </c>
      <c r="E61" s="66">
        <f t="shared" si="1"/>
        <v>2928449.9425816489</v>
      </c>
      <c r="F61" s="65"/>
    </row>
    <row r="62" spans="1:6">
      <c r="A62" s="40">
        <v>53</v>
      </c>
      <c r="B62" s="68">
        <v>3.882331094644903E-2</v>
      </c>
      <c r="C62" s="64">
        <f t="shared" si="0"/>
        <v>2412868.7753218072</v>
      </c>
      <c r="D62" s="64">
        <v>213087.81017192724</v>
      </c>
      <c r="E62" s="66">
        <f t="shared" si="1"/>
        <v>2625956.5854937346</v>
      </c>
      <c r="F62" s="65"/>
    </row>
    <row r="63" spans="1:6">
      <c r="A63" s="40">
        <v>54</v>
      </c>
      <c r="B63" s="68">
        <v>3.7707529282937996E-2</v>
      </c>
      <c r="C63" s="64">
        <f t="shared" si="0"/>
        <v>2343522.9449345963</v>
      </c>
      <c r="D63" s="64">
        <v>-21376.075313611182</v>
      </c>
      <c r="E63" s="66">
        <f t="shared" si="1"/>
        <v>2322146.8696209854</v>
      </c>
      <c r="F63" s="65"/>
    </row>
    <row r="64" spans="1:6">
      <c r="A64" s="40">
        <v>55</v>
      </c>
      <c r="B64" s="68">
        <v>3.6591747619426948E-2</v>
      </c>
      <c r="C64" s="64">
        <f t="shared" si="0"/>
        <v>2274177.1145473849</v>
      </c>
      <c r="D64" s="64">
        <v>210464.44590633654</v>
      </c>
      <c r="E64" s="66">
        <f t="shared" si="1"/>
        <v>2484641.5604537213</v>
      </c>
      <c r="F64" s="65"/>
    </row>
    <row r="65" spans="1:6">
      <c r="A65" s="40">
        <v>56</v>
      </c>
      <c r="B65" s="68">
        <v>3.5475965955915893E-2</v>
      </c>
      <c r="C65" s="64">
        <f t="shared" si="0"/>
        <v>2204831.2841601726</v>
      </c>
      <c r="D65" s="64">
        <v>432537.52676578914</v>
      </c>
      <c r="E65" s="66">
        <f t="shared" si="1"/>
        <v>2637368.8109259615</v>
      </c>
      <c r="F65" s="65"/>
    </row>
    <row r="66" spans="1:6">
      <c r="A66" s="40">
        <v>57</v>
      </c>
      <c r="B66" s="68">
        <v>3.4360184292404831E-2</v>
      </c>
      <c r="C66" s="64">
        <f t="shared" si="0"/>
        <v>2135485.4537729602</v>
      </c>
      <c r="D66" s="64">
        <v>551277.99002628669</v>
      </c>
      <c r="E66" s="66">
        <f t="shared" si="1"/>
        <v>2686763.443799247</v>
      </c>
      <c r="F66" s="65"/>
    </row>
    <row r="67" spans="1:6">
      <c r="A67" s="40">
        <v>58</v>
      </c>
      <c r="B67" s="68">
        <v>3.3244402628893784E-2</v>
      </c>
      <c r="C67" s="64">
        <f t="shared" si="0"/>
        <v>2066139.6233857486</v>
      </c>
      <c r="D67" s="64">
        <v>221444.16314113096</v>
      </c>
      <c r="E67" s="66">
        <f t="shared" si="1"/>
        <v>2287583.7865268798</v>
      </c>
      <c r="F67" s="65"/>
    </row>
    <row r="68" spans="1:6">
      <c r="A68" s="40">
        <v>59</v>
      </c>
      <c r="B68" s="68">
        <v>3.2128620965382736E-2</v>
      </c>
      <c r="C68" s="64">
        <f t="shared" si="0"/>
        <v>1996793.792998537</v>
      </c>
      <c r="D68" s="64">
        <v>68679.604727156402</v>
      </c>
      <c r="E68" s="66">
        <f t="shared" si="1"/>
        <v>2065473.3977256934</v>
      </c>
      <c r="F68" s="65"/>
    </row>
    <row r="69" spans="1:6">
      <c r="A69" s="40">
        <v>60</v>
      </c>
      <c r="B69" s="68">
        <v>3.1012839301871691E-2</v>
      </c>
      <c r="C69" s="64">
        <f t="shared" si="0"/>
        <v>1927447.9626113256</v>
      </c>
      <c r="D69" s="64">
        <v>248345.98196862318</v>
      </c>
      <c r="E69" s="66">
        <f t="shared" si="1"/>
        <v>2175793.9445799487</v>
      </c>
      <c r="F69" s="65"/>
    </row>
    <row r="70" spans="1:6">
      <c r="A70" s="40">
        <v>61</v>
      </c>
      <c r="B70" s="68">
        <v>2.9897057638360643E-2</v>
      </c>
      <c r="C70" s="64">
        <f t="shared" si="0"/>
        <v>1858102.1322241139</v>
      </c>
      <c r="D70" s="64">
        <v>588330.88559642597</v>
      </c>
      <c r="E70" s="66">
        <f t="shared" si="1"/>
        <v>2446433.0178205399</v>
      </c>
      <c r="F70" s="65"/>
    </row>
    <row r="71" spans="1:6">
      <c r="A71" s="40">
        <v>62</v>
      </c>
      <c r="B71" s="68">
        <v>2.8781275974849585E-2</v>
      </c>
      <c r="C71" s="64">
        <f t="shared" si="0"/>
        <v>1788756.3018369018</v>
      </c>
      <c r="D71" s="64">
        <v>819464.14670897776</v>
      </c>
      <c r="E71" s="66">
        <f t="shared" si="1"/>
        <v>2608220.4485458797</v>
      </c>
      <c r="F71" s="65"/>
    </row>
    <row r="72" spans="1:6">
      <c r="A72" s="40">
        <v>63</v>
      </c>
      <c r="B72" s="68">
        <v>2.766549431133853E-2</v>
      </c>
      <c r="C72" s="64">
        <f t="shared" si="0"/>
        <v>1719410.4714496897</v>
      </c>
      <c r="D72" s="64">
        <v>828192.90670730511</v>
      </c>
      <c r="E72" s="66">
        <f t="shared" si="1"/>
        <v>2547603.3781569949</v>
      </c>
      <c r="F72" s="65"/>
    </row>
    <row r="73" spans="1:6">
      <c r="A73" s="40">
        <v>64</v>
      </c>
      <c r="B73" s="68">
        <v>2.6549712647827482E-2</v>
      </c>
      <c r="C73" s="64">
        <f t="shared" si="0"/>
        <v>1650064.6410624781</v>
      </c>
      <c r="D73" s="64">
        <v>652315.32877478818</v>
      </c>
      <c r="E73" s="66">
        <f t="shared" si="1"/>
        <v>2302379.969837266</v>
      </c>
      <c r="F73" s="65"/>
    </row>
    <row r="74" spans="1:6">
      <c r="A74" s="40">
        <v>65</v>
      </c>
      <c r="B74" s="68">
        <v>2.5433930984316427E-2</v>
      </c>
      <c r="C74" s="64">
        <f t="shared" si="0"/>
        <v>1580718.810675266</v>
      </c>
      <c r="D74" s="64">
        <v>810440.517143843</v>
      </c>
      <c r="E74" s="66">
        <f t="shared" si="1"/>
        <v>2391159.327819109</v>
      </c>
      <c r="F74" s="65"/>
    </row>
    <row r="75" spans="1:6">
      <c r="A75" s="40">
        <v>66</v>
      </c>
      <c r="B75" s="68">
        <v>2.4318149320805379E-2</v>
      </c>
      <c r="C75" s="64">
        <f t="shared" ref="C75:C85" si="2">B75*$B$3</f>
        <v>1511372.9802880543</v>
      </c>
      <c r="E75" s="66">
        <f t="shared" ref="E75:E85" si="3">SUM(C75:D75)</f>
        <v>1511372.9802880543</v>
      </c>
      <c r="F75" s="65"/>
    </row>
    <row r="76" spans="1:6">
      <c r="A76" s="40">
        <v>67</v>
      </c>
      <c r="B76" s="68">
        <v>2.3202367657294332E-2</v>
      </c>
      <c r="C76" s="64">
        <f t="shared" si="2"/>
        <v>1442027.1499008427</v>
      </c>
      <c r="E76" s="66">
        <f t="shared" si="3"/>
        <v>1442027.1499008427</v>
      </c>
      <c r="F76" s="65"/>
    </row>
    <row r="77" spans="1:6">
      <c r="A77" s="40">
        <v>68</v>
      </c>
      <c r="B77" s="68">
        <v>2.2086585993783277E-2</v>
      </c>
      <c r="C77" s="64">
        <f t="shared" si="2"/>
        <v>1372681.3195136306</v>
      </c>
      <c r="E77" s="66">
        <f t="shared" si="3"/>
        <v>1372681.3195136306</v>
      </c>
      <c r="F77" s="65"/>
    </row>
    <row r="78" spans="1:6">
      <c r="A78" s="40">
        <v>69</v>
      </c>
      <c r="B78" s="68">
        <v>2.0970804330272225E-2</v>
      </c>
      <c r="C78" s="64">
        <f t="shared" si="2"/>
        <v>1303335.4891264187</v>
      </c>
      <c r="E78" s="66">
        <f t="shared" si="3"/>
        <v>1303335.4891264187</v>
      </c>
      <c r="F78" s="65"/>
    </row>
    <row r="79" spans="1:6">
      <c r="A79" s="40">
        <v>70</v>
      </c>
      <c r="B79" s="68">
        <v>1.9855022666761181E-2</v>
      </c>
      <c r="C79" s="64">
        <f t="shared" si="2"/>
        <v>1233989.6587392073</v>
      </c>
      <c r="E79" s="66">
        <f t="shared" si="3"/>
        <v>1233989.6587392073</v>
      </c>
      <c r="F79" s="65"/>
    </row>
    <row r="80" spans="1:6">
      <c r="A80" s="40">
        <v>71</v>
      </c>
      <c r="B80" s="68">
        <v>1.8739241003250123E-2</v>
      </c>
      <c r="C80" s="64">
        <f t="shared" si="2"/>
        <v>1164643.8283519952</v>
      </c>
      <c r="E80" s="66">
        <f t="shared" si="3"/>
        <v>1164643.8283519952</v>
      </c>
      <c r="F80" s="65"/>
    </row>
    <row r="81" spans="1:6">
      <c r="A81" s="40">
        <v>72</v>
      </c>
      <c r="B81" s="68">
        <v>1.7623459339739071E-2</v>
      </c>
      <c r="C81" s="64">
        <f t="shared" si="2"/>
        <v>1095297.9979647833</v>
      </c>
      <c r="E81" s="66">
        <f t="shared" si="3"/>
        <v>1095297.9979647833</v>
      </c>
      <c r="F81" s="65"/>
    </row>
    <row r="82" spans="1:6">
      <c r="A82" s="40">
        <v>73</v>
      </c>
      <c r="B82" s="68">
        <v>1.650767767622802E-2</v>
      </c>
      <c r="C82" s="64">
        <f t="shared" si="2"/>
        <v>1025952.1675775715</v>
      </c>
      <c r="E82" s="66">
        <f t="shared" si="3"/>
        <v>1025952.1675775715</v>
      </c>
      <c r="F82" s="65"/>
    </row>
    <row r="83" spans="1:6">
      <c r="A83" s="40">
        <v>74</v>
      </c>
      <c r="B83" s="68">
        <v>1.539189601271697E-2</v>
      </c>
      <c r="C83" s="64">
        <f t="shared" si="2"/>
        <v>956606.33719035971</v>
      </c>
      <c r="E83" s="66">
        <f t="shared" si="3"/>
        <v>956606.33719035971</v>
      </c>
      <c r="F83" s="65"/>
    </row>
    <row r="84" spans="1:6">
      <c r="A84" s="40">
        <v>75</v>
      </c>
      <c r="B84" s="68">
        <v>1.4276114349205919E-2</v>
      </c>
      <c r="C84" s="64">
        <f t="shared" si="2"/>
        <v>887260.50680314784</v>
      </c>
      <c r="E84" s="66">
        <f t="shared" si="3"/>
        <v>887260.50680314784</v>
      </c>
      <c r="F84" s="65"/>
    </row>
    <row r="85" spans="1:6">
      <c r="A85" s="40">
        <v>76</v>
      </c>
      <c r="B85" s="68">
        <v>6.3333558579127056E-17</v>
      </c>
      <c r="C85" s="64">
        <f t="shared" si="2"/>
        <v>3.9361806656927463E-9</v>
      </c>
      <c r="D85" s="64">
        <v>0</v>
      </c>
      <c r="E85" s="66">
        <f t="shared" si="3"/>
        <v>3.9361806656927463E-9</v>
      </c>
      <c r="F85" s="6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E6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17" sqref="A17:D18"/>
    </sheetView>
  </sheetViews>
  <sheetFormatPr defaultRowHeight="12.75"/>
  <cols>
    <col min="1" max="1" width="9.125" style="40" bestFit="1" customWidth="1"/>
    <col min="2" max="2" width="6.5" style="40" bestFit="1" customWidth="1"/>
    <col min="3" max="3" width="8.875" style="40" bestFit="1" customWidth="1"/>
    <col min="4" max="4" width="8.75" style="40" bestFit="1" customWidth="1"/>
    <col min="5" max="5" width="9" style="40"/>
    <col min="6" max="6" width="11.25" style="40" bestFit="1" customWidth="1"/>
    <col min="7" max="7" width="13.375" style="40" bestFit="1" customWidth="1"/>
    <col min="8" max="8" width="13.375" style="40" customWidth="1"/>
    <col min="9" max="9" width="9.5" style="40" bestFit="1" customWidth="1"/>
    <col min="10" max="10" width="11.125" style="40" bestFit="1" customWidth="1"/>
    <col min="11" max="11" width="11.25" style="40" bestFit="1" customWidth="1"/>
    <col min="12" max="14" width="9" style="40"/>
    <col min="15" max="16" width="9.125" style="40" bestFit="1" customWidth="1"/>
    <col min="17" max="17" width="18" style="40" bestFit="1" customWidth="1"/>
    <col min="18" max="18" width="9" style="40"/>
    <col min="19" max="19" width="12.5" style="40" bestFit="1" customWidth="1"/>
    <col min="20" max="21" width="14.25" style="40" bestFit="1" customWidth="1"/>
    <col min="22" max="22" width="9.125" style="40" bestFit="1" customWidth="1"/>
    <col min="23" max="23" width="9.625" style="40" bestFit="1" customWidth="1"/>
    <col min="24" max="24" width="10.125" style="40" bestFit="1" customWidth="1"/>
    <col min="25" max="27" width="9" style="40"/>
    <col min="28" max="28" width="11.375" style="40" customWidth="1"/>
    <col min="29" max="16384" width="9" style="40"/>
  </cols>
  <sheetData>
    <row r="2" spans="1:31">
      <c r="G2" s="41" t="s">
        <v>56</v>
      </c>
      <c r="H2" s="41"/>
      <c r="J2" s="41" t="s">
        <v>220</v>
      </c>
      <c r="K2" s="64">
        <f>NPV($AB$18,K10:K39)+K9</f>
        <v>204323722.07305539</v>
      </c>
    </row>
    <row r="3" spans="1:31">
      <c r="F3" s="58" t="s">
        <v>61</v>
      </c>
      <c r="G3" s="42">
        <v>6544000</v>
      </c>
      <c r="H3" s="42"/>
      <c r="J3" s="57" t="s">
        <v>91</v>
      </c>
      <c r="K3" s="42">
        <f>-PMT($AB$18,SUM(B9:B39)/12,K2)</f>
        <v>18548843.237100784</v>
      </c>
      <c r="S3" s="43"/>
      <c r="T3" s="37"/>
      <c r="U3" s="37"/>
      <c r="V3" s="37"/>
      <c r="W3" s="37"/>
      <c r="X3" s="37"/>
    </row>
    <row r="4" spans="1:31">
      <c r="F4" s="58" t="s">
        <v>62</v>
      </c>
      <c r="G4" s="44">
        <v>41153</v>
      </c>
      <c r="H4" s="44"/>
      <c r="J4" s="57" t="s">
        <v>15</v>
      </c>
      <c r="K4" s="48">
        <f>K3/D10</f>
        <v>39.827375109453278</v>
      </c>
      <c r="L4" s="80">
        <f>K3/(D10*1.2)</f>
        <v>33.189479257877736</v>
      </c>
      <c r="S4" s="37"/>
      <c r="T4" s="37"/>
      <c r="U4" s="37"/>
      <c r="V4" s="37"/>
      <c r="W4" s="37"/>
      <c r="X4" s="37"/>
    </row>
    <row r="5" spans="1:31" s="41" customFormat="1" ht="63.75">
      <c r="A5" s="41" t="s">
        <v>35</v>
      </c>
      <c r="B5" s="41" t="s">
        <v>81</v>
      </c>
      <c r="C5" s="41" t="s">
        <v>63</v>
      </c>
      <c r="D5" s="41" t="s">
        <v>87</v>
      </c>
      <c r="F5" s="41" t="s">
        <v>60</v>
      </c>
      <c r="G5" s="41" t="s">
        <v>86</v>
      </c>
      <c r="H5" s="41" t="s">
        <v>222</v>
      </c>
      <c r="I5" s="41" t="s">
        <v>64</v>
      </c>
      <c r="J5" s="41" t="s">
        <v>85</v>
      </c>
      <c r="K5" s="41" t="s">
        <v>34</v>
      </c>
      <c r="O5" s="41" t="s">
        <v>65</v>
      </c>
      <c r="P5" s="45" t="s">
        <v>35</v>
      </c>
      <c r="Q5" s="45" t="s">
        <v>88</v>
      </c>
      <c r="S5" s="46" t="s">
        <v>35</v>
      </c>
      <c r="T5" s="46" t="s">
        <v>223</v>
      </c>
      <c r="U5" s="46"/>
      <c r="V5" s="46"/>
      <c r="W5" s="46"/>
      <c r="X5" s="46"/>
      <c r="AB5" s="41" t="s">
        <v>92</v>
      </c>
      <c r="AD5" s="45" t="s">
        <v>88</v>
      </c>
      <c r="AE5" s="41" t="s">
        <v>211</v>
      </c>
    </row>
    <row r="6" spans="1:31" s="41" customFormat="1">
      <c r="A6" s="108" t="s">
        <v>221</v>
      </c>
      <c r="F6" s="42">
        <f>NPV($AB$18,F10:F39)+F9</f>
        <v>165102764.64845827</v>
      </c>
      <c r="G6" s="42">
        <f>NPV($AB$18,G10:G39)+G9</f>
        <v>8678625.0645320788</v>
      </c>
      <c r="H6" s="42"/>
      <c r="I6" s="42">
        <f>NPV($AB$18,I10:I39)+I9</f>
        <v>21069576.605634525</v>
      </c>
      <c r="J6" s="42">
        <f>NPV($AB$18,J10:J39)+J9</f>
        <v>8058842.1358659128</v>
      </c>
      <c r="K6" s="42">
        <f>NPV($AB$18,K10:K39)+K9</f>
        <v>204323722.07305539</v>
      </c>
      <c r="P6" s="45"/>
      <c r="Q6" s="45"/>
      <c r="S6" s="110">
        <v>2018</v>
      </c>
      <c r="T6" s="48">
        <v>10.603420805566264</v>
      </c>
      <c r="U6" s="46"/>
      <c r="V6" s="46"/>
      <c r="W6" s="46"/>
      <c r="X6" s="46"/>
      <c r="AD6" s="45"/>
    </row>
    <row r="7" spans="1:31" s="41" customFormat="1">
      <c r="P7" s="45"/>
      <c r="Q7" s="45"/>
      <c r="S7" s="110">
        <v>2019</v>
      </c>
      <c r="T7" s="48">
        <v>10.591820881672442</v>
      </c>
      <c r="U7" s="46"/>
      <c r="V7" s="46"/>
      <c r="W7" s="46"/>
      <c r="X7" s="46"/>
      <c r="AD7" s="45"/>
    </row>
    <row r="8" spans="1:31">
      <c r="P8" s="40">
        <v>1</v>
      </c>
      <c r="Q8" s="105">
        <v>7.0804996945813825E-2</v>
      </c>
      <c r="S8" s="110">
        <v>2020</v>
      </c>
      <c r="T8" s="48">
        <v>10.627553597838471</v>
      </c>
      <c r="AA8" s="49" t="s">
        <v>74</v>
      </c>
      <c r="AB8" s="50">
        <v>0.1</v>
      </c>
      <c r="AD8" s="47">
        <v>0.13621086755111231</v>
      </c>
      <c r="AE8" s="105">
        <v>0.90189887343390462</v>
      </c>
    </row>
    <row r="9" spans="1:31">
      <c r="A9" s="40">
        <v>2020</v>
      </c>
      <c r="B9" s="40">
        <v>5</v>
      </c>
      <c r="C9" s="48">
        <v>31.35</v>
      </c>
      <c r="D9" s="42">
        <v>187546</v>
      </c>
      <c r="E9" s="42"/>
      <c r="F9" s="42">
        <f>C9*D9</f>
        <v>5879567.1000000006</v>
      </c>
      <c r="G9" s="42">
        <f>$G$3*Q8</f>
        <v>463347.90001340566</v>
      </c>
      <c r="H9" s="42">
        <v>949766.70000000042</v>
      </c>
      <c r="I9" s="42">
        <f>B9/12*T8*144000</f>
        <v>637653.21587030834</v>
      </c>
      <c r="J9" s="42">
        <f t="shared" ref="J9:J29" si="0">SUM(F9,I9)*SUM($AB$15:$AB$17)</f>
        <v>282110.915813078</v>
      </c>
      <c r="K9" s="42">
        <f>SUM(F9:J9)</f>
        <v>8212445.8316967934</v>
      </c>
      <c r="O9" s="56">
        <v>23.981677451012022</v>
      </c>
      <c r="P9" s="40">
        <v>2</v>
      </c>
      <c r="Q9" s="105">
        <v>0.12389647285402577</v>
      </c>
      <c r="S9" s="110">
        <v>2021</v>
      </c>
      <c r="T9" s="48">
        <v>10.669284234419008</v>
      </c>
      <c r="U9" s="42"/>
      <c r="V9" s="42"/>
      <c r="W9" s="55"/>
      <c r="X9" s="55"/>
      <c r="AA9" s="49" t="s">
        <v>75</v>
      </c>
      <c r="AB9" s="50">
        <v>0.25</v>
      </c>
      <c r="AD9" s="47">
        <v>0.13253847535067867</v>
      </c>
      <c r="AE9" s="105">
        <v>0.91380297119601961</v>
      </c>
    </row>
    <row r="10" spans="1:31">
      <c r="A10" s="40">
        <v>2021</v>
      </c>
      <c r="B10" s="40">
        <v>12</v>
      </c>
      <c r="C10" s="48">
        <v>31.35</v>
      </c>
      <c r="D10" s="109">
        <v>465731</v>
      </c>
      <c r="E10" s="42"/>
      <c r="F10" s="42">
        <f>C10*D10</f>
        <v>14600666.850000001</v>
      </c>
      <c r="G10" s="42">
        <f t="shared" ref="G10:G58" si="1">$G$3*Q9</f>
        <v>810778.51835674467</v>
      </c>
      <c r="H10" s="42">
        <v>494922.17999999988</v>
      </c>
      <c r="I10" s="42">
        <f t="shared" ref="I10:I29" si="2">B10/12*T9*144000</f>
        <v>1536376.9297563371</v>
      </c>
      <c r="J10" s="42">
        <f t="shared" si="0"/>
        <v>698524.21409431251</v>
      </c>
      <c r="K10" s="42">
        <f>SUM(F10:J10)</f>
        <v>18141268.692207392</v>
      </c>
      <c r="O10" s="56">
        <v>24.296512958963074</v>
      </c>
      <c r="P10" s="40">
        <v>3</v>
      </c>
      <c r="Q10" s="105">
        <v>0.1208259132265571</v>
      </c>
      <c r="S10" s="110">
        <v>2022</v>
      </c>
      <c r="T10" s="48">
        <v>10.888872741589921</v>
      </c>
      <c r="U10" s="42"/>
      <c r="V10" s="42"/>
      <c r="W10" s="55"/>
      <c r="X10" s="55"/>
      <c r="AA10" s="49" t="s">
        <v>76</v>
      </c>
      <c r="AB10" s="51">
        <v>0.10199999999999999</v>
      </c>
      <c r="AD10" s="47">
        <v>0.12831313646685594</v>
      </c>
      <c r="AE10" s="105">
        <v>0.9197850908698314</v>
      </c>
    </row>
    <row r="11" spans="1:31">
      <c r="A11" s="40">
        <v>2022</v>
      </c>
      <c r="B11" s="40">
        <v>12</v>
      </c>
      <c r="C11" s="48">
        <v>31.35</v>
      </c>
      <c r="D11" s="109">
        <v>465731</v>
      </c>
      <c r="E11" s="42"/>
      <c r="F11" s="42">
        <f t="shared" ref="F11:F29" si="3">C11*D11</f>
        <v>14600666.850000001</v>
      </c>
      <c r="G11" s="42">
        <f t="shared" si="1"/>
        <v>790684.77615458961</v>
      </c>
      <c r="H11" s="42"/>
      <c r="I11" s="42">
        <f t="shared" si="2"/>
        <v>1567997.6747889486</v>
      </c>
      <c r="J11" s="42">
        <f t="shared" si="0"/>
        <v>699892.9812845391</v>
      </c>
      <c r="K11" s="42">
        <f t="shared" ref="K11:K58" si="4">SUM(F11:J11)</f>
        <v>17659242.282228079</v>
      </c>
      <c r="O11" s="56">
        <v>25.953191717312215</v>
      </c>
      <c r="P11" s="40">
        <v>4</v>
      </c>
      <c r="Q11" s="105">
        <v>0.11785468405430491</v>
      </c>
      <c r="S11" s="110">
        <v>2023</v>
      </c>
      <c r="T11" s="48">
        <v>11.383038268083432</v>
      </c>
      <c r="U11" s="42"/>
      <c r="V11" s="42"/>
      <c r="W11" s="55"/>
      <c r="X11" s="55"/>
      <c r="AA11" s="49" t="s">
        <v>77</v>
      </c>
      <c r="AB11" s="51">
        <v>5.9299999999999999E-2</v>
      </c>
      <c r="AD11" s="47">
        <v>0.12428438825837744</v>
      </c>
      <c r="AE11" s="105">
        <v>0.92554728085033233</v>
      </c>
    </row>
    <row r="12" spans="1:31">
      <c r="A12" s="40">
        <v>2023</v>
      </c>
      <c r="B12" s="40">
        <v>12</v>
      </c>
      <c r="C12" s="48">
        <v>31.35</v>
      </c>
      <c r="D12" s="109">
        <v>465731</v>
      </c>
      <c r="E12" s="42"/>
      <c r="F12" s="42">
        <f t="shared" si="3"/>
        <v>14600666.850000001</v>
      </c>
      <c r="G12" s="42">
        <f t="shared" si="1"/>
        <v>771241.05245137133</v>
      </c>
      <c r="H12" s="42"/>
      <c r="I12" s="42">
        <f t="shared" si="2"/>
        <v>1639157.5106040142</v>
      </c>
      <c r="J12" s="42">
        <f t="shared" si="0"/>
        <v>702973.27709746594</v>
      </c>
      <c r="K12" s="42">
        <f t="shared" si="4"/>
        <v>17714038.690152854</v>
      </c>
      <c r="O12" s="56">
        <v>29.681408377636004</v>
      </c>
      <c r="P12" s="40">
        <v>5</v>
      </c>
      <c r="Q12" s="105">
        <v>0.11497534270950079</v>
      </c>
      <c r="S12" s="110">
        <v>2024</v>
      </c>
      <c r="T12" s="48">
        <v>11.693143613046292</v>
      </c>
      <c r="U12" s="42"/>
      <c r="V12" s="42"/>
      <c r="W12" s="55"/>
      <c r="X12" s="55"/>
      <c r="AA12" s="49" t="s">
        <v>78</v>
      </c>
      <c r="AB12" s="50">
        <v>0.21</v>
      </c>
      <c r="AD12" s="47">
        <v>0.12043750058818575</v>
      </c>
      <c r="AE12" s="105">
        <v>0.93108846929979494</v>
      </c>
    </row>
    <row r="13" spans="1:31">
      <c r="A13" s="40">
        <v>2024</v>
      </c>
      <c r="B13" s="40">
        <v>12</v>
      </c>
      <c r="C13" s="48">
        <v>31.35</v>
      </c>
      <c r="D13" s="109">
        <v>465731</v>
      </c>
      <c r="E13" s="42"/>
      <c r="F13" s="42">
        <f t="shared" si="3"/>
        <v>14600666.850000001</v>
      </c>
      <c r="G13" s="42">
        <f t="shared" si="1"/>
        <v>752398.64269097312</v>
      </c>
      <c r="H13" s="42"/>
      <c r="I13" s="42">
        <f t="shared" si="2"/>
        <v>1683812.6802786661</v>
      </c>
      <c r="J13" s="42">
        <f t="shared" si="0"/>
        <v>704906.26542717253</v>
      </c>
      <c r="K13" s="42">
        <f t="shared" si="4"/>
        <v>17741784.438396811</v>
      </c>
      <c r="O13" s="56">
        <v>32.020988642875672</v>
      </c>
      <c r="P13" s="40">
        <v>6</v>
      </c>
      <c r="Q13" s="105">
        <v>0.11218111449250946</v>
      </c>
      <c r="S13" s="110">
        <v>2025</v>
      </c>
      <c r="T13" s="48">
        <v>11.767853528795273</v>
      </c>
      <c r="U13" s="42"/>
      <c r="V13" s="42"/>
      <c r="W13" s="55"/>
      <c r="X13" s="55"/>
      <c r="AA13" s="49" t="s">
        <v>79</v>
      </c>
      <c r="AB13" s="50">
        <v>0.5</v>
      </c>
      <c r="AD13" s="47">
        <v>0.11675906525460035</v>
      </c>
      <c r="AE13" s="105">
        <v>0.93640773413805312</v>
      </c>
    </row>
    <row r="14" spans="1:31">
      <c r="A14" s="40">
        <v>2025</v>
      </c>
      <c r="B14" s="40">
        <v>12</v>
      </c>
      <c r="C14" s="48">
        <v>31.35</v>
      </c>
      <c r="D14" s="109">
        <v>465731</v>
      </c>
      <c r="E14" s="42"/>
      <c r="F14" s="42">
        <f t="shared" si="3"/>
        <v>14600666.850000001</v>
      </c>
      <c r="G14" s="42">
        <f t="shared" si="1"/>
        <v>734113.2132389819</v>
      </c>
      <c r="H14" s="42"/>
      <c r="I14" s="42">
        <f t="shared" si="2"/>
        <v>1694570.9081465192</v>
      </c>
      <c r="J14" s="42">
        <f t="shared" si="0"/>
        <v>705371.95683688833</v>
      </c>
      <c r="K14" s="42">
        <f t="shared" si="4"/>
        <v>17734722.928222388</v>
      </c>
      <c r="O14" s="56">
        <v>32.584635311155346</v>
      </c>
      <c r="P14" s="40">
        <v>7</v>
      </c>
      <c r="Q14" s="105">
        <v>0.10946560637691446</v>
      </c>
      <c r="S14" s="110">
        <v>2026</v>
      </c>
      <c r="T14" s="48">
        <v>11.990636114645319</v>
      </c>
      <c r="U14" s="42"/>
      <c r="V14" s="42"/>
      <c r="W14" s="55"/>
      <c r="X14" s="55"/>
      <c r="AA14" s="49" t="s">
        <v>80</v>
      </c>
      <c r="AB14" s="50">
        <v>1.3</v>
      </c>
      <c r="AD14" s="47">
        <v>0.11323642944758457</v>
      </c>
      <c r="AE14" s="105">
        <v>0.94150579699865866</v>
      </c>
    </row>
    <row r="15" spans="1:31">
      <c r="A15" s="40">
        <v>2026</v>
      </c>
      <c r="B15" s="40">
        <v>12</v>
      </c>
      <c r="C15" s="48">
        <v>31.35</v>
      </c>
      <c r="D15" s="109">
        <v>465731</v>
      </c>
      <c r="E15" s="42"/>
      <c r="F15" s="42">
        <f t="shared" si="3"/>
        <v>14600666.850000001</v>
      </c>
      <c r="G15" s="42">
        <f t="shared" si="1"/>
        <v>716342.92813052831</v>
      </c>
      <c r="H15" s="42"/>
      <c r="I15" s="42">
        <f t="shared" si="2"/>
        <v>1726651.600508926</v>
      </c>
      <c r="J15" s="42">
        <f t="shared" si="0"/>
        <v>706760.6337671798</v>
      </c>
      <c r="K15" s="42">
        <f t="shared" si="4"/>
        <v>17750422.012406636</v>
      </c>
      <c r="O15" s="56">
        <v>34.265411698148135</v>
      </c>
      <c r="P15" s="40">
        <v>8</v>
      </c>
      <c r="Q15" s="105">
        <v>0.10682290242782301</v>
      </c>
      <c r="S15" s="110">
        <v>2027</v>
      </c>
      <c r="T15" s="48">
        <v>12.434464584496357</v>
      </c>
      <c r="U15" s="42"/>
      <c r="V15" s="42"/>
      <c r="W15" s="55"/>
      <c r="X15" s="55"/>
      <c r="AA15" s="52" t="s">
        <v>82</v>
      </c>
      <c r="AB15" s="51">
        <v>2.66E-3</v>
      </c>
      <c r="AD15" s="47">
        <v>0.10985788459665688</v>
      </c>
      <c r="AE15" s="105">
        <v>0.94638420456543315</v>
      </c>
    </row>
    <row r="16" spans="1:31">
      <c r="A16" s="40">
        <v>2027</v>
      </c>
      <c r="B16" s="40">
        <v>12</v>
      </c>
      <c r="C16" s="48">
        <v>31.35</v>
      </c>
      <c r="D16" s="109">
        <v>465731</v>
      </c>
      <c r="E16" s="42"/>
      <c r="F16" s="42">
        <f t="shared" si="3"/>
        <v>14600666.850000001</v>
      </c>
      <c r="G16" s="42">
        <f t="shared" si="1"/>
        <v>699049.07348767377</v>
      </c>
      <c r="H16" s="42"/>
      <c r="I16" s="42">
        <f t="shared" si="2"/>
        <v>1790562.9001674755</v>
      </c>
      <c r="J16" s="42">
        <f t="shared" si="0"/>
        <v>709527.16219549952</v>
      </c>
      <c r="K16" s="42">
        <f t="shared" si="4"/>
        <v>17799805.985850651</v>
      </c>
      <c r="O16" s="56">
        <v>37.613861978292029</v>
      </c>
      <c r="P16" s="40">
        <v>9</v>
      </c>
      <c r="Q16" s="105">
        <v>0.10422113293145766</v>
      </c>
      <c r="S16" s="110">
        <v>2028</v>
      </c>
      <c r="T16" s="48">
        <v>12.771589787666805</v>
      </c>
      <c r="U16" s="42"/>
      <c r="V16" s="42"/>
      <c r="W16" s="55"/>
      <c r="X16" s="55"/>
      <c r="AA16" s="52" t="s">
        <v>83</v>
      </c>
      <c r="AB16" s="51">
        <v>2E-3</v>
      </c>
      <c r="AD16" s="47">
        <v>0.10656035549954544</v>
      </c>
      <c r="AE16" s="105">
        <v>0.95124671534280825</v>
      </c>
    </row>
    <row r="17" spans="1:31">
      <c r="A17" s="40">
        <v>2028</v>
      </c>
      <c r="B17" s="40">
        <v>12</v>
      </c>
      <c r="C17" s="48">
        <v>31.35</v>
      </c>
      <c r="D17" s="109">
        <v>465731</v>
      </c>
      <c r="E17" s="42"/>
      <c r="F17" s="42">
        <f t="shared" si="3"/>
        <v>14600666.850000001</v>
      </c>
      <c r="G17" s="42">
        <f t="shared" si="1"/>
        <v>682023.09390345891</v>
      </c>
      <c r="H17" s="42"/>
      <c r="I17" s="42">
        <f t="shared" si="2"/>
        <v>1839108.92942402</v>
      </c>
      <c r="J17" s="42">
        <f t="shared" si="0"/>
        <v>711628.57416392746</v>
      </c>
      <c r="K17" s="42">
        <f t="shared" si="4"/>
        <v>17833427.447491411</v>
      </c>
      <c r="O17" s="56">
        <v>40.157292735175488</v>
      </c>
      <c r="P17" s="40">
        <v>10</v>
      </c>
      <c r="Q17" s="105">
        <v>0.1016252793699851</v>
      </c>
      <c r="S17" s="110">
        <v>2029</v>
      </c>
      <c r="T17" s="48">
        <v>13.288612385169321</v>
      </c>
      <c r="U17" s="42"/>
      <c r="V17" s="42"/>
      <c r="W17" s="55"/>
      <c r="X17" s="55"/>
      <c r="AA17" s="52" t="s">
        <v>84</v>
      </c>
      <c r="AB17" s="51">
        <f>3.8627%</f>
        <v>3.8626999999999995E-2</v>
      </c>
      <c r="AD17" s="47">
        <v>0.10327453497291557</v>
      </c>
      <c r="AE17" s="105">
        <v>0.95636837347382397</v>
      </c>
    </row>
    <row r="18" spans="1:31">
      <c r="A18" s="40">
        <v>2029</v>
      </c>
      <c r="B18" s="40">
        <v>12</v>
      </c>
      <c r="C18" s="48">
        <v>31.35</v>
      </c>
      <c r="D18" s="109">
        <v>465731</v>
      </c>
      <c r="E18" s="42"/>
      <c r="F18" s="42">
        <f t="shared" si="3"/>
        <v>14600666.850000001</v>
      </c>
      <c r="G18" s="42">
        <f t="shared" si="1"/>
        <v>665035.82819718251</v>
      </c>
      <c r="H18" s="42"/>
      <c r="I18" s="42">
        <f t="shared" si="2"/>
        <v>1913560.1834643823</v>
      </c>
      <c r="J18" s="42">
        <f t="shared" si="0"/>
        <v>714851.34559757262</v>
      </c>
      <c r="K18" s="42">
        <f t="shared" si="4"/>
        <v>17894114.207259141</v>
      </c>
      <c r="O18" s="56">
        <v>44.05795386678129</v>
      </c>
      <c r="P18" s="40">
        <v>11</v>
      </c>
      <c r="Q18" s="105">
        <v>9.9029425808512594E-2</v>
      </c>
      <c r="S18" s="110">
        <v>2030</v>
      </c>
      <c r="T18" s="48">
        <v>13.660148937482719</v>
      </c>
      <c r="U18" s="42"/>
      <c r="V18" s="42"/>
      <c r="W18" s="55"/>
      <c r="X18" s="55"/>
      <c r="AA18" s="53" t="s">
        <v>89</v>
      </c>
      <c r="AB18" s="68">
        <v>6.6305000000000003E-2</v>
      </c>
      <c r="AD18" s="47">
        <v>9.9988714446285695E-2</v>
      </c>
      <c r="AE18" s="105">
        <v>0.96182394328247434</v>
      </c>
    </row>
    <row r="19" spans="1:31">
      <c r="A19" s="40">
        <v>2030</v>
      </c>
      <c r="B19" s="40">
        <v>12</v>
      </c>
      <c r="C19" s="48">
        <v>31.35</v>
      </c>
      <c r="D19" s="109">
        <v>465731</v>
      </c>
      <c r="E19" s="42"/>
      <c r="F19" s="42">
        <f t="shared" si="3"/>
        <v>14600666.850000001</v>
      </c>
      <c r="G19" s="42">
        <f t="shared" si="1"/>
        <v>648048.56249090645</v>
      </c>
      <c r="H19" s="42"/>
      <c r="I19" s="42">
        <f t="shared" si="2"/>
        <v>1967061.4469975114</v>
      </c>
      <c r="J19" s="42">
        <f t="shared" si="0"/>
        <v>717167.25479213125</v>
      </c>
      <c r="K19" s="42">
        <f t="shared" si="4"/>
        <v>17932944.114280552</v>
      </c>
      <c r="O19" s="56">
        <v>46.860999991999499</v>
      </c>
      <c r="P19" s="40">
        <v>12</v>
      </c>
      <c r="Q19" s="105">
        <v>9.6433572247040064E-2</v>
      </c>
      <c r="S19" s="110">
        <v>2031</v>
      </c>
      <c r="T19" s="48">
        <v>13.821243057523864</v>
      </c>
      <c r="U19" s="42"/>
      <c r="V19" s="42"/>
      <c r="W19" s="55"/>
      <c r="X19" s="55"/>
      <c r="AD19" s="47">
        <v>9.6702893919655891E-2</v>
      </c>
      <c r="AE19" s="105">
        <v>0.96764717967527514</v>
      </c>
    </row>
    <row r="20" spans="1:31">
      <c r="A20" s="40">
        <v>2031</v>
      </c>
      <c r="B20" s="40">
        <v>12</v>
      </c>
      <c r="C20" s="48">
        <v>31.35</v>
      </c>
      <c r="D20" s="109">
        <v>465731</v>
      </c>
      <c r="E20" s="42"/>
      <c r="F20" s="42">
        <f t="shared" si="3"/>
        <v>14600666.850000001</v>
      </c>
      <c r="G20" s="42">
        <f t="shared" si="1"/>
        <v>631061.29678463016</v>
      </c>
      <c r="H20" s="42"/>
      <c r="I20" s="42">
        <f t="shared" si="2"/>
        <v>1990259.0002834364</v>
      </c>
      <c r="J20" s="42">
        <f t="shared" si="0"/>
        <v>718171.40728121903</v>
      </c>
      <c r="K20" s="42">
        <f t="shared" si="4"/>
        <v>17940158.554349288</v>
      </c>
      <c r="O20" s="56">
        <v>48.076369640463831</v>
      </c>
      <c r="P20" s="40">
        <v>13</v>
      </c>
      <c r="Q20" s="105">
        <v>9.3837718685567492E-2</v>
      </c>
      <c r="S20" s="110">
        <v>2032</v>
      </c>
      <c r="T20" s="48">
        <v>14.220071137464625</v>
      </c>
      <c r="U20" s="42"/>
      <c r="V20" s="42"/>
      <c r="W20" s="55"/>
      <c r="X20" s="55"/>
      <c r="AD20" s="47">
        <v>9.3417073393026032E-2</v>
      </c>
      <c r="AE20" s="105">
        <v>0.97387654589389583</v>
      </c>
    </row>
    <row r="21" spans="1:31">
      <c r="A21" s="40">
        <v>2032</v>
      </c>
      <c r="B21" s="40">
        <v>12</v>
      </c>
      <c r="C21" s="48">
        <v>31.35</v>
      </c>
      <c r="D21" s="109">
        <v>465731</v>
      </c>
      <c r="E21" s="42"/>
      <c r="F21" s="42">
        <f t="shared" si="3"/>
        <v>14600666.850000001</v>
      </c>
      <c r="G21" s="42">
        <f t="shared" si="1"/>
        <v>614074.03107835364</v>
      </c>
      <c r="H21" s="42"/>
      <c r="I21" s="42">
        <f t="shared" si="2"/>
        <v>2047690.243794906</v>
      </c>
      <c r="J21" s="42">
        <f t="shared" si="0"/>
        <v>720657.43351910007</v>
      </c>
      <c r="K21" s="42">
        <f t="shared" si="4"/>
        <v>17983088.558392361</v>
      </c>
      <c r="O21" s="56">
        <v>51.085315858932226</v>
      </c>
      <c r="P21" s="40">
        <v>14</v>
      </c>
      <c r="Q21" s="105">
        <v>9.1241865124094976E-2</v>
      </c>
      <c r="S21" s="110">
        <v>2033</v>
      </c>
      <c r="T21" s="48">
        <v>14.448874614535544</v>
      </c>
      <c r="U21" s="42"/>
      <c r="V21" s="42"/>
      <c r="W21" s="55"/>
      <c r="X21" s="55"/>
      <c r="AD21" s="47">
        <v>9.0131252866396186E-2</v>
      </c>
      <c r="AE21" s="105">
        <v>0.98055606410990437</v>
      </c>
    </row>
    <row r="22" spans="1:31">
      <c r="A22" s="40">
        <v>2033</v>
      </c>
      <c r="B22" s="40">
        <v>12</v>
      </c>
      <c r="C22" s="48">
        <v>31.35</v>
      </c>
      <c r="D22" s="109">
        <v>465731</v>
      </c>
      <c r="E22" s="42"/>
      <c r="F22" s="42">
        <f t="shared" si="3"/>
        <v>14600666.850000001</v>
      </c>
      <c r="G22" s="42">
        <f t="shared" si="1"/>
        <v>597086.76537207747</v>
      </c>
      <c r="H22" s="42"/>
      <c r="I22" s="42">
        <f t="shared" si="2"/>
        <v>2080637.9444931184</v>
      </c>
      <c r="J22" s="42">
        <f t="shared" si="0"/>
        <v>722083.64063922351</v>
      </c>
      <c r="K22" s="42">
        <f t="shared" si="4"/>
        <v>18000475.200504418</v>
      </c>
      <c r="O22" s="56">
        <v>52.81151667510148</v>
      </c>
      <c r="P22" s="40">
        <v>15</v>
      </c>
      <c r="Q22" s="105">
        <v>8.8646011562622432E-2</v>
      </c>
      <c r="S22" s="110">
        <v>2034</v>
      </c>
      <c r="T22" s="48">
        <v>14.750315459544414</v>
      </c>
      <c r="U22" s="42"/>
      <c r="V22" s="42"/>
      <c r="W22" s="55"/>
      <c r="X22" s="55"/>
      <c r="AD22" s="47">
        <v>8.6845432339766326E-2</v>
      </c>
      <c r="AE22" s="105">
        <v>0.9877363573311837</v>
      </c>
    </row>
    <row r="23" spans="1:31">
      <c r="A23" s="40">
        <v>2034</v>
      </c>
      <c r="B23" s="40">
        <v>12</v>
      </c>
      <c r="C23" s="48">
        <v>31.35</v>
      </c>
      <c r="D23" s="109">
        <v>465731</v>
      </c>
      <c r="E23" s="42"/>
      <c r="F23" s="42">
        <f t="shared" si="3"/>
        <v>14600666.850000001</v>
      </c>
      <c r="G23" s="42">
        <f t="shared" si="1"/>
        <v>580099.49966580118</v>
      </c>
      <c r="H23" s="42"/>
      <c r="I23" s="42">
        <f t="shared" si="2"/>
        <v>2124045.4261743957</v>
      </c>
      <c r="J23" s="42">
        <f t="shared" si="0"/>
        <v>723962.62029876094</v>
      </c>
      <c r="K23" s="42">
        <f t="shared" si="4"/>
        <v>18028774.396138959</v>
      </c>
      <c r="O23" s="56">
        <v>55.085727886147772</v>
      </c>
      <c r="P23" s="40">
        <v>16</v>
      </c>
      <c r="Q23" s="105">
        <v>8.6050158001149887E-2</v>
      </c>
      <c r="S23" s="110">
        <v>2035</v>
      </c>
      <c r="T23" s="48">
        <v>15.070171363386953</v>
      </c>
      <c r="U23" s="42"/>
      <c r="V23" s="42"/>
      <c r="W23" s="55"/>
      <c r="X23" s="55"/>
      <c r="AD23" s="47">
        <v>8.3559611813136481E-2</v>
      </c>
      <c r="AE23" s="105">
        <v>0.9954759347754828</v>
      </c>
    </row>
    <row r="24" spans="1:31">
      <c r="A24" s="40">
        <v>2035</v>
      </c>
      <c r="B24" s="40">
        <v>12</v>
      </c>
      <c r="C24" s="48">
        <v>31.35</v>
      </c>
      <c r="D24" s="109">
        <v>465731</v>
      </c>
      <c r="E24" s="42"/>
      <c r="F24" s="42">
        <f t="shared" si="3"/>
        <v>14600666.850000001</v>
      </c>
      <c r="G24" s="42">
        <f t="shared" si="1"/>
        <v>563112.23395952489</v>
      </c>
      <c r="H24" s="42"/>
      <c r="I24" s="42">
        <f t="shared" si="2"/>
        <v>2170104.6763277212</v>
      </c>
      <c r="J24" s="42">
        <f t="shared" si="0"/>
        <v>725956.38706014794</v>
      </c>
      <c r="K24" s="42">
        <f t="shared" si="4"/>
        <v>18059840.147347394</v>
      </c>
      <c r="O24" s="56">
        <v>57.498870943840082</v>
      </c>
      <c r="P24" s="40">
        <v>17</v>
      </c>
      <c r="Q24" s="105">
        <v>8.3454304439677343E-2</v>
      </c>
      <c r="S24" s="110">
        <v>2036</v>
      </c>
      <c r="T24" s="48">
        <v>15.466393765664677</v>
      </c>
      <c r="U24" s="42"/>
      <c r="V24" s="42"/>
      <c r="W24" s="55"/>
      <c r="X24" s="55"/>
      <c r="AD24" s="47">
        <v>8.0273791286506649E-2</v>
      </c>
      <c r="AE24" s="105">
        <v>1.0038427897749844</v>
      </c>
    </row>
    <row r="25" spans="1:31">
      <c r="A25" s="40">
        <v>2036</v>
      </c>
      <c r="B25" s="40">
        <v>12</v>
      </c>
      <c r="C25" s="48">
        <v>31.35</v>
      </c>
      <c r="D25" s="109">
        <v>465731</v>
      </c>
      <c r="E25" s="42"/>
      <c r="F25" s="42">
        <f t="shared" si="3"/>
        <v>14600666.850000001</v>
      </c>
      <c r="G25" s="42">
        <f t="shared" si="1"/>
        <v>546124.96825324849</v>
      </c>
      <c r="H25" s="42"/>
      <c r="I25" s="42">
        <f t="shared" si="2"/>
        <v>2227160.7022557133</v>
      </c>
      <c r="J25" s="42">
        <f t="shared" si="0"/>
        <v>728426.17125449306</v>
      </c>
      <c r="K25" s="42">
        <f t="shared" si="4"/>
        <v>18102378.691763457</v>
      </c>
      <c r="O25" s="56">
        <v>60.488158707086598</v>
      </c>
      <c r="P25" s="40">
        <v>18</v>
      </c>
      <c r="Q25" s="105">
        <v>8.0858450878204827E-2</v>
      </c>
      <c r="S25" s="110">
        <v>2037</v>
      </c>
      <c r="T25" s="48">
        <v>15.999838869691642</v>
      </c>
      <c r="U25" s="42"/>
      <c r="V25" s="42"/>
      <c r="W25" s="55"/>
      <c r="X25" s="55"/>
      <c r="AD25" s="47">
        <v>7.6987970759876803E-2</v>
      </c>
      <c r="AE25" s="105">
        <v>1.0129164026113584</v>
      </c>
    </row>
    <row r="26" spans="1:31">
      <c r="A26" s="40">
        <v>2037</v>
      </c>
      <c r="B26" s="40">
        <v>12</v>
      </c>
      <c r="C26" s="48">
        <v>31.35</v>
      </c>
      <c r="D26" s="109">
        <v>465731</v>
      </c>
      <c r="E26" s="42"/>
      <c r="F26" s="42">
        <f t="shared" si="3"/>
        <v>14600666.850000001</v>
      </c>
      <c r="G26" s="42">
        <f t="shared" si="1"/>
        <v>529137.70254697243</v>
      </c>
      <c r="H26" s="42"/>
      <c r="I26" s="42">
        <f t="shared" si="2"/>
        <v>2303976.7972355965</v>
      </c>
      <c r="J26" s="42">
        <f t="shared" si="0"/>
        <v>731751.30955788726</v>
      </c>
      <c r="K26" s="42">
        <f t="shared" si="4"/>
        <v>18165532.65934046</v>
      </c>
      <c r="O26" s="56">
        <v>64.512718935546005</v>
      </c>
      <c r="P26" s="40">
        <v>19</v>
      </c>
      <c r="Q26" s="105">
        <v>7.8262597316732282E-2</v>
      </c>
      <c r="S26" s="110">
        <v>2038</v>
      </c>
      <c r="T26" s="48">
        <v>16.161887411624551</v>
      </c>
      <c r="U26" s="42"/>
      <c r="V26" s="42"/>
      <c r="W26" s="55"/>
      <c r="X26" s="55"/>
      <c r="AD26" s="47">
        <v>7.3702150233246957E-2</v>
      </c>
      <c r="AE26" s="105">
        <v>1.0227902732779144</v>
      </c>
    </row>
    <row r="27" spans="1:31">
      <c r="A27" s="40">
        <v>2038</v>
      </c>
      <c r="B27" s="40">
        <v>12</v>
      </c>
      <c r="C27" s="48">
        <v>31.35</v>
      </c>
      <c r="D27" s="109">
        <v>465731</v>
      </c>
      <c r="E27" s="42"/>
      <c r="F27" s="42">
        <f t="shared" si="3"/>
        <v>14600666.850000001</v>
      </c>
      <c r="G27" s="42">
        <f t="shared" si="1"/>
        <v>512150.43684069603</v>
      </c>
      <c r="H27" s="42"/>
      <c r="I27" s="42">
        <f t="shared" si="2"/>
        <v>2327311.7872739355</v>
      </c>
      <c r="J27" s="42">
        <f t="shared" si="0"/>
        <v>732761.41127167677</v>
      </c>
      <c r="K27" s="42">
        <f t="shared" si="4"/>
        <v>18172890.485386308</v>
      </c>
      <c r="O27" s="56">
        <v>65.735289190703881</v>
      </c>
      <c r="P27" s="40">
        <v>20</v>
      </c>
      <c r="Q27" s="105">
        <v>7.5666743755259724E-2</v>
      </c>
      <c r="S27" s="110">
        <v>2039</v>
      </c>
      <c r="T27" s="48">
        <v>16.491371315953987</v>
      </c>
      <c r="U27" s="42"/>
      <c r="V27" s="42"/>
      <c r="W27" s="55"/>
      <c r="X27" s="55"/>
      <c r="AD27" s="47">
        <v>7.0416329706617126E-2</v>
      </c>
      <c r="AE27" s="105">
        <v>1.0335751552966368</v>
      </c>
    </row>
    <row r="28" spans="1:31">
      <c r="A28" s="40">
        <v>2039</v>
      </c>
      <c r="B28" s="40">
        <v>12</v>
      </c>
      <c r="C28" s="48">
        <v>31.35</v>
      </c>
      <c r="D28" s="109">
        <v>465731</v>
      </c>
      <c r="E28" s="42"/>
      <c r="F28" s="42">
        <f t="shared" si="3"/>
        <v>14600666.850000001</v>
      </c>
      <c r="G28" s="42">
        <f t="shared" si="1"/>
        <v>495163.17113441962</v>
      </c>
      <c r="H28" s="42"/>
      <c r="I28" s="42">
        <f t="shared" si="2"/>
        <v>2374757.4694973743</v>
      </c>
      <c r="J28" s="42">
        <f t="shared" si="0"/>
        <v>734815.1925180828</v>
      </c>
      <c r="K28" s="42">
        <f t="shared" si="4"/>
        <v>18205402.683149878</v>
      </c>
      <c r="O28" s="56">
        <v>68.221070402812401</v>
      </c>
      <c r="P28" s="40">
        <v>21</v>
      </c>
      <c r="Q28" s="105">
        <v>7.328386384992859E-2</v>
      </c>
      <c r="S28" s="110">
        <v>2040</v>
      </c>
      <c r="T28" s="48">
        <v>16.820855220283303</v>
      </c>
      <c r="U28" s="42"/>
      <c r="V28" s="42"/>
      <c r="W28" s="55"/>
      <c r="X28" s="55"/>
      <c r="AD28" s="47">
        <v>6.7552017717324858E-2</v>
      </c>
      <c r="AE28" s="105">
        <v>1.0422801259965262</v>
      </c>
    </row>
    <row r="29" spans="1:31">
      <c r="A29" s="40">
        <v>2040</v>
      </c>
      <c r="B29" s="40">
        <v>12</v>
      </c>
      <c r="C29" s="48">
        <v>31.35</v>
      </c>
      <c r="D29" s="109">
        <v>465731</v>
      </c>
      <c r="E29" s="42"/>
      <c r="F29" s="42">
        <f t="shared" si="3"/>
        <v>14600666.850000001</v>
      </c>
      <c r="G29" s="42">
        <f t="shared" si="1"/>
        <v>479569.60503393272</v>
      </c>
      <c r="H29" s="42"/>
      <c r="I29" s="42">
        <f t="shared" si="2"/>
        <v>2422203.1517207958</v>
      </c>
      <c r="J29" s="42">
        <f t="shared" si="0"/>
        <v>736868.97376448801</v>
      </c>
      <c r="K29" s="42">
        <f t="shared" si="4"/>
        <v>18239308.580519214</v>
      </c>
      <c r="O29" s="56">
        <v>70.706851614921092</v>
      </c>
      <c r="P29" s="40">
        <v>22</v>
      </c>
      <c r="Q29" s="105">
        <v>7.1326645001966005E-2</v>
      </c>
      <c r="S29" s="110">
        <v>2041</v>
      </c>
      <c r="T29" s="48">
        <v>17.150339124612621</v>
      </c>
      <c r="U29" s="42"/>
      <c r="V29" s="42"/>
      <c r="W29" s="55"/>
      <c r="X29" s="55"/>
      <c r="AD29" s="47">
        <v>6.553015625897482E-2</v>
      </c>
      <c r="AE29" s="105">
        <v>1.0451063050119753</v>
      </c>
    </row>
    <row r="30" spans="1:31">
      <c r="C30" s="48"/>
      <c r="D30" s="42"/>
      <c r="E30" s="42"/>
      <c r="F30" s="42"/>
      <c r="G30" s="42">
        <f t="shared" si="1"/>
        <v>466761.56489286554</v>
      </c>
      <c r="H30" s="42"/>
      <c r="I30" s="42"/>
      <c r="J30" s="42"/>
      <c r="K30" s="42">
        <f t="shared" si="4"/>
        <v>466761.56489286554</v>
      </c>
      <c r="O30" s="56">
        <v>73.192632827029342</v>
      </c>
      <c r="P30" s="40">
        <v>23</v>
      </c>
      <c r="Q30" s="105">
        <v>6.9582113555230682E-2</v>
      </c>
      <c r="S30" s="110">
        <v>2042</v>
      </c>
      <c r="T30" s="48">
        <v>17.479823028942057</v>
      </c>
      <c r="U30" s="42"/>
      <c r="V30" s="42"/>
      <c r="W30" s="55"/>
      <c r="X30" s="55"/>
      <c r="AD30" s="47">
        <v>6.3929236794229419E-2</v>
      </c>
      <c r="AE30" s="105">
        <v>1.0446669864638567</v>
      </c>
    </row>
    <row r="31" spans="1:31">
      <c r="C31" s="48"/>
      <c r="D31" s="42"/>
      <c r="E31" s="42"/>
      <c r="F31" s="42"/>
      <c r="G31" s="42">
        <f t="shared" si="1"/>
        <v>455345.35110542958</v>
      </c>
      <c r="H31" s="42"/>
      <c r="I31" s="42"/>
      <c r="J31" s="42"/>
      <c r="K31" s="42">
        <f t="shared" si="4"/>
        <v>455345.35110542958</v>
      </c>
      <c r="O31" s="56">
        <v>75.678414039137905</v>
      </c>
      <c r="P31" s="40">
        <v>24</v>
      </c>
      <c r="Q31" s="105">
        <v>6.7837582108495317E-2</v>
      </c>
      <c r="S31" s="110">
        <v>2043</v>
      </c>
      <c r="T31" s="48">
        <v>17.809306933271376</v>
      </c>
      <c r="U31" s="42"/>
      <c r="V31" s="42"/>
      <c r="W31" s="55"/>
      <c r="X31" s="55"/>
      <c r="AD31" s="47">
        <v>6.2328317329483997E-2</v>
      </c>
      <c r="AE31" s="105">
        <v>1.0442053842621859</v>
      </c>
    </row>
    <row r="32" spans="1:31">
      <c r="C32" s="48"/>
      <c r="D32" s="42"/>
      <c r="E32" s="42"/>
      <c r="F32" s="42"/>
      <c r="G32" s="42">
        <f t="shared" si="1"/>
        <v>443929.13731799333</v>
      </c>
      <c r="H32" s="42"/>
      <c r="I32" s="42"/>
      <c r="J32" s="42"/>
      <c r="K32" s="42">
        <f t="shared" si="4"/>
        <v>443929.13731799333</v>
      </c>
      <c r="O32" s="56">
        <v>78.164195251246213</v>
      </c>
      <c r="P32" s="40">
        <v>25</v>
      </c>
      <c r="Q32" s="105">
        <v>6.6093050661759981E-2</v>
      </c>
      <c r="S32" s="110">
        <v>2044</v>
      </c>
      <c r="T32" s="48">
        <v>18.138790837600816</v>
      </c>
      <c r="U32" s="42"/>
      <c r="V32" s="42"/>
      <c r="W32" s="55"/>
      <c r="X32" s="55"/>
      <c r="AD32" s="47">
        <v>6.0727397864738596E-2</v>
      </c>
      <c r="AE32" s="105">
        <v>1.043719758840596</v>
      </c>
    </row>
    <row r="33" spans="3:31">
      <c r="C33" s="48"/>
      <c r="D33" s="42"/>
      <c r="E33" s="42"/>
      <c r="F33" s="42"/>
      <c r="G33" s="42">
        <f t="shared" si="1"/>
        <v>432512.92353055731</v>
      </c>
      <c r="H33" s="42"/>
      <c r="I33" s="42"/>
      <c r="J33" s="42"/>
      <c r="K33" s="42">
        <f t="shared" si="4"/>
        <v>432512.92353055731</v>
      </c>
      <c r="O33" s="56">
        <v>80.649976463354946</v>
      </c>
      <c r="P33" s="40">
        <v>26</v>
      </c>
      <c r="Q33" s="105">
        <v>6.434851921502463E-2</v>
      </c>
      <c r="S33" s="110">
        <v>2045</v>
      </c>
      <c r="T33" s="48">
        <v>18.468274741930134</v>
      </c>
      <c r="U33" s="42"/>
      <c r="V33" s="42"/>
      <c r="W33" s="55"/>
      <c r="X33" s="55"/>
      <c r="AD33" s="47">
        <v>5.9126478399993181E-2</v>
      </c>
      <c r="AE33" s="105">
        <v>1.043208184730319</v>
      </c>
    </row>
    <row r="34" spans="3:31">
      <c r="C34" s="48"/>
      <c r="D34" s="42"/>
      <c r="E34" s="42"/>
      <c r="F34" s="42"/>
      <c r="G34" s="42">
        <f t="shared" si="1"/>
        <v>421096.70974312117</v>
      </c>
      <c r="H34" s="42"/>
      <c r="I34" s="42"/>
      <c r="J34" s="42"/>
      <c r="K34" s="42">
        <f t="shared" si="4"/>
        <v>421096.70974312117</v>
      </c>
      <c r="O34" s="56">
        <v>83.135757675463438</v>
      </c>
      <c r="P34" s="40">
        <v>27</v>
      </c>
      <c r="Q34" s="105">
        <v>6.2603987768289279E-2</v>
      </c>
      <c r="S34" s="110">
        <v>2046</v>
      </c>
      <c r="T34" s="48">
        <v>18.797758646259449</v>
      </c>
      <c r="U34" s="42"/>
      <c r="V34" s="42"/>
      <c r="W34" s="55"/>
      <c r="X34" s="55"/>
      <c r="AD34" s="47">
        <v>5.7525558935247766E-2</v>
      </c>
      <c r="AE34" s="105">
        <v>1.0426685250449383</v>
      </c>
    </row>
    <row r="35" spans="3:31">
      <c r="C35" s="48"/>
      <c r="D35" s="42"/>
      <c r="E35" s="42"/>
      <c r="F35" s="42"/>
      <c r="G35" s="42">
        <f t="shared" si="1"/>
        <v>409680.49595568504</v>
      </c>
      <c r="H35" s="42"/>
      <c r="I35" s="42"/>
      <c r="J35" s="42"/>
      <c r="K35" s="42">
        <f t="shared" si="4"/>
        <v>409680.49595568504</v>
      </c>
      <c r="O35" s="56">
        <v>85.621538887571987</v>
      </c>
      <c r="P35" s="40">
        <v>28</v>
      </c>
      <c r="Q35" s="105">
        <v>6.0859456321553929E-2</v>
      </c>
      <c r="S35" s="110">
        <v>2047</v>
      </c>
      <c r="T35" s="48">
        <v>19.127242550588889</v>
      </c>
      <c r="U35" s="42"/>
      <c r="V35" s="42"/>
      <c r="W35" s="55"/>
      <c r="X35" s="55"/>
      <c r="AD35" s="47">
        <v>5.5924639470502358E-2</v>
      </c>
      <c r="AE35" s="105">
        <v>1.0420984016441452</v>
      </c>
    </row>
    <row r="36" spans="3:31">
      <c r="C36" s="48"/>
      <c r="D36" s="42"/>
      <c r="E36" s="42"/>
      <c r="F36" s="42"/>
      <c r="G36" s="42">
        <f t="shared" si="1"/>
        <v>398264.2821682489</v>
      </c>
      <c r="H36" s="42"/>
      <c r="I36" s="42"/>
      <c r="J36" s="42"/>
      <c r="K36" s="42">
        <f t="shared" si="4"/>
        <v>398264.2821682489</v>
      </c>
      <c r="O36" s="56">
        <v>88.107320099680734</v>
      </c>
      <c r="P36" s="40">
        <v>29</v>
      </c>
      <c r="Q36" s="105">
        <v>5.9114924874818599E-2</v>
      </c>
      <c r="S36" s="110">
        <v>2048</v>
      </c>
      <c r="T36" s="48">
        <v>19.456726454918201</v>
      </c>
      <c r="U36" s="42"/>
      <c r="V36" s="42"/>
      <c r="W36" s="55"/>
      <c r="X36" s="55"/>
      <c r="AD36" s="47">
        <v>5.4323720005756942E-2</v>
      </c>
      <c r="AE36" s="105">
        <v>1.0414951600979836</v>
      </c>
    </row>
    <row r="37" spans="3:31">
      <c r="C37" s="48"/>
      <c r="D37" s="42"/>
      <c r="E37" s="42"/>
      <c r="F37" s="42"/>
      <c r="G37" s="42">
        <f t="shared" si="1"/>
        <v>386848.06838081288</v>
      </c>
      <c r="H37" s="42"/>
      <c r="I37" s="42"/>
      <c r="J37" s="42"/>
      <c r="K37" s="42">
        <f t="shared" si="4"/>
        <v>386848.06838081288</v>
      </c>
      <c r="O37" s="56">
        <v>90.593101311788885</v>
      </c>
      <c r="P37" s="40">
        <v>30</v>
      </c>
      <c r="Q37" s="105">
        <v>5.7370393428083255E-2</v>
      </c>
      <c r="S37" s="110">
        <v>2049</v>
      </c>
      <c r="T37" s="48">
        <v>19.786210359247526</v>
      </c>
      <c r="U37" s="42"/>
      <c r="V37" s="42"/>
      <c r="W37" s="55"/>
      <c r="X37" s="55"/>
      <c r="AD37" s="47">
        <v>5.2722800541011534E-2</v>
      </c>
      <c r="AE37" s="105">
        <v>1.0408558283628357</v>
      </c>
    </row>
    <row r="38" spans="3:31">
      <c r="C38" s="48"/>
      <c r="D38" s="42"/>
      <c r="E38" s="42"/>
      <c r="F38" s="42"/>
      <c r="G38" s="42">
        <f t="shared" si="1"/>
        <v>375431.8545933768</v>
      </c>
      <c r="H38" s="42"/>
      <c r="I38" s="42"/>
      <c r="J38" s="42"/>
      <c r="K38" s="42">
        <f t="shared" si="4"/>
        <v>375431.8545933768</v>
      </c>
      <c r="O38" s="56">
        <v>93.078882523897093</v>
      </c>
      <c r="P38" s="40">
        <v>31</v>
      </c>
      <c r="Q38" s="105">
        <v>5.5625861981347904E-2</v>
      </c>
      <c r="S38" s="110">
        <v>2050</v>
      </c>
      <c r="T38" s="48">
        <v>20.115694263576962</v>
      </c>
      <c r="U38" s="42"/>
      <c r="V38" s="42"/>
      <c r="W38" s="55"/>
      <c r="X38" s="55"/>
      <c r="AD38" s="47">
        <v>5.1121881076266119E-2</v>
      </c>
      <c r="AE38" s="105">
        <v>1.0401770678118076</v>
      </c>
    </row>
    <row r="39" spans="3:31">
      <c r="C39" s="48"/>
      <c r="D39" s="42"/>
      <c r="E39" s="42"/>
      <c r="F39" s="42"/>
      <c r="G39" s="42">
        <f t="shared" si="1"/>
        <v>364015.64080594067</v>
      </c>
      <c r="H39" s="42"/>
      <c r="I39" s="42"/>
      <c r="J39" s="42"/>
      <c r="K39" s="42">
        <f t="shared" si="4"/>
        <v>364015.64080594067</v>
      </c>
      <c r="O39" s="56">
        <v>95.564663736005002</v>
      </c>
      <c r="P39" s="40">
        <v>32</v>
      </c>
      <c r="Q39" s="105">
        <v>5.3881330534612561E-2</v>
      </c>
      <c r="S39" s="55"/>
      <c r="T39" s="42"/>
      <c r="U39" s="42"/>
      <c r="V39" s="42"/>
      <c r="W39" s="55"/>
      <c r="X39" s="55"/>
      <c r="AD39" s="47">
        <v>4.9520961611520711E-2</v>
      </c>
      <c r="AE39" s="105">
        <v>1.0394551149167011</v>
      </c>
    </row>
    <row r="40" spans="3:31">
      <c r="G40" s="42">
        <f t="shared" si="1"/>
        <v>352599.42701850459</v>
      </c>
      <c r="K40" s="42">
        <f t="shared" si="4"/>
        <v>352599.42701850459</v>
      </c>
      <c r="P40" s="40">
        <v>33</v>
      </c>
      <c r="Q40" s="105">
        <v>5.2136799087877203E-2</v>
      </c>
      <c r="S40" s="38"/>
      <c r="T40" s="38"/>
      <c r="U40" s="38"/>
      <c r="V40" s="54"/>
      <c r="W40" s="38"/>
      <c r="X40" s="39"/>
      <c r="AD40" s="47">
        <v>4.7920042146775303E-2</v>
      </c>
      <c r="AE40" s="105">
        <v>1.0386857114310726</v>
      </c>
    </row>
    <row r="41" spans="3:31">
      <c r="G41" s="42">
        <f t="shared" si="1"/>
        <v>341183.2132310684</v>
      </c>
      <c r="K41" s="42">
        <f t="shared" si="4"/>
        <v>341183.2132310684</v>
      </c>
      <c r="P41" s="40">
        <v>34</v>
      </c>
      <c r="Q41" s="105">
        <v>5.0392267641141859E-2</v>
      </c>
      <c r="S41" s="38"/>
      <c r="T41" s="38"/>
      <c r="U41" s="38"/>
      <c r="V41" s="54"/>
      <c r="W41" s="38"/>
      <c r="X41" s="39"/>
      <c r="AD41" s="47">
        <v>4.6319122682029895E-2</v>
      </c>
      <c r="AE41" s="105">
        <v>1.037864020339295</v>
      </c>
    </row>
    <row r="42" spans="3:31">
      <c r="G42" s="42">
        <f t="shared" si="1"/>
        <v>329766.99944363232</v>
      </c>
      <c r="K42" s="42">
        <f t="shared" si="4"/>
        <v>329766.99944363232</v>
      </c>
      <c r="P42" s="40">
        <v>35</v>
      </c>
      <c r="Q42" s="105">
        <v>4.8647736194406516E-2</v>
      </c>
      <c r="AD42" s="47">
        <v>4.471820321728448E-2</v>
      </c>
      <c r="AE42" s="105">
        <v>1.0369845240669173</v>
      </c>
    </row>
    <row r="43" spans="3:31">
      <c r="G43" s="42">
        <f t="shared" si="1"/>
        <v>318350.78565619624</v>
      </c>
      <c r="K43" s="42">
        <f t="shared" si="4"/>
        <v>318350.78565619624</v>
      </c>
      <c r="P43" s="40">
        <v>36</v>
      </c>
      <c r="Q43" s="105">
        <v>4.6903204747671172E-2</v>
      </c>
      <c r="AD43" s="47">
        <v>4.3117283752539058E-2</v>
      </c>
      <c r="AE43" s="105">
        <v>1.0360409004254263</v>
      </c>
    </row>
    <row r="44" spans="3:31">
      <c r="G44" s="42">
        <f t="shared" si="1"/>
        <v>306934.57186876016</v>
      </c>
      <c r="K44" s="42">
        <f t="shared" si="4"/>
        <v>306934.57186876016</v>
      </c>
      <c r="P44" s="40">
        <v>37</v>
      </c>
      <c r="Q44" s="105">
        <v>4.5158673300935828E-2</v>
      </c>
      <c r="AD44" s="47">
        <v>4.1516364287793643E-2</v>
      </c>
      <c r="AE44" s="105">
        <v>1.0350258703942943</v>
      </c>
    </row>
    <row r="45" spans="3:31">
      <c r="G45" s="42">
        <f t="shared" si="1"/>
        <v>295518.35808132408</v>
      </c>
      <c r="K45" s="42">
        <f t="shared" si="4"/>
        <v>295518.35808132408</v>
      </c>
      <c r="P45" s="40">
        <v>38</v>
      </c>
      <c r="Q45" s="105">
        <v>4.3414141854200484E-2</v>
      </c>
      <c r="AD45" s="47">
        <v>3.9915444823048242E-2</v>
      </c>
      <c r="AE45" s="105">
        <v>1.0339310099879713</v>
      </c>
    </row>
    <row r="46" spans="3:31">
      <c r="G46" s="42">
        <f t="shared" si="1"/>
        <v>284102.14429388795</v>
      </c>
      <c r="K46" s="42">
        <f t="shared" si="4"/>
        <v>284102.14429388795</v>
      </c>
      <c r="P46" s="40">
        <v>39</v>
      </c>
      <c r="Q46" s="105">
        <v>4.1669610407465141E-2</v>
      </c>
      <c r="AD46" s="47">
        <v>3.8314525358302834E-2</v>
      </c>
      <c r="AE46" s="105">
        <v>1.0327465159168576</v>
      </c>
    </row>
    <row r="47" spans="3:31">
      <c r="G47" s="42">
        <f t="shared" si="1"/>
        <v>272685.93050645187</v>
      </c>
      <c r="K47" s="42">
        <f t="shared" si="4"/>
        <v>272685.93050645187</v>
      </c>
      <c r="P47" s="40">
        <v>40</v>
      </c>
      <c r="Q47" s="105">
        <v>3.9925078960729797E-2</v>
      </c>
      <c r="AD47" s="47">
        <v>3.6713605893557419E-2</v>
      </c>
      <c r="AE47" s="105">
        <v>1.0314609112374293</v>
      </c>
    </row>
    <row r="48" spans="3:31">
      <c r="G48" s="42">
        <f t="shared" si="1"/>
        <v>261269.71671901579</v>
      </c>
      <c r="K48" s="42">
        <f t="shared" si="4"/>
        <v>261269.71671901579</v>
      </c>
      <c r="P48" s="40">
        <v>41</v>
      </c>
      <c r="Q48" s="105">
        <v>3.8180547513994446E-2</v>
      </c>
      <c r="AD48" s="47">
        <v>3.5112686428812011E-2</v>
      </c>
      <c r="AE48" s="105">
        <v>1.0300606722629426</v>
      </c>
    </row>
    <row r="49" spans="7:31">
      <c r="G49" s="42">
        <f t="shared" si="1"/>
        <v>249853.50293157966</v>
      </c>
      <c r="K49" s="42">
        <f t="shared" si="4"/>
        <v>249853.50293157966</v>
      </c>
      <c r="P49" s="40">
        <v>42</v>
      </c>
      <c r="Q49" s="105">
        <v>3.6436016067259096E-2</v>
      </c>
      <c r="AD49" s="47">
        <v>3.3511766964066596E-2</v>
      </c>
      <c r="AE49" s="105">
        <v>1.0285297510144884</v>
      </c>
    </row>
    <row r="50" spans="7:31">
      <c r="G50" s="42">
        <f t="shared" si="1"/>
        <v>238437.28914414352</v>
      </c>
      <c r="K50" s="42">
        <f t="shared" si="4"/>
        <v>238437.28914414352</v>
      </c>
      <c r="P50" s="40">
        <v>43</v>
      </c>
      <c r="Q50" s="105">
        <v>3.4691484620523745E-2</v>
      </c>
      <c r="AD50" s="47">
        <v>3.1910847499321181E-2</v>
      </c>
      <c r="AE50" s="105">
        <v>1.0268489574204576</v>
      </c>
    </row>
    <row r="51" spans="7:31">
      <c r="G51" s="42">
        <f t="shared" si="1"/>
        <v>227021.07535670738</v>
      </c>
      <c r="K51" s="42">
        <f t="shared" si="4"/>
        <v>227021.07535670738</v>
      </c>
      <c r="P51" s="40">
        <v>44</v>
      </c>
      <c r="Q51" s="105">
        <v>3.2946953173788401E-2</v>
      </c>
      <c r="AD51" s="47">
        <v>3.0309928034575776E-2</v>
      </c>
      <c r="AE51" s="105">
        <v>1.024995150735442</v>
      </c>
    </row>
    <row r="52" spans="7:31">
      <c r="G52" s="42">
        <f t="shared" si="1"/>
        <v>215604.86156927131</v>
      </c>
      <c r="K52" s="42">
        <f t="shared" si="4"/>
        <v>215604.86156927131</v>
      </c>
      <c r="P52" s="40">
        <v>45</v>
      </c>
      <c r="Q52" s="105">
        <v>3.1202421727053065E-2</v>
      </c>
      <c r="AD52" s="47">
        <v>2.8709008569830361E-2</v>
      </c>
      <c r="AE52" s="105">
        <v>1.0229401677158665</v>
      </c>
    </row>
    <row r="53" spans="7:31">
      <c r="G53" s="42">
        <f t="shared" si="1"/>
        <v>204188.64778183526</v>
      </c>
      <c r="K53" s="42">
        <f t="shared" si="4"/>
        <v>204188.64778183526</v>
      </c>
      <c r="P53" s="40">
        <v>46</v>
      </c>
      <c r="Q53" s="105">
        <v>2.945789028031771E-2</v>
      </c>
      <c r="AD53" s="47">
        <v>2.710808910508495E-2</v>
      </c>
      <c r="AE53" s="105">
        <v>1.020649381830145</v>
      </c>
    </row>
    <row r="54" spans="7:31">
      <c r="G54" s="42">
        <f t="shared" si="1"/>
        <v>192772.43399439909</v>
      </c>
      <c r="K54" s="42">
        <f t="shared" si="4"/>
        <v>192772.43399439909</v>
      </c>
      <c r="P54" s="40">
        <v>47</v>
      </c>
      <c r="Q54" s="105">
        <v>2.7713358833582367E-2</v>
      </c>
      <c r="AD54" s="47">
        <v>2.5507169640339538E-2</v>
      </c>
      <c r="AE54" s="105">
        <v>1.0180797363025047</v>
      </c>
    </row>
    <row r="55" spans="7:31">
      <c r="G55" s="42">
        <f t="shared" si="1"/>
        <v>181356.22020696301</v>
      </c>
      <c r="K55" s="42">
        <f t="shared" si="4"/>
        <v>181356.22020696301</v>
      </c>
      <c r="P55" s="40">
        <v>48</v>
      </c>
      <c r="Q55" s="105">
        <v>2.5968827386847023E-2</v>
      </c>
      <c r="AD55" s="47">
        <v>2.390625017559413E-2</v>
      </c>
      <c r="AE55" s="105">
        <v>1.0151770122838455</v>
      </c>
    </row>
    <row r="56" spans="7:31">
      <c r="G56" s="42">
        <f t="shared" si="1"/>
        <v>169940.00641952691</v>
      </c>
      <c r="K56" s="42">
        <f t="shared" si="4"/>
        <v>169940.00641952691</v>
      </c>
      <c r="P56" s="40">
        <v>49</v>
      </c>
      <c r="Q56" s="105">
        <v>2.4224295940111676E-2</v>
      </c>
      <c r="AD56" s="47">
        <v>2.2305330710848718E-2</v>
      </c>
      <c r="AE56" s="105">
        <v>1.0118719611008946</v>
      </c>
    </row>
    <row r="57" spans="7:31">
      <c r="G57" s="42">
        <f t="shared" si="1"/>
        <v>158523.7926320908</v>
      </c>
      <c r="K57" s="42">
        <f t="shared" si="4"/>
        <v>158523.7926320908</v>
      </c>
      <c r="P57" s="40">
        <v>50</v>
      </c>
      <c r="Q57" s="105">
        <v>1.2548280831739681E-2</v>
      </c>
      <c r="AD57" s="47">
        <v>2.0704411246103303E-2</v>
      </c>
      <c r="AE57" s="105">
        <v>1.0080747085026798</v>
      </c>
    </row>
    <row r="58" spans="7:31">
      <c r="G58" s="42">
        <f t="shared" si="1"/>
        <v>82115.949762904478</v>
      </c>
      <c r="K58" s="42">
        <f t="shared" si="4"/>
        <v>82115.949762904478</v>
      </c>
      <c r="P58" s="40">
        <v>51</v>
      </c>
      <c r="Q58" s="105">
        <v>1.7445314467353565E-3</v>
      </c>
      <c r="AD58" s="47">
        <v>1.0659875158485354E-2</v>
      </c>
      <c r="AE58" s="105">
        <v>1.005955818303202</v>
      </c>
    </row>
    <row r="59" spans="7:31">
      <c r="Q59" s="47"/>
    </row>
    <row r="60" spans="7:31">
      <c r="Q60" s="47"/>
    </row>
    <row r="61" spans="7:31">
      <c r="Q61" s="47"/>
    </row>
    <row r="62" spans="7:31">
      <c r="Q62" s="47"/>
    </row>
    <row r="63" spans="7:31">
      <c r="Q63" s="47"/>
    </row>
    <row r="64" spans="7:31">
      <c r="Q64" s="47"/>
    </row>
    <row r="65" spans="17:17">
      <c r="Q65" s="47"/>
    </row>
    <row r="66" spans="17:17">
      <c r="Q66" s="47"/>
    </row>
    <row r="67" spans="17:17">
      <c r="Q67" s="47"/>
    </row>
    <row r="68" spans="17:17">
      <c r="Q68" s="47"/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2:AH6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6" sqref="B26:D27"/>
    </sheetView>
  </sheetViews>
  <sheetFormatPr defaultRowHeight="12.75"/>
  <cols>
    <col min="1" max="1" width="9.125" style="40" bestFit="1" customWidth="1"/>
    <col min="2" max="2" width="6.5" style="40" bestFit="1" customWidth="1"/>
    <col min="3" max="3" width="8.875" style="40" bestFit="1" customWidth="1"/>
    <col min="4" max="4" width="8.75" style="40" bestFit="1" customWidth="1"/>
    <col min="5" max="5" width="9" style="40"/>
    <col min="6" max="6" width="11.25" style="40" bestFit="1" customWidth="1"/>
    <col min="7" max="10" width="13.375" style="40" bestFit="1" customWidth="1"/>
    <col min="11" max="11" width="9.5" style="40" bestFit="1" customWidth="1"/>
    <col min="12" max="12" width="12" style="40" bestFit="1" customWidth="1"/>
    <col min="13" max="13" width="11.125" style="40" bestFit="1" customWidth="1"/>
    <col min="14" max="14" width="9.75" style="40" bestFit="1" customWidth="1"/>
    <col min="15" max="17" width="9" style="40"/>
    <col min="18" max="19" width="9.125" style="40" bestFit="1" customWidth="1"/>
    <col min="20" max="20" width="18" style="40" bestFit="1" customWidth="1"/>
    <col min="21" max="21" width="9" style="40"/>
    <col min="22" max="22" width="12.5" style="40" bestFit="1" customWidth="1"/>
    <col min="23" max="24" width="14.25" style="40" bestFit="1" customWidth="1"/>
    <col min="25" max="25" width="9.125" style="40" bestFit="1" customWidth="1"/>
    <col min="26" max="26" width="9.625" style="40" bestFit="1" customWidth="1"/>
    <col min="27" max="27" width="10.125" style="40" bestFit="1" customWidth="1"/>
    <col min="28" max="30" width="9" style="40"/>
    <col min="31" max="31" width="11.375" style="40" customWidth="1"/>
    <col min="32" max="16384" width="9" style="40"/>
  </cols>
  <sheetData>
    <row r="2" spans="1:34">
      <c r="G2" s="41" t="s">
        <v>54</v>
      </c>
      <c r="H2" s="41" t="s">
        <v>55</v>
      </c>
      <c r="I2" s="41" t="s">
        <v>55</v>
      </c>
      <c r="J2" s="41" t="s">
        <v>56</v>
      </c>
      <c r="M2" s="41" t="s">
        <v>90</v>
      </c>
      <c r="N2" s="42">
        <f>NPV($AE$18,N10:N39)+N9</f>
        <v>335404452.28098941</v>
      </c>
    </row>
    <row r="3" spans="1:34">
      <c r="F3" s="58" t="s">
        <v>61</v>
      </c>
      <c r="G3" s="42">
        <v>73571.17</v>
      </c>
      <c r="H3" s="42">
        <v>2497866.87</v>
      </c>
      <c r="I3" s="42">
        <v>13380.95</v>
      </c>
      <c r="J3" s="42">
        <v>390379.31</v>
      </c>
      <c r="M3" s="57" t="s">
        <v>91</v>
      </c>
      <c r="N3" s="42">
        <f>-PMT($AE$18,SUM(B9:B39)/12,N2)</f>
        <v>26009148.058627877</v>
      </c>
      <c r="V3" s="43" t="s">
        <v>66</v>
      </c>
      <c r="W3" s="37"/>
      <c r="X3" s="37"/>
      <c r="Y3" s="37"/>
      <c r="Z3" s="37"/>
      <c r="AA3" s="37"/>
    </row>
    <row r="4" spans="1:34">
      <c r="F4" s="58" t="s">
        <v>62</v>
      </c>
      <c r="G4" s="44">
        <v>40878</v>
      </c>
      <c r="H4" s="44">
        <v>41153</v>
      </c>
      <c r="I4" s="44">
        <v>41426</v>
      </c>
      <c r="J4" s="44">
        <v>41153</v>
      </c>
      <c r="M4" s="57" t="s">
        <v>15</v>
      </c>
      <c r="N4" s="48">
        <f>N3/D10</f>
        <v>77.331896353870079</v>
      </c>
      <c r="O4" s="80">
        <f>N3/(D10*1.2)</f>
        <v>64.443246961558401</v>
      </c>
      <c r="V4" s="37"/>
      <c r="W4" s="37"/>
      <c r="X4" s="37"/>
      <c r="Y4" s="37"/>
      <c r="Z4" s="37"/>
      <c r="AA4" s="37"/>
    </row>
    <row r="5" spans="1:34" s="41" customFormat="1" ht="63.75">
      <c r="A5" s="41" t="s">
        <v>35</v>
      </c>
      <c r="B5" s="41" t="s">
        <v>81</v>
      </c>
      <c r="C5" s="41" t="s">
        <v>63</v>
      </c>
      <c r="D5" s="41" t="s">
        <v>87</v>
      </c>
      <c r="F5" s="41" t="s">
        <v>60</v>
      </c>
      <c r="G5" s="41" t="s">
        <v>86</v>
      </c>
      <c r="H5" s="41" t="s">
        <v>86</v>
      </c>
      <c r="I5" s="41" t="s">
        <v>86</v>
      </c>
      <c r="J5" s="41" t="s">
        <v>86</v>
      </c>
      <c r="K5" s="41" t="s">
        <v>64</v>
      </c>
      <c r="L5" s="41" t="s">
        <v>73</v>
      </c>
      <c r="M5" s="41" t="s">
        <v>85</v>
      </c>
      <c r="N5" s="41" t="s">
        <v>34</v>
      </c>
      <c r="R5" s="41" t="s">
        <v>65</v>
      </c>
      <c r="S5" s="45" t="s">
        <v>35</v>
      </c>
      <c r="T5" s="45" t="s">
        <v>88</v>
      </c>
      <c r="V5" s="46" t="s">
        <v>67</v>
      </c>
      <c r="W5" s="46" t="s">
        <v>68</v>
      </c>
      <c r="X5" s="46" t="s">
        <v>69</v>
      </c>
      <c r="Y5" s="46" t="s">
        <v>70</v>
      </c>
      <c r="Z5" s="46" t="s">
        <v>71</v>
      </c>
      <c r="AA5" s="46" t="s">
        <v>72</v>
      </c>
      <c r="AE5" s="41" t="s">
        <v>92</v>
      </c>
      <c r="AG5" s="45" t="s">
        <v>88</v>
      </c>
      <c r="AH5" s="41" t="s">
        <v>211</v>
      </c>
    </row>
    <row r="6" spans="1:34" s="41" customFormat="1">
      <c r="A6" s="70" t="s">
        <v>90</v>
      </c>
      <c r="F6" s="42">
        <f>NPV($AE$18,F10:F39)+F9</f>
        <v>291695486.8375228</v>
      </c>
      <c r="G6" s="42">
        <f t="shared" ref="G6:N6" si="0">NPV($AE$18,G10:G39)+G9</f>
        <v>98156.939788405478</v>
      </c>
      <c r="H6" s="42">
        <f t="shared" si="0"/>
        <v>3125368.2043277659</v>
      </c>
      <c r="I6" s="42">
        <f t="shared" si="0"/>
        <v>16742.443793131224</v>
      </c>
      <c r="J6" s="42">
        <f t="shared" si="0"/>
        <v>488448.40281716554</v>
      </c>
      <c r="K6" s="42">
        <f t="shared" si="0"/>
        <v>7632498.786879262</v>
      </c>
      <c r="L6" s="42">
        <f t="shared" si="0"/>
        <v>19390740.152137332</v>
      </c>
      <c r="M6" s="42">
        <f t="shared" si="0"/>
        <v>12957010.513723493</v>
      </c>
      <c r="N6" s="42">
        <f t="shared" si="0"/>
        <v>335404452.28098941</v>
      </c>
      <c r="S6" s="45"/>
      <c r="T6" s="45"/>
      <c r="V6" s="46"/>
      <c r="W6" s="46"/>
      <c r="X6" s="46"/>
      <c r="Y6" s="46"/>
      <c r="Z6" s="46"/>
      <c r="AA6" s="46"/>
      <c r="AG6" s="45"/>
    </row>
    <row r="7" spans="1:34" s="41" customFormat="1">
      <c r="S7" s="45"/>
      <c r="T7" s="45"/>
      <c r="V7" s="46"/>
      <c r="W7" s="46"/>
      <c r="X7" s="46"/>
      <c r="Y7" s="46"/>
      <c r="Z7" s="46"/>
      <c r="AA7" s="46"/>
      <c r="AG7" s="45"/>
    </row>
    <row r="8" spans="1:34">
      <c r="A8" s="40">
        <v>2011</v>
      </c>
      <c r="S8" s="40">
        <v>1</v>
      </c>
      <c r="T8" s="105">
        <f>AG8*AH8</f>
        <v>0.12284842799380298</v>
      </c>
      <c r="AD8" s="49" t="s">
        <v>74</v>
      </c>
      <c r="AE8" s="50">
        <v>0.1</v>
      </c>
      <c r="AG8" s="47">
        <v>0.13621086755111231</v>
      </c>
      <c r="AH8" s="105">
        <v>0.90189887343390462</v>
      </c>
    </row>
    <row r="9" spans="1:34">
      <c r="A9" s="40">
        <v>2012</v>
      </c>
      <c r="B9" s="40">
        <v>1</v>
      </c>
      <c r="C9" s="48">
        <v>53.95</v>
      </c>
      <c r="D9" s="42">
        <v>14013.810000000003</v>
      </c>
      <c r="E9" s="42"/>
      <c r="F9" s="42">
        <f>C9*D9</f>
        <v>756045.0495000002</v>
      </c>
      <c r="G9" s="42">
        <f>G$3*T8</f>
        <v>9038.1025801648375</v>
      </c>
      <c r="H9" s="42">
        <v>0</v>
      </c>
      <c r="I9" s="42">
        <v>0</v>
      </c>
      <c r="J9" s="42">
        <v>0</v>
      </c>
      <c r="K9" s="42">
        <v>0</v>
      </c>
      <c r="L9" s="42">
        <f>AA9</f>
        <v>118553.85551830183</v>
      </c>
      <c r="M9" s="42">
        <f t="shared" ref="M9:M39" si="1">SUM(F9,K9)*SUM($AE$15:$AE$17)</f>
        <v>32726.922057706503</v>
      </c>
      <c r="N9" s="42">
        <f>SUM(F9:M9)</f>
        <v>916363.92965617334</v>
      </c>
      <c r="R9" s="56">
        <v>41.041538238525398</v>
      </c>
      <c r="S9" s="40">
        <v>2</v>
      </c>
      <c r="T9" s="105">
        <f t="shared" ref="T9:T58" si="2">AG9*AH9</f>
        <v>0.12111405257324058</v>
      </c>
      <c r="V9" s="55">
        <f>NPV($AE$8,F9:F$39)</f>
        <v>187409968.01522461</v>
      </c>
      <c r="W9" s="42">
        <f t="shared" ref="W9:W39" si="3">V9*$AE$9</f>
        <v>46852492.003806151</v>
      </c>
      <c r="X9" s="42">
        <f>W9/2</f>
        <v>23426246.001903076</v>
      </c>
      <c r="Y9" s="42">
        <f t="shared" ref="Y9:Y39" si="4">X9*(($AE$10/(1-$AE$12)))</f>
        <v>3024654.5470811566</v>
      </c>
      <c r="Z9" s="55">
        <f t="shared" ref="Z9:Z39" si="5">Y9*-$AE$11</f>
        <v>-179362.0146419126</v>
      </c>
      <c r="AA9" s="55">
        <f t="shared" ref="AA9:AA39" si="6">SUM(Y9:Z9)*($AE$13)*(B9/12)</f>
        <v>118553.85551830183</v>
      </c>
      <c r="AD9" s="49" t="s">
        <v>75</v>
      </c>
      <c r="AE9" s="50">
        <v>0.25</v>
      </c>
      <c r="AG9" s="47">
        <v>0.13253847535067867</v>
      </c>
      <c r="AH9" s="105">
        <v>0.91380297119601961</v>
      </c>
    </row>
    <row r="10" spans="1:34">
      <c r="A10" s="40">
        <v>2013</v>
      </c>
      <c r="B10" s="40">
        <v>12</v>
      </c>
      <c r="C10" s="48">
        <v>54.99</v>
      </c>
      <c r="D10" s="42">
        <v>336331.44000000006</v>
      </c>
      <c r="E10" s="42"/>
      <c r="F10" s="42">
        <f>C10*D10</f>
        <v>18494865.885600004</v>
      </c>
      <c r="G10" s="42">
        <f>G$3*T9</f>
        <v>8910.50255125482</v>
      </c>
      <c r="H10" s="42">
        <f>$H$3*T8</f>
        <v>306859.01831730106</v>
      </c>
      <c r="I10" s="42">
        <f>$I$3*T8</f>
        <v>1643.8286725636781</v>
      </c>
      <c r="J10" s="42">
        <f t="shared" ref="J10:J39" si="7">$J$3*T8</f>
        <v>47957.484554805495</v>
      </c>
      <c r="K10" s="42">
        <f>('Palouse Wind Integration Costs'!$B$9+('Palouse Wind Integration Costs'!$B$10*'Palouse LC'!R10)+('Palouse Wind Integration Costs'!$B$11*'Palouse LC'!R10^2))*1.05*1000</f>
        <v>268800.97843533655</v>
      </c>
      <c r="L10" s="42">
        <f t="shared" ref="L10:L39" si="8">AA10</f>
        <v>1559171.6854869488</v>
      </c>
      <c r="M10" s="42">
        <f t="shared" si="1"/>
        <v>812222.84754349769</v>
      </c>
      <c r="N10" s="42">
        <f>SUM(F10:M10)</f>
        <v>21500432.231161714</v>
      </c>
      <c r="R10" s="56">
        <v>45.999870300292997</v>
      </c>
      <c r="S10" s="40">
        <v>3</v>
      </c>
      <c r="T10" s="105">
        <f t="shared" si="2"/>
        <v>0.11802050988496017</v>
      </c>
      <c r="V10" s="55">
        <f>NPV($AE$8,F10:F$39)</f>
        <v>205394919.76724708</v>
      </c>
      <c r="W10" s="42">
        <f t="shared" si="3"/>
        <v>51348729.94181177</v>
      </c>
      <c r="X10" s="42">
        <f t="shared" ref="X10:X39" si="9">W10/2</f>
        <v>25674364.970905885</v>
      </c>
      <c r="Y10" s="42">
        <f t="shared" si="4"/>
        <v>3314918.0089017726</v>
      </c>
      <c r="Z10" s="55">
        <f t="shared" si="5"/>
        <v>-196574.6379278751</v>
      </c>
      <c r="AA10" s="55">
        <f t="shared" si="6"/>
        <v>1559171.6854869488</v>
      </c>
      <c r="AD10" s="49" t="s">
        <v>76</v>
      </c>
      <c r="AE10" s="51">
        <v>0.10199999999999999</v>
      </c>
      <c r="AG10" s="47">
        <v>0.12831313646685594</v>
      </c>
      <c r="AH10" s="105">
        <v>0.9197850908698314</v>
      </c>
    </row>
    <row r="11" spans="1:34">
      <c r="A11" s="40">
        <v>2014</v>
      </c>
      <c r="B11" s="40">
        <v>12</v>
      </c>
      <c r="C11" s="48">
        <v>56.03</v>
      </c>
      <c r="D11" s="42">
        <v>336331.44000000006</v>
      </c>
      <c r="E11" s="42"/>
      <c r="F11" s="42">
        <f t="shared" ref="F11:F39" si="10">C11*D11</f>
        <v>18844650.583200004</v>
      </c>
      <c r="G11" s="42">
        <f t="shared" ref="G11:G38" si="11">G$3*T10</f>
        <v>8682.906996233085</v>
      </c>
      <c r="H11" s="42">
        <f>$H$3*T9</f>
        <v>302526.7794141359</v>
      </c>
      <c r="I11" s="42">
        <f t="shared" ref="I11:I39" si="12">$I$3*T9</f>
        <v>1620.6210817799035</v>
      </c>
      <c r="J11" s="42">
        <f t="shared" si="7"/>
        <v>47280.420274845383</v>
      </c>
      <c r="K11" s="42">
        <f>('Palouse Wind Integration Costs'!$B$9+('Palouse Wind Integration Costs'!$B$10*'Palouse LC'!R11)+('Palouse Wind Integration Costs'!$B$11*'Palouse LC'!R11^2))*1.05*1000</f>
        <v>284300.15805288235</v>
      </c>
      <c r="L11" s="42">
        <f t="shared" si="8"/>
        <v>1574692.6297844124</v>
      </c>
      <c r="M11" s="42">
        <f>SUM(F11,K11)*SUM($AE$15:$AE$17)</f>
        <v>828034.89073661366</v>
      </c>
      <c r="N11" s="42">
        <f t="shared" ref="N11:N39" si="13">SUM(F11:M11)</f>
        <v>21891788.989540908</v>
      </c>
      <c r="R11" s="56">
        <v>48.6441841125488</v>
      </c>
      <c r="S11" s="40">
        <v>4</v>
      </c>
      <c r="T11" s="105">
        <f t="shared" si="2"/>
        <v>0.11503107760468821</v>
      </c>
      <c r="V11" s="55">
        <f>NPV($AE$8,F11:F$39)</f>
        <v>207439545.85837179</v>
      </c>
      <c r="W11" s="42">
        <f t="shared" si="3"/>
        <v>51859886.464592949</v>
      </c>
      <c r="X11" s="42">
        <f t="shared" si="9"/>
        <v>25929943.232296474</v>
      </c>
      <c r="Y11" s="42">
        <f t="shared" si="4"/>
        <v>3347916.7211319497</v>
      </c>
      <c r="Z11" s="55">
        <f t="shared" si="5"/>
        <v>-198531.46156312461</v>
      </c>
      <c r="AA11" s="55">
        <f t="shared" si="6"/>
        <v>1574692.6297844124</v>
      </c>
      <c r="AD11" s="49" t="s">
        <v>77</v>
      </c>
      <c r="AE11" s="51">
        <v>5.9299999999999999E-2</v>
      </c>
      <c r="AG11" s="47">
        <v>0.12428438825837744</v>
      </c>
      <c r="AH11" s="105">
        <v>0.92554728085033233</v>
      </c>
    </row>
    <row r="12" spans="1:34">
      <c r="A12" s="40">
        <v>2015</v>
      </c>
      <c r="B12" s="40">
        <v>12</v>
      </c>
      <c r="C12" s="48">
        <v>57.09</v>
      </c>
      <c r="D12" s="42">
        <v>336331.44000000006</v>
      </c>
      <c r="E12" s="42"/>
      <c r="F12" s="42">
        <f t="shared" si="10"/>
        <v>19201161.909600005</v>
      </c>
      <c r="G12" s="42">
        <f t="shared" si="11"/>
        <v>8462.9709657377098</v>
      </c>
      <c r="H12" s="42">
        <f t="shared" ref="H12:H39" si="14">$H$3*T10</f>
        <v>294799.52162214951</v>
      </c>
      <c r="I12" s="42">
        <f t="shared" si="12"/>
        <v>1579.2265417451579</v>
      </c>
      <c r="J12" s="42">
        <f t="shared" si="7"/>
        <v>46072.765214738931</v>
      </c>
      <c r="K12" s="42">
        <f>('Palouse Wind Integration Costs'!$B$9+('Palouse Wind Integration Costs'!$B$10*'Palouse LC'!R12)+('Palouse Wind Integration Costs'!$B$11*'Palouse LC'!R12^2))*1.05*1000</f>
        <v>351851.14431675174</v>
      </c>
      <c r="L12" s="42">
        <f t="shared" si="8"/>
        <v>1589110.4207716463</v>
      </c>
      <c r="M12" s="42">
        <f t="shared" si="1"/>
        <v>846391.27606489451</v>
      </c>
      <c r="N12" s="42">
        <f t="shared" si="13"/>
        <v>22339429.235097673</v>
      </c>
      <c r="R12" s="56">
        <v>59.140228271484403</v>
      </c>
      <c r="S12" s="40">
        <v>5</v>
      </c>
      <c r="T12" s="105">
        <f t="shared" si="2"/>
        <v>0.11213796806894702</v>
      </c>
      <c r="V12" s="55">
        <f>NPV($AE$8,F12:F$39)</f>
        <v>209338849.86100888</v>
      </c>
      <c r="W12" s="42">
        <f t="shared" si="3"/>
        <v>52334712.465252221</v>
      </c>
      <c r="X12" s="42">
        <f t="shared" si="9"/>
        <v>26167356.23262611</v>
      </c>
      <c r="Y12" s="42">
        <f t="shared" si="4"/>
        <v>3378570.0452251434</v>
      </c>
      <c r="Z12" s="55">
        <f t="shared" si="5"/>
        <v>-200349.20368185101</v>
      </c>
      <c r="AA12" s="55">
        <f t="shared" si="6"/>
        <v>1589110.4207716463</v>
      </c>
      <c r="AD12" s="49" t="s">
        <v>78</v>
      </c>
      <c r="AE12" s="50">
        <v>0.21</v>
      </c>
      <c r="AG12" s="47">
        <v>0.12043750058818575</v>
      </c>
      <c r="AH12" s="105">
        <v>0.93108846929979494</v>
      </c>
    </row>
    <row r="13" spans="1:34">
      <c r="A13" s="40">
        <v>2016</v>
      </c>
      <c r="B13" s="40">
        <v>12</v>
      </c>
      <c r="C13" s="48">
        <v>58.17</v>
      </c>
      <c r="D13" s="42">
        <v>336331.44000000006</v>
      </c>
      <c r="E13" s="42"/>
      <c r="F13" s="42">
        <f t="shared" si="10"/>
        <v>19564399.864800002</v>
      </c>
      <c r="G13" s="42">
        <f t="shared" si="11"/>
        <v>8250.121512255073</v>
      </c>
      <c r="H13" s="42">
        <f t="shared" si="14"/>
        <v>287332.31776914967</v>
      </c>
      <c r="I13" s="42">
        <f t="shared" si="12"/>
        <v>1539.2250978744528</v>
      </c>
      <c r="J13" s="42">
        <f t="shared" si="7"/>
        <v>44905.752703874634</v>
      </c>
      <c r="K13" s="42">
        <f>('Palouse Wind Integration Costs'!$B$9+('Palouse Wind Integration Costs'!$B$10*'Palouse LC'!R13)+('Palouse Wind Integration Costs'!$B$11*'Palouse LC'!R13^2))*1.05*1000</f>
        <v>374340.10877941281</v>
      </c>
      <c r="L13" s="42">
        <f t="shared" si="8"/>
        <v>1602263.68066109</v>
      </c>
      <c r="M13" s="42">
        <f t="shared" si="1"/>
        <v>863088.23723633192</v>
      </c>
      <c r="N13" s="42">
        <f t="shared" si="13"/>
        <v>22746119.308559995</v>
      </c>
      <c r="R13" s="56">
        <v>62.337162017822301</v>
      </c>
      <c r="S13" s="40">
        <v>6</v>
      </c>
      <c r="T13" s="105">
        <f t="shared" si="2"/>
        <v>0.1093340917351374</v>
      </c>
      <c r="V13" s="55">
        <f>NPV($AE$8,F13:F$39)</f>
        <v>211071572.9375098</v>
      </c>
      <c r="W13" s="42">
        <f t="shared" si="3"/>
        <v>52767893.234377451</v>
      </c>
      <c r="X13" s="42">
        <f t="shared" si="9"/>
        <v>26383946.617188726</v>
      </c>
      <c r="Y13" s="42">
        <f t="shared" si="4"/>
        <v>3406534.879687658</v>
      </c>
      <c r="Z13" s="55">
        <f t="shared" si="5"/>
        <v>-202007.51836547811</v>
      </c>
      <c r="AA13" s="55">
        <f t="shared" si="6"/>
        <v>1602263.68066109</v>
      </c>
      <c r="AD13" s="49" t="s">
        <v>79</v>
      </c>
      <c r="AE13" s="50">
        <v>0.5</v>
      </c>
      <c r="AG13" s="47">
        <v>0.11675906525460035</v>
      </c>
      <c r="AH13" s="105">
        <v>0.93640773413805312</v>
      </c>
    </row>
    <row r="14" spans="1:34">
      <c r="A14" s="40">
        <v>2017</v>
      </c>
      <c r="B14" s="40">
        <v>12</v>
      </c>
      <c r="C14" s="48">
        <v>59.28</v>
      </c>
      <c r="D14" s="42">
        <v>336331.44000000006</v>
      </c>
      <c r="E14" s="42"/>
      <c r="F14" s="42">
        <f t="shared" si="10"/>
        <v>19937727.763200004</v>
      </c>
      <c r="G14" s="42">
        <f t="shared" si="11"/>
        <v>8043.8370498413888</v>
      </c>
      <c r="H14" s="42">
        <f t="shared" si="14"/>
        <v>280105.71530854068</v>
      </c>
      <c r="I14" s="42">
        <f t="shared" si="12"/>
        <v>1500.5125438321768</v>
      </c>
      <c r="J14" s="42">
        <f t="shared" si="7"/>
        <v>43776.342599557567</v>
      </c>
      <c r="K14" s="42">
        <f>('Palouse Wind Integration Costs'!$B$9+('Palouse Wind Integration Costs'!$B$10*'Palouse LC'!R14)+('Palouse Wind Integration Costs'!$B$11*'Palouse LC'!R14^2))*1.05*1000</f>
        <v>378889.28780641861</v>
      </c>
      <c r="L14" s="42">
        <f t="shared" si="8"/>
        <v>1613974.8938864262</v>
      </c>
      <c r="M14" s="42">
        <f t="shared" si="1"/>
        <v>879445.40228691476</v>
      </c>
      <c r="N14" s="42">
        <f t="shared" si="13"/>
        <v>23143463.754681528</v>
      </c>
      <c r="R14" s="56">
        <v>62.968822479247997</v>
      </c>
      <c r="S14" s="40">
        <v>7</v>
      </c>
      <c r="T14" s="105">
        <f t="shared" si="2"/>
        <v>0.10661275475633049</v>
      </c>
      <c r="V14" s="55">
        <f>NPV($AE$8,F14:F$39)</f>
        <v>212614330.3664608</v>
      </c>
      <c r="W14" s="42">
        <f t="shared" si="3"/>
        <v>53153582.5916152</v>
      </c>
      <c r="X14" s="42">
        <f t="shared" si="9"/>
        <v>26576791.2958076</v>
      </c>
      <c r="Y14" s="42">
        <f t="shared" si="4"/>
        <v>3431433.8128764243</v>
      </c>
      <c r="Z14" s="55">
        <f t="shared" si="5"/>
        <v>-203484.02510357194</v>
      </c>
      <c r="AA14" s="55">
        <f t="shared" si="6"/>
        <v>1613974.8938864262</v>
      </c>
      <c r="AD14" s="49" t="s">
        <v>80</v>
      </c>
      <c r="AE14" s="50">
        <v>1.3</v>
      </c>
      <c r="AG14" s="47">
        <v>0.11323642944758457</v>
      </c>
      <c r="AH14" s="105">
        <v>0.94150579699865866</v>
      </c>
    </row>
    <row r="15" spans="1:34">
      <c r="A15" s="40">
        <v>2018</v>
      </c>
      <c r="B15" s="40">
        <v>12</v>
      </c>
      <c r="C15" s="48">
        <v>60.4</v>
      </c>
      <c r="D15" s="42">
        <v>336331.44000000006</v>
      </c>
      <c r="E15" s="42"/>
      <c r="F15" s="42">
        <f t="shared" si="10"/>
        <v>20314418.976000004</v>
      </c>
      <c r="G15" s="42">
        <f t="shared" si="11"/>
        <v>7843.6251043462989</v>
      </c>
      <c r="H15" s="42">
        <f t="shared" si="14"/>
        <v>273102.00550674053</v>
      </c>
      <c r="I15" s="42">
        <f t="shared" si="12"/>
        <v>1462.994014803287</v>
      </c>
      <c r="J15" s="42">
        <f t="shared" si="7"/>
        <v>42681.767291039643</v>
      </c>
      <c r="K15" s="42">
        <f>('Palouse Wind Integration Costs'!$B$9+('Palouse Wind Integration Costs'!$B$10*'Palouse LC'!R15)+('Palouse Wind Integration Costs'!$B$11*'Palouse LC'!R15^2))*1.05*1000</f>
        <v>387805.01923377393</v>
      </c>
      <c r="L15" s="42">
        <f t="shared" si="8"/>
        <v>1624023.2620964367</v>
      </c>
      <c r="M15" s="42">
        <f t="shared" si="1"/>
        <v>896137.17008168437</v>
      </c>
      <c r="N15" s="42">
        <f t="shared" si="13"/>
        <v>23547474.819328822</v>
      </c>
      <c r="R15" s="56">
        <v>64.1929931640625</v>
      </c>
      <c r="S15" s="40">
        <v>8</v>
      </c>
      <c r="T15" s="105">
        <f t="shared" si="2"/>
        <v>0.10396776672924828</v>
      </c>
      <c r="V15" s="55">
        <f>NPV($AE$8,F15:F$39)</f>
        <v>213938035.63990688</v>
      </c>
      <c r="W15" s="42">
        <f t="shared" si="3"/>
        <v>53484508.909976721</v>
      </c>
      <c r="X15" s="42">
        <f t="shared" si="9"/>
        <v>26742254.45498836</v>
      </c>
      <c r="Y15" s="42">
        <f t="shared" si="4"/>
        <v>3452797.4106440665</v>
      </c>
      <c r="Z15" s="55">
        <f t="shared" si="5"/>
        <v>-204750.88645119313</v>
      </c>
      <c r="AA15" s="55">
        <f t="shared" si="6"/>
        <v>1624023.2620964367</v>
      </c>
      <c r="AD15" s="52" t="s">
        <v>82</v>
      </c>
      <c r="AE15" s="51">
        <v>2.66E-3</v>
      </c>
      <c r="AG15" s="47">
        <v>0.10985788459665688</v>
      </c>
      <c r="AH15" s="105">
        <v>0.94638420456543315</v>
      </c>
    </row>
    <row r="16" spans="1:34">
      <c r="A16" s="40">
        <v>2019</v>
      </c>
      <c r="B16" s="40">
        <v>12</v>
      </c>
      <c r="C16" s="48">
        <v>61.55</v>
      </c>
      <c r="D16" s="42">
        <v>336331.44000000006</v>
      </c>
      <c r="E16" s="42"/>
      <c r="F16" s="42">
        <f t="shared" si="10"/>
        <v>20701200.132000003</v>
      </c>
      <c r="G16" s="42">
        <f t="shared" si="11"/>
        <v>7649.0302405578686</v>
      </c>
      <c r="H16" s="42">
        <f t="shared" si="14"/>
        <v>266304.46802527289</v>
      </c>
      <c r="I16" s="42">
        <f t="shared" si="12"/>
        <v>1426.5799407567206</v>
      </c>
      <c r="J16" s="42">
        <f t="shared" si="7"/>
        <v>41619.413638975515</v>
      </c>
      <c r="K16" s="42">
        <f>('Palouse Wind Integration Costs'!$B$9+('Palouse Wind Integration Costs'!$B$10*'Palouse LC'!R16)+('Palouse Wind Integration Costs'!$B$11*'Palouse LC'!R16^2))*1.05*1000</f>
        <v>403432.68811232952</v>
      </c>
      <c r="L16" s="42">
        <f t="shared" si="8"/>
        <v>1632216.9695613205</v>
      </c>
      <c r="M16" s="42">
        <f t="shared" si="1"/>
        <v>913556.24088420242</v>
      </c>
      <c r="N16" s="42">
        <f t="shared" si="13"/>
        <v>23967405.522403419</v>
      </c>
      <c r="R16" s="56">
        <v>66.296714782714801</v>
      </c>
      <c r="S16" s="40">
        <v>9</v>
      </c>
      <c r="T16" s="105">
        <f t="shared" si="2"/>
        <v>0.10136518815470455</v>
      </c>
      <c r="V16" s="55">
        <f>NPV($AE$8,F16:F$39)</f>
        <v>215017420.22789758</v>
      </c>
      <c r="W16" s="42">
        <f t="shared" si="3"/>
        <v>53754355.056974396</v>
      </c>
      <c r="X16" s="42">
        <f t="shared" si="9"/>
        <v>26877177.528487198</v>
      </c>
      <c r="Y16" s="42">
        <f t="shared" si="4"/>
        <v>3470217.8581084735</v>
      </c>
      <c r="Z16" s="55">
        <f t="shared" si="5"/>
        <v>-205783.91898583248</v>
      </c>
      <c r="AA16" s="55">
        <f t="shared" si="6"/>
        <v>1632216.9695613205</v>
      </c>
      <c r="AD16" s="52" t="s">
        <v>83</v>
      </c>
      <c r="AE16" s="51">
        <v>2E-3</v>
      </c>
      <c r="AG16" s="47">
        <v>0.10656035549954544</v>
      </c>
      <c r="AH16" s="105">
        <v>0.95124671534280825</v>
      </c>
    </row>
    <row r="17" spans="1:34">
      <c r="A17" s="40">
        <v>2020</v>
      </c>
      <c r="B17" s="40">
        <v>12</v>
      </c>
      <c r="C17" s="48">
        <v>62.72</v>
      </c>
      <c r="D17" s="42">
        <v>336331.44000000006</v>
      </c>
      <c r="E17" s="42"/>
      <c r="F17" s="42">
        <f t="shared" si="10"/>
        <v>21094707.916800003</v>
      </c>
      <c r="G17" s="42">
        <f t="shared" si="11"/>
        <v>7457.5554898117543</v>
      </c>
      <c r="H17" s="42">
        <f t="shared" si="14"/>
        <v>259697.64006087754</v>
      </c>
      <c r="I17" s="42">
        <f t="shared" si="12"/>
        <v>1391.1874882157349</v>
      </c>
      <c r="J17" s="42">
        <f t="shared" si="7"/>
        <v>40586.8650380049</v>
      </c>
      <c r="K17" s="42">
        <f>('Palouse Wind Integration Costs'!$B$9+('Palouse Wind Integration Costs'!$B$10*'Palouse LC'!R17)+('Palouse Wind Integration Costs'!$B$11*'Palouse LC'!R17^2))*1.05*1000</f>
        <v>434816.65058190865</v>
      </c>
      <c r="L17" s="42">
        <f t="shared" si="8"/>
        <v>1638293.9565217576</v>
      </c>
      <c r="M17" s="42">
        <f t="shared" si="1"/>
        <v>931948.52994826064</v>
      </c>
      <c r="N17" s="42">
        <f t="shared" si="13"/>
        <v>24408900.301928841</v>
      </c>
      <c r="R17" s="56">
        <v>70.373191833496094</v>
      </c>
      <c r="S17" s="40">
        <v>10</v>
      </c>
      <c r="T17" s="105">
        <f t="shared" si="2"/>
        <v>9.8768499033312807E-2</v>
      </c>
      <c r="V17" s="55">
        <f>NPV($AE$8,F17:F$39)</f>
        <v>215817962.11868736</v>
      </c>
      <c r="W17" s="42">
        <f t="shared" si="3"/>
        <v>53954490.52967184</v>
      </c>
      <c r="X17" s="42">
        <f t="shared" si="9"/>
        <v>26977245.26483592</v>
      </c>
      <c r="Y17" s="42">
        <f t="shared" si="4"/>
        <v>3483137.9962193212</v>
      </c>
      <c r="Z17" s="55">
        <f t="shared" si="5"/>
        <v>-206550.08317580575</v>
      </c>
      <c r="AA17" s="55">
        <f t="shared" si="6"/>
        <v>1638293.9565217576</v>
      </c>
      <c r="AD17" s="52" t="s">
        <v>84</v>
      </c>
      <c r="AE17" s="51">
        <f>3.8627%</f>
        <v>3.8626999999999995E-2</v>
      </c>
      <c r="AG17" s="47">
        <v>0.10327453497291557</v>
      </c>
      <c r="AH17" s="105">
        <v>0.95636837347382397</v>
      </c>
    </row>
    <row r="18" spans="1:34">
      <c r="A18" s="40">
        <v>2021</v>
      </c>
      <c r="B18" s="40">
        <v>12</v>
      </c>
      <c r="C18" s="48">
        <v>63.91</v>
      </c>
      <c r="D18" s="42">
        <v>336331.44000000006</v>
      </c>
      <c r="E18" s="42"/>
      <c r="F18" s="42">
        <f t="shared" si="10"/>
        <v>21494942.330400001</v>
      </c>
      <c r="G18" s="42">
        <f t="shared" si="11"/>
        <v>7266.5140330246923</v>
      </c>
      <c r="H18" s="42">
        <f t="shared" si="14"/>
        <v>253196.74526295293</v>
      </c>
      <c r="I18" s="42">
        <f t="shared" si="12"/>
        <v>1356.362514438694</v>
      </c>
      <c r="J18" s="42">
        <f t="shared" si="7"/>
        <v>39570.872209853733</v>
      </c>
      <c r="K18" s="42">
        <f>('Palouse Wind Integration Costs'!$B$9+('Palouse Wind Integration Costs'!$B$10*'Palouse LC'!R18)+('Palouse Wind Integration Costs'!$B$11*'Palouse LC'!R18^2))*1.05*1000</f>
        <v>465652.98368647229</v>
      </c>
      <c r="L18" s="42">
        <f t="shared" si="8"/>
        <v>1641991.4884707662</v>
      </c>
      <c r="M18" s="42">
        <f t="shared" si="1"/>
        <v>950608.28936086106</v>
      </c>
      <c r="N18" s="42">
        <f t="shared" si="13"/>
        <v>24854585.585938375</v>
      </c>
      <c r="R18" s="56">
        <v>74.206352233886705</v>
      </c>
      <c r="S18" s="40">
        <v>11</v>
      </c>
      <c r="T18" s="105">
        <f t="shared" si="2"/>
        <v>9.617153961247181E-2</v>
      </c>
      <c r="V18" s="55">
        <f>NPV($AE$8,F18:F$39)</f>
        <v>216305050.41375619</v>
      </c>
      <c r="W18" s="42">
        <f t="shared" si="3"/>
        <v>54076262.603439048</v>
      </c>
      <c r="X18" s="42">
        <f t="shared" si="9"/>
        <v>27038131.301719524</v>
      </c>
      <c r="Y18" s="42">
        <f t="shared" si="4"/>
        <v>3490999.231361255</v>
      </c>
      <c r="Z18" s="55">
        <f t="shared" si="5"/>
        <v>-207016.25441972242</v>
      </c>
      <c r="AA18" s="55">
        <f t="shared" si="6"/>
        <v>1641991.4884707662</v>
      </c>
      <c r="AD18" s="53" t="s">
        <v>89</v>
      </c>
      <c r="AE18" s="68">
        <v>6.6305000000000003E-2</v>
      </c>
      <c r="AG18" s="47">
        <v>9.9988714446285695E-2</v>
      </c>
      <c r="AH18" s="105">
        <v>0.96182394328247434</v>
      </c>
    </row>
    <row r="19" spans="1:34">
      <c r="A19" s="40">
        <v>2022</v>
      </c>
      <c r="B19" s="40">
        <v>12</v>
      </c>
      <c r="C19" s="48">
        <v>65.13</v>
      </c>
      <c r="D19" s="42">
        <v>336331.44000000006</v>
      </c>
      <c r="E19" s="42"/>
      <c r="F19" s="42">
        <f t="shared" si="10"/>
        <v>21905266.687200002</v>
      </c>
      <c r="G19" s="42">
        <f t="shared" si="11"/>
        <v>7075.4526899908979</v>
      </c>
      <c r="H19" s="42">
        <f t="shared" si="14"/>
        <v>246710.5615349391</v>
      </c>
      <c r="I19" s="42">
        <f t="shared" si="12"/>
        <v>1321.616347139807</v>
      </c>
      <c r="J19" s="42">
        <f t="shared" si="7"/>
        <v>38557.178502360322</v>
      </c>
      <c r="K19" s="42">
        <f>('Palouse Wind Integration Costs'!$B$9+('Palouse Wind Integration Costs'!$B$10*'Palouse LC'!R19)+('Palouse Wind Integration Costs'!$B$11*'Palouse LC'!R19^2))*1.05*1000</f>
        <v>512761.74379968585</v>
      </c>
      <c r="L19" s="42">
        <f t="shared" si="8"/>
        <v>1643020.5574506633</v>
      </c>
      <c r="M19" s="42">
        <f t="shared" si="1"/>
        <v>970409.19669268338</v>
      </c>
      <c r="N19" s="42">
        <f t="shared" si="13"/>
        <v>25325122.994217463</v>
      </c>
      <c r="R19" s="56">
        <v>79.777526855468807</v>
      </c>
      <c r="S19" s="40">
        <v>12</v>
      </c>
      <c r="T19" s="105">
        <f t="shared" si="2"/>
        <v>9.3574282567792336E-2</v>
      </c>
      <c r="V19" s="55">
        <f>NPV($AE$8,F19:F$39)</f>
        <v>216440613.12473175</v>
      </c>
      <c r="W19" s="42">
        <f t="shared" si="3"/>
        <v>54110153.281182937</v>
      </c>
      <c r="X19" s="42">
        <f t="shared" si="9"/>
        <v>27055076.640591469</v>
      </c>
      <c r="Y19" s="42">
        <f t="shared" si="4"/>
        <v>3493187.1105573792</v>
      </c>
      <c r="Z19" s="55">
        <f t="shared" si="5"/>
        <v>-207145.99565605258</v>
      </c>
      <c r="AA19" s="55">
        <f t="shared" si="6"/>
        <v>1643020.5574506633</v>
      </c>
      <c r="AG19" s="47">
        <v>9.6702893919655891E-2</v>
      </c>
      <c r="AH19" s="105">
        <v>0.96764717967527514</v>
      </c>
    </row>
    <row r="20" spans="1:34">
      <c r="A20" s="40">
        <v>2023</v>
      </c>
      <c r="B20" s="40">
        <v>12</v>
      </c>
      <c r="C20" s="48">
        <v>66.38</v>
      </c>
      <c r="D20" s="42">
        <v>336331.44000000006</v>
      </c>
      <c r="E20" s="42"/>
      <c r="F20" s="42">
        <f t="shared" si="10"/>
        <v>22325680.987200003</v>
      </c>
      <c r="G20" s="42">
        <f t="shared" si="11"/>
        <v>6884.3694504230862</v>
      </c>
      <c r="H20" s="42">
        <f t="shared" si="14"/>
        <v>240223.70263488599</v>
      </c>
      <c r="I20" s="42">
        <f t="shared" si="12"/>
        <v>1286.8665629775048</v>
      </c>
      <c r="J20" s="42">
        <f t="shared" si="7"/>
        <v>37543.379275554413</v>
      </c>
      <c r="K20" s="42">
        <f>('Palouse Wind Integration Costs'!$B$9+('Palouse Wind Integration Costs'!$B$10*'Palouse LC'!R20)+('Palouse Wind Integration Costs'!$B$11*'Palouse LC'!R20^2))*1.05*1000</f>
        <v>558927.02710756601</v>
      </c>
      <c r="L20" s="42">
        <f t="shared" si="8"/>
        <v>1641037.7234797333</v>
      </c>
      <c r="M20" s="42">
        <f t="shared" si="1"/>
        <v>990606.02711533161</v>
      </c>
      <c r="N20" s="42">
        <f t="shared" si="13"/>
        <v>25802190.082826473</v>
      </c>
      <c r="R20" s="56">
        <v>84.949798583984403</v>
      </c>
      <c r="S20" s="40">
        <v>13</v>
      </c>
      <c r="T20" s="105">
        <f t="shared" si="2"/>
        <v>9.0976696763516746E-2</v>
      </c>
      <c r="V20" s="55">
        <f>NPV($AE$8,F20:F$39)</f>
        <v>216179407.75000501</v>
      </c>
      <c r="W20" s="42">
        <f t="shared" si="3"/>
        <v>54044851.937501252</v>
      </c>
      <c r="X20" s="42">
        <f t="shared" si="9"/>
        <v>27022425.968750626</v>
      </c>
      <c r="Y20" s="42">
        <f t="shared" si="4"/>
        <v>3488971.4541931185</v>
      </c>
      <c r="Z20" s="55">
        <f t="shared" si="5"/>
        <v>-206896.00723365191</v>
      </c>
      <c r="AA20" s="55">
        <f t="shared" si="6"/>
        <v>1641037.7234797333</v>
      </c>
      <c r="AG20" s="47">
        <v>9.3417073393026032E-2</v>
      </c>
      <c r="AH20" s="105">
        <v>0.97387654589389583</v>
      </c>
    </row>
    <row r="21" spans="1:34">
      <c r="A21" s="40">
        <v>2024</v>
      </c>
      <c r="B21" s="40">
        <v>12</v>
      </c>
      <c r="C21" s="48">
        <v>67.64</v>
      </c>
      <c r="D21" s="42">
        <v>336331.44000000006</v>
      </c>
      <c r="E21" s="42"/>
      <c r="F21" s="42">
        <f t="shared" si="10"/>
        <v>22749458.601600002</v>
      </c>
      <c r="G21" s="42">
        <f t="shared" si="11"/>
        <v>6693.2620236271405</v>
      </c>
      <c r="H21" s="42">
        <f t="shared" si="14"/>
        <v>233736.10031010702</v>
      </c>
      <c r="I21" s="42">
        <f t="shared" si="12"/>
        <v>1252.112796325501</v>
      </c>
      <c r="J21" s="42">
        <f t="shared" si="7"/>
        <v>36529.463862559802</v>
      </c>
      <c r="K21" s="42">
        <f>('Palouse Wind Integration Costs'!$B$9+('Palouse Wind Integration Costs'!$B$10*'Palouse LC'!R21)+('Palouse Wind Integration Costs'!$B$11*'Palouse LC'!R21^2))*1.05*1000</f>
        <v>607154.44219640258</v>
      </c>
      <c r="L21" s="42">
        <f t="shared" si="8"/>
        <v>1635665.2025780843</v>
      </c>
      <c r="M21" s="42">
        <f t="shared" si="1"/>
        <v>1011037.7088268148</v>
      </c>
      <c r="N21" s="42">
        <f t="shared" si="13"/>
        <v>26281526.894193921</v>
      </c>
      <c r="R21" s="56">
        <v>90.093200683593807</v>
      </c>
      <c r="S21" s="40">
        <v>14</v>
      </c>
      <c r="T21" s="105">
        <f t="shared" si="2"/>
        <v>8.8378746563967978E-2</v>
      </c>
      <c r="V21" s="55">
        <f>NPV($AE$8,F21:F$39)</f>
        <v>215471667.53780547</v>
      </c>
      <c r="W21" s="42">
        <f t="shared" si="3"/>
        <v>53867916.884451367</v>
      </c>
      <c r="X21" s="42">
        <f t="shared" si="9"/>
        <v>26933958.442225683</v>
      </c>
      <c r="Y21" s="42">
        <f t="shared" si="4"/>
        <v>3477549.0646924297</v>
      </c>
      <c r="Z21" s="55">
        <f t="shared" si="5"/>
        <v>-206218.65953626108</v>
      </c>
      <c r="AA21" s="55">
        <f t="shared" si="6"/>
        <v>1635665.2025780843</v>
      </c>
      <c r="AG21" s="47">
        <v>9.0131252866396186E-2</v>
      </c>
      <c r="AH21" s="105">
        <v>0.98055606410990437</v>
      </c>
    </row>
    <row r="22" spans="1:34">
      <c r="A22" s="40">
        <v>2025</v>
      </c>
      <c r="B22" s="40">
        <v>12</v>
      </c>
      <c r="C22" s="48">
        <v>68.94</v>
      </c>
      <c r="D22" s="42">
        <v>336331.44000000006</v>
      </c>
      <c r="E22" s="42"/>
      <c r="F22" s="42">
        <f t="shared" si="10"/>
        <v>23186689.473600004</v>
      </c>
      <c r="G22" s="42">
        <f t="shared" si="11"/>
        <v>6502.1277878446035</v>
      </c>
      <c r="H22" s="42">
        <f t="shared" si="14"/>
        <v>227247.67678762472</v>
      </c>
      <c r="I22" s="42">
        <f t="shared" si="12"/>
        <v>1217.3546305577795</v>
      </c>
      <c r="J22" s="42">
        <f t="shared" si="7"/>
        <v>35515.4201086209</v>
      </c>
      <c r="K22" s="42">
        <f>('Palouse Wind Integration Costs'!$B$9+('Palouse Wind Integration Costs'!$B$10*'Palouse LC'!R22)+('Palouse Wind Integration Costs'!$B$11*'Palouse LC'!R22^2))*1.05*1000</f>
        <v>632566.4986804208</v>
      </c>
      <c r="L22" s="42">
        <f t="shared" si="8"/>
        <v>1626538.4948243769</v>
      </c>
      <c r="M22" s="42">
        <f t="shared" si="1"/>
        <v>1031064.1332721026</v>
      </c>
      <c r="N22" s="42">
        <f t="shared" si="13"/>
        <v>26747341.179691549</v>
      </c>
      <c r="R22" s="56">
        <v>92.708740234375</v>
      </c>
      <c r="S22" s="40">
        <v>15</v>
      </c>
      <c r="T22" s="105">
        <f t="shared" si="2"/>
        <v>8.5780390990132571E-2</v>
      </c>
      <c r="V22" s="55">
        <f>NPV($AE$8,F22:F$39)</f>
        <v>214269375.68998602</v>
      </c>
      <c r="W22" s="42">
        <f t="shared" si="3"/>
        <v>53567343.922496505</v>
      </c>
      <c r="X22" s="42">
        <f t="shared" si="9"/>
        <v>26783671.961248253</v>
      </c>
      <c r="Y22" s="42">
        <f t="shared" si="4"/>
        <v>3458144.9874016731</v>
      </c>
      <c r="Z22" s="55">
        <f t="shared" si="5"/>
        <v>-205067.99775291921</v>
      </c>
      <c r="AA22" s="55">
        <f t="shared" si="6"/>
        <v>1626538.4948243769</v>
      </c>
      <c r="AG22" s="47">
        <v>8.6845432339766326E-2</v>
      </c>
      <c r="AH22" s="105">
        <v>0.9877363573311837</v>
      </c>
    </row>
    <row r="23" spans="1:34">
      <c r="A23" s="40">
        <v>2026</v>
      </c>
      <c r="B23" s="40">
        <v>12</v>
      </c>
      <c r="C23" s="48">
        <v>70.25</v>
      </c>
      <c r="D23" s="42">
        <v>336331.44000000006</v>
      </c>
      <c r="E23" s="42"/>
      <c r="F23" s="42">
        <f t="shared" si="10"/>
        <v>23627283.660000004</v>
      </c>
      <c r="G23" s="42">
        <f t="shared" si="11"/>
        <v>6310.9637282015119</v>
      </c>
      <c r="H23" s="42">
        <f t="shared" si="14"/>
        <v>220758.34305426196</v>
      </c>
      <c r="I23" s="42">
        <f t="shared" si="12"/>
        <v>1182.5915888351274</v>
      </c>
      <c r="J23" s="42">
        <f t="shared" si="7"/>
        <v>34501.234102306691</v>
      </c>
      <c r="K23" s="42">
        <f>('Palouse Wind Integration Costs'!$B$9+('Palouse Wind Integration Costs'!$B$10*'Palouse LC'!R23)+('Palouse Wind Integration Costs'!$B$11*'Palouse LC'!R23^2))*1.05*1000</f>
        <v>612794.26658047666</v>
      </c>
      <c r="L23" s="42">
        <f t="shared" si="8"/>
        <v>1613180.0566203292</v>
      </c>
      <c r="M23" s="42">
        <f t="shared" si="1"/>
        <v>1049280.2532078892</v>
      </c>
      <c r="N23" s="42">
        <f t="shared" si="13"/>
        <v>27165291.368882302</v>
      </c>
      <c r="R23" s="56">
        <v>90.679031372070298</v>
      </c>
      <c r="S23" s="40">
        <v>16</v>
      </c>
      <c r="T23" s="105">
        <f t="shared" si="2"/>
        <v>8.3181582679158511E-2</v>
      </c>
      <c r="V23" s="55">
        <f>NPV($AE$8,F23:F$39)</f>
        <v>212509623.78538468</v>
      </c>
      <c r="W23" s="42">
        <f t="shared" si="3"/>
        <v>53127405.946346171</v>
      </c>
      <c r="X23" s="42">
        <f t="shared" si="9"/>
        <v>26563702.973173086</v>
      </c>
      <c r="Y23" s="42">
        <f t="shared" si="4"/>
        <v>3429743.9281818415</v>
      </c>
      <c r="Z23" s="55">
        <f t="shared" si="5"/>
        <v>-203383.8149411832</v>
      </c>
      <c r="AA23" s="55">
        <f t="shared" si="6"/>
        <v>1613180.0566203292</v>
      </c>
      <c r="AG23" s="47">
        <v>8.3559611813136481E-2</v>
      </c>
      <c r="AH23" s="105">
        <v>0.9954759347754828</v>
      </c>
    </row>
    <row r="24" spans="1:34">
      <c r="A24" s="40">
        <v>2027</v>
      </c>
      <c r="B24" s="40">
        <v>12</v>
      </c>
      <c r="C24" s="48">
        <v>71.599999999999994</v>
      </c>
      <c r="D24" s="42">
        <v>336331.44000000006</v>
      </c>
      <c r="E24" s="42"/>
      <c r="F24" s="42">
        <f t="shared" si="10"/>
        <v>24081331.104000002</v>
      </c>
      <c r="G24" s="42">
        <f t="shared" si="11"/>
        <v>6119.7663601574259</v>
      </c>
      <c r="H24" s="42">
        <f t="shared" si="14"/>
        <v>214267.99674989865</v>
      </c>
      <c r="I24" s="42">
        <f t="shared" si="12"/>
        <v>1147.8231228194145</v>
      </c>
      <c r="J24" s="42">
        <f t="shared" si="7"/>
        <v>33486.889846258171</v>
      </c>
      <c r="K24" s="42">
        <f>('Palouse Wind Integration Costs'!$B$9+('Palouse Wind Integration Costs'!$B$10*'Palouse LC'!R24)+('Palouse Wind Integration Costs'!$B$11*'Palouse LC'!R24^2))*1.05*1000</f>
        <v>610385.8893098504</v>
      </c>
      <c r="L24" s="42">
        <f t="shared" si="8"/>
        <v>1595141.1836926367</v>
      </c>
      <c r="M24" s="42">
        <f t="shared" si="1"/>
        <v>1068830.3534894034</v>
      </c>
      <c r="N24" s="42">
        <f t="shared" si="13"/>
        <v>27610711.006571025</v>
      </c>
      <c r="R24" s="56">
        <v>90.429244995117202</v>
      </c>
      <c r="S24" s="40">
        <v>17</v>
      </c>
      <c r="T24" s="105">
        <f t="shared" si="2"/>
        <v>8.0582266590861665E-2</v>
      </c>
      <c r="V24" s="55">
        <f>NPV($AE$8,F24:F$39)</f>
        <v>210133302.50392312</v>
      </c>
      <c r="W24" s="42">
        <f t="shared" si="3"/>
        <v>52533325.62598078</v>
      </c>
      <c r="X24" s="42">
        <f t="shared" si="9"/>
        <v>26266662.81299039</v>
      </c>
      <c r="Y24" s="42">
        <f t="shared" si="4"/>
        <v>3391391.9075000249</v>
      </c>
      <c r="Z24" s="55">
        <f t="shared" si="5"/>
        <v>-201109.54011475146</v>
      </c>
      <c r="AA24" s="55">
        <f t="shared" si="6"/>
        <v>1595141.1836926367</v>
      </c>
      <c r="AG24" s="47">
        <v>8.0273791286506649E-2</v>
      </c>
      <c r="AH24" s="105">
        <v>1.0038427897749844</v>
      </c>
    </row>
    <row r="25" spans="1:34">
      <c r="A25" s="40">
        <v>2028</v>
      </c>
      <c r="B25" s="40">
        <v>12</v>
      </c>
      <c r="C25" s="48">
        <v>72.97</v>
      </c>
      <c r="D25" s="42">
        <v>336331.44000000006</v>
      </c>
      <c r="E25" s="42"/>
      <c r="F25" s="42">
        <f t="shared" si="10"/>
        <v>24542105.176800005</v>
      </c>
      <c r="G25" s="42">
        <f t="shared" si="11"/>
        <v>5928.5316343416034</v>
      </c>
      <c r="H25" s="42">
        <f t="shared" si="14"/>
        <v>207776.51956843591</v>
      </c>
      <c r="I25" s="42">
        <f t="shared" si="12"/>
        <v>1113.0485987506861</v>
      </c>
      <c r="J25" s="42">
        <f t="shared" si="7"/>
        <v>32472.368850997849</v>
      </c>
      <c r="K25" s="42">
        <f>('Palouse Wind Integration Costs'!$B$9+('Palouse Wind Integration Costs'!$B$10*'Palouse LC'!R25)+('Palouse Wind Integration Costs'!$B$11*'Palouse LC'!R25^2))*1.05*1000</f>
        <v>675362.39675767918</v>
      </c>
      <c r="L25" s="42">
        <f t="shared" si="8"/>
        <v>1571851.707655861</v>
      </c>
      <c r="M25" s="42">
        <f t="shared" si="1"/>
        <v>1091588.5188565913</v>
      </c>
      <c r="N25" s="42">
        <f t="shared" si="13"/>
        <v>28128198.268722668</v>
      </c>
      <c r="R25" s="56">
        <v>96.981086730957003</v>
      </c>
      <c r="S25" s="40">
        <v>18</v>
      </c>
      <c r="T25" s="105">
        <f t="shared" si="2"/>
        <v>7.7982378386442855E-2</v>
      </c>
      <c r="V25" s="55">
        <f>NPV($AE$8,F25:F$39)</f>
        <v>207065301.65031549</v>
      </c>
      <c r="W25" s="42">
        <f t="shared" si="3"/>
        <v>51766325.412578873</v>
      </c>
      <c r="X25" s="42">
        <f t="shared" si="9"/>
        <v>25883162.706289437</v>
      </c>
      <c r="Y25" s="42">
        <f t="shared" si="4"/>
        <v>3341876.7038500286</v>
      </c>
      <c r="Z25" s="55">
        <f t="shared" si="5"/>
        <v>-198173.28853830669</v>
      </c>
      <c r="AA25" s="55">
        <f t="shared" si="6"/>
        <v>1571851.707655861</v>
      </c>
      <c r="AG25" s="47">
        <v>7.6987970759876803E-2</v>
      </c>
      <c r="AH25" s="105">
        <v>1.0129164026113584</v>
      </c>
    </row>
    <row r="26" spans="1:34">
      <c r="A26" s="40">
        <v>2029</v>
      </c>
      <c r="B26" s="40">
        <v>12</v>
      </c>
      <c r="C26" s="48">
        <v>74.37</v>
      </c>
      <c r="D26" s="42">
        <v>336331.44000000006</v>
      </c>
      <c r="E26" s="42"/>
      <c r="F26" s="42">
        <f t="shared" si="10"/>
        <v>25012969.192800008</v>
      </c>
      <c r="G26" s="42">
        <f t="shared" si="11"/>
        <v>5737.2548172733132</v>
      </c>
      <c r="H26" s="42">
        <f t="shared" si="14"/>
        <v>201283.77402682119</v>
      </c>
      <c r="I26" s="42">
        <f t="shared" si="12"/>
        <v>1078.2672801389904</v>
      </c>
      <c r="J26" s="42">
        <f t="shared" si="7"/>
        <v>31457.64962997663</v>
      </c>
      <c r="K26" s="42">
        <f>('Palouse Wind Integration Costs'!$B$9+('Palouse Wind Integration Costs'!$B$10*'Palouse LC'!R26)+('Palouse Wind Integration Costs'!$B$11*'Palouse LC'!R26^2))*1.05*1000</f>
        <v>719377.93530119036</v>
      </c>
      <c r="L26" s="42">
        <f t="shared" si="8"/>
        <v>1542735.5057425539</v>
      </c>
      <c r="M26" s="42">
        <f t="shared" si="1"/>
        <v>1113876.1101341164</v>
      </c>
      <c r="N26" s="42">
        <f t="shared" si="13"/>
        <v>28628515.689732082</v>
      </c>
      <c r="R26" s="56">
        <v>101.21783447265599</v>
      </c>
      <c r="S26" s="40">
        <v>19</v>
      </c>
      <c r="T26" s="105">
        <f t="shared" si="2"/>
        <v>7.5381842378232561E-2</v>
      </c>
      <c r="V26" s="55">
        <f>NPV($AE$8,F26:F$39)</f>
        <v>203229726.63854703</v>
      </c>
      <c r="W26" s="42">
        <f t="shared" si="3"/>
        <v>50807431.659636758</v>
      </c>
      <c r="X26" s="42">
        <f t="shared" si="9"/>
        <v>25403715.829818379</v>
      </c>
      <c r="Y26" s="42">
        <f t="shared" si="4"/>
        <v>3279973.4362550313</v>
      </c>
      <c r="Z26" s="55">
        <f t="shared" si="5"/>
        <v>-194502.42476992335</v>
      </c>
      <c r="AA26" s="55">
        <f t="shared" si="6"/>
        <v>1542735.5057425539</v>
      </c>
      <c r="AG26" s="47">
        <v>7.3702150233246957E-2</v>
      </c>
      <c r="AH26" s="105">
        <v>1.0227902732779144</v>
      </c>
    </row>
    <row r="27" spans="1:34">
      <c r="A27" s="40">
        <v>2030</v>
      </c>
      <c r="B27" s="40">
        <v>12</v>
      </c>
      <c r="C27" s="48">
        <v>75.8</v>
      </c>
      <c r="D27" s="42">
        <v>336331.44000000006</v>
      </c>
      <c r="E27" s="42"/>
      <c r="F27" s="42">
        <f t="shared" si="10"/>
        <v>25493923.152000003</v>
      </c>
      <c r="G27" s="42">
        <f t="shared" si="11"/>
        <v>5545.9303405221517</v>
      </c>
      <c r="H27" s="42">
        <f t="shared" si="14"/>
        <v>194789.59941529969</v>
      </c>
      <c r="I27" s="42">
        <f t="shared" si="12"/>
        <v>1043.4783060700727</v>
      </c>
      <c r="J27" s="42">
        <f t="shared" si="7"/>
        <v>30442.707066658473</v>
      </c>
      <c r="K27" s="42">
        <f>('Palouse Wind Integration Costs'!$B$9+('Palouse Wind Integration Costs'!$B$10*'Palouse LC'!R27)+('Palouse Wind Integration Costs'!$B$11*'Palouse LC'!R27^2))*1.05*1000</f>
        <v>776576.80923188967</v>
      </c>
      <c r="L27" s="42">
        <f t="shared" si="8"/>
        <v>1507133.3116802562</v>
      </c>
      <c r="M27" s="42">
        <f t="shared" si="1"/>
        <v>1137171.1318218447</v>
      </c>
      <c r="N27" s="42">
        <f t="shared" si="13"/>
        <v>29146626.119862542</v>
      </c>
      <c r="R27" s="56">
        <v>106.51124572753901</v>
      </c>
      <c r="S27" s="40">
        <v>20</v>
      </c>
      <c r="T27" s="105">
        <f t="shared" si="2"/>
        <v>7.2780568911935975E-2</v>
      </c>
      <c r="V27" s="55">
        <f>NPV($AE$8,F27:F$39)</f>
        <v>198539730.10960174</v>
      </c>
      <c r="W27" s="42">
        <f t="shared" si="3"/>
        <v>49634932.527400434</v>
      </c>
      <c r="X27" s="42">
        <f t="shared" si="9"/>
        <v>24817466.263700217</v>
      </c>
      <c r="Y27" s="42">
        <f t="shared" si="4"/>
        <v>3204280.454300534</v>
      </c>
      <c r="Z27" s="55">
        <f t="shared" si="5"/>
        <v>-190013.83094002167</v>
      </c>
      <c r="AA27" s="55">
        <f t="shared" si="6"/>
        <v>1507133.3116802562</v>
      </c>
      <c r="AG27" s="47">
        <v>7.0416329706617126E-2</v>
      </c>
      <c r="AH27" s="105">
        <v>1.0335751552966368</v>
      </c>
    </row>
    <row r="28" spans="1:34">
      <c r="A28" s="40">
        <v>2031</v>
      </c>
      <c r="B28" s="40">
        <v>12</v>
      </c>
      <c r="C28" s="48">
        <v>77.25</v>
      </c>
      <c r="D28" s="42">
        <v>336331.44000000006</v>
      </c>
      <c r="E28" s="42"/>
      <c r="F28" s="42">
        <f t="shared" si="10"/>
        <v>25981603.740000006</v>
      </c>
      <c r="G28" s="42">
        <f t="shared" si="11"/>
        <v>5354.5516081167561</v>
      </c>
      <c r="H28" s="42">
        <f t="shared" si="14"/>
        <v>188293.80667614914</v>
      </c>
      <c r="I28" s="42">
        <f t="shared" si="12"/>
        <v>1008.680663771011</v>
      </c>
      <c r="J28" s="42">
        <f t="shared" si="7"/>
        <v>29427.511614143186</v>
      </c>
      <c r="K28" s="42">
        <f>('Palouse Wind Integration Costs'!$B$9+('Palouse Wind Integration Costs'!$B$10*'Palouse LC'!R28)+('Palouse Wind Integration Costs'!$B$11*'Palouse LC'!R28^2))*1.05*1000</f>
        <v>825354.42699216155</v>
      </c>
      <c r="L28" s="42">
        <f t="shared" si="8"/>
        <v>1464319.9325692619</v>
      </c>
      <c r="M28" s="42">
        <f t="shared" si="1"/>
        <v>1160392.7981745899</v>
      </c>
      <c r="N28" s="42">
        <f t="shared" si="13"/>
        <v>29655755.448298201</v>
      </c>
      <c r="R28" s="56">
        <v>110.85588836669901</v>
      </c>
      <c r="S28" s="40">
        <v>21</v>
      </c>
      <c r="T28" s="105">
        <f t="shared" si="2"/>
        <v>7.040812553773293E-2</v>
      </c>
      <c r="V28" s="55">
        <f>NPV($AE$8,F28:F$39)</f>
        <v>192899779.96856192</v>
      </c>
      <c r="W28" s="42">
        <f t="shared" si="3"/>
        <v>48224944.992140479</v>
      </c>
      <c r="X28" s="42">
        <f t="shared" si="9"/>
        <v>24112472.49607024</v>
      </c>
      <c r="Y28" s="42">
        <f t="shared" si="4"/>
        <v>3113255.9425305878</v>
      </c>
      <c r="Z28" s="55">
        <f t="shared" si="5"/>
        <v>-184616.07739206386</v>
      </c>
      <c r="AA28" s="55">
        <f t="shared" si="6"/>
        <v>1464319.9325692619</v>
      </c>
      <c r="AG28" s="47">
        <v>6.7552017717324858E-2</v>
      </c>
      <c r="AH28" s="105">
        <v>1.0422801259965262</v>
      </c>
    </row>
    <row r="29" spans="1:34">
      <c r="A29" s="40">
        <v>2032</v>
      </c>
      <c r="B29" s="40">
        <v>12</v>
      </c>
      <c r="C29" s="48">
        <v>78.739999999999995</v>
      </c>
      <c r="D29" s="42">
        <v>336331.44000000006</v>
      </c>
      <c r="E29" s="42"/>
      <c r="F29" s="42">
        <f t="shared" si="10"/>
        <v>26482737.585600004</v>
      </c>
      <c r="G29" s="42">
        <f t="shared" si="11"/>
        <v>5180.0081733178904</v>
      </c>
      <c r="H29" s="42">
        <f t="shared" si="14"/>
        <v>181796.17186487681</v>
      </c>
      <c r="I29" s="42">
        <f t="shared" si="12"/>
        <v>973.87315358216972</v>
      </c>
      <c r="J29" s="42">
        <f t="shared" si="7"/>
        <v>28412.028273249016</v>
      </c>
      <c r="K29" s="42">
        <f>('Palouse Wind Integration Costs'!$B$9+('Palouse Wind Integration Costs'!$B$10*'Palouse LC'!R29)+('Palouse Wind Integration Costs'!$B$11*'Palouse LC'!R29^2))*1.05*1000</f>
        <v>877874.67389230442</v>
      </c>
      <c r="L29" s="42">
        <f t="shared" si="8"/>
        <v>1413523.1874481635</v>
      </c>
      <c r="M29" s="42">
        <f t="shared" si="1"/>
        <v>1184358.8228766434</v>
      </c>
      <c r="N29" s="42">
        <f t="shared" si="13"/>
        <v>30174856.351282138</v>
      </c>
      <c r="R29" s="56">
        <v>115.37775097482167</v>
      </c>
      <c r="S29" s="40">
        <v>22</v>
      </c>
      <c r="T29" s="105">
        <f t="shared" si="2"/>
        <v>6.8485979474674538E-2</v>
      </c>
      <c r="V29" s="55">
        <f>NPV($AE$8,F29:F$39)</f>
        <v>186208154.22541815</v>
      </c>
      <c r="W29" s="42">
        <f t="shared" si="3"/>
        <v>46552038.556354538</v>
      </c>
      <c r="X29" s="42">
        <f t="shared" si="9"/>
        <v>23276019.278177269</v>
      </c>
      <c r="Y29" s="42">
        <f t="shared" si="4"/>
        <v>3005258.1852836474</v>
      </c>
      <c r="Z29" s="55">
        <f t="shared" si="5"/>
        <v>-178211.81038732029</v>
      </c>
      <c r="AA29" s="55">
        <f t="shared" si="6"/>
        <v>1413523.1874481635</v>
      </c>
      <c r="AG29" s="47">
        <v>6.553015625897482E-2</v>
      </c>
      <c r="AH29" s="105">
        <v>1.0451063050119753</v>
      </c>
    </row>
    <row r="30" spans="1:34">
      <c r="A30" s="40">
        <v>2033</v>
      </c>
      <c r="B30" s="40">
        <v>12</v>
      </c>
      <c r="C30" s="48">
        <v>80.25</v>
      </c>
      <c r="D30" s="42">
        <v>336331.44000000006</v>
      </c>
      <c r="E30" s="42"/>
      <c r="F30" s="42">
        <f t="shared" si="10"/>
        <v>26990598.060000006</v>
      </c>
      <c r="G30" s="42">
        <f t="shared" si="11"/>
        <v>5038.5936385477908</v>
      </c>
      <c r="H30" s="42">
        <f t="shared" si="14"/>
        <v>175870.12415950402</v>
      </c>
      <c r="I30" s="42">
        <f t="shared" si="12"/>
        <v>942.12760741412751</v>
      </c>
      <c r="J30" s="42">
        <f t="shared" si="7"/>
        <v>27485.875465813559</v>
      </c>
      <c r="K30" s="42">
        <f>('Palouse Wind Integration Costs'!$B$9+('Palouse Wind Integration Costs'!$B$10*'Palouse LC'!R30)+('Palouse Wind Integration Costs'!$B$11*'Palouse LC'!R30^2))*1.05*1000</f>
        <v>934436.13890557585</v>
      </c>
      <c r="L30" s="42">
        <f t="shared" si="8"/>
        <v>1353842.6148028737</v>
      </c>
      <c r="M30" s="42">
        <f t="shared" si="1"/>
        <v>1208790.9553680257</v>
      </c>
      <c r="N30" s="42">
        <f t="shared" si="13"/>
        <v>30697004.489947762</v>
      </c>
      <c r="R30" s="56">
        <v>120.08406243584693</v>
      </c>
      <c r="S30" s="40">
        <v>23</v>
      </c>
      <c r="T30" s="105">
        <f t="shared" si="2"/>
        <v>6.6784763148761958E-2</v>
      </c>
      <c r="V30" s="55">
        <f>NPV($AE$8,F30:F$39)</f>
        <v>178346232.06235996</v>
      </c>
      <c r="W30" s="42">
        <f t="shared" si="3"/>
        <v>44586558.01558999</v>
      </c>
      <c r="X30" s="42">
        <f t="shared" si="9"/>
        <v>22293279.007794995</v>
      </c>
      <c r="Y30" s="42">
        <f t="shared" si="4"/>
        <v>2878372.7326520118</v>
      </c>
      <c r="Z30" s="55">
        <f t="shared" si="5"/>
        <v>-170687.50304626429</v>
      </c>
      <c r="AA30" s="55">
        <f t="shared" si="6"/>
        <v>1353842.6148028737</v>
      </c>
      <c r="AG30" s="47">
        <v>6.3929236794229419E-2</v>
      </c>
      <c r="AH30" s="105">
        <v>1.0446669864638567</v>
      </c>
    </row>
    <row r="31" spans="1:34">
      <c r="A31" s="40">
        <v>2034</v>
      </c>
      <c r="B31" s="40">
        <v>12</v>
      </c>
      <c r="C31" s="48">
        <v>81.8</v>
      </c>
      <c r="D31" s="42">
        <v>336331.44000000006</v>
      </c>
      <c r="E31" s="42"/>
      <c r="F31" s="42">
        <f t="shared" si="10"/>
        <v>27511911.792000003</v>
      </c>
      <c r="G31" s="42">
        <f t="shared" si="11"/>
        <v>4913.4331630273009</v>
      </c>
      <c r="H31" s="42">
        <f t="shared" si="14"/>
        <v>171068.85918928953</v>
      </c>
      <c r="I31" s="42">
        <f t="shared" si="12"/>
        <v>916.40746705164634</v>
      </c>
      <c r="J31" s="42">
        <f t="shared" si="7"/>
        <v>26735.509411997609</v>
      </c>
      <c r="K31" s="42">
        <f>('Palouse Wind Integration Costs'!$B$9+('Palouse Wind Integration Costs'!$B$10*'Palouse LC'!R31)+('Palouse Wind Integration Costs'!$B$11*'Palouse LC'!R31^2))*1.05*1000</f>
        <v>995361.73811542359</v>
      </c>
      <c r="L31" s="42">
        <f t="shared" si="8"/>
        <v>1284338.7694244364</v>
      </c>
      <c r="M31" s="42">
        <f t="shared" si="1"/>
        <v>1233994.3492981063</v>
      </c>
      <c r="N31" s="42">
        <f t="shared" si="13"/>
        <v>31229240.858069334</v>
      </c>
      <c r="R31" s="56">
        <v>124.98234650321128</v>
      </c>
      <c r="S31" s="40">
        <v>24</v>
      </c>
      <c r="T31" s="105">
        <f t="shared" si="2"/>
        <v>6.5083564547449291E-2</v>
      </c>
      <c r="V31" s="55">
        <f>NPV($AE$8,F31:F$39)</f>
        <v>169190257.20859599</v>
      </c>
      <c r="W31" s="42">
        <f t="shared" si="3"/>
        <v>42297564.302148998</v>
      </c>
      <c r="X31" s="42">
        <f t="shared" si="9"/>
        <v>21148782.151074499</v>
      </c>
      <c r="Y31" s="42">
        <f t="shared" si="4"/>
        <v>2730602.2524172137</v>
      </c>
      <c r="Z31" s="55">
        <f t="shared" si="5"/>
        <v>-161924.71356834078</v>
      </c>
      <c r="AA31" s="55">
        <f t="shared" si="6"/>
        <v>1284338.7694244364</v>
      </c>
      <c r="AG31" s="47">
        <v>6.2328317329483997E-2</v>
      </c>
      <c r="AH31" s="105">
        <v>1.0442053842621859</v>
      </c>
    </row>
    <row r="32" spans="1:34">
      <c r="A32" s="40">
        <v>2035</v>
      </c>
      <c r="B32" s="40">
        <v>12</v>
      </c>
      <c r="C32" s="48">
        <v>83.38</v>
      </c>
      <c r="D32" s="42">
        <v>336331.44000000006</v>
      </c>
      <c r="E32" s="42"/>
      <c r="F32" s="42">
        <f t="shared" si="10"/>
        <v>28043315.467200004</v>
      </c>
      <c r="G32" s="42">
        <f t="shared" si="11"/>
        <v>4788.2739915263646</v>
      </c>
      <c r="H32" s="42">
        <f t="shared" si="14"/>
        <v>166819.44729008939</v>
      </c>
      <c r="I32" s="42">
        <f t="shared" si="12"/>
        <v>893.64357645542634</v>
      </c>
      <c r="J32" s="42">
        <f t="shared" si="7"/>
        <v>26071.389756527122</v>
      </c>
      <c r="K32" s="42">
        <f>('Palouse Wind Integration Costs'!$B$9+('Palouse Wind Integration Costs'!$B$10*'Palouse LC'!R32)+('Palouse Wind Integration Costs'!$B$11*'Palouse LC'!R32^2))*1.05*1000</f>
        <v>1061000.7182478514</v>
      </c>
      <c r="L32" s="42">
        <f t="shared" si="8"/>
        <v>1203927.1991264601</v>
      </c>
      <c r="M32" s="42">
        <f t="shared" si="1"/>
        <v>1259838.5347194811</v>
      </c>
      <c r="N32" s="42">
        <f t="shared" si="13"/>
        <v>31766654.67390839</v>
      </c>
      <c r="R32" s="56">
        <v>130.08043382770987</v>
      </c>
      <c r="S32" s="40">
        <v>25</v>
      </c>
      <c r="T32" s="105">
        <f t="shared" si="2"/>
        <v>6.3382385054401885E-2</v>
      </c>
      <c r="V32" s="55">
        <f>NPV($AE$8,F32:F$39)</f>
        <v>158597371.13745561</v>
      </c>
      <c r="W32" s="42">
        <f t="shared" si="3"/>
        <v>39649342.784363903</v>
      </c>
      <c r="X32" s="42">
        <f t="shared" si="9"/>
        <v>19824671.392181952</v>
      </c>
      <c r="Y32" s="42">
        <f t="shared" si="4"/>
        <v>2559641.1164589352</v>
      </c>
      <c r="Z32" s="55">
        <f t="shared" si="5"/>
        <v>-151786.71820601486</v>
      </c>
      <c r="AA32" s="55">
        <f t="shared" si="6"/>
        <v>1203927.1991264601</v>
      </c>
      <c r="AG32" s="47">
        <v>6.0727397864738596E-2</v>
      </c>
      <c r="AH32" s="105">
        <v>1.043719758840596</v>
      </c>
    </row>
    <row r="33" spans="1:34">
      <c r="A33" s="40">
        <v>2036</v>
      </c>
      <c r="B33" s="40">
        <v>12</v>
      </c>
      <c r="C33" s="48">
        <v>84.98</v>
      </c>
      <c r="D33" s="42">
        <v>336331.44000000006</v>
      </c>
      <c r="E33" s="42"/>
      <c r="F33" s="42">
        <f t="shared" si="10"/>
        <v>28581445.771200005</v>
      </c>
      <c r="G33" s="42">
        <f t="shared" si="11"/>
        <v>4663.1162258428603</v>
      </c>
      <c r="H33" s="42">
        <f t="shared" si="14"/>
        <v>162570.07966458015</v>
      </c>
      <c r="I33" s="42">
        <f t="shared" si="12"/>
        <v>870.87992303119165</v>
      </c>
      <c r="J33" s="42">
        <f t="shared" si="7"/>
        <v>25407.277020373716</v>
      </c>
      <c r="K33" s="42">
        <f>('Palouse Wind Integration Costs'!$B$9+('Palouse Wind Integration Costs'!$B$10*'Palouse LC'!R33)+('Palouse Wind Integration Costs'!$B$11*'Palouse LC'!R33^2))*1.05*1000</f>
        <v>1131730.8261074417</v>
      </c>
      <c r="L33" s="42">
        <f t="shared" si="8"/>
        <v>1111440.5377321844</v>
      </c>
      <c r="M33" s="42">
        <f t="shared" si="1"/>
        <v>1286194.2753676472</v>
      </c>
      <c r="N33" s="42">
        <f t="shared" si="13"/>
        <v>32304322.763241105</v>
      </c>
      <c r="R33" s="56">
        <v>135.38647447598083</v>
      </c>
      <c r="S33" s="40">
        <v>26</v>
      </c>
      <c r="T33" s="105">
        <f t="shared" si="2"/>
        <v>6.1681226201153301E-2</v>
      </c>
      <c r="V33" s="55">
        <f>NPV($AE$8,F33:F$39)</f>
        <v>146413792.7840012</v>
      </c>
      <c r="W33" s="42">
        <f t="shared" si="3"/>
        <v>36603448.1960003</v>
      </c>
      <c r="X33" s="42">
        <f t="shared" si="9"/>
        <v>18301724.09800015</v>
      </c>
      <c r="Y33" s="42">
        <f t="shared" si="4"/>
        <v>2363007.4151848294</v>
      </c>
      <c r="Z33" s="55">
        <f t="shared" si="5"/>
        <v>-140126.33972046038</v>
      </c>
      <c r="AA33" s="55">
        <f t="shared" si="6"/>
        <v>1111440.5377321844</v>
      </c>
      <c r="AG33" s="47">
        <v>5.9126478399993181E-2</v>
      </c>
      <c r="AH33" s="105">
        <v>1.043208184730319</v>
      </c>
    </row>
    <row r="34" spans="1:34">
      <c r="A34" s="40">
        <v>2037</v>
      </c>
      <c r="B34" s="40">
        <v>12</v>
      </c>
      <c r="C34" s="48">
        <v>86.62</v>
      </c>
      <c r="D34" s="42">
        <v>336331.44000000006</v>
      </c>
      <c r="E34" s="42"/>
      <c r="F34" s="42">
        <f t="shared" si="10"/>
        <v>29133029.332800008</v>
      </c>
      <c r="G34" s="42">
        <f t="shared" si="11"/>
        <v>4537.9599786535036</v>
      </c>
      <c r="H34" s="42">
        <f t="shared" si="14"/>
        <v>158320.75976897363</v>
      </c>
      <c r="I34" s="42">
        <f t="shared" si="12"/>
        <v>848.11652529369894</v>
      </c>
      <c r="J34" s="42">
        <f t="shared" si="7"/>
        <v>24743.171743691721</v>
      </c>
      <c r="K34" s="42">
        <f>('Palouse Wind Integration Costs'!$B$9+('Palouse Wind Integration Costs'!$B$10*'Palouse LC'!R34)+('Palouse Wind Integration Costs'!$B$11*'Palouse LC'!R34^2))*1.05*1000</f>
        <v>1207960.6576917544</v>
      </c>
      <c r="L34" s="42">
        <f t="shared" si="8"/>
        <v>1005620.2136754409</v>
      </c>
      <c r="M34" s="42">
        <f t="shared" si="1"/>
        <v>1313370.4337184166</v>
      </c>
      <c r="N34" s="42">
        <f t="shared" si="13"/>
        <v>32848430.645902231</v>
      </c>
      <c r="R34" s="56">
        <v>140.90895095962421</v>
      </c>
      <c r="S34" s="40">
        <v>27</v>
      </c>
      <c r="T34" s="105">
        <f t="shared" si="2"/>
        <v>5.9980089687400463E-2</v>
      </c>
      <c r="V34" s="55">
        <f>NPV($AE$8,F34:F$39)</f>
        <v>132473726.29120132</v>
      </c>
      <c r="W34" s="42">
        <f t="shared" si="3"/>
        <v>33118431.572800331</v>
      </c>
      <c r="X34" s="42">
        <f t="shared" si="9"/>
        <v>16559215.786400165</v>
      </c>
      <c r="Y34" s="42">
        <f t="shared" si="4"/>
        <v>2138025.3293833123</v>
      </c>
      <c r="Z34" s="55">
        <f t="shared" si="5"/>
        <v>-126784.90203243041</v>
      </c>
      <c r="AA34" s="55">
        <f t="shared" si="6"/>
        <v>1005620.2136754409</v>
      </c>
      <c r="AG34" s="47">
        <v>5.7525558935247766E-2</v>
      </c>
      <c r="AH34" s="105">
        <v>1.0426685250449383</v>
      </c>
    </row>
    <row r="35" spans="1:34">
      <c r="A35" s="40">
        <v>2038</v>
      </c>
      <c r="B35" s="40">
        <v>12</v>
      </c>
      <c r="C35" s="48">
        <v>88.3</v>
      </c>
      <c r="D35" s="42">
        <v>336331.44000000006</v>
      </c>
      <c r="E35" s="42"/>
      <c r="F35" s="42">
        <f t="shared" si="10"/>
        <v>29698066.152000003</v>
      </c>
      <c r="G35" s="42">
        <f t="shared" si="11"/>
        <v>4412.8053750069867</v>
      </c>
      <c r="H35" s="42">
        <f t="shared" si="14"/>
        <v>154071.4914288368</v>
      </c>
      <c r="I35" s="42">
        <f t="shared" si="12"/>
        <v>825.35340373632232</v>
      </c>
      <c r="J35" s="42">
        <f t="shared" si="7"/>
        <v>24079.074524360145</v>
      </c>
      <c r="K35" s="42">
        <f>('Palouse Wind Integration Costs'!$B$9+('Palouse Wind Integration Costs'!$B$10*'Palouse LC'!R35)+('Palouse Wind Integration Costs'!$B$11*'Palouse LC'!R35^2))*1.05*1000</f>
        <v>1290132.2019040307</v>
      </c>
      <c r="L35" s="42">
        <f t="shared" si="8"/>
        <v>885030.73577690718</v>
      </c>
      <c r="M35" s="42">
        <f t="shared" si="1"/>
        <v>1341386.1421454437</v>
      </c>
      <c r="N35" s="42">
        <f t="shared" si="13"/>
        <v>33398003.956558328</v>
      </c>
      <c r="R35" s="56">
        <v>146.65669179578461</v>
      </c>
      <c r="S35" s="40">
        <v>28</v>
      </c>
      <c r="T35" s="105">
        <f t="shared" si="2"/>
        <v>5.8278977404735581E-2</v>
      </c>
      <c r="V35" s="55">
        <f>NPV($AE$8,F35:F$39)</f>
        <v>116588069.58752146</v>
      </c>
      <c r="W35" s="42">
        <f t="shared" si="3"/>
        <v>29147017.396880366</v>
      </c>
      <c r="X35" s="42">
        <f t="shared" si="9"/>
        <v>14573508.698440183</v>
      </c>
      <c r="Y35" s="42">
        <f t="shared" si="4"/>
        <v>1881642.8952416438</v>
      </c>
      <c r="Z35" s="55">
        <f t="shared" si="5"/>
        <v>-111581.42368782948</v>
      </c>
      <c r="AA35" s="55">
        <f t="shared" si="6"/>
        <v>885030.73577690718</v>
      </c>
      <c r="AG35" s="47">
        <v>5.5924639470502358E-2</v>
      </c>
      <c r="AH35" s="105">
        <v>1.0420984016441452</v>
      </c>
    </row>
    <row r="36" spans="1:34">
      <c r="A36" s="40">
        <v>2039</v>
      </c>
      <c r="B36" s="40">
        <v>12</v>
      </c>
      <c r="C36" s="48">
        <v>90</v>
      </c>
      <c r="D36" s="42">
        <v>336331.44000000006</v>
      </c>
      <c r="E36" s="42"/>
      <c r="F36" s="42">
        <f t="shared" si="10"/>
        <v>30269829.600000005</v>
      </c>
      <c r="G36" s="42">
        <f t="shared" si="11"/>
        <v>4287.6525540699604</v>
      </c>
      <c r="H36" s="42">
        <f t="shared" si="14"/>
        <v>149822.27888978628</v>
      </c>
      <c r="I36" s="42">
        <f t="shared" si="12"/>
        <v>802.59058110262129</v>
      </c>
      <c r="J36" s="42">
        <f t="shared" si="7"/>
        <v>23414.986025905509</v>
      </c>
      <c r="K36" s="42">
        <f>('Palouse Wind Integration Costs'!$B$9+('Palouse Wind Integration Costs'!$B$10*'Palouse LC'!R36)+('Palouse Wind Integration Costs'!$B$11*'Palouse LC'!R36^2))*1.05*1000</f>
        <v>1378723.5950246109</v>
      </c>
      <c r="L36" s="42">
        <f t="shared" si="8"/>
        <v>748093.06373932795</v>
      </c>
      <c r="M36" s="42">
        <f t="shared" si="1"/>
        <v>1369970.9221530303</v>
      </c>
      <c r="N36" s="42">
        <f t="shared" si="13"/>
        <v>33944944.688967846</v>
      </c>
      <c r="R36" s="56">
        <v>152.63888562087635</v>
      </c>
      <c r="S36" s="40">
        <v>29</v>
      </c>
      <c r="T36" s="105">
        <f t="shared" si="2"/>
        <v>5.6577891464513863E-2</v>
      </c>
      <c r="V36" s="55">
        <f>NPV($AE$8,F36:F$39)</f>
        <v>98548810.394273624</v>
      </c>
      <c r="W36" s="42">
        <f t="shared" si="3"/>
        <v>24637202.598568406</v>
      </c>
      <c r="X36" s="42">
        <f t="shared" si="9"/>
        <v>12318601.299284203</v>
      </c>
      <c r="Y36" s="42">
        <f t="shared" si="4"/>
        <v>1590502.9525658083</v>
      </c>
      <c r="Z36" s="55">
        <f t="shared" si="5"/>
        <v>-94316.825087152436</v>
      </c>
      <c r="AA36" s="55">
        <f t="shared" si="6"/>
        <v>748093.06373932795</v>
      </c>
      <c r="AG36" s="47">
        <v>5.4323720005756942E-2</v>
      </c>
      <c r="AH36" s="105">
        <v>1.0414951600979836</v>
      </c>
    </row>
    <row r="37" spans="1:34">
      <c r="A37" s="40">
        <v>2040</v>
      </c>
      <c r="B37" s="40">
        <v>12</v>
      </c>
      <c r="C37" s="48">
        <v>91.74</v>
      </c>
      <c r="D37" s="42">
        <v>336331.44000000006</v>
      </c>
      <c r="E37" s="42"/>
      <c r="F37" s="42">
        <f t="shared" si="10"/>
        <v>30855046.305600002</v>
      </c>
      <c r="G37" s="42">
        <f t="shared" si="11"/>
        <v>4162.5016711772987</v>
      </c>
      <c r="H37" s="42">
        <f t="shared" si="14"/>
        <v>145573.12687676761</v>
      </c>
      <c r="I37" s="42">
        <f t="shared" si="12"/>
        <v>779.8280827038966</v>
      </c>
      <c r="J37" s="42">
        <f t="shared" si="7"/>
        <v>22750.906986766266</v>
      </c>
      <c r="K37" s="42">
        <f>('Palouse Wind Integration Costs'!$B$9+('Palouse Wind Integration Costs'!$B$10*'Palouse LC'!R37)+('Palouse Wind Integration Costs'!$B$11*'Palouse LC'!R37^2))*1.05*1000</f>
        <v>1474252.1034451686</v>
      </c>
      <c r="L37" s="42">
        <f t="shared" si="8"/>
        <v>593121.31569226074</v>
      </c>
      <c r="M37" s="42">
        <f t="shared" si="1"/>
        <v>1399438.3402323381</v>
      </c>
      <c r="N37" s="42">
        <f t="shared" si="13"/>
        <v>34495124.428587183</v>
      </c>
      <c r="R37" s="56">
        <v>158.86509588001394</v>
      </c>
      <c r="S37" s="40">
        <v>30</v>
      </c>
      <c r="T37" s="105">
        <f t="shared" si="2"/>
        <v>5.4876834230723127E-2</v>
      </c>
      <c r="V37" s="55">
        <f>NPV($AE$8,F37:F$39)</f>
        <v>78133861.833700985</v>
      </c>
      <c r="W37" s="42">
        <f t="shared" si="3"/>
        <v>19533465.458425246</v>
      </c>
      <c r="X37" s="42">
        <f t="shared" si="9"/>
        <v>9766732.7292126231</v>
      </c>
      <c r="Y37" s="42">
        <f t="shared" si="4"/>
        <v>1261021.1878223892</v>
      </c>
      <c r="Z37" s="55">
        <f t="shared" si="5"/>
        <v>-74778.556437867679</v>
      </c>
      <c r="AA37" s="55">
        <f t="shared" si="6"/>
        <v>593121.31569226074</v>
      </c>
      <c r="AG37" s="47">
        <v>5.2722800541011534E-2</v>
      </c>
      <c r="AH37" s="105">
        <v>1.0408558283628357</v>
      </c>
    </row>
    <row r="38" spans="1:34">
      <c r="A38" s="40">
        <v>2041</v>
      </c>
      <c r="B38" s="40">
        <v>12</v>
      </c>
      <c r="C38" s="48">
        <v>93.52</v>
      </c>
      <c r="D38" s="42">
        <v>336331.44000000006</v>
      </c>
      <c r="E38" s="42"/>
      <c r="F38" s="42">
        <f t="shared" si="10"/>
        <v>31453716.268800005</v>
      </c>
      <c r="G38" s="42">
        <f t="shared" si="11"/>
        <v>4037.3529002503506</v>
      </c>
      <c r="H38" s="42">
        <f t="shared" si="14"/>
        <v>141324.04066366496</v>
      </c>
      <c r="I38" s="42">
        <f t="shared" si="12"/>
        <v>757.06593679208686</v>
      </c>
      <c r="J38" s="42">
        <f t="shared" si="7"/>
        <v>22086.838231171812</v>
      </c>
      <c r="K38" s="42">
        <f>('Palouse Wind Integration Costs'!$B$9+('Palouse Wind Integration Costs'!$B$10*'Palouse LC'!R38)+('Palouse Wind Integration Costs'!$B$11*'Palouse LC'!R38^2))*1.05*1000</f>
        <v>1577277.353625322</v>
      </c>
      <c r="L38" s="42">
        <f t="shared" si="8"/>
        <v>418209.95912168076</v>
      </c>
      <c r="M38" s="42">
        <f t="shared" si="1"/>
        <v>1429812.620933925</v>
      </c>
      <c r="N38" s="42">
        <f t="shared" si="13"/>
        <v>35047221.500212818</v>
      </c>
      <c r="R38" s="56">
        <v>165.34527611563101</v>
      </c>
      <c r="S38" s="40">
        <v>31</v>
      </c>
      <c r="T38" s="105">
        <f t="shared" si="2"/>
        <v>5.3175808358934429E-2</v>
      </c>
      <c r="V38" s="55">
        <f>NPV($AE$8,F38:F$39)</f>
        <v>55092201.711471073</v>
      </c>
      <c r="W38" s="42">
        <f t="shared" si="3"/>
        <v>13773050.427867768</v>
      </c>
      <c r="X38" s="42">
        <f t="shared" si="9"/>
        <v>6886525.2139338842</v>
      </c>
      <c r="Y38" s="42">
        <f t="shared" si="4"/>
        <v>889146.29344462801</v>
      </c>
      <c r="Z38" s="55">
        <f t="shared" si="5"/>
        <v>-52726.375201266441</v>
      </c>
      <c r="AA38" s="55">
        <f t="shared" si="6"/>
        <v>418209.95912168076</v>
      </c>
      <c r="AG38" s="47">
        <v>5.1121881076266119E-2</v>
      </c>
      <c r="AH38" s="105">
        <v>1.0401770678118076</v>
      </c>
    </row>
    <row r="39" spans="1:34">
      <c r="A39" s="40">
        <v>2042</v>
      </c>
      <c r="B39" s="40">
        <v>12</v>
      </c>
      <c r="C39" s="48">
        <v>95.33</v>
      </c>
      <c r="D39" s="42">
        <v>336331.44000000006</v>
      </c>
      <c r="E39" s="42"/>
      <c r="F39" s="42">
        <f t="shared" si="10"/>
        <v>32062476.175200004</v>
      </c>
      <c r="G39" s="42"/>
      <c r="H39" s="42">
        <f t="shared" si="14"/>
        <v>137075.02615540524</v>
      </c>
      <c r="I39" s="42">
        <f t="shared" si="12"/>
        <v>734.30417499959469</v>
      </c>
      <c r="J39" s="42">
        <f t="shared" si="7"/>
        <v>21422.780681974076</v>
      </c>
      <c r="K39" s="42">
        <f>('Palouse Wind Integration Costs'!$B$9+('Palouse Wind Integration Costs'!$B$10*'Palouse LC'!R39)+('Palouse Wind Integration Costs'!$B$11*'Palouse LC'!R39^2))*1.05*1000</f>
        <v>1688404.8298077625</v>
      </c>
      <c r="L39" s="42">
        <f t="shared" si="8"/>
        <v>221262.90826216093</v>
      </c>
      <c r="M39" s="42">
        <f t="shared" si="1"/>
        <v>1460974.3860637709</v>
      </c>
      <c r="N39" s="42">
        <f t="shared" si="13"/>
        <v>35592350.410346083</v>
      </c>
      <c r="R39" s="56">
        <v>172.08978587972928</v>
      </c>
      <c r="S39" s="40">
        <v>32</v>
      </c>
      <c r="T39" s="105">
        <f t="shared" si="2"/>
        <v>5.14748168426888E-2</v>
      </c>
      <c r="V39" s="55">
        <f>NPV($AE$8,F39:F$39)</f>
        <v>29147705.613818184</v>
      </c>
      <c r="W39" s="42">
        <f t="shared" si="3"/>
        <v>7286926.4034545459</v>
      </c>
      <c r="X39" s="42">
        <f t="shared" si="9"/>
        <v>3643463.2017272729</v>
      </c>
      <c r="Y39" s="42">
        <f t="shared" si="4"/>
        <v>470421.83110909094</v>
      </c>
      <c r="Z39" s="55">
        <f t="shared" si="5"/>
        <v>-27896.014584769091</v>
      </c>
      <c r="AA39" s="55">
        <f t="shared" si="6"/>
        <v>221262.90826216093</v>
      </c>
      <c r="AG39" s="47">
        <v>4.9520961611520711E-2</v>
      </c>
      <c r="AH39" s="105">
        <v>1.0394551149167011</v>
      </c>
    </row>
    <row r="40" spans="1:34">
      <c r="S40" s="40">
        <v>33</v>
      </c>
      <c r="T40" s="105">
        <f t="shared" si="2"/>
        <v>4.977386306903029E-2</v>
      </c>
      <c r="V40" s="38"/>
      <c r="W40" s="38"/>
      <c r="X40" s="38"/>
      <c r="Y40" s="54"/>
      <c r="Z40" s="38"/>
      <c r="AA40" s="39"/>
      <c r="AG40" s="47">
        <v>4.7920042146775303E-2</v>
      </c>
      <c r="AH40" s="105">
        <v>1.0386857114310726</v>
      </c>
    </row>
    <row r="41" spans="1:34">
      <c r="S41" s="40">
        <v>34</v>
      </c>
      <c r="T41" s="105">
        <f t="shared" si="2"/>
        <v>4.807295088536058E-2</v>
      </c>
      <c r="V41" s="38"/>
      <c r="W41" s="38"/>
      <c r="X41" s="38"/>
      <c r="Y41" s="54"/>
      <c r="Z41" s="38"/>
      <c r="AA41" s="39"/>
      <c r="AG41" s="47">
        <v>4.6319122682029895E-2</v>
      </c>
      <c r="AH41" s="105">
        <v>1.037864020339295</v>
      </c>
    </row>
    <row r="42" spans="1:34">
      <c r="S42" s="40">
        <v>35</v>
      </c>
      <c r="T42" s="105">
        <f t="shared" si="2"/>
        <v>4.6372084680403436E-2</v>
      </c>
      <c r="AG42" s="47">
        <v>4.471820321728448E-2</v>
      </c>
      <c r="AH42" s="105">
        <v>1.0369845240669173</v>
      </c>
    </row>
    <row r="43" spans="1:34">
      <c r="S43" s="40">
        <v>36</v>
      </c>
      <c r="T43" s="105">
        <f t="shared" si="2"/>
        <v>4.4671269482879167E-2</v>
      </c>
      <c r="AG43" s="47">
        <v>4.3117283752539058E-2</v>
      </c>
      <c r="AH43" s="105">
        <v>1.0360409004254263</v>
      </c>
    </row>
    <row r="44" spans="1:34">
      <c r="S44" s="40">
        <v>37</v>
      </c>
      <c r="T44" s="105">
        <f t="shared" si="2"/>
        <v>4.2970511082580209E-2</v>
      </c>
      <c r="AG44" s="47">
        <v>4.1516364287793643E-2</v>
      </c>
      <c r="AH44" s="105">
        <v>1.0350258703942943</v>
      </c>
    </row>
    <row r="45" spans="1:34">
      <c r="S45" s="40">
        <v>38</v>
      </c>
      <c r="T45" s="105">
        <f t="shared" si="2"/>
        <v>4.1269816180013408E-2</v>
      </c>
      <c r="AG45" s="47">
        <v>3.9915444823048242E-2</v>
      </c>
      <c r="AH45" s="105">
        <v>1.0339310099879713</v>
      </c>
    </row>
    <row r="46" spans="1:34">
      <c r="S46" s="40">
        <v>39</v>
      </c>
      <c r="T46" s="105">
        <f t="shared" si="2"/>
        <v>3.9569192572795342E-2</v>
      </c>
      <c r="AG46" s="47">
        <v>3.8314525358302834E-2</v>
      </c>
      <c r="AH46" s="105">
        <v>1.0327465159168576</v>
      </c>
    </row>
    <row r="47" spans="1:34">
      <c r="S47" s="40">
        <v>40</v>
      </c>
      <c r="T47" s="105">
        <f t="shared" si="2"/>
        <v>3.7868649389780594E-2</v>
      </c>
      <c r="AG47" s="47">
        <v>3.6713605893557419E-2</v>
      </c>
      <c r="AH47" s="105">
        <v>1.0314609112374293</v>
      </c>
    </row>
    <row r="48" spans="1:34">
      <c r="S48" s="40">
        <v>41</v>
      </c>
      <c r="T48" s="105">
        <f t="shared" si="2"/>
        <v>3.6168197387820004E-2</v>
      </c>
      <c r="AG48" s="47">
        <v>3.5112686428812011E-2</v>
      </c>
      <c r="AH48" s="105">
        <v>1.0300606722629426</v>
      </c>
    </row>
    <row r="49" spans="19:34">
      <c r="S49" s="40">
        <v>42</v>
      </c>
      <c r="T49" s="105">
        <f t="shared" si="2"/>
        <v>3.4467849331606973E-2</v>
      </c>
      <c r="AG49" s="47">
        <v>3.3511766964066596E-2</v>
      </c>
      <c r="AH49" s="105">
        <v>1.0285297510144884</v>
      </c>
    </row>
    <row r="50" spans="19:34">
      <c r="S50" s="40">
        <v>43</v>
      </c>
      <c r="T50" s="105">
        <f t="shared" si="2"/>
        <v>3.2767620485081167E-2</v>
      </c>
      <c r="AG50" s="47">
        <v>3.1910847499321181E-2</v>
      </c>
      <c r="AH50" s="105">
        <v>1.0268489574204576</v>
      </c>
    </row>
    <row r="51" spans="19:34">
      <c r="S51" s="40">
        <v>44</v>
      </c>
      <c r="T51" s="105">
        <f t="shared" si="2"/>
        <v>3.1067529254580398E-2</v>
      </c>
      <c r="AG51" s="47">
        <v>3.0309928034575776E-2</v>
      </c>
      <c r="AH51" s="105">
        <v>1.024995150735442</v>
      </c>
    </row>
    <row r="52" spans="19:34">
      <c r="S52" s="40">
        <v>45</v>
      </c>
      <c r="T52" s="105">
        <f t="shared" si="2"/>
        <v>2.9367598041378517E-2</v>
      </c>
      <c r="AG52" s="47">
        <v>2.8709008569830361E-2</v>
      </c>
      <c r="AH52" s="105">
        <v>1.0229401677158665</v>
      </c>
    </row>
    <row r="53" spans="19:34">
      <c r="S53" s="40">
        <v>46</v>
      </c>
      <c r="T53" s="105">
        <f t="shared" si="2"/>
        <v>2.7667854387701443E-2</v>
      </c>
      <c r="AG53" s="47">
        <v>2.710808910508495E-2</v>
      </c>
      <c r="AH53" s="105">
        <v>1.020649381830145</v>
      </c>
    </row>
    <row r="54" spans="19:34">
      <c r="S54" s="40">
        <v>47</v>
      </c>
      <c r="T54" s="105">
        <f t="shared" si="2"/>
        <v>2.5968332541260131E-2</v>
      </c>
      <c r="AG54" s="47">
        <v>2.5507169640339538E-2</v>
      </c>
      <c r="AH54" s="105">
        <v>1.0180797363025047</v>
      </c>
    </row>
    <row r="55" spans="19:34">
      <c r="S55" s="40">
        <v>48</v>
      </c>
      <c r="T55" s="105">
        <f t="shared" si="2"/>
        <v>2.4269075628169805E-2</v>
      </c>
      <c r="AG55" s="47">
        <v>2.390625017559413E-2</v>
      </c>
      <c r="AH55" s="105">
        <v>1.0151770122838455</v>
      </c>
    </row>
    <row r="56" spans="19:34">
      <c r="S56" s="40">
        <v>49</v>
      </c>
      <c r="T56" s="105">
        <f t="shared" si="2"/>
        <v>2.2570138729390503E-2</v>
      </c>
      <c r="AG56" s="47">
        <v>2.2305330710848718E-2</v>
      </c>
      <c r="AH56" s="105">
        <v>1.0118719611008946</v>
      </c>
    </row>
    <row r="57" spans="19:34">
      <c r="S57" s="40">
        <v>50</v>
      </c>
      <c r="T57" s="105">
        <f t="shared" si="2"/>
        <v>2.0871593331635192E-2</v>
      </c>
      <c r="AG57" s="47">
        <v>2.0704411246103303E-2</v>
      </c>
      <c r="AH57" s="105">
        <v>1.0080747085026798</v>
      </c>
    </row>
    <row r="58" spans="19:34">
      <c r="S58" s="40">
        <v>51</v>
      </c>
      <c r="T58" s="105">
        <f t="shared" si="2"/>
        <v>1.0723363438064111E-2</v>
      </c>
      <c r="AG58" s="47">
        <v>1.0659875158485354E-2</v>
      </c>
      <c r="AH58" s="105">
        <v>1.005955818303202</v>
      </c>
    </row>
    <row r="59" spans="19:34">
      <c r="T59" s="47"/>
    </row>
    <row r="60" spans="19:34">
      <c r="T60" s="47"/>
    </row>
    <row r="61" spans="19:34">
      <c r="T61" s="47"/>
    </row>
    <row r="62" spans="19:34">
      <c r="T62" s="47"/>
    </row>
    <row r="63" spans="19:34">
      <c r="T63" s="47"/>
    </row>
    <row r="64" spans="19:34">
      <c r="T64" s="47"/>
    </row>
    <row r="65" spans="20:20">
      <c r="T65" s="47"/>
    </row>
    <row r="66" spans="20:20">
      <c r="T66" s="47"/>
    </row>
    <row r="67" spans="20:20">
      <c r="T67" s="47"/>
    </row>
    <row r="68" spans="20:20">
      <c r="T68" s="47"/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5"/>
  <sheetViews>
    <sheetView zoomScaleNormal="100" workbookViewId="0">
      <pane xSplit="1" ySplit="11" topLeftCell="B12" activePane="bottomRight" state="frozen"/>
      <selection activeCell="H40" sqref="H40"/>
      <selection pane="topRight" activeCell="H40" sqref="H40"/>
      <selection pane="bottomLeft" activeCell="H40" sqref="H40"/>
      <selection pane="bottomRight" activeCell="A12" sqref="A12:B13"/>
    </sheetView>
  </sheetViews>
  <sheetFormatPr defaultRowHeight="12.75"/>
  <cols>
    <col min="1" max="1" width="8.5" style="40" customWidth="1"/>
    <col min="2" max="2" width="9.375" style="40" customWidth="1"/>
    <col min="3" max="3" width="8.75" style="40" customWidth="1"/>
    <col min="4" max="4" width="4.125" style="40" customWidth="1"/>
    <col min="5" max="5" width="13.5" style="40" bestFit="1" customWidth="1"/>
    <col min="6" max="6" width="10.875" style="40" bestFit="1" customWidth="1"/>
    <col min="7" max="7" width="10.625" style="40" bestFit="1" customWidth="1"/>
    <col min="8" max="8" width="12.75" style="40" customWidth="1"/>
    <col min="9" max="9" width="13.75" style="40" bestFit="1" customWidth="1"/>
    <col min="10" max="10" width="11.625" style="40" bestFit="1" customWidth="1"/>
    <col min="11" max="11" width="11.875" style="40" bestFit="1" customWidth="1"/>
    <col min="12" max="12" width="13.125" style="40" bestFit="1" customWidth="1"/>
    <col min="13" max="13" width="11.125" style="40" bestFit="1" customWidth="1"/>
    <col min="14" max="16" width="13.125" style="40" bestFit="1" customWidth="1"/>
    <col min="17" max="17" width="12.125" style="40" customWidth="1"/>
    <col min="18" max="20" width="9" style="40"/>
    <col min="21" max="21" width="11.875" style="40" bestFit="1" customWidth="1"/>
    <col min="22" max="22" width="9" style="40"/>
    <col min="23" max="23" width="38.625" style="40" bestFit="1" customWidth="1"/>
    <col min="24" max="16384" width="9" style="40"/>
  </cols>
  <sheetData>
    <row r="1" spans="1:30" ht="23.25">
      <c r="A1" s="28" t="s">
        <v>225</v>
      </c>
    </row>
    <row r="5" spans="1:30">
      <c r="I5" s="40">
        <v>2020</v>
      </c>
      <c r="N5" s="40">
        <v>2020</v>
      </c>
    </row>
    <row r="6" spans="1:30">
      <c r="H6" s="41" t="s">
        <v>221</v>
      </c>
      <c r="I6" s="42">
        <f>NPV($X$27,I16:I34)+I15</f>
        <v>408824383.11762029</v>
      </c>
      <c r="J6" s="91"/>
      <c r="L6" s="41" t="s">
        <v>221</v>
      </c>
      <c r="M6" s="41"/>
      <c r="N6" s="42">
        <f>NPV($X$27,N16:N34)+N15</f>
        <v>870538443.74569464</v>
      </c>
      <c r="O6" s="91"/>
      <c r="P6" s="42"/>
    </row>
    <row r="7" spans="1:30">
      <c r="H7" s="57" t="s">
        <v>91</v>
      </c>
      <c r="I7" s="42">
        <f>-PMT($X$27,20,I6)</f>
        <v>38141389.284605443</v>
      </c>
      <c r="J7" s="42"/>
      <c r="L7" s="57" t="s">
        <v>91</v>
      </c>
      <c r="M7" s="57"/>
      <c r="N7" s="42">
        <f>-PMT($X$27,20,N6)</f>
        <v>81217136.357951418</v>
      </c>
      <c r="O7" s="42"/>
      <c r="P7" s="42"/>
    </row>
    <row r="8" spans="1:30">
      <c r="H8" s="57" t="s">
        <v>124</v>
      </c>
      <c r="I8" s="48">
        <f>I7/SUM($X$15:$X$16)/1000</f>
        <v>133.82943608633491</v>
      </c>
      <c r="J8" s="48"/>
      <c r="L8" s="57" t="s">
        <v>15</v>
      </c>
      <c r="M8" s="57"/>
      <c r="N8" s="65">
        <f>N7/($B$15+$C$15)</f>
        <v>38.11963075219856</v>
      </c>
      <c r="O8" s="65"/>
      <c r="P8" s="65"/>
    </row>
    <row r="10" spans="1:30">
      <c r="AA10" s="102" t="s">
        <v>210</v>
      </c>
    </row>
    <row r="11" spans="1:30" s="45" customFormat="1" ht="38.25">
      <c r="A11" s="45" t="s">
        <v>35</v>
      </c>
      <c r="B11" s="45" t="s">
        <v>119</v>
      </c>
      <c r="C11" s="45" t="s">
        <v>219</v>
      </c>
      <c r="E11" s="45" t="s">
        <v>101</v>
      </c>
      <c r="F11" s="45" t="s">
        <v>100</v>
      </c>
      <c r="G11" s="45" t="s">
        <v>98</v>
      </c>
      <c r="H11" s="41" t="s">
        <v>85</v>
      </c>
      <c r="I11" s="45" t="s">
        <v>113</v>
      </c>
      <c r="K11" s="45" t="s">
        <v>99</v>
      </c>
      <c r="L11" s="45" t="s">
        <v>114</v>
      </c>
      <c r="M11" s="41" t="s">
        <v>85</v>
      </c>
      <c r="N11" s="45" t="s">
        <v>122</v>
      </c>
      <c r="P11" s="45" t="s">
        <v>34</v>
      </c>
      <c r="S11" s="45" t="s">
        <v>123</v>
      </c>
      <c r="U11" s="45" t="s">
        <v>218</v>
      </c>
      <c r="Z11" s="45" t="s">
        <v>110</v>
      </c>
      <c r="AA11" s="45" t="s">
        <v>111</v>
      </c>
      <c r="AB11" s="45" t="s">
        <v>112</v>
      </c>
    </row>
    <row r="12" spans="1:30" s="45" customFormat="1">
      <c r="E12" s="71"/>
      <c r="F12" s="71"/>
      <c r="G12" s="71"/>
      <c r="H12" s="71"/>
      <c r="I12" s="71"/>
      <c r="K12" s="71"/>
      <c r="L12" s="71"/>
      <c r="M12" s="71"/>
      <c r="N12" s="71"/>
      <c r="P12" s="71"/>
    </row>
    <row r="13" spans="1:30" s="45" customFormat="1">
      <c r="A13" s="45" t="s">
        <v>220</v>
      </c>
      <c r="E13" s="71">
        <f>NPV($X$27,E$16:E$44)+E15</f>
        <v>370011799.8669554</v>
      </c>
      <c r="F13" s="71">
        <f t="shared" ref="F13:P13" si="0">NPV($X$27,F$16:F$44)+F15</f>
        <v>399298.01182067912</v>
      </c>
      <c r="G13" s="71">
        <f t="shared" si="0"/>
        <v>79462032.284493074</v>
      </c>
      <c r="H13" s="71">
        <f t="shared" si="0"/>
        <v>3439672.9914988517</v>
      </c>
      <c r="I13" s="71">
        <f t="shared" si="0"/>
        <v>453312803.15476799</v>
      </c>
      <c r="K13" s="71">
        <f t="shared" si="0"/>
        <v>119195741.66207397</v>
      </c>
      <c r="L13" s="71">
        <f t="shared" si="0"/>
        <v>976534282.59923911</v>
      </c>
      <c r="M13" s="71">
        <f t="shared" si="0"/>
        <v>47430865.560199432</v>
      </c>
      <c r="N13" s="71">
        <f t="shared" si="0"/>
        <v>1143160889.8215122</v>
      </c>
      <c r="O13" s="71"/>
      <c r="P13" s="71">
        <f t="shared" si="0"/>
        <v>1596473692.9762802</v>
      </c>
    </row>
    <row r="14" spans="1:30" s="45" customFormat="1">
      <c r="H14" s="41"/>
      <c r="M14" s="41"/>
    </row>
    <row r="15" spans="1:30">
      <c r="A15" s="40">
        <v>2020</v>
      </c>
      <c r="B15" s="64">
        <f>($X$15)*(8760-($X$26*24))*(1-$X$25)</f>
        <v>2130585.6000000001</v>
      </c>
      <c r="C15" s="64">
        <v>0</v>
      </c>
      <c r="D15" s="64"/>
      <c r="E15" s="64">
        <f>($X$16+$X$15)*1000*$X$17*AA15</f>
        <v>37635164.137581468</v>
      </c>
      <c r="F15" s="64">
        <f>$X$18*$S$18/100*AB15*1000</f>
        <v>37548.496811309458</v>
      </c>
      <c r="G15" s="66">
        <f>($X$15+$X$16)*S18*$X$19*1000/100</f>
        <v>4748303.5382733876</v>
      </c>
      <c r="H15" s="66">
        <f t="shared" ref="H15:H44" si="1">SUM(G15:G15)*SUM($X$28:$X$30)</f>
        <v>205539.81526124009</v>
      </c>
      <c r="I15" s="66">
        <f t="shared" ref="I15:I44" si="2">SUM(E15:H15)</f>
        <v>42626555.9879274</v>
      </c>
      <c r="J15" s="66"/>
      <c r="K15" s="64">
        <f>$X$20*S18*(C15+B15)/100</f>
        <v>7122616.2433753442</v>
      </c>
      <c r="L15" s="64">
        <f t="shared" ref="L15:L44" si="3">((B15*$X$23/1000*(1+($X$22/100)))+(C15*$X$24/1000*(1+($X$22/100))))*U15</f>
        <v>40620623.752226919</v>
      </c>
      <c r="M15" s="66">
        <f>SUM(K15:L15)*SUM($X$28:$X$30)</f>
        <v>2066661.6296896348</v>
      </c>
      <c r="N15" s="66">
        <f>SUM(K15:M15)</f>
        <v>49809901.625291899</v>
      </c>
      <c r="O15" s="65"/>
      <c r="P15" s="66">
        <f>I15+N15</f>
        <v>92436457.613219291</v>
      </c>
      <c r="Q15" s="66"/>
      <c r="R15" s="40">
        <v>2017</v>
      </c>
      <c r="S15" s="75">
        <v>102.0681220776375</v>
      </c>
      <c r="T15" s="75"/>
      <c r="U15" s="74">
        <v>2.7679259166666665</v>
      </c>
      <c r="W15" s="40" t="s">
        <v>117</v>
      </c>
      <c r="X15" s="40">
        <f>285-25</f>
        <v>260</v>
      </c>
      <c r="Z15" s="40">
        <v>1</v>
      </c>
      <c r="AA15" s="99">
        <v>0.13379251013200189</v>
      </c>
      <c r="AB15" s="99">
        <v>0.12056585753366779</v>
      </c>
      <c r="AC15" s="45"/>
      <c r="AD15" s="45"/>
    </row>
    <row r="16" spans="1:30">
      <c r="A16" s="40">
        <v>2021</v>
      </c>
      <c r="B16" s="64">
        <f t="shared" ref="B16:B44" si="4">($X$15)*(8760-($X$26*24))*(1-$X$25)</f>
        <v>2130585.6000000001</v>
      </c>
      <c r="C16" s="64">
        <v>0</v>
      </c>
      <c r="D16" s="64"/>
      <c r="E16" s="64">
        <f t="shared" ref="E16:E44" si="5">($X$16+$X$15)*1000*$X$17*AA16</f>
        <v>36571966.548946947</v>
      </c>
      <c r="F16" s="64">
        <f t="shared" ref="F16:F44" si="6">$X$18*$S$18/100*AB16*1000</f>
        <v>36711.941095940347</v>
      </c>
      <c r="G16" s="66">
        <f t="shared" ref="G16:G44" si="7">($X$15+$X$16)*S19*$X$19*1000/100</f>
        <v>4852911.4982533688</v>
      </c>
      <c r="H16" s="66">
        <f t="shared" si="1"/>
        <v>210067.98002489354</v>
      </c>
      <c r="I16" s="66">
        <f t="shared" si="2"/>
        <v>41671657.968321152</v>
      </c>
      <c r="J16" s="66"/>
      <c r="K16" s="64">
        <f t="shared" ref="K16:K44" si="8">$X$20*S19*(C16+B16)/100</f>
        <v>7279531.7288606521</v>
      </c>
      <c r="L16" s="64">
        <f>((B16*$X$23/1000*(1+($X$22/100)))+(C16*$X$24/1000*(1+($X$22/100))))*U16</f>
        <v>42317743.21610035</v>
      </c>
      <c r="M16" s="66">
        <f t="shared" ref="M16:M44" si="9">SUM(K16:L16)*SUM($X$28:$X$30)</f>
        <v>2146917.2405425264</v>
      </c>
      <c r="N16" s="66">
        <f t="shared" ref="N16:N44" si="10">SUM(K16:M16)</f>
        <v>51744192.185503528</v>
      </c>
      <c r="O16" s="65"/>
      <c r="P16" s="66">
        <f t="shared" ref="P16:P44" si="11">I16+N16</f>
        <v>93415850.153824687</v>
      </c>
      <c r="Q16" s="66"/>
      <c r="R16" s="40">
        <v>2018</v>
      </c>
      <c r="S16" s="75">
        <v>104.27226325717382</v>
      </c>
      <c r="T16" s="75"/>
      <c r="U16" s="74">
        <v>2.8835691666666663</v>
      </c>
      <c r="W16" s="40" t="s">
        <v>118</v>
      </c>
      <c r="X16" s="40">
        <v>25</v>
      </c>
      <c r="Z16" s="40">
        <v>2</v>
      </c>
      <c r="AA16" s="99">
        <v>0.13001285678361488</v>
      </c>
      <c r="AB16" s="99">
        <v>0.11787972983846298</v>
      </c>
      <c r="AC16" s="45"/>
      <c r="AD16" s="45"/>
    </row>
    <row r="17" spans="1:30">
      <c r="A17" s="40">
        <v>2022</v>
      </c>
      <c r="B17" s="64">
        <f t="shared" si="4"/>
        <v>2130585.6000000001</v>
      </c>
      <c r="C17" s="64">
        <v>0</v>
      </c>
      <c r="D17" s="64"/>
      <c r="E17" s="64">
        <f t="shared" si="5"/>
        <v>35430239.796880677</v>
      </c>
      <c r="F17" s="64">
        <f t="shared" si="6"/>
        <v>35788.441869537026</v>
      </c>
      <c r="G17" s="66">
        <f t="shared" si="7"/>
        <v>4956654.3249237733</v>
      </c>
      <c r="H17" s="66">
        <f t="shared" si="1"/>
        <v>214558.69576297535</v>
      </c>
      <c r="I17" s="66">
        <f t="shared" si="2"/>
        <v>40637241.259436965</v>
      </c>
      <c r="J17" s="66"/>
      <c r="K17" s="64">
        <f t="shared" si="8"/>
        <v>7435149.4850593181</v>
      </c>
      <c r="L17" s="64">
        <f t="shared" si="3"/>
        <v>47185273.730090491</v>
      </c>
      <c r="M17" s="66">
        <f t="shared" si="9"/>
        <v>2364354.2597141895</v>
      </c>
      <c r="N17" s="66">
        <f t="shared" si="10"/>
        <v>56984777.474863999</v>
      </c>
      <c r="O17" s="65"/>
      <c r="P17" s="66">
        <f t="shared" si="11"/>
        <v>97622018.734300971</v>
      </c>
      <c r="Q17" s="66"/>
      <c r="R17" s="40">
        <v>2019</v>
      </c>
      <c r="S17" s="75">
        <v>106.54342691144839</v>
      </c>
      <c r="T17" s="75"/>
      <c r="U17" s="74">
        <v>3.2152470833333329</v>
      </c>
      <c r="W17" s="107" t="s">
        <v>213</v>
      </c>
      <c r="X17" s="60">
        <v>987</v>
      </c>
      <c r="Z17" s="40">
        <v>3</v>
      </c>
      <c r="AA17" s="99">
        <v>0.12595403329913676</v>
      </c>
      <c r="AB17" s="99">
        <v>0.11491443200716714</v>
      </c>
      <c r="AC17" s="45"/>
      <c r="AD17" s="45"/>
    </row>
    <row r="18" spans="1:30">
      <c r="A18" s="40">
        <v>2023</v>
      </c>
      <c r="B18" s="64">
        <f t="shared" si="4"/>
        <v>2130585.6000000001</v>
      </c>
      <c r="C18" s="64">
        <v>0</v>
      </c>
      <c r="D18" s="64"/>
      <c r="E18" s="64">
        <f t="shared" si="5"/>
        <v>34316432.737141065</v>
      </c>
      <c r="F18" s="64">
        <f t="shared" si="6"/>
        <v>34895.853911913277</v>
      </c>
      <c r="G18" s="66">
        <f t="shared" si="7"/>
        <v>5059265.1612438355</v>
      </c>
      <c r="H18" s="66">
        <f t="shared" si="1"/>
        <v>219000.41103476187</v>
      </c>
      <c r="I18" s="66">
        <f t="shared" si="2"/>
        <v>39629594.163331576</v>
      </c>
      <c r="J18" s="66"/>
      <c r="K18" s="64">
        <f t="shared" si="8"/>
        <v>7589069.2173655145</v>
      </c>
      <c r="L18" s="64">
        <f t="shared" si="3"/>
        <v>54444768.24892386</v>
      </c>
      <c r="M18" s="66">
        <f t="shared" si="9"/>
        <v>2685258.7224032674</v>
      </c>
      <c r="N18" s="66">
        <f t="shared" si="10"/>
        <v>64719096.188692637</v>
      </c>
      <c r="O18" s="65"/>
      <c r="P18" s="66">
        <f t="shared" si="11"/>
        <v>104348690.35202421</v>
      </c>
      <c r="Q18" s="66"/>
      <c r="R18" s="40">
        <v>2020</v>
      </c>
      <c r="S18" s="75">
        <v>108.89355666261639</v>
      </c>
      <c r="T18" s="75"/>
      <c r="U18" s="74">
        <v>3.7099155833333337</v>
      </c>
      <c r="W18" s="107" t="s">
        <v>214</v>
      </c>
      <c r="X18" s="60">
        <f>260*1.1</f>
        <v>286</v>
      </c>
      <c r="Z18" s="40">
        <v>4</v>
      </c>
      <c r="AA18" s="99">
        <v>0.12199446395115827</v>
      </c>
      <c r="AB18" s="99">
        <v>0.11204838831237085</v>
      </c>
      <c r="AC18" s="45"/>
      <c r="AD18" s="45"/>
    </row>
    <row r="19" spans="1:30">
      <c r="A19" s="40">
        <v>2024</v>
      </c>
      <c r="B19" s="64">
        <f t="shared" si="4"/>
        <v>2130585.6000000001</v>
      </c>
      <c r="C19" s="64">
        <v>0</v>
      </c>
      <c r="D19" s="64"/>
      <c r="E19" s="64">
        <f t="shared" si="5"/>
        <v>33228453.404308822</v>
      </c>
      <c r="F19" s="64">
        <f t="shared" si="6"/>
        <v>34031.861104947318</v>
      </c>
      <c r="G19" s="66">
        <f t="shared" si="7"/>
        <v>5162104.1172922924</v>
      </c>
      <c r="H19" s="66">
        <f t="shared" si="1"/>
        <v>223452.00092523143</v>
      </c>
      <c r="I19" s="66">
        <f t="shared" si="2"/>
        <v>38648041.383631289</v>
      </c>
      <c r="J19" s="66"/>
      <c r="K19" s="64">
        <f t="shared" si="8"/>
        <v>7743331.1369960466</v>
      </c>
      <c r="L19" s="64">
        <f t="shared" si="3"/>
        <v>58938339.567268759</v>
      </c>
      <c r="M19" s="66">
        <f t="shared" si="9"/>
        <v>2886449.4797755103</v>
      </c>
      <c r="N19" s="66">
        <f t="shared" si="10"/>
        <v>69568120.184040308</v>
      </c>
      <c r="O19" s="65"/>
      <c r="P19" s="66">
        <f t="shared" si="11"/>
        <v>108216161.5676716</v>
      </c>
      <c r="Q19" s="66"/>
      <c r="R19" s="40">
        <v>2021</v>
      </c>
      <c r="S19" s="75">
        <v>111.2925466862371</v>
      </c>
      <c r="T19" s="75"/>
      <c r="U19" s="74">
        <v>4.0161115833333332</v>
      </c>
      <c r="W19" s="107" t="s">
        <v>215</v>
      </c>
      <c r="X19" s="40">
        <v>15.3</v>
      </c>
      <c r="Z19" s="40">
        <v>5</v>
      </c>
      <c r="AA19" s="99">
        <v>0.1181267118303163</v>
      </c>
      <c r="AB19" s="99">
        <v>0.10927416184471112</v>
      </c>
      <c r="AC19" s="45"/>
      <c r="AD19" s="45"/>
    </row>
    <row r="20" spans="1:30">
      <c r="A20" s="40">
        <v>2025</v>
      </c>
      <c r="B20" s="64">
        <f t="shared" si="4"/>
        <v>2130585.6000000001</v>
      </c>
      <c r="C20" s="64">
        <v>0</v>
      </c>
      <c r="D20" s="64"/>
      <c r="E20" s="64">
        <f t="shared" si="5"/>
        <v>32164397.573450997</v>
      </c>
      <c r="F20" s="64">
        <f t="shared" si="6"/>
        <v>33194.355187271838</v>
      </c>
      <c r="G20" s="66">
        <f t="shared" si="7"/>
        <v>5267396.4364574626</v>
      </c>
      <c r="H20" s="66">
        <f t="shared" si="1"/>
        <v>228009.78954493414</v>
      </c>
      <c r="I20" s="66">
        <f t="shared" si="2"/>
        <v>37692998.154640667</v>
      </c>
      <c r="J20" s="66"/>
      <c r="K20" s="64">
        <f t="shared" si="8"/>
        <v>7901273.1844543722</v>
      </c>
      <c r="L20" s="64">
        <f t="shared" si="3"/>
        <v>61255305.787169896</v>
      </c>
      <c r="M20" s="66">
        <f t="shared" si="9"/>
        <v>2993580.8339446993</v>
      </c>
      <c r="N20" s="66">
        <f t="shared" si="10"/>
        <v>72150159.805568963</v>
      </c>
      <c r="O20" s="65"/>
      <c r="P20" s="66">
        <f t="shared" si="11"/>
        <v>109843157.96020964</v>
      </c>
      <c r="Q20" s="66"/>
      <c r="R20" s="40">
        <v>2022</v>
      </c>
      <c r="S20" s="75">
        <v>113.67169647801337</v>
      </c>
      <c r="T20" s="75"/>
      <c r="U20" s="74">
        <v>4.1739917499999999</v>
      </c>
      <c r="W20" s="107" t="s">
        <v>216</v>
      </c>
      <c r="X20" s="40">
        <v>3.07</v>
      </c>
      <c r="Z20" s="40">
        <v>6</v>
      </c>
      <c r="AA20" s="99">
        <v>0.11434400744219057</v>
      </c>
      <c r="AB20" s="99">
        <v>0.10658498310976766</v>
      </c>
      <c r="AC20" s="45"/>
      <c r="AD20" s="45"/>
    </row>
    <row r="21" spans="1:30">
      <c r="A21" s="40">
        <v>2026</v>
      </c>
      <c r="B21" s="64">
        <f t="shared" si="4"/>
        <v>2130585.6000000001</v>
      </c>
      <c r="C21" s="64">
        <v>0</v>
      </c>
      <c r="D21" s="64"/>
      <c r="E21" s="64">
        <f t="shared" si="5"/>
        <v>31122468.299912576</v>
      </c>
      <c r="F21" s="64">
        <f t="shared" si="6"/>
        <v>32381.346672807849</v>
      </c>
      <c r="G21" s="66">
        <f t="shared" si="7"/>
        <v>5375865.215236905</v>
      </c>
      <c r="H21" s="66">
        <f t="shared" si="1"/>
        <v>232705.07757195988</v>
      </c>
      <c r="I21" s="66">
        <f t="shared" si="2"/>
        <v>36763419.939394243</v>
      </c>
      <c r="J21" s="66"/>
      <c r="K21" s="64">
        <f t="shared" si="8"/>
        <v>8063980.0289949933</v>
      </c>
      <c r="L21" s="64">
        <f t="shared" si="3"/>
        <v>62618270.831660546</v>
      </c>
      <c r="M21" s="66">
        <f t="shared" si="9"/>
        <v>3059622.5930051962</v>
      </c>
      <c r="N21" s="66">
        <f t="shared" si="10"/>
        <v>73741873.453660741</v>
      </c>
      <c r="O21" s="65"/>
      <c r="P21" s="66">
        <f t="shared" si="11"/>
        <v>110505293.39305499</v>
      </c>
      <c r="Q21" s="66"/>
      <c r="R21" s="40">
        <v>2023</v>
      </c>
      <c r="S21" s="75">
        <v>116.02488616543596</v>
      </c>
      <c r="T21" s="75"/>
      <c r="U21" s="74">
        <v>4.2668654166666666</v>
      </c>
      <c r="W21" s="107" t="s">
        <v>217</v>
      </c>
      <c r="X21" s="40">
        <v>6.5</v>
      </c>
      <c r="Z21" s="40">
        <v>7</v>
      </c>
      <c r="AA21" s="99">
        <v>0.11063996267232826</v>
      </c>
      <c r="AB21" s="99">
        <v>0.10397446399308757</v>
      </c>
      <c r="AC21" s="45"/>
      <c r="AD21" s="45"/>
    </row>
    <row r="22" spans="1:30">
      <c r="A22" s="40">
        <v>2027</v>
      </c>
      <c r="B22" s="64">
        <f t="shared" si="4"/>
        <v>2130585.6000000001</v>
      </c>
      <c r="C22" s="64">
        <v>0</v>
      </c>
      <c r="D22" s="64"/>
      <c r="E22" s="64">
        <f t="shared" si="5"/>
        <v>30101002.739385895</v>
      </c>
      <c r="F22" s="64">
        <f t="shared" si="6"/>
        <v>31590.994544586712</v>
      </c>
      <c r="G22" s="66">
        <f t="shared" si="7"/>
        <v>5486976.7395490846</v>
      </c>
      <c r="H22" s="66">
        <f t="shared" si="1"/>
        <v>237514.76212486118</v>
      </c>
      <c r="I22" s="66">
        <f t="shared" si="2"/>
        <v>35857085.235604428</v>
      </c>
      <c r="J22" s="66"/>
      <c r="K22" s="64">
        <f t="shared" si="8"/>
        <v>8230651.0814062534</v>
      </c>
      <c r="L22" s="64">
        <f t="shared" si="3"/>
        <v>66180645.437633127</v>
      </c>
      <c r="M22" s="66">
        <f t="shared" si="9"/>
        <v>3221041.7924196571</v>
      </c>
      <c r="N22" s="66">
        <f t="shared" si="10"/>
        <v>77632338.311459035</v>
      </c>
      <c r="O22" s="65"/>
      <c r="P22" s="66">
        <f t="shared" si="11"/>
        <v>113489423.54706347</v>
      </c>
      <c r="Q22" s="66"/>
      <c r="R22" s="40">
        <v>2024</v>
      </c>
      <c r="S22" s="75">
        <v>118.38330735677771</v>
      </c>
      <c r="T22" s="75"/>
      <c r="U22" s="74">
        <v>4.5096088333333331</v>
      </c>
      <c r="W22" s="40" t="s">
        <v>107</v>
      </c>
      <c r="X22" s="40">
        <v>2.5</v>
      </c>
      <c r="Z22" s="40">
        <v>8</v>
      </c>
      <c r="AA22" s="99">
        <v>0.10700866613123552</v>
      </c>
      <c r="AB22" s="99">
        <v>0.1014366931051771</v>
      </c>
      <c r="AC22" s="45"/>
      <c r="AD22" s="45"/>
    </row>
    <row r="23" spans="1:30">
      <c r="A23" s="40">
        <v>2028</v>
      </c>
      <c r="B23" s="64">
        <f t="shared" si="4"/>
        <v>2130585.6000000001</v>
      </c>
      <c r="C23" s="64">
        <v>0</v>
      </c>
      <c r="D23" s="64"/>
      <c r="E23" s="64">
        <f t="shared" si="5"/>
        <v>29091042.988665309</v>
      </c>
      <c r="F23" s="64">
        <f t="shared" si="6"/>
        <v>30813.381066035552</v>
      </c>
      <c r="G23" s="66">
        <f t="shared" si="7"/>
        <v>5596874.494740366</v>
      </c>
      <c r="H23" s="66">
        <f t="shared" si="1"/>
        <v>242271.90625382619</v>
      </c>
      <c r="I23" s="66">
        <f t="shared" si="2"/>
        <v>34961002.770725541</v>
      </c>
      <c r="J23" s="66"/>
      <c r="K23" s="64">
        <f t="shared" si="8"/>
        <v>8395501.4389974475</v>
      </c>
      <c r="L23" s="64">
        <f t="shared" si="3"/>
        <v>67534995.979113057</v>
      </c>
      <c r="M23" s="66">
        <f t="shared" si="9"/>
        <v>3286803.4417377487</v>
      </c>
      <c r="N23" s="66">
        <f t="shared" si="10"/>
        <v>79217300.859848261</v>
      </c>
      <c r="O23" s="65"/>
      <c r="P23" s="66">
        <f t="shared" si="11"/>
        <v>114178303.63057381</v>
      </c>
      <c r="Q23" s="66"/>
      <c r="R23" s="40">
        <v>2025</v>
      </c>
      <c r="S23" s="75">
        <v>120.79799189215602</v>
      </c>
      <c r="T23" s="75"/>
      <c r="U23" s="74">
        <v>4.6018954999999995</v>
      </c>
      <c r="W23" s="40" t="s">
        <v>115</v>
      </c>
      <c r="X23" s="40">
        <v>6720</v>
      </c>
      <c r="Z23" s="40">
        <v>9</v>
      </c>
      <c r="AA23" s="99">
        <v>0.10341827259163977</v>
      </c>
      <c r="AB23" s="99">
        <v>9.8939825218763586E-2</v>
      </c>
      <c r="AC23" s="45"/>
      <c r="AD23" s="45"/>
    </row>
    <row r="24" spans="1:30">
      <c r="A24" s="40">
        <v>2029</v>
      </c>
      <c r="B24" s="64">
        <f t="shared" si="4"/>
        <v>2130585.6000000001</v>
      </c>
      <c r="C24" s="64">
        <v>0</v>
      </c>
      <c r="D24" s="64"/>
      <c r="E24" s="64">
        <f t="shared" si="5"/>
        <v>28082746.082252372</v>
      </c>
      <c r="F24" s="64">
        <f t="shared" si="6"/>
        <v>30037.608604453024</v>
      </c>
      <c r="G24" s="66">
        <f t="shared" si="7"/>
        <v>5709479.557651666</v>
      </c>
      <c r="H24" s="66">
        <f t="shared" si="1"/>
        <v>247146.24161206762</v>
      </c>
      <c r="I24" s="66">
        <f t="shared" si="2"/>
        <v>34069409.49012056</v>
      </c>
      <c r="J24" s="66"/>
      <c r="K24" s="64">
        <f t="shared" si="8"/>
        <v>8564412.8499284294</v>
      </c>
      <c r="L24" s="64">
        <f t="shared" si="3"/>
        <v>69348606.906612635</v>
      </c>
      <c r="M24" s="66">
        <f t="shared" si="9"/>
        <v>3372620.8862013924</v>
      </c>
      <c r="N24" s="66">
        <f t="shared" si="10"/>
        <v>81285640.642742455</v>
      </c>
      <c r="O24" s="65"/>
      <c r="P24" s="66">
        <f t="shared" si="11"/>
        <v>115355050.13286301</v>
      </c>
      <c r="Q24" s="66"/>
      <c r="R24" s="40">
        <v>2026</v>
      </c>
      <c r="S24" s="75">
        <v>123.28552265191844</v>
      </c>
      <c r="T24" s="75"/>
      <c r="U24" s="74">
        <v>4.7254765833333332</v>
      </c>
      <c r="W24" s="40" t="s">
        <v>116</v>
      </c>
      <c r="X24" s="40">
        <v>7912</v>
      </c>
      <c r="Z24" s="40">
        <v>10</v>
      </c>
      <c r="AA24" s="99">
        <v>9.9833790441537784E-2</v>
      </c>
      <c r="AB24" s="99">
        <v>9.6448868721843828E-2</v>
      </c>
      <c r="AC24" s="45"/>
      <c r="AD24" s="45"/>
    </row>
    <row r="25" spans="1:30">
      <c r="A25" s="40">
        <v>2030</v>
      </c>
      <c r="B25" s="64">
        <f t="shared" si="4"/>
        <v>2130585.6000000001</v>
      </c>
      <c r="C25" s="64">
        <v>0</v>
      </c>
      <c r="D25" s="64"/>
      <c r="E25" s="64">
        <f t="shared" si="5"/>
        <v>27074449.175839424</v>
      </c>
      <c r="F25" s="64">
        <f t="shared" si="6"/>
        <v>29261.836142870488</v>
      </c>
      <c r="G25" s="66">
        <f t="shared" si="7"/>
        <v>5826393.0705275806</v>
      </c>
      <c r="H25" s="66">
        <f t="shared" si="1"/>
        <v>252207.07684392732</v>
      </c>
      <c r="I25" s="66">
        <f t="shared" si="2"/>
        <v>33182311.159353804</v>
      </c>
      <c r="J25" s="66"/>
      <c r="K25" s="64">
        <f t="shared" si="8"/>
        <v>8739787.0818341821</v>
      </c>
      <c r="L25" s="64">
        <f t="shared" si="3"/>
        <v>73395144.954369634</v>
      </c>
      <c r="M25" s="66">
        <f t="shared" si="9"/>
        <v>3555374.8030511541</v>
      </c>
      <c r="N25" s="66">
        <f t="shared" si="10"/>
        <v>85690306.839254975</v>
      </c>
      <c r="O25" s="65"/>
      <c r="P25" s="66">
        <f t="shared" si="11"/>
        <v>118872617.99860878</v>
      </c>
      <c r="Q25" s="66"/>
      <c r="R25" s="40">
        <v>2027</v>
      </c>
      <c r="S25" s="75">
        <v>125.83365989104655</v>
      </c>
      <c r="T25" s="75"/>
      <c r="U25" s="74">
        <v>5.001211333333333</v>
      </c>
      <c r="W25" s="40" t="s">
        <v>108</v>
      </c>
      <c r="X25" s="62">
        <v>0.03</v>
      </c>
      <c r="Z25" s="40">
        <v>11</v>
      </c>
      <c r="AA25" s="99">
        <v>9.624930829143577E-2</v>
      </c>
      <c r="AB25" s="99">
        <v>9.3957912224924056E-2</v>
      </c>
      <c r="AC25" s="45"/>
      <c r="AD25" s="45"/>
    </row>
    <row r="26" spans="1:30">
      <c r="A26" s="40">
        <v>2031</v>
      </c>
      <c r="B26" s="64">
        <f t="shared" si="4"/>
        <v>2130585.6000000001</v>
      </c>
      <c r="C26" s="64">
        <v>0</v>
      </c>
      <c r="D26" s="64"/>
      <c r="E26" s="64">
        <f t="shared" si="5"/>
        <v>26066152.269426476</v>
      </c>
      <c r="F26" s="64">
        <f t="shared" si="6"/>
        <v>28486.063681287967</v>
      </c>
      <c r="G26" s="66">
        <f t="shared" si="7"/>
        <v>5948019.6230750764</v>
      </c>
      <c r="H26" s="66">
        <f t="shared" si="1"/>
        <v>257471.92542405077</v>
      </c>
      <c r="I26" s="66">
        <f t="shared" si="2"/>
        <v>32300129.881606892</v>
      </c>
      <c r="J26" s="66"/>
      <c r="K26" s="64">
        <f t="shared" si="8"/>
        <v>8922231.0329880603</v>
      </c>
      <c r="L26" s="64">
        <f t="shared" si="3"/>
        <v>75334203.053267553</v>
      </c>
      <c r="M26" s="66">
        <f t="shared" si="9"/>
        <v>3647208.2622917457</v>
      </c>
      <c r="N26" s="66">
        <f t="shared" si="10"/>
        <v>87903642.348547354</v>
      </c>
      <c r="O26" s="65"/>
      <c r="P26" s="66">
        <f t="shared" si="11"/>
        <v>120203772.23015425</v>
      </c>
      <c r="Q26" s="66"/>
      <c r="R26" s="40">
        <v>2028</v>
      </c>
      <c r="S26" s="75">
        <v>128.35396158101972</v>
      </c>
      <c r="T26" s="75"/>
      <c r="U26" s="74">
        <v>5.1333405000000001</v>
      </c>
      <c r="W26" s="40" t="s">
        <v>109</v>
      </c>
      <c r="X26" s="40">
        <v>13</v>
      </c>
      <c r="Z26" s="40">
        <v>12</v>
      </c>
      <c r="AA26" s="99">
        <v>9.2664826141333742E-2</v>
      </c>
      <c r="AB26" s="99">
        <v>9.1466955728004312E-2</v>
      </c>
      <c r="AC26" s="45"/>
      <c r="AD26" s="45"/>
    </row>
    <row r="27" spans="1:30">
      <c r="A27" s="40">
        <v>2032</v>
      </c>
      <c r="B27" s="64">
        <f t="shared" si="4"/>
        <v>2130585.6000000001</v>
      </c>
      <c r="C27" s="64">
        <v>0</v>
      </c>
      <c r="D27" s="64"/>
      <c r="E27" s="64">
        <f t="shared" si="5"/>
        <v>25057855.363013532</v>
      </c>
      <c r="F27" s="64">
        <f t="shared" si="6"/>
        <v>27710.291219705425</v>
      </c>
      <c r="G27" s="66">
        <f t="shared" si="7"/>
        <v>6072947.4554655859</v>
      </c>
      <c r="H27" s="66">
        <f t="shared" si="1"/>
        <v>262879.67650473875</v>
      </c>
      <c r="I27" s="66">
        <f t="shared" si="2"/>
        <v>31421392.786203559</v>
      </c>
      <c r="J27" s="66"/>
      <c r="K27" s="64">
        <f t="shared" si="8"/>
        <v>9109627.015797928</v>
      </c>
      <c r="L27" s="64">
        <f t="shared" si="3"/>
        <v>77304974.850642756</v>
      </c>
      <c r="M27" s="66">
        <f t="shared" si="9"/>
        <v>3740628.8709926172</v>
      </c>
      <c r="N27" s="66">
        <f t="shared" si="10"/>
        <v>90155230.737433299</v>
      </c>
      <c r="O27" s="65"/>
      <c r="P27" s="66">
        <f t="shared" si="11"/>
        <v>121576623.52363686</v>
      </c>
      <c r="Q27" s="66"/>
      <c r="R27" s="40">
        <v>2029</v>
      </c>
      <c r="S27" s="75">
        <v>130.93635036467529</v>
      </c>
      <c r="T27" s="75"/>
      <c r="U27" s="74">
        <v>5.2676306666666672</v>
      </c>
      <c r="W27" s="69" t="s">
        <v>89</v>
      </c>
      <c r="X27" s="98">
        <v>6.8500000000000005E-2</v>
      </c>
      <c r="Z27" s="40">
        <v>13</v>
      </c>
      <c r="AA27" s="99">
        <v>8.9080343991231742E-2</v>
      </c>
      <c r="AB27" s="99">
        <v>8.8975999231084527E-2</v>
      </c>
      <c r="AC27" s="45"/>
      <c r="AD27" s="45"/>
    </row>
    <row r="28" spans="1:30">
      <c r="A28" s="40">
        <v>2033</v>
      </c>
      <c r="B28" s="64">
        <f t="shared" si="4"/>
        <v>2130585.6000000001</v>
      </c>
      <c r="C28" s="64">
        <v>0</v>
      </c>
      <c r="D28" s="64"/>
      <c r="E28" s="64">
        <f t="shared" si="5"/>
        <v>24049558.456600588</v>
      </c>
      <c r="F28" s="64">
        <f t="shared" si="6"/>
        <v>26934.518758122893</v>
      </c>
      <c r="G28" s="66">
        <f t="shared" si="7"/>
        <v>6201697.3693431877</v>
      </c>
      <c r="H28" s="66">
        <f t="shared" si="1"/>
        <v>268452.87402675854</v>
      </c>
      <c r="I28" s="66">
        <f t="shared" si="2"/>
        <v>30546643.218728654</v>
      </c>
      <c r="J28" s="66"/>
      <c r="K28" s="64">
        <f t="shared" si="8"/>
        <v>9302756.2503816225</v>
      </c>
      <c r="L28" s="64">
        <f t="shared" si="3"/>
        <v>79941822.368882075</v>
      </c>
      <c r="M28" s="66">
        <f t="shared" si="9"/>
        <v>3863130.0746920668</v>
      </c>
      <c r="N28" s="66">
        <f t="shared" si="10"/>
        <v>93107708.693955764</v>
      </c>
      <c r="O28" s="65"/>
      <c r="P28" s="66">
        <f t="shared" si="11"/>
        <v>123654351.91268441</v>
      </c>
      <c r="Q28" s="66"/>
      <c r="R28" s="40">
        <v>2030</v>
      </c>
      <c r="S28" s="75">
        <v>133.61754547706869</v>
      </c>
      <c r="T28" s="75"/>
      <c r="U28" s="74">
        <v>5.4473078333333333</v>
      </c>
      <c r="W28" s="52" t="s">
        <v>82</v>
      </c>
      <c r="X28" s="51">
        <v>2.66E-3</v>
      </c>
      <c r="Z28" s="40">
        <v>14</v>
      </c>
      <c r="AA28" s="99">
        <v>8.5495861841129728E-2</v>
      </c>
      <c r="AB28" s="99">
        <v>8.6485042734164755E-2</v>
      </c>
      <c r="AC28" s="45"/>
      <c r="AD28" s="45"/>
    </row>
    <row r="29" spans="1:30">
      <c r="A29" s="40">
        <v>2034</v>
      </c>
      <c r="B29" s="64">
        <f t="shared" si="4"/>
        <v>2130585.6000000001</v>
      </c>
      <c r="C29" s="64">
        <v>0</v>
      </c>
      <c r="D29" s="64"/>
      <c r="E29" s="64">
        <f t="shared" si="5"/>
        <v>23041261.55018764</v>
      </c>
      <c r="F29" s="64">
        <f t="shared" si="6"/>
        <v>26158.746296540354</v>
      </c>
      <c r="G29" s="66">
        <f t="shared" si="7"/>
        <v>6333529.0516270446</v>
      </c>
      <c r="H29" s="66">
        <f t="shared" si="1"/>
        <v>274159.47205777984</v>
      </c>
      <c r="I29" s="66">
        <f t="shared" si="2"/>
        <v>29675108.820169002</v>
      </c>
      <c r="J29" s="66"/>
      <c r="K29" s="64">
        <f t="shared" si="8"/>
        <v>9500508.2420261875</v>
      </c>
      <c r="L29" s="64">
        <f t="shared" si="3"/>
        <v>82171441.392795965</v>
      </c>
      <c r="M29" s="66">
        <f t="shared" si="9"/>
        <v>3968203.6838425463</v>
      </c>
      <c r="N29" s="66">
        <f t="shared" si="10"/>
        <v>95640153.3186647</v>
      </c>
      <c r="O29" s="65"/>
      <c r="P29" s="66">
        <f t="shared" si="11"/>
        <v>125315262.1388337</v>
      </c>
      <c r="Q29" s="66"/>
      <c r="R29" s="40">
        <v>2031</v>
      </c>
      <c r="S29" s="75">
        <v>136.40682543458493</v>
      </c>
      <c r="T29" s="75"/>
      <c r="U29" s="74">
        <v>5.5992360833333334</v>
      </c>
      <c r="W29" s="52" t="s">
        <v>83</v>
      </c>
      <c r="X29" s="51">
        <v>2E-3</v>
      </c>
      <c r="Z29" s="40">
        <v>15</v>
      </c>
      <c r="AA29" s="99">
        <v>8.1911379691027714E-2</v>
      </c>
      <c r="AB29" s="99">
        <v>8.3994086237244969E-2</v>
      </c>
      <c r="AC29" s="45"/>
      <c r="AD29" s="45"/>
    </row>
    <row r="30" spans="1:30">
      <c r="A30" s="40">
        <v>2035</v>
      </c>
      <c r="B30" s="64">
        <f t="shared" si="4"/>
        <v>2130585.6000000001</v>
      </c>
      <c r="C30" s="64">
        <v>0</v>
      </c>
      <c r="D30" s="64"/>
      <c r="E30" s="64">
        <f t="shared" si="5"/>
        <v>22032964.643774703</v>
      </c>
      <c r="F30" s="64">
        <f t="shared" si="6"/>
        <v>25382.973834957822</v>
      </c>
      <c r="G30" s="66">
        <f t="shared" si="7"/>
        <v>6467783.9680068865</v>
      </c>
      <c r="H30" s="66">
        <f t="shared" si="1"/>
        <v>279970.96462311404</v>
      </c>
      <c r="I30" s="66">
        <f t="shared" si="2"/>
        <v>28806102.55023966</v>
      </c>
      <c r="J30" s="66"/>
      <c r="K30" s="64">
        <f t="shared" si="8"/>
        <v>9701895.1669462752</v>
      </c>
      <c r="L30" s="64">
        <f t="shared" si="3"/>
        <v>84088739.433194488</v>
      </c>
      <c r="M30" s="66">
        <f t="shared" si="9"/>
        <v>4059915.1999362926</v>
      </c>
      <c r="N30" s="66">
        <f t="shared" si="10"/>
        <v>97850549.800077051</v>
      </c>
      <c r="O30" s="65"/>
      <c r="P30" s="66">
        <f t="shared" si="11"/>
        <v>126656652.3503167</v>
      </c>
      <c r="Q30" s="66"/>
      <c r="R30" s="40">
        <v>2032</v>
      </c>
      <c r="S30" s="75">
        <v>139.27181413749767</v>
      </c>
      <c r="T30" s="75"/>
      <c r="U30" s="74">
        <v>5.7298824999999995</v>
      </c>
      <c r="W30" s="52" t="s">
        <v>84</v>
      </c>
      <c r="X30" s="51">
        <f>3.8627%</f>
        <v>3.8626999999999995E-2</v>
      </c>
      <c r="Z30" s="40">
        <v>16</v>
      </c>
      <c r="AA30" s="99">
        <v>7.8326897540925727E-2</v>
      </c>
      <c r="AB30" s="99">
        <v>8.1503129740325211E-2</v>
      </c>
      <c r="AC30" s="45"/>
      <c r="AD30" s="45"/>
    </row>
    <row r="31" spans="1:30">
      <c r="A31" s="40">
        <v>2036</v>
      </c>
      <c r="B31" s="64">
        <f t="shared" si="4"/>
        <v>2130585.6000000001</v>
      </c>
      <c r="C31" s="64">
        <v>0</v>
      </c>
      <c r="D31" s="64"/>
      <c r="E31" s="64">
        <f t="shared" si="5"/>
        <v>21024667.737361751</v>
      </c>
      <c r="F31" s="64">
        <f t="shared" si="6"/>
        <v>24607.201373375279</v>
      </c>
      <c r="G31" s="66">
        <f t="shared" si="7"/>
        <v>6605546.7632290414</v>
      </c>
      <c r="H31" s="66">
        <f t="shared" si="1"/>
        <v>285934.30273989547</v>
      </c>
      <c r="I31" s="66">
        <f t="shared" si="2"/>
        <v>27940756.004704066</v>
      </c>
      <c r="J31" s="66"/>
      <c r="K31" s="64">
        <f t="shared" si="8"/>
        <v>9908544.0290236399</v>
      </c>
      <c r="L31" s="64">
        <f t="shared" si="3"/>
        <v>87325755.120302901</v>
      </c>
      <c r="M31" s="66">
        <f t="shared" si="9"/>
        <v>4208981.1072768969</v>
      </c>
      <c r="N31" s="66">
        <f t="shared" si="10"/>
        <v>101443280.25660343</v>
      </c>
      <c r="O31" s="65"/>
      <c r="P31" s="66">
        <f t="shared" si="11"/>
        <v>129384036.26130751</v>
      </c>
      <c r="Q31" s="66"/>
      <c r="R31" s="40">
        <v>2033</v>
      </c>
      <c r="S31" s="75">
        <v>142.22445520796211</v>
      </c>
      <c r="T31" s="75"/>
      <c r="U31" s="74">
        <v>5.9504556666666666</v>
      </c>
      <c r="Z31" s="40">
        <v>17</v>
      </c>
      <c r="AA31" s="99">
        <v>7.4742415390823699E-2</v>
      </c>
      <c r="AB31" s="99">
        <v>7.9012173243405412E-2</v>
      </c>
      <c r="AC31" s="45"/>
      <c r="AD31" s="45"/>
    </row>
    <row r="32" spans="1:30">
      <c r="A32" s="40">
        <v>2037</v>
      </c>
      <c r="B32" s="64">
        <f t="shared" si="4"/>
        <v>2130585.6000000001</v>
      </c>
      <c r="C32" s="64">
        <v>0</v>
      </c>
      <c r="D32" s="64"/>
      <c r="E32" s="64">
        <f t="shared" si="5"/>
        <v>20016370.830948815</v>
      </c>
      <c r="F32" s="64">
        <f t="shared" si="6"/>
        <v>23831.428911792758</v>
      </c>
      <c r="G32" s="66">
        <f t="shared" si="7"/>
        <v>6746003.9537337627</v>
      </c>
      <c r="H32" s="66">
        <f t="shared" si="1"/>
        <v>292014.27314527333</v>
      </c>
      <c r="I32" s="66">
        <f t="shared" si="2"/>
        <v>27078220.486739643</v>
      </c>
      <c r="J32" s="66"/>
      <c r="K32" s="64">
        <f t="shared" si="8"/>
        <v>10119234.575346963</v>
      </c>
      <c r="L32" s="64">
        <f t="shared" si="3"/>
        <v>89562918.560609892</v>
      </c>
      <c r="M32" s="66">
        <f t="shared" si="9"/>
        <v>4314941.3627961632</v>
      </c>
      <c r="N32" s="66">
        <f t="shared" si="10"/>
        <v>103997094.49875301</v>
      </c>
      <c r="O32" s="65"/>
      <c r="P32" s="66">
        <f t="shared" si="11"/>
        <v>131075314.98549265</v>
      </c>
      <c r="Q32" s="66"/>
      <c r="R32" s="40">
        <v>2034</v>
      </c>
      <c r="S32" s="75">
        <v>145.24777093514606</v>
      </c>
      <c r="T32" s="75"/>
      <c r="U32" s="74">
        <v>6.1028979999999997</v>
      </c>
      <c r="Z32" s="40">
        <v>18</v>
      </c>
      <c r="AA32" s="99">
        <v>7.1157933240721713E-2</v>
      </c>
      <c r="AB32" s="99">
        <v>7.6521216746485682E-2</v>
      </c>
      <c r="AC32" s="45"/>
      <c r="AD32" s="45"/>
    </row>
    <row r="33" spans="1:30">
      <c r="A33" s="40">
        <v>2038</v>
      </c>
      <c r="B33" s="64">
        <f t="shared" si="4"/>
        <v>2130585.6000000001</v>
      </c>
      <c r="C33" s="64">
        <v>0</v>
      </c>
      <c r="D33" s="64"/>
      <c r="E33" s="64">
        <f t="shared" si="5"/>
        <v>19008073.924535871</v>
      </c>
      <c r="F33" s="64">
        <f t="shared" si="6"/>
        <v>23055.656450210219</v>
      </c>
      <c r="G33" s="66">
        <f t="shared" si="7"/>
        <v>6890425.262537594</v>
      </c>
      <c r="H33" s="66">
        <f t="shared" si="1"/>
        <v>298265.8383394648</v>
      </c>
      <c r="I33" s="66">
        <f t="shared" si="2"/>
        <v>26219820.681863144</v>
      </c>
      <c r="J33" s="66"/>
      <c r="K33" s="64">
        <f t="shared" si="8"/>
        <v>10335871.433476245</v>
      </c>
      <c r="L33" s="64">
        <f t="shared" si="3"/>
        <v>93915567.420631751</v>
      </c>
      <c r="M33" s="66">
        <f t="shared" si="9"/>
        <v>4512732.0336777717</v>
      </c>
      <c r="N33" s="66">
        <f t="shared" si="10"/>
        <v>108764170.88778576</v>
      </c>
      <c r="O33" s="65"/>
      <c r="P33" s="66">
        <f t="shared" si="11"/>
        <v>134983991.56964892</v>
      </c>
      <c r="Q33" s="66"/>
      <c r="R33" s="40">
        <v>2035</v>
      </c>
      <c r="S33" s="75">
        <v>148.3266590530188</v>
      </c>
      <c r="T33" s="75"/>
      <c r="U33" s="74">
        <v>6.3994914166666659</v>
      </c>
      <c r="Z33" s="40">
        <v>19</v>
      </c>
      <c r="AA33" s="99">
        <v>6.7573451090619713E-2</v>
      </c>
      <c r="AB33" s="99">
        <v>7.4030260249565896E-2</v>
      </c>
      <c r="AC33" s="45"/>
      <c r="AD33" s="45"/>
    </row>
    <row r="34" spans="1:30">
      <c r="A34" s="40">
        <v>2039</v>
      </c>
      <c r="B34" s="64">
        <f t="shared" si="4"/>
        <v>2130585.6000000001</v>
      </c>
      <c r="C34" s="64">
        <v>0</v>
      </c>
      <c r="D34" s="64"/>
      <c r="E34" s="64">
        <f t="shared" si="5"/>
        <v>17999777.018122926</v>
      </c>
      <c r="F34" s="64">
        <f t="shared" si="6"/>
        <v>22279.88398862768</v>
      </c>
      <c r="G34" s="66">
        <f t="shared" si="7"/>
        <v>7038492.1828499427</v>
      </c>
      <c r="H34" s="66">
        <f t="shared" si="1"/>
        <v>304675.21111902542</v>
      </c>
      <c r="I34" s="66">
        <f t="shared" si="2"/>
        <v>25365224.296080522</v>
      </c>
      <c r="J34" s="66"/>
      <c r="K34" s="64">
        <f t="shared" si="8"/>
        <v>10557976.832430327</v>
      </c>
      <c r="L34" s="64">
        <f t="shared" si="3"/>
        <v>96878834.160703778</v>
      </c>
      <c r="M34" s="66">
        <f t="shared" si="9"/>
        <v>4650617.2374597955</v>
      </c>
      <c r="N34" s="66">
        <f t="shared" si="10"/>
        <v>112087428.2305939</v>
      </c>
      <c r="O34" s="65"/>
      <c r="P34" s="66">
        <f t="shared" si="11"/>
        <v>137452652.52667442</v>
      </c>
      <c r="Q34" s="66"/>
      <c r="R34" s="40">
        <v>2036</v>
      </c>
      <c r="S34" s="75">
        <v>151.48599388210161</v>
      </c>
      <c r="T34" s="75"/>
      <c r="U34" s="74">
        <v>6.6014110833333319</v>
      </c>
      <c r="Z34" s="40">
        <v>20</v>
      </c>
      <c r="AA34" s="99">
        <v>6.3988968940517699E-2</v>
      </c>
      <c r="AB34" s="99">
        <v>7.1539303752646111E-2</v>
      </c>
      <c r="AC34" s="45"/>
      <c r="AD34" s="45"/>
    </row>
    <row r="35" spans="1:30">
      <c r="A35" s="40">
        <v>2040</v>
      </c>
      <c r="B35" s="64">
        <f t="shared" si="4"/>
        <v>2130585.6000000001</v>
      </c>
      <c r="C35" s="64">
        <v>0</v>
      </c>
      <c r="D35" s="64"/>
      <c r="E35" s="64">
        <f t="shared" si="5"/>
        <v>17051342.506785005</v>
      </c>
      <c r="F35" s="64">
        <f t="shared" si="6"/>
        <v>21570.388137915495</v>
      </c>
      <c r="G35" s="66">
        <f t="shared" si="7"/>
        <v>7189851.7747136708</v>
      </c>
      <c r="H35" s="66">
        <f t="shared" si="1"/>
        <v>311227.11377203063</v>
      </c>
      <c r="I35" s="66">
        <f t="shared" si="2"/>
        <v>24573991.783408623</v>
      </c>
      <c r="J35" s="66"/>
      <c r="K35" s="64">
        <f t="shared" si="8"/>
        <v>10785021.350311188</v>
      </c>
      <c r="L35" s="64">
        <f t="shared" si="3"/>
        <v>100985270.15401146</v>
      </c>
      <c r="M35" s="66">
        <f t="shared" si="9"/>
        <v>4838200.6083476134</v>
      </c>
      <c r="N35" s="66">
        <f t="shared" si="10"/>
        <v>116608492.11267026</v>
      </c>
      <c r="O35" s="65"/>
      <c r="P35" s="66">
        <f t="shared" si="11"/>
        <v>141182483.89607888</v>
      </c>
      <c r="Q35" s="66"/>
      <c r="R35" s="40">
        <v>2037</v>
      </c>
      <c r="S35" s="75">
        <v>154.70711968200348</v>
      </c>
      <c r="T35" s="75"/>
      <c r="U35" s="74">
        <v>6.8812273333333343</v>
      </c>
      <c r="Z35" s="40">
        <v>21</v>
      </c>
      <c r="AA35" s="99">
        <v>6.0617296812190066E-2</v>
      </c>
      <c r="AB35" s="99">
        <v>6.9261157277500693E-2</v>
      </c>
      <c r="AC35" s="45"/>
      <c r="AD35" s="45"/>
    </row>
    <row r="36" spans="1:30">
      <c r="A36" s="40">
        <v>2041</v>
      </c>
      <c r="B36" s="64">
        <f t="shared" si="4"/>
        <v>2130585.6000000001</v>
      </c>
      <c r="C36" s="64">
        <v>0</v>
      </c>
      <c r="D36" s="64"/>
      <c r="E36" s="64">
        <f t="shared" si="5"/>
        <v>16222552.325388674</v>
      </c>
      <c r="F36" s="64">
        <f t="shared" si="6"/>
        <v>20993.356427477796</v>
      </c>
      <c r="G36" s="66">
        <f t="shared" si="7"/>
        <v>7344466.2861615941</v>
      </c>
      <c r="H36" s="66">
        <f t="shared" si="1"/>
        <v>317919.91212907684</v>
      </c>
      <c r="I36" s="66">
        <f t="shared" si="2"/>
        <v>23905931.880106825</v>
      </c>
      <c r="J36" s="66"/>
      <c r="K36" s="64">
        <f t="shared" si="8"/>
        <v>11016948.357888501</v>
      </c>
      <c r="L36" s="64">
        <f t="shared" si="3"/>
        <v>104955933.55727801</v>
      </c>
      <c r="M36" s="66">
        <f t="shared" si="9"/>
        <v>5020118.1394618116</v>
      </c>
      <c r="N36" s="66">
        <f t="shared" si="10"/>
        <v>120993000.05462833</v>
      </c>
      <c r="O36" s="65"/>
      <c r="P36" s="66">
        <f t="shared" si="11"/>
        <v>144898931.93473515</v>
      </c>
      <c r="Q36" s="66"/>
      <c r="R36" s="40">
        <v>2038</v>
      </c>
      <c r="S36" s="75">
        <v>158.01915520095386</v>
      </c>
      <c r="T36" s="75"/>
      <c r="U36" s="74">
        <v>7.1517919166666664</v>
      </c>
      <c r="Z36" s="40">
        <v>22</v>
      </c>
      <c r="AA36" s="99">
        <v>5.7670958692435603E-2</v>
      </c>
      <c r="AB36" s="99">
        <v>6.74083448109285E-2</v>
      </c>
      <c r="AC36" s="45"/>
      <c r="AD36" s="45"/>
    </row>
    <row r="37" spans="1:30">
      <c r="A37" s="40">
        <v>2042</v>
      </c>
      <c r="B37" s="64">
        <f t="shared" si="4"/>
        <v>2130585.6000000001</v>
      </c>
      <c r="C37" s="64">
        <v>0</v>
      </c>
      <c r="D37" s="64"/>
      <c r="E37" s="64">
        <f t="shared" si="5"/>
        <v>15453544.078858932</v>
      </c>
      <c r="F37" s="64">
        <f t="shared" si="6"/>
        <v>20482.512246444217</v>
      </c>
      <c r="G37" s="66">
        <f t="shared" si="7"/>
        <v>7502405.7127676224</v>
      </c>
      <c r="H37" s="66">
        <f t="shared" si="1"/>
        <v>324756.63608857204</v>
      </c>
      <c r="I37" s="66">
        <f t="shared" si="2"/>
        <v>23301188.939961571</v>
      </c>
      <c r="J37" s="66"/>
      <c r="K37" s="64">
        <f t="shared" si="8"/>
        <v>11253862.850895524</v>
      </c>
      <c r="L37" s="64">
        <f t="shared" si="3"/>
        <v>109084114.93361142</v>
      </c>
      <c r="M37" s="66">
        <f t="shared" si="9"/>
        <v>5209070.0443579508</v>
      </c>
      <c r="N37" s="66">
        <f t="shared" si="10"/>
        <v>125547047.8288649</v>
      </c>
      <c r="O37" s="65"/>
      <c r="P37" s="66">
        <f t="shared" si="11"/>
        <v>148848236.76882648</v>
      </c>
      <c r="Q37" s="66"/>
      <c r="R37" s="40">
        <v>2039</v>
      </c>
      <c r="S37" s="75">
        <v>161.41479607499008</v>
      </c>
      <c r="T37" s="75"/>
      <c r="U37" s="74">
        <v>7.4330899166666669</v>
      </c>
      <c r="Z37" s="40">
        <v>23</v>
      </c>
      <c r="AA37" s="99">
        <v>5.4937144559480018E-2</v>
      </c>
      <c r="AB37" s="99">
        <v>6.5768056331155136E-2</v>
      </c>
      <c r="AC37" s="45"/>
      <c r="AD37" s="45"/>
    </row>
    <row r="38" spans="1:30">
      <c r="A38" s="40">
        <v>2043</v>
      </c>
      <c r="B38" s="64">
        <f t="shared" si="4"/>
        <v>2130585.6000000001</v>
      </c>
      <c r="C38" s="64">
        <v>0</v>
      </c>
      <c r="D38" s="64"/>
      <c r="E38" s="64">
        <f t="shared" si="5"/>
        <v>14684535.832329186</v>
      </c>
      <c r="F38" s="64">
        <f t="shared" si="6"/>
        <v>19971.668065410639</v>
      </c>
      <c r="G38" s="66">
        <f t="shared" si="7"/>
        <v>7663741.5553288376</v>
      </c>
      <c r="H38" s="66">
        <f t="shared" si="1"/>
        <v>331740.38070551935</v>
      </c>
      <c r="I38" s="66">
        <f t="shared" si="2"/>
        <v>22699989.436428953</v>
      </c>
      <c r="J38" s="66"/>
      <c r="K38" s="64">
        <f t="shared" si="8"/>
        <v>11495872.082951276</v>
      </c>
      <c r="L38" s="64">
        <f t="shared" si="3"/>
        <v>113374891.99688169</v>
      </c>
      <c r="M38" s="66">
        <f t="shared" si="9"/>
        <v>5405280.7647237284</v>
      </c>
      <c r="N38" s="66">
        <f t="shared" si="10"/>
        <v>130276044.8445567</v>
      </c>
      <c r="O38" s="65"/>
      <c r="P38" s="66">
        <f t="shared" si="11"/>
        <v>152976034.28098565</v>
      </c>
      <c r="Q38" s="66"/>
      <c r="R38" s="40">
        <v>2040</v>
      </c>
      <c r="S38" s="75">
        <v>164.88594827918064</v>
      </c>
      <c r="T38" s="75"/>
      <c r="U38" s="74">
        <v>7.7254673333333317</v>
      </c>
      <c r="Z38" s="40">
        <v>24</v>
      </c>
      <c r="AA38" s="99">
        <v>5.2203330426524419E-2</v>
      </c>
      <c r="AB38" s="99">
        <v>6.4127767851381787E-2</v>
      </c>
      <c r="AC38" s="45"/>
      <c r="AD38" s="45"/>
    </row>
    <row r="39" spans="1:30">
      <c r="A39" s="40">
        <v>2044</v>
      </c>
      <c r="B39" s="64">
        <f t="shared" si="4"/>
        <v>2130585.6000000001</v>
      </c>
      <c r="C39" s="64">
        <v>0</v>
      </c>
      <c r="D39" s="64"/>
      <c r="E39" s="64">
        <f t="shared" si="5"/>
        <v>13915527.585799443</v>
      </c>
      <c r="F39" s="64">
        <f t="shared" si="6"/>
        <v>19460.82388437706</v>
      </c>
      <c r="G39" s="66">
        <f t="shared" si="7"/>
        <v>7828546.8522346281</v>
      </c>
      <c r="H39" s="66">
        <f t="shared" si="1"/>
        <v>338874.30759268027</v>
      </c>
      <c r="I39" s="66">
        <f t="shared" si="2"/>
        <v>22102409.569511127</v>
      </c>
      <c r="J39" s="66"/>
      <c r="K39" s="64">
        <f t="shared" si="8"/>
        <v>11743085.614115359</v>
      </c>
      <c r="L39" s="64">
        <f t="shared" si="3"/>
        <v>117834132.49062173</v>
      </c>
      <c r="M39" s="66">
        <f t="shared" si="9"/>
        <v>5609009.0400997531</v>
      </c>
      <c r="N39" s="66">
        <f t="shared" si="10"/>
        <v>135186227.14483684</v>
      </c>
      <c r="O39" s="65"/>
      <c r="P39" s="66">
        <f t="shared" si="11"/>
        <v>157288636.71434796</v>
      </c>
      <c r="Q39" s="66"/>
      <c r="R39" s="40">
        <v>2041</v>
      </c>
      <c r="S39" s="75">
        <v>168.43174604200422</v>
      </c>
      <c r="T39" s="75"/>
      <c r="U39" s="74">
        <v>8.029323999999999</v>
      </c>
      <c r="Z39" s="40">
        <v>25</v>
      </c>
      <c r="AA39" s="99">
        <v>4.9469516293568827E-2</v>
      </c>
      <c r="AB39" s="99">
        <v>6.2487479371608423E-2</v>
      </c>
      <c r="AC39" s="45"/>
      <c r="AD39" s="45"/>
    </row>
    <row r="40" spans="1:30">
      <c r="A40" s="40">
        <v>2045</v>
      </c>
      <c r="B40" s="64">
        <f t="shared" si="4"/>
        <v>2130585.6000000001</v>
      </c>
      <c r="C40" s="64">
        <v>0</v>
      </c>
      <c r="D40" s="64"/>
      <c r="E40" s="64">
        <f t="shared" si="5"/>
        <v>13146519.339269701</v>
      </c>
      <c r="F40" s="64">
        <f t="shared" si="6"/>
        <v>18949.979703343488</v>
      </c>
      <c r="G40" s="66">
        <f t="shared" si="7"/>
        <v>7996896.2125319252</v>
      </c>
      <c r="H40" s="66">
        <f t="shared" si="1"/>
        <v>346161.64635186939</v>
      </c>
      <c r="I40" s="66">
        <f t="shared" si="2"/>
        <v>21508527.17785684</v>
      </c>
      <c r="J40" s="66"/>
      <c r="K40" s="64">
        <f t="shared" si="8"/>
        <v>11995615.360486925</v>
      </c>
      <c r="L40" s="64">
        <f t="shared" si="3"/>
        <v>122465698.51030394</v>
      </c>
      <c r="M40" s="66">
        <f t="shared" si="9"/>
        <v>5820426.8935249234</v>
      </c>
      <c r="N40" s="66">
        <f t="shared" si="10"/>
        <v>140281740.76431578</v>
      </c>
      <c r="O40" s="65"/>
      <c r="P40" s="66">
        <f t="shared" si="11"/>
        <v>161790267.94217262</v>
      </c>
      <c r="Q40" s="66"/>
      <c r="R40" s="40">
        <v>2042</v>
      </c>
      <c r="S40" s="75">
        <v>172.05379458244749</v>
      </c>
      <c r="T40" s="75"/>
      <c r="U40" s="74">
        <v>8.3449230833333328</v>
      </c>
      <c r="Z40" s="40">
        <v>26</v>
      </c>
      <c r="AA40" s="99">
        <v>4.6735702160613242E-2</v>
      </c>
      <c r="AB40" s="99">
        <v>6.0847190891835073E-2</v>
      </c>
      <c r="AC40" s="45"/>
      <c r="AD40" s="45"/>
    </row>
    <row r="41" spans="1:30">
      <c r="A41" s="40">
        <v>2046</v>
      </c>
      <c r="B41" s="64">
        <f t="shared" si="4"/>
        <v>2130585.6000000001</v>
      </c>
      <c r="C41" s="64">
        <v>0</v>
      </c>
      <c r="D41" s="64"/>
      <c r="E41" s="64">
        <f t="shared" si="5"/>
        <v>12377511.092739955</v>
      </c>
      <c r="F41" s="64">
        <f t="shared" si="6"/>
        <v>18439.135522309913</v>
      </c>
      <c r="G41" s="66">
        <f t="shared" si="7"/>
        <v>8168865.8497014772</v>
      </c>
      <c r="H41" s="66">
        <f t="shared" si="1"/>
        <v>353605.6960360278</v>
      </c>
      <c r="I41" s="66">
        <f t="shared" si="2"/>
        <v>20918421.773999769</v>
      </c>
      <c r="J41" s="66"/>
      <c r="K41" s="64">
        <f t="shared" si="8"/>
        <v>12253575.644870222</v>
      </c>
      <c r="L41" s="64">
        <f t="shared" si="3"/>
        <v>127281636.45929857</v>
      </c>
      <c r="M41" s="66">
        <f t="shared" si="9"/>
        <v>6040060.7263531527</v>
      </c>
      <c r="N41" s="66">
        <f t="shared" si="10"/>
        <v>145575272.83052191</v>
      </c>
      <c r="O41" s="65"/>
      <c r="P41" s="66">
        <f t="shared" si="11"/>
        <v>166493694.60452169</v>
      </c>
      <c r="Q41" s="66"/>
      <c r="R41" s="40">
        <v>2043</v>
      </c>
      <c r="S41" s="75">
        <v>175.75373363900556</v>
      </c>
      <c r="T41" s="75"/>
      <c r="U41" s="74">
        <f>((U$40/U$35)^(1/5))*U40</f>
        <v>8.6730854361172423</v>
      </c>
      <c r="Z41" s="40">
        <v>27</v>
      </c>
      <c r="AA41" s="99">
        <v>4.4001888027657636E-2</v>
      </c>
      <c r="AB41" s="99">
        <v>5.9206902412061724E-2</v>
      </c>
      <c r="AC41" s="45"/>
      <c r="AD41" s="45"/>
    </row>
    <row r="42" spans="1:30">
      <c r="A42" s="40">
        <v>2047</v>
      </c>
      <c r="B42" s="64">
        <f t="shared" si="4"/>
        <v>2130585.6000000001</v>
      </c>
      <c r="C42" s="64">
        <v>0</v>
      </c>
      <c r="D42" s="64"/>
      <c r="E42" s="64">
        <f t="shared" si="5"/>
        <v>11608502.846210213</v>
      </c>
      <c r="F42" s="64">
        <f t="shared" si="6"/>
        <v>17928.29134127633</v>
      </c>
      <c r="G42" s="66">
        <f t="shared" si="7"/>
        <v>8344533.6161604766</v>
      </c>
      <c r="H42" s="66">
        <f t="shared" si="1"/>
        <v>361209.82664273848</v>
      </c>
      <c r="I42" s="66">
        <f t="shared" si="2"/>
        <v>20332174.580354705</v>
      </c>
      <c r="J42" s="66"/>
      <c r="K42" s="64">
        <f t="shared" si="8"/>
        <v>12517083.248529717</v>
      </c>
      <c r="L42" s="64">
        <f t="shared" si="3"/>
        <v>132286960.15965618</v>
      </c>
      <c r="M42" s="66">
        <f t="shared" si="9"/>
        <v>6268132.6270101415</v>
      </c>
      <c r="N42" s="66">
        <f t="shared" si="10"/>
        <v>151072176.03519604</v>
      </c>
      <c r="O42" s="65"/>
      <c r="P42" s="66">
        <f t="shared" si="11"/>
        <v>171404350.61555076</v>
      </c>
      <c r="Q42" s="66"/>
      <c r="R42" s="40">
        <v>2044</v>
      </c>
      <c r="S42" s="75">
        <v>179.53323821200846</v>
      </c>
      <c r="T42" s="75"/>
      <c r="U42" s="74">
        <f t="shared" ref="U42:U47" si="12">((U$40/U$35)^(1/5))*U41</f>
        <v>9.014152704705559</v>
      </c>
      <c r="Z42" s="40">
        <v>28</v>
      </c>
      <c r="AA42" s="99">
        <v>4.1268073894702051E-2</v>
      </c>
      <c r="AB42" s="99">
        <v>5.756661393228836E-2</v>
      </c>
      <c r="AC42" s="45"/>
      <c r="AD42" s="45"/>
    </row>
    <row r="43" spans="1:30">
      <c r="A43" s="40">
        <v>2048</v>
      </c>
      <c r="B43" s="64">
        <f t="shared" si="4"/>
        <v>2130585.6000000001</v>
      </c>
      <c r="C43" s="64">
        <v>0</v>
      </c>
      <c r="D43" s="64"/>
      <c r="E43" s="64">
        <f t="shared" si="5"/>
        <v>10839494.59968047</v>
      </c>
      <c r="F43" s="64">
        <f t="shared" si="6"/>
        <v>17417.447160242751</v>
      </c>
      <c r="G43" s="66">
        <f t="shared" si="7"/>
        <v>8523979.0385071412</v>
      </c>
      <c r="H43" s="66">
        <f t="shared" si="1"/>
        <v>368977.48063985858</v>
      </c>
      <c r="I43" s="66">
        <f t="shared" si="2"/>
        <v>19749868.565987714</v>
      </c>
      <c r="J43" s="66"/>
      <c r="K43" s="64">
        <f t="shared" si="8"/>
        <v>12786257.46405817</v>
      </c>
      <c r="L43" s="64">
        <f t="shared" si="3"/>
        <v>137489117.16639084</v>
      </c>
      <c r="M43" s="66">
        <f t="shared" si="9"/>
        <v>6504970.1416282449</v>
      </c>
      <c r="N43" s="66">
        <f t="shared" si="10"/>
        <v>156780344.77207723</v>
      </c>
      <c r="O43" s="65"/>
      <c r="P43" s="66">
        <f t="shared" si="11"/>
        <v>176530213.33806494</v>
      </c>
      <c r="Q43" s="66"/>
      <c r="R43" s="40">
        <v>2045</v>
      </c>
      <c r="S43" s="74">
        <v>183.39401932191092</v>
      </c>
      <c r="T43" s="74"/>
      <c r="U43" s="74">
        <f t="shared" si="12"/>
        <v>9.3686323722099392</v>
      </c>
      <c r="Z43" s="40">
        <v>29</v>
      </c>
      <c r="AA43" s="99">
        <v>3.8534259761746459E-2</v>
      </c>
      <c r="AB43" s="99">
        <v>5.5926325452515004E-2</v>
      </c>
      <c r="AC43" s="45"/>
      <c r="AD43" s="45"/>
    </row>
    <row r="44" spans="1:30">
      <c r="A44" s="40">
        <v>2049</v>
      </c>
      <c r="B44" s="64">
        <f t="shared" si="4"/>
        <v>2130585.6000000001</v>
      </c>
      <c r="C44" s="64">
        <v>0</v>
      </c>
      <c r="D44" s="64"/>
      <c r="E44" s="64">
        <f t="shared" si="5"/>
        <v>10070486.353150725</v>
      </c>
      <c r="F44" s="64">
        <f t="shared" si="6"/>
        <v>16906.602979209179</v>
      </c>
      <c r="G44" s="66">
        <f t="shared" si="7"/>
        <v>8707283.3535232339</v>
      </c>
      <c r="H44" s="66">
        <f t="shared" si="1"/>
        <v>376912.17452396016</v>
      </c>
      <c r="I44" s="66">
        <f t="shared" si="2"/>
        <v>19171588.484177131</v>
      </c>
      <c r="J44" s="66"/>
      <c r="K44" s="64">
        <f t="shared" si="8"/>
        <v>13061220.149381602</v>
      </c>
      <c r="L44" s="64">
        <f t="shared" si="3"/>
        <v>142895847.9080579</v>
      </c>
      <c r="M44" s="66">
        <f t="shared" si="9"/>
        <v>6750913.6050023828</v>
      </c>
      <c r="N44" s="66">
        <f t="shared" si="10"/>
        <v>162707981.66244188</v>
      </c>
      <c r="O44" s="65"/>
      <c r="P44" s="66">
        <f t="shared" si="11"/>
        <v>181879570.14661902</v>
      </c>
      <c r="Q44" s="66"/>
      <c r="R44" s="40">
        <v>2046</v>
      </c>
      <c r="S44" s="74">
        <v>187.33782478388895</v>
      </c>
      <c r="T44" s="74"/>
      <c r="U44" s="74">
        <f t="shared" si="12"/>
        <v>9.7370518784091331</v>
      </c>
      <c r="Z44" s="40">
        <v>30</v>
      </c>
      <c r="AA44" s="99">
        <v>3.580044562879086E-2</v>
      </c>
      <c r="AB44" s="99">
        <v>5.4286036972741654E-2</v>
      </c>
      <c r="AC44" s="45"/>
      <c r="AD44" s="45"/>
    </row>
    <row r="45" spans="1:30">
      <c r="B45" s="66"/>
      <c r="C45" s="66"/>
      <c r="G45" s="66"/>
      <c r="H45" s="66"/>
      <c r="I45" s="66"/>
      <c r="K45" s="64"/>
      <c r="L45" s="64"/>
      <c r="M45" s="66"/>
      <c r="N45" s="66"/>
      <c r="O45" s="65"/>
      <c r="P45" s="66"/>
      <c r="R45" s="40">
        <v>2047</v>
      </c>
      <c r="S45" s="74">
        <v>191.36643999909359</v>
      </c>
      <c r="T45" s="74"/>
      <c r="U45" s="74">
        <f t="shared" si="12"/>
        <v>10.119959404540744</v>
      </c>
      <c r="Z45" s="40">
        <v>31</v>
      </c>
      <c r="AA45" s="99">
        <v>0</v>
      </c>
      <c r="AB45" s="99">
        <v>5.2645748492968304E-2</v>
      </c>
      <c r="AC45" s="45"/>
      <c r="AD45" s="45"/>
    </row>
    <row r="46" spans="1:30">
      <c r="B46" s="66"/>
      <c r="C46" s="66"/>
      <c r="G46" s="66"/>
      <c r="H46" s="66"/>
      <c r="I46" s="66"/>
      <c r="K46" s="64"/>
      <c r="L46" s="64"/>
      <c r="M46" s="66"/>
      <c r="N46" s="66"/>
      <c r="O46" s="65"/>
      <c r="P46" s="66"/>
      <c r="R46" s="40">
        <v>2048</v>
      </c>
      <c r="S46" s="74">
        <v>195.48168876292036</v>
      </c>
      <c r="T46" s="74"/>
      <c r="U46" s="74">
        <f t="shared" si="12"/>
        <v>10.51792468895475</v>
      </c>
      <c r="Z46" s="40">
        <v>32</v>
      </c>
      <c r="AA46" s="100">
        <v>-8.1217567464765797E-17</v>
      </c>
      <c r="AB46" s="99">
        <v>5.1005460013194934E-2</v>
      </c>
      <c r="AC46" s="45"/>
      <c r="AD46" s="45"/>
    </row>
    <row r="47" spans="1:30">
      <c r="B47" s="66"/>
      <c r="C47" s="66"/>
      <c r="G47" s="66"/>
      <c r="H47" s="66"/>
      <c r="I47" s="66"/>
      <c r="K47" s="64"/>
      <c r="L47" s="64"/>
      <c r="M47" s="66"/>
      <c r="N47" s="66"/>
      <c r="O47" s="65"/>
      <c r="P47" s="66"/>
      <c r="R47" s="40">
        <v>2049</v>
      </c>
      <c r="S47" s="74">
        <v>199.6854340906601</v>
      </c>
      <c r="T47" s="74"/>
      <c r="U47" s="74">
        <f t="shared" si="12"/>
        <v>10.931539874842437</v>
      </c>
      <c r="Z47" s="40">
        <v>33</v>
      </c>
      <c r="AA47" s="100">
        <v>-8.1217567464765797E-17</v>
      </c>
      <c r="AB47" s="99">
        <v>4.9365171533421584E-2</v>
      </c>
      <c r="AC47" s="45"/>
      <c r="AD47" s="45"/>
    </row>
    <row r="48" spans="1:30">
      <c r="Z48" s="40">
        <v>34</v>
      </c>
      <c r="AA48" s="100">
        <v>-8.1217567464765797E-17</v>
      </c>
      <c r="AB48" s="99">
        <v>4.7724883053648227E-2</v>
      </c>
      <c r="AC48" s="45"/>
      <c r="AD48" s="45"/>
    </row>
    <row r="49" spans="26:30">
      <c r="Z49" s="40">
        <v>35</v>
      </c>
      <c r="AA49" s="100">
        <v>-8.1217567464765797E-17</v>
      </c>
      <c r="AB49" s="99">
        <v>4.6084594573874871E-2</v>
      </c>
      <c r="AC49" s="45"/>
      <c r="AD49" s="45"/>
    </row>
    <row r="50" spans="26:30">
      <c r="Z50" s="40">
        <v>36</v>
      </c>
      <c r="AA50" s="100">
        <v>-8.1217567464765797E-17</v>
      </c>
      <c r="AB50" s="99">
        <v>4.4444306094101521E-2</v>
      </c>
      <c r="AC50" s="45"/>
      <c r="AD50" s="45"/>
    </row>
    <row r="51" spans="26:30">
      <c r="Z51" s="40">
        <v>37</v>
      </c>
      <c r="AA51" s="100">
        <v>-8.1217567464765797E-17</v>
      </c>
      <c r="AB51" s="99">
        <v>4.2804017614328164E-2</v>
      </c>
      <c r="AC51" s="45"/>
      <c r="AD51" s="45"/>
    </row>
    <row r="52" spans="26:30">
      <c r="Z52" s="40">
        <v>38</v>
      </c>
      <c r="AA52" s="100">
        <v>-8.1217567464765797E-17</v>
      </c>
      <c r="AB52" s="99">
        <v>4.1163729134554808E-2</v>
      </c>
      <c r="AC52" s="45"/>
      <c r="AD52" s="45"/>
    </row>
    <row r="53" spans="26:30">
      <c r="Z53" s="40">
        <v>39</v>
      </c>
      <c r="AA53" s="100">
        <v>-8.1217567464765797E-17</v>
      </c>
      <c r="AB53" s="99">
        <v>3.9523440654781451E-2</v>
      </c>
      <c r="AC53" s="45"/>
      <c r="AD53" s="45"/>
    </row>
    <row r="54" spans="26:30">
      <c r="Z54" s="40">
        <v>40</v>
      </c>
      <c r="AA54" s="100">
        <v>-8.1217567464765797E-17</v>
      </c>
      <c r="AB54" s="99">
        <v>3.7883152175008102E-2</v>
      </c>
      <c r="AC54" s="45"/>
      <c r="AD54" s="45"/>
    </row>
    <row r="55" spans="26:30">
      <c r="Z55" s="40">
        <v>41</v>
      </c>
      <c r="AA55" s="100">
        <v>-8.1217567464765797E-17</v>
      </c>
      <c r="AB55" s="99">
        <v>3.6242863695234745E-2</v>
      </c>
      <c r="AC55" s="45"/>
      <c r="AD55" s="45"/>
    </row>
    <row r="56" spans="26:30">
      <c r="Z56" s="40">
        <v>42</v>
      </c>
      <c r="AA56" s="100">
        <v>-8.1217567464765797E-17</v>
      </c>
      <c r="AB56" s="99">
        <v>3.4602575215461388E-2</v>
      </c>
      <c r="AC56" s="45"/>
      <c r="AD56" s="45"/>
    </row>
    <row r="57" spans="26:30">
      <c r="Z57" s="40">
        <v>43</v>
      </c>
      <c r="AA57" s="100">
        <v>-8.1217567464765797E-17</v>
      </c>
      <c r="AB57" s="99">
        <v>3.2962286735688032E-2</v>
      </c>
      <c r="AC57" s="45"/>
      <c r="AD57" s="45"/>
    </row>
    <row r="58" spans="26:30">
      <c r="Z58" s="40">
        <v>44</v>
      </c>
      <c r="AA58" s="100">
        <v>-8.1217567464765797E-17</v>
      </c>
      <c r="AB58" s="99">
        <v>3.1321998255914675E-2</v>
      </c>
      <c r="AC58" s="45"/>
      <c r="AD58" s="45"/>
    </row>
    <row r="59" spans="26:30">
      <c r="Z59" s="40">
        <v>45</v>
      </c>
      <c r="AA59" s="100">
        <v>-8.1217567464765797E-17</v>
      </c>
      <c r="AB59" s="99">
        <v>2.9681709776141322E-2</v>
      </c>
      <c r="AC59" s="45"/>
      <c r="AD59" s="45"/>
    </row>
    <row r="60" spans="26:30">
      <c r="Z60" s="40">
        <v>46</v>
      </c>
      <c r="AA60" s="100">
        <v>-8.1217567464765797E-17</v>
      </c>
      <c r="AB60" s="99">
        <v>2.8041421296367969E-2</v>
      </c>
      <c r="AC60" s="45"/>
      <c r="AD60" s="45"/>
    </row>
    <row r="61" spans="26:30">
      <c r="Z61" s="40">
        <v>47</v>
      </c>
      <c r="AA61" s="100">
        <v>-8.1217567464765797E-17</v>
      </c>
      <c r="AB61" s="99">
        <v>2.6401132816594609E-2</v>
      </c>
      <c r="AC61" s="45"/>
      <c r="AD61" s="45"/>
    </row>
    <row r="62" spans="26:30">
      <c r="Z62" s="40">
        <v>48</v>
      </c>
      <c r="AA62" s="100">
        <v>-8.1217567464765797E-17</v>
      </c>
      <c r="AB62" s="99">
        <v>2.4760844336821256E-2</v>
      </c>
      <c r="AC62" s="45"/>
      <c r="AD62" s="45"/>
    </row>
    <row r="63" spans="26:30">
      <c r="Z63" s="40">
        <v>49</v>
      </c>
      <c r="AA63" s="100">
        <v>-8.1217567464765797E-17</v>
      </c>
      <c r="AB63" s="99">
        <v>2.3120555857047895E-2</v>
      </c>
      <c r="AC63" s="45"/>
      <c r="AD63" s="45"/>
    </row>
    <row r="64" spans="26:30">
      <c r="Z64" s="40">
        <v>50</v>
      </c>
      <c r="AA64" s="100">
        <v>-8.1217567464765797E-17</v>
      </c>
      <c r="AB64" s="99">
        <v>2.1480267377274542E-2</v>
      </c>
      <c r="AC64" s="45"/>
      <c r="AD64" s="45"/>
    </row>
    <row r="65" spans="26:30">
      <c r="Z65" s="40">
        <v>51</v>
      </c>
      <c r="AA65" s="101">
        <v>0</v>
      </c>
      <c r="AB65" s="99">
        <v>0</v>
      </c>
      <c r="AC65" s="45"/>
      <c r="AD65" s="45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AE65"/>
  <sheetViews>
    <sheetView zoomScaleNormal="100" workbookViewId="0">
      <pane xSplit="1" ySplit="11" topLeftCell="B12" activePane="bottomRight" state="frozen"/>
      <selection activeCell="H40" sqref="H40"/>
      <selection pane="topRight" activeCell="H40" sqref="H40"/>
      <selection pane="bottomLeft" activeCell="H40" sqref="H40"/>
      <selection pane="bottomRight" activeCell="J9" sqref="J9"/>
    </sheetView>
  </sheetViews>
  <sheetFormatPr defaultRowHeight="12.75"/>
  <cols>
    <col min="1" max="1" width="8.5" style="40" customWidth="1"/>
    <col min="2" max="2" width="9.375" style="40" customWidth="1"/>
    <col min="3" max="3" width="8.75" style="40" customWidth="1"/>
    <col min="4" max="4" width="4.125" style="40" customWidth="1"/>
    <col min="5" max="5" width="13.5" style="40" bestFit="1" customWidth="1"/>
    <col min="6" max="6" width="10.875" style="40" bestFit="1" customWidth="1"/>
    <col min="7" max="7" width="10.625" style="40" bestFit="1" customWidth="1"/>
    <col min="8" max="8" width="12.75" style="40" bestFit="1" customWidth="1"/>
    <col min="9" max="9" width="12.75" style="40" customWidth="1"/>
    <col min="10" max="10" width="13.75" style="40" bestFit="1" customWidth="1"/>
    <col min="11" max="11" width="11.125" style="40" bestFit="1" customWidth="1"/>
    <col min="12" max="12" width="11.875" style="40" bestFit="1" customWidth="1"/>
    <col min="13" max="13" width="12.5" style="40" bestFit="1" customWidth="1"/>
    <col min="14" max="14" width="11.125" style="40" bestFit="1" customWidth="1"/>
    <col min="15" max="17" width="12.5" style="40" bestFit="1" customWidth="1"/>
    <col min="18" max="18" width="12.125" style="40" customWidth="1"/>
    <col min="19" max="21" width="9" style="40"/>
    <col min="22" max="22" width="11.875" style="40" bestFit="1" customWidth="1"/>
    <col min="23" max="23" width="9" style="40"/>
    <col min="24" max="24" width="33.125" style="40" bestFit="1" customWidth="1"/>
    <col min="25" max="16384" width="9" style="40"/>
  </cols>
  <sheetData>
    <row r="1" spans="1:31" ht="23.25">
      <c r="A1" s="28" t="s">
        <v>134</v>
      </c>
    </row>
    <row r="5" spans="1:31">
      <c r="J5" s="40">
        <v>2012</v>
      </c>
      <c r="K5" s="40">
        <v>2016</v>
      </c>
      <c r="O5" s="40">
        <v>2012</v>
      </c>
      <c r="P5" s="40">
        <v>2016</v>
      </c>
    </row>
    <row r="6" spans="1:31">
      <c r="H6" s="41" t="s">
        <v>90</v>
      </c>
      <c r="I6" s="41"/>
      <c r="J6" s="42">
        <f>NPV($Y$27,J15:J44)</f>
        <v>675152299.93215251</v>
      </c>
      <c r="K6" s="91">
        <f>J13</f>
        <v>685966730.34424961</v>
      </c>
      <c r="M6" s="41" t="s">
        <v>90</v>
      </c>
      <c r="N6" s="41"/>
      <c r="O6" s="42">
        <f>NPV($Y$27,O15:O44)</f>
        <v>1479877379.209826</v>
      </c>
      <c r="P6" s="91">
        <f>O13</f>
        <v>1615469229.7606771</v>
      </c>
      <c r="Q6" s="42">
        <f>NPV($Y$27,Q15:Q44)</f>
        <v>2155029679.1419778</v>
      </c>
    </row>
    <row r="7" spans="1:31">
      <c r="H7" s="57" t="s">
        <v>91</v>
      </c>
      <c r="I7" s="57"/>
      <c r="J7" s="42">
        <f>-PMT($Y$27,30,J6)</f>
        <v>55749387.70220603</v>
      </c>
      <c r="K7" s="42">
        <f>-PMT($Y$27,30,K6)</f>
        <v>56642368.254717089</v>
      </c>
      <c r="M7" s="57" t="s">
        <v>91</v>
      </c>
      <c r="N7" s="57"/>
      <c r="O7" s="42">
        <f>-PMT($Y$27,30,O6)</f>
        <v>122197995.5834913</v>
      </c>
      <c r="P7" s="42">
        <f>-PMT($Y$27,30,P6)</f>
        <v>133394228.85764085</v>
      </c>
      <c r="Q7" s="42">
        <f>-PMT($Y$27,30,Q6)</f>
        <v>177947383.28569725</v>
      </c>
    </row>
    <row r="8" spans="1:31">
      <c r="H8" s="57" t="s">
        <v>124</v>
      </c>
      <c r="I8" s="57"/>
      <c r="J8" s="48">
        <f>J7/SUM($Y$15:$Y$16)/1000</f>
        <v>202.7250461898401</v>
      </c>
      <c r="K8" s="48">
        <f>K7/SUM($Y$15:$Y$16)/1000</f>
        <v>205.97224819897124</v>
      </c>
      <c r="M8" s="57" t="s">
        <v>15</v>
      </c>
      <c r="N8" s="57"/>
      <c r="O8" s="65">
        <f>O7/($B$15+$C$15)</f>
        <v>57.257693640773439</v>
      </c>
      <c r="P8" s="65">
        <f>P7/($B$15+$C$15)</f>
        <v>62.503855753996319</v>
      </c>
      <c r="Q8" s="65">
        <f>Q7/(B15+C15)</f>
        <v>83.37990085433313</v>
      </c>
    </row>
    <row r="10" spans="1:31">
      <c r="AB10" s="102" t="s">
        <v>210</v>
      </c>
    </row>
    <row r="11" spans="1:31" s="45" customFormat="1" ht="38.25">
      <c r="A11" s="45" t="s">
        <v>35</v>
      </c>
      <c r="B11" s="45" t="s">
        <v>119</v>
      </c>
      <c r="C11" s="45" t="s">
        <v>120</v>
      </c>
      <c r="E11" s="45" t="s">
        <v>101</v>
      </c>
      <c r="F11" s="45" t="s">
        <v>100</v>
      </c>
      <c r="G11" s="45" t="s">
        <v>98</v>
      </c>
      <c r="H11" s="45" t="s">
        <v>102</v>
      </c>
      <c r="I11" s="41" t="s">
        <v>85</v>
      </c>
      <c r="J11" s="45" t="s">
        <v>113</v>
      </c>
      <c r="L11" s="45" t="s">
        <v>99</v>
      </c>
      <c r="M11" s="45" t="s">
        <v>114</v>
      </c>
      <c r="N11" s="41" t="s">
        <v>85</v>
      </c>
      <c r="O11" s="45" t="s">
        <v>122</v>
      </c>
      <c r="Q11" s="45" t="s">
        <v>34</v>
      </c>
      <c r="T11" s="45" t="s">
        <v>123</v>
      </c>
      <c r="U11" s="45" t="s">
        <v>121</v>
      </c>
      <c r="V11" s="45" t="s">
        <v>106</v>
      </c>
      <c r="AA11" s="45" t="s">
        <v>110</v>
      </c>
      <c r="AB11" s="45" t="s">
        <v>111</v>
      </c>
      <c r="AC11" s="45" t="s">
        <v>112</v>
      </c>
    </row>
    <row r="12" spans="1:31" s="45" customFormat="1">
      <c r="A12" s="45" t="s">
        <v>90</v>
      </c>
      <c r="E12" s="71">
        <f>NPV($Y$27,E$15:E$44)</f>
        <v>448763595.25881314</v>
      </c>
      <c r="F12" s="71">
        <f t="shared" ref="F12:Q13" si="0">NPV($Y$27,F$15:F$44)</f>
        <v>23744046.038260564</v>
      </c>
      <c r="G12" s="71">
        <f t="shared" si="0"/>
        <v>68049638.936834082</v>
      </c>
      <c r="H12" s="71">
        <f t="shared" si="0"/>
        <v>126187094.22966646</v>
      </c>
      <c r="I12" s="71">
        <f t="shared" si="0"/>
        <v>8407925.468578307</v>
      </c>
      <c r="J12" s="71">
        <f t="shared" si="0"/>
        <v>675152299.93215251</v>
      </c>
      <c r="L12" s="71">
        <f t="shared" si="0"/>
        <v>69539785.703587234</v>
      </c>
      <c r="M12" s="71">
        <f t="shared" si="0"/>
        <v>1348936030.8357022</v>
      </c>
      <c r="N12" s="71">
        <f t="shared" si="0"/>
        <v>61401562.670536228</v>
      </c>
      <c r="O12" s="71">
        <f t="shared" si="0"/>
        <v>1479877379.209826</v>
      </c>
      <c r="Q12" s="71">
        <f t="shared" si="0"/>
        <v>2155029679.1419778</v>
      </c>
    </row>
    <row r="13" spans="1:31" s="45" customFormat="1">
      <c r="A13" s="45" t="s">
        <v>205</v>
      </c>
      <c r="E13" s="71">
        <f>NPV($Y$27,E$15:E$44)</f>
        <v>448763595.25881314</v>
      </c>
      <c r="F13" s="71">
        <f t="shared" si="0"/>
        <v>23744046.038260564</v>
      </c>
      <c r="G13" s="71">
        <f>NPV($Y$27,G$18:G$47)</f>
        <v>72406732.502518371</v>
      </c>
      <c r="H13" s="71">
        <f t="shared" ref="H13:I13" si="1">NPV($Y$27,H$18:H$47)</f>
        <v>132195729.76067084</v>
      </c>
      <c r="I13" s="71">
        <f t="shared" si="1"/>
        <v>8856626.7839866709</v>
      </c>
      <c r="J13" s="71">
        <f>E13+F13+G13+H13+I13</f>
        <v>685966730.34424961</v>
      </c>
      <c r="L13" s="71">
        <f t="shared" ref="L13:Q13" si="2">NPV($Y$27,L$18:L$47)</f>
        <v>73992290.633545935</v>
      </c>
      <c r="M13" s="71">
        <f t="shared" si="2"/>
        <v>1474449537.7038891</v>
      </c>
      <c r="N13" s="71">
        <f t="shared" si="2"/>
        <v>67027401.423242539</v>
      </c>
      <c r="O13" s="71">
        <f t="shared" si="2"/>
        <v>1615469229.7606771</v>
      </c>
      <c r="Q13" s="71">
        <f t="shared" si="2"/>
        <v>2251261538.3480678</v>
      </c>
    </row>
    <row r="14" spans="1:31" s="45" customFormat="1">
      <c r="I14" s="41"/>
      <c r="N14" s="41"/>
    </row>
    <row r="15" spans="1:31">
      <c r="A15" s="40">
        <v>2013</v>
      </c>
      <c r="B15" s="64">
        <f>($Y$15)*(8760-($Y$26*24))*(1-$Y$25)</f>
        <v>1940160</v>
      </c>
      <c r="C15" s="64">
        <f>($Y$16)*(8760-($Y$26*24))*(1-$Y$25)</f>
        <v>194016</v>
      </c>
      <c r="D15" s="64"/>
      <c r="E15" s="64">
        <f>($Y$16+$Y$15)*1000*$Y$17*$T$15*AB15/100</f>
        <v>44720741.429167897</v>
      </c>
      <c r="F15" s="64">
        <f>$Y$18*$T$15/100*AC15*1000</f>
        <v>2284108.048642688</v>
      </c>
      <c r="G15" s="66">
        <f>($Y$15+$Y$16)*T15*$Y$19*1000/100</f>
        <v>4526916.2304436537</v>
      </c>
      <c r="H15" s="66">
        <f t="shared" ref="H15:H44" si="3">(($Y$15*$Y$23/1000*24)+($Y$16*$Y$24/1000*24))*$Y$21*365*U15/100</f>
        <v>9068571</v>
      </c>
      <c r="I15" s="66">
        <f>SUM(G15:H15)*SUM($Y$28:$Y$30)</f>
        <v>588507.85574421426</v>
      </c>
      <c r="J15" s="66">
        <f>SUM(E15:I15)</f>
        <v>61188844.563998453</v>
      </c>
      <c r="K15" s="66"/>
      <c r="L15" s="64">
        <f>$Y$20*T15*(C15+B15)/100</f>
        <v>4626046.3608829882</v>
      </c>
      <c r="M15" s="64">
        <f t="shared" ref="M15:M44" si="4">((B15*$Y$23/1000*(1+($Y$22/100)))+(C15*$Y$24/1000*(1+($Y$22/100))))*V15</f>
        <v>80735022.953311041</v>
      </c>
      <c r="N15" s="66">
        <f>SUM(L15:M15)*SUM($Y$28:$Y$30)</f>
        <v>3695024.6074035158</v>
      </c>
      <c r="O15" s="66">
        <f>SUM(L15:N15)</f>
        <v>89056093.92159754</v>
      </c>
      <c r="P15" s="65"/>
      <c r="Q15" s="66">
        <f>J15+O15</f>
        <v>150244938.485596</v>
      </c>
      <c r="R15" s="66"/>
      <c r="T15" s="75">
        <v>102.24542587111584</v>
      </c>
      <c r="U15" s="75">
        <v>125</v>
      </c>
      <c r="V15" s="74">
        <v>5.2451703849999998</v>
      </c>
      <c r="X15" s="40" t="s">
        <v>117</v>
      </c>
      <c r="Y15" s="40">
        <v>250</v>
      </c>
      <c r="AA15" s="40">
        <v>1</v>
      </c>
      <c r="AB15" s="99">
        <v>0.12612678886863021</v>
      </c>
      <c r="AC15" s="99">
        <v>0.11946237633105068</v>
      </c>
      <c r="AD15" s="45"/>
      <c r="AE15" s="45"/>
    </row>
    <row r="16" spans="1:31">
      <c r="A16" s="40">
        <v>2014</v>
      </c>
      <c r="B16" s="64">
        <f t="shared" ref="B16:B44" si="5">($Y$15)*(8760-($Y$26*24))*(1-$Y$25)</f>
        <v>1940160</v>
      </c>
      <c r="C16" s="64">
        <f t="shared" ref="C16:C44" si="6">($Y$16)*(8760-($Y$26*24))*(1-$Y$25)</f>
        <v>194016</v>
      </c>
      <c r="D16" s="64"/>
      <c r="E16" s="64">
        <f t="shared" ref="E16:E44" si="7">($Y$16+$Y$15)*1000*$Y$17*$T$15*AB16/100</f>
        <v>49699686.552306347</v>
      </c>
      <c r="F16" s="64">
        <f>$Y$18*$T$15/100*AC16*1000</f>
        <v>2436510.1305318065</v>
      </c>
      <c r="G16" s="66">
        <f t="shared" ref="G16:G44" si="8">($Y$15+$Y$16)*T16*$Y$19*1000/100</f>
        <v>4633357.5633459892</v>
      </c>
      <c r="H16" s="66">
        <f t="shared" si="3"/>
        <v>9068571</v>
      </c>
      <c r="I16" s="66">
        <f t="shared" ref="I16:I44" si="9">SUM(G16:H16)*SUM($Y$28:$Y$30)</f>
        <v>593115.3817215577</v>
      </c>
      <c r="J16" s="66">
        <f t="shared" ref="J16:J44" si="10">SUM(E16:I16)</f>
        <v>66431240.627905704</v>
      </c>
      <c r="K16" s="66"/>
      <c r="L16" s="64">
        <f t="shared" ref="L16:L44" si="11">$Y$20*T16*(C16+B16)/100</f>
        <v>4734818.5394819546</v>
      </c>
      <c r="M16" s="64">
        <f t="shared" si="4"/>
        <v>86743100.526961923</v>
      </c>
      <c r="N16" s="66">
        <f t="shared" ref="N16:N44" si="12">SUM(L16:M16)*SUM($Y$28:$Y$30)</f>
        <v>3959804.6826291555</v>
      </c>
      <c r="O16" s="66">
        <f t="shared" ref="O16:O44" si="13">SUM(L16:N16)</f>
        <v>95437723.749073029</v>
      </c>
      <c r="P16" s="65"/>
      <c r="Q16" s="66">
        <f t="shared" ref="Q16:Q44" si="14">J16+O16</f>
        <v>161868964.37697873</v>
      </c>
      <c r="R16" s="66"/>
      <c r="T16" s="75">
        <v>104.64952147591164</v>
      </c>
      <c r="U16" s="75">
        <v>125</v>
      </c>
      <c r="V16" s="74">
        <v>5.6355014880000001</v>
      </c>
      <c r="X16" s="40" t="s">
        <v>118</v>
      </c>
      <c r="Y16" s="40">
        <v>25</v>
      </c>
      <c r="AA16" s="40">
        <v>2</v>
      </c>
      <c r="AB16" s="99">
        <v>0.14016900597563453</v>
      </c>
      <c r="AC16" s="99">
        <v>0.12743324043754181</v>
      </c>
      <c r="AD16" s="45"/>
      <c r="AE16" s="45"/>
    </row>
    <row r="17" spans="1:31">
      <c r="A17" s="40">
        <v>2015</v>
      </c>
      <c r="B17" s="64">
        <f t="shared" si="5"/>
        <v>1940160</v>
      </c>
      <c r="C17" s="64">
        <f t="shared" si="6"/>
        <v>194016</v>
      </c>
      <c r="D17" s="64"/>
      <c r="E17" s="64">
        <f t="shared" si="7"/>
        <v>48133129.142246626</v>
      </c>
      <c r="F17" s="64">
        <f t="shared" ref="F17:F44" si="15">$Y$18*$T$15/100*AC17*1000</f>
        <v>2374713.2223222167</v>
      </c>
      <c r="G17" s="66">
        <f t="shared" si="8"/>
        <v>4737744.0240507331</v>
      </c>
      <c r="H17" s="66">
        <f t="shared" si="3"/>
        <v>9068571</v>
      </c>
      <c r="I17" s="66">
        <f t="shared" si="9"/>
        <v>597633.95844608394</v>
      </c>
      <c r="J17" s="66">
        <f t="shared" si="10"/>
        <v>64911791.347065665</v>
      </c>
      <c r="K17" s="66"/>
      <c r="L17" s="64">
        <f t="shared" si="11"/>
        <v>4841490.8484195806</v>
      </c>
      <c r="M17" s="64">
        <f t="shared" si="4"/>
        <v>94185302.642035365</v>
      </c>
      <c r="N17" s="66">
        <f t="shared" si="12"/>
        <v>4286572.8098213226</v>
      </c>
      <c r="O17" s="66">
        <f t="shared" si="13"/>
        <v>103313366.30027626</v>
      </c>
      <c r="P17" s="65"/>
      <c r="Q17" s="66">
        <f t="shared" si="14"/>
        <v>168225157.64734194</v>
      </c>
      <c r="R17" s="66"/>
      <c r="T17" s="75">
        <v>107.00720551215657</v>
      </c>
      <c r="U17" s="75">
        <v>125</v>
      </c>
      <c r="V17" s="74">
        <v>6.119004393</v>
      </c>
      <c r="X17" s="40" t="s">
        <v>125</v>
      </c>
      <c r="Y17" s="60">
        <f>1113*1.133</f>
        <v>1261.029</v>
      </c>
      <c r="AA17" s="40">
        <v>3</v>
      </c>
      <c r="AB17" s="99">
        <v>0.13575081322223084</v>
      </c>
      <c r="AC17" s="99">
        <v>0.12420116675827066</v>
      </c>
      <c r="AD17" s="45"/>
      <c r="AE17" s="45"/>
    </row>
    <row r="18" spans="1:31">
      <c r="A18" s="40">
        <v>2016</v>
      </c>
      <c r="B18" s="64">
        <f t="shared" si="5"/>
        <v>1940160</v>
      </c>
      <c r="C18" s="64">
        <f t="shared" si="6"/>
        <v>194016</v>
      </c>
      <c r="D18" s="64"/>
      <c r="E18" s="64">
        <f t="shared" si="7"/>
        <v>46605161.373158753</v>
      </c>
      <c r="F18" s="64">
        <f t="shared" si="15"/>
        <v>2314997.2302423003</v>
      </c>
      <c r="G18" s="66">
        <f t="shared" si="8"/>
        <v>4842592.8014029292</v>
      </c>
      <c r="H18" s="66">
        <f t="shared" si="3"/>
        <v>9068571</v>
      </c>
      <c r="I18" s="66">
        <f t="shared" si="9"/>
        <v>602172.54747132852</v>
      </c>
      <c r="J18" s="66">
        <f t="shared" si="10"/>
        <v>63433494.952275306</v>
      </c>
      <c r="K18" s="66"/>
      <c r="L18" s="64">
        <f t="shared" si="11"/>
        <v>4948635.5977858892</v>
      </c>
      <c r="M18" s="64">
        <f t="shared" si="4"/>
        <v>95691086.508775562</v>
      </c>
      <c r="N18" s="66">
        <f t="shared" si="12"/>
        <v>4356391.6508267252</v>
      </c>
      <c r="O18" s="66">
        <f t="shared" si="13"/>
        <v>104996113.75738817</v>
      </c>
      <c r="P18" s="65"/>
      <c r="Q18" s="66">
        <f t="shared" si="14"/>
        <v>168429608.70966348</v>
      </c>
      <c r="R18" s="66"/>
      <c r="T18" s="75">
        <v>109.37533148284425</v>
      </c>
      <c r="U18" s="75">
        <v>125</v>
      </c>
      <c r="V18" s="74">
        <v>6.2168317379999998</v>
      </c>
      <c r="X18" s="40" t="s">
        <v>126</v>
      </c>
      <c r="Y18" s="60">
        <f>17000*1.1</f>
        <v>18700</v>
      </c>
      <c r="AA18" s="40">
        <v>4</v>
      </c>
      <c r="AB18" s="99">
        <v>0.13144145559418124</v>
      </c>
      <c r="AC18" s="99">
        <v>0.12107792820435363</v>
      </c>
      <c r="AD18" s="45"/>
      <c r="AE18" s="45"/>
    </row>
    <row r="19" spans="1:31">
      <c r="A19" s="40">
        <v>2017</v>
      </c>
      <c r="B19" s="64">
        <f t="shared" si="5"/>
        <v>1940160</v>
      </c>
      <c r="C19" s="64">
        <f t="shared" si="6"/>
        <v>194016</v>
      </c>
      <c r="D19" s="64"/>
      <c r="E19" s="64">
        <f t="shared" si="7"/>
        <v>45112890.905757457</v>
      </c>
      <c r="F19" s="64">
        <f t="shared" si="15"/>
        <v>2257206.1871641017</v>
      </c>
      <c r="G19" s="66">
        <f t="shared" si="8"/>
        <v>4956077.6386158178</v>
      </c>
      <c r="H19" s="66">
        <f t="shared" si="3"/>
        <v>9068571</v>
      </c>
      <c r="I19" s="66">
        <f t="shared" si="9"/>
        <v>607084.96561976278</v>
      </c>
      <c r="J19" s="66">
        <f t="shared" si="10"/>
        <v>62001830.697157137</v>
      </c>
      <c r="K19" s="66"/>
      <c r="L19" s="64">
        <f t="shared" si="11"/>
        <v>5064605.518915317</v>
      </c>
      <c r="M19" s="64">
        <f t="shared" si="4"/>
        <v>93388719.834344804</v>
      </c>
      <c r="N19" s="66">
        <f t="shared" si="12"/>
        <v>4261749.0945665697</v>
      </c>
      <c r="O19" s="66">
        <f t="shared" si="13"/>
        <v>102715074.44782668</v>
      </c>
      <c r="P19" s="65"/>
      <c r="Q19" s="66">
        <f t="shared" si="14"/>
        <v>164716905.14498383</v>
      </c>
      <c r="R19" s="66"/>
      <c r="T19" s="75">
        <v>111.93851244756222</v>
      </c>
      <c r="U19" s="75">
        <v>125</v>
      </c>
      <c r="V19" s="74">
        <v>6.0672522239999997</v>
      </c>
      <c r="X19" s="40" t="s">
        <v>103</v>
      </c>
      <c r="Y19" s="40">
        <v>16.100000000000001</v>
      </c>
      <c r="AA19" s="40">
        <v>5</v>
      </c>
      <c r="AB19" s="99">
        <v>0.12723277576996758</v>
      </c>
      <c r="AC19" s="99">
        <v>0.11805536745427254</v>
      </c>
      <c r="AD19" s="45"/>
      <c r="AE19" s="45"/>
    </row>
    <row r="20" spans="1:31">
      <c r="A20" s="40">
        <v>2018</v>
      </c>
      <c r="B20" s="64">
        <f t="shared" si="5"/>
        <v>1940160</v>
      </c>
      <c r="C20" s="64">
        <f t="shared" si="6"/>
        <v>194016</v>
      </c>
      <c r="D20" s="64"/>
      <c r="E20" s="64">
        <f>($Y$16+$Y$15)*1000*$Y$17*$T$15*AB20/100</f>
        <v>43653685.588927783</v>
      </c>
      <c r="F20" s="64">
        <f t="shared" si="15"/>
        <v>2201198.1564027262</v>
      </c>
      <c r="G20" s="66">
        <f t="shared" si="8"/>
        <v>5072746.9498164793</v>
      </c>
      <c r="H20" s="66">
        <f t="shared" si="3"/>
        <v>9975428.0999999996</v>
      </c>
      <c r="I20" s="66">
        <f t="shared" si="9"/>
        <v>651390.35338140582</v>
      </c>
      <c r="J20" s="66">
        <f t="shared" si="10"/>
        <v>61554449.148528397</v>
      </c>
      <c r="K20" s="66"/>
      <c r="L20" s="64">
        <f t="shared" si="11"/>
        <v>5183829.6474461099</v>
      </c>
      <c r="M20" s="64">
        <f t="shared" si="4"/>
        <v>94077410.87711212</v>
      </c>
      <c r="N20" s="66">
        <f t="shared" si="12"/>
        <v>4296721.3185865516</v>
      </c>
      <c r="O20" s="66">
        <f t="shared" si="13"/>
        <v>103557961.84314479</v>
      </c>
      <c r="P20" s="65"/>
      <c r="Q20" s="66">
        <f t="shared" si="14"/>
        <v>165112410.99167317</v>
      </c>
      <c r="R20" s="66"/>
      <c r="T20" s="75">
        <v>114.5736182906037</v>
      </c>
      <c r="U20" s="75">
        <v>137.5</v>
      </c>
      <c r="V20" s="74">
        <v>6.111994911</v>
      </c>
      <c r="X20" s="40" t="s">
        <v>104</v>
      </c>
      <c r="Y20" s="40">
        <v>2.12</v>
      </c>
      <c r="AA20" s="40">
        <v>6</v>
      </c>
      <c r="AB20" s="99">
        <v>0.12311735024189883</v>
      </c>
      <c r="AC20" s="99">
        <v>0.11512606100033639</v>
      </c>
      <c r="AD20" s="45"/>
      <c r="AE20" s="45"/>
    </row>
    <row r="21" spans="1:31">
      <c r="A21" s="40">
        <v>2019</v>
      </c>
      <c r="B21" s="64">
        <f t="shared" si="5"/>
        <v>1940160</v>
      </c>
      <c r="C21" s="64">
        <f t="shared" si="6"/>
        <v>194016</v>
      </c>
      <c r="D21" s="64"/>
      <c r="E21" s="64">
        <f t="shared" si="7"/>
        <v>42225063.330574483</v>
      </c>
      <c r="F21" s="64">
        <f t="shared" si="15"/>
        <v>2146839.2930882471</v>
      </c>
      <c r="G21" s="66">
        <f t="shared" si="8"/>
        <v>5186328.0530401831</v>
      </c>
      <c r="H21" s="66">
        <f t="shared" si="3"/>
        <v>9975428.0999999996</v>
      </c>
      <c r="I21" s="66">
        <f t="shared" si="9"/>
        <v>656306.93859665026</v>
      </c>
      <c r="J21" s="66">
        <f t="shared" si="10"/>
        <v>60189965.715299569</v>
      </c>
      <c r="K21" s="66"/>
      <c r="L21" s="64">
        <f t="shared" si="11"/>
        <v>5299897.9426134797</v>
      </c>
      <c r="M21" s="64">
        <f t="shared" si="4"/>
        <v>97275315.224449664</v>
      </c>
      <c r="N21" s="66">
        <f t="shared" si="12"/>
        <v>4440173.252362662</v>
      </c>
      <c r="O21" s="66">
        <f t="shared" si="13"/>
        <v>107015386.41942582</v>
      </c>
      <c r="P21" s="65"/>
      <c r="Q21" s="66">
        <f t="shared" si="14"/>
        <v>167205352.13472539</v>
      </c>
      <c r="R21" s="66"/>
      <c r="T21" s="75">
        <v>117.1389735299872</v>
      </c>
      <c r="U21" s="75">
        <v>137.5</v>
      </c>
      <c r="V21" s="74">
        <v>6.3197554660000002</v>
      </c>
      <c r="X21" s="40" t="s">
        <v>105</v>
      </c>
      <c r="Y21" s="40">
        <v>0.42799999999999999</v>
      </c>
      <c r="AA21" s="40">
        <v>7</v>
      </c>
      <c r="AB21" s="99">
        <v>0.11908817871669621</v>
      </c>
      <c r="AC21" s="99">
        <v>0.11228300854926633</v>
      </c>
      <c r="AD21" s="45"/>
      <c r="AE21" s="45"/>
    </row>
    <row r="22" spans="1:31">
      <c r="A22" s="40">
        <v>2020</v>
      </c>
      <c r="B22" s="64">
        <f t="shared" si="5"/>
        <v>1940160</v>
      </c>
      <c r="C22" s="64">
        <f t="shared" si="6"/>
        <v>194016</v>
      </c>
      <c r="D22" s="64"/>
      <c r="E22" s="64">
        <f t="shared" si="7"/>
        <v>40824724.299125597</v>
      </c>
      <c r="F22" s="64">
        <f t="shared" si="15"/>
        <v>2094005.5806065416</v>
      </c>
      <c r="G22" s="66">
        <f t="shared" si="8"/>
        <v>5293055.2292450955</v>
      </c>
      <c r="H22" s="66">
        <f t="shared" si="3"/>
        <v>9975428.0999999996</v>
      </c>
      <c r="I22" s="66">
        <f t="shared" si="9"/>
        <v>660926.83787303232</v>
      </c>
      <c r="J22" s="66">
        <f t="shared" si="10"/>
        <v>58848140.046850272</v>
      </c>
      <c r="K22" s="66"/>
      <c r="L22" s="64">
        <f t="shared" si="11"/>
        <v>5408962.2238939106</v>
      </c>
      <c r="M22" s="64">
        <f t="shared" si="4"/>
        <v>99274897.532635376</v>
      </c>
      <c r="N22" s="66">
        <f t="shared" si="12"/>
        <v>4531450.237280882</v>
      </c>
      <c r="O22" s="66">
        <f t="shared" si="13"/>
        <v>109215309.99381016</v>
      </c>
      <c r="P22" s="65"/>
      <c r="Q22" s="66">
        <f t="shared" si="14"/>
        <v>168063450.04066044</v>
      </c>
      <c r="R22" s="66"/>
      <c r="T22" s="75">
        <v>119.54952522292707</v>
      </c>
      <c r="U22" s="75">
        <v>137.5</v>
      </c>
      <c r="V22" s="74">
        <v>6.4496637699999999</v>
      </c>
      <c r="X22" s="40" t="s">
        <v>107</v>
      </c>
      <c r="Y22" s="40">
        <v>2.5</v>
      </c>
      <c r="AA22" s="40">
        <v>8</v>
      </c>
      <c r="AB22" s="99">
        <v>0.11513877493402862</v>
      </c>
      <c r="AC22" s="99">
        <v>0.10951972384073136</v>
      </c>
      <c r="AD22" s="45"/>
      <c r="AE22" s="45"/>
    </row>
    <row r="23" spans="1:31">
      <c r="A23" s="40">
        <v>2021</v>
      </c>
      <c r="B23" s="64">
        <f t="shared" si="5"/>
        <v>1940160</v>
      </c>
      <c r="C23" s="64">
        <f t="shared" si="6"/>
        <v>194016</v>
      </c>
      <c r="D23" s="64"/>
      <c r="E23" s="64">
        <f t="shared" si="7"/>
        <v>39440566.524679467</v>
      </c>
      <c r="F23" s="64">
        <f t="shared" si="15"/>
        <v>2042044.4297203158</v>
      </c>
      <c r="G23" s="66">
        <f t="shared" si="8"/>
        <v>5395658.5676360782</v>
      </c>
      <c r="H23" s="66">
        <f t="shared" si="3"/>
        <v>9975428.0999999996</v>
      </c>
      <c r="I23" s="66">
        <f t="shared" si="9"/>
        <v>665368.22858196276</v>
      </c>
      <c r="J23" s="66">
        <f t="shared" si="10"/>
        <v>57519065.850617826</v>
      </c>
      <c r="K23" s="66"/>
      <c r="L23" s="64">
        <f t="shared" si="11"/>
        <v>5513812.3638161002</v>
      </c>
      <c r="M23" s="64">
        <f t="shared" si="4"/>
        <v>101450319.99586064</v>
      </c>
      <c r="N23" s="66">
        <f t="shared" si="12"/>
        <v>4630156.3974533258</v>
      </c>
      <c r="O23" s="66">
        <f t="shared" si="13"/>
        <v>111594288.75713006</v>
      </c>
      <c r="P23" s="65"/>
      <c r="Q23" s="66">
        <f t="shared" si="14"/>
        <v>169113354.60774788</v>
      </c>
      <c r="R23" s="66"/>
      <c r="T23" s="75">
        <v>121.86693546326545</v>
      </c>
      <c r="U23" s="75">
        <v>137.5</v>
      </c>
      <c r="V23" s="74">
        <v>6.5909960080000003</v>
      </c>
      <c r="X23" s="40" t="s">
        <v>115</v>
      </c>
      <c r="Y23" s="40">
        <v>6790</v>
      </c>
      <c r="AA23" s="40">
        <v>9</v>
      </c>
      <c r="AB23" s="99">
        <v>0.11123500746955237</v>
      </c>
      <c r="AC23" s="99">
        <v>0.10680207545038768</v>
      </c>
      <c r="AD23" s="45"/>
      <c r="AE23" s="45"/>
    </row>
    <row r="24" spans="1:31">
      <c r="A24" s="40">
        <v>2022</v>
      </c>
      <c r="B24" s="64">
        <f t="shared" si="5"/>
        <v>1940160</v>
      </c>
      <c r="C24" s="64">
        <f t="shared" si="6"/>
        <v>194016</v>
      </c>
      <c r="D24" s="64"/>
      <c r="E24" s="64">
        <f t="shared" si="7"/>
        <v>38058764.612456009</v>
      </c>
      <c r="F24" s="64">
        <f t="shared" si="15"/>
        <v>1990210.3168571189</v>
      </c>
      <c r="G24" s="66">
        <f t="shared" si="8"/>
        <v>5497572.2052718112</v>
      </c>
      <c r="H24" s="66">
        <f t="shared" si="3"/>
        <v>9975428.0999999996</v>
      </c>
      <c r="I24" s="66">
        <f t="shared" si="9"/>
        <v>669779.76421430078</v>
      </c>
      <c r="J24" s="66">
        <f t="shared" si="10"/>
        <v>56191754.998799242</v>
      </c>
      <c r="K24" s="66"/>
      <c r="L24" s="64">
        <f t="shared" si="11"/>
        <v>5617957.6999587417</v>
      </c>
      <c r="M24" s="64">
        <f t="shared" si="4"/>
        <v>105966749.98455204</v>
      </c>
      <c r="N24" s="66">
        <f t="shared" si="12"/>
        <v>4830167.2415394178</v>
      </c>
      <c r="O24" s="66">
        <f t="shared" si="13"/>
        <v>116414874.9260502</v>
      </c>
      <c r="P24" s="65"/>
      <c r="Q24" s="66">
        <f t="shared" si="14"/>
        <v>172606629.92484945</v>
      </c>
      <c r="R24" s="66"/>
      <c r="T24" s="75">
        <v>124.16876804679416</v>
      </c>
      <c r="U24" s="75">
        <v>137.5</v>
      </c>
      <c r="V24" s="74">
        <v>6.8844181679999998</v>
      </c>
      <c r="X24" s="40" t="s">
        <v>116</v>
      </c>
      <c r="Y24" s="40">
        <v>9500</v>
      </c>
      <c r="AA24" s="40">
        <v>10</v>
      </c>
      <c r="AB24" s="99">
        <v>0.10733788428975627</v>
      </c>
      <c r="AC24" s="99">
        <v>0.10409107134472417</v>
      </c>
      <c r="AD24" s="45"/>
      <c r="AE24" s="45"/>
    </row>
    <row r="25" spans="1:31">
      <c r="A25" s="40">
        <v>2023</v>
      </c>
      <c r="B25" s="64">
        <f t="shared" si="5"/>
        <v>1940160</v>
      </c>
      <c r="C25" s="64">
        <f t="shared" si="6"/>
        <v>194016</v>
      </c>
      <c r="D25" s="64"/>
      <c r="E25" s="64">
        <f t="shared" si="7"/>
        <v>36676962.700232543</v>
      </c>
      <c r="F25" s="64">
        <f t="shared" si="15"/>
        <v>1938376.2039939221</v>
      </c>
      <c r="G25" s="66">
        <f t="shared" si="8"/>
        <v>5600778.472269617</v>
      </c>
      <c r="H25" s="66">
        <f t="shared" si="3"/>
        <v>9975428.0999999996</v>
      </c>
      <c r="I25" s="66">
        <f t="shared" si="9"/>
        <v>674247.25389383477</v>
      </c>
      <c r="J25" s="66">
        <f t="shared" si="10"/>
        <v>54865792.730389923</v>
      </c>
      <c r="K25" s="66"/>
      <c r="L25" s="64">
        <f t="shared" si="11"/>
        <v>5723423.9713809378</v>
      </c>
      <c r="M25" s="64">
        <f t="shared" si="4"/>
        <v>112028796.89846781</v>
      </c>
      <c r="N25" s="66">
        <f t="shared" si="12"/>
        <v>5097140.3847931419</v>
      </c>
      <c r="O25" s="66">
        <f t="shared" si="13"/>
        <v>122849361.25464189</v>
      </c>
      <c r="P25" s="65"/>
      <c r="Q25" s="66">
        <f t="shared" si="14"/>
        <v>177715153.98503181</v>
      </c>
      <c r="R25" s="66"/>
      <c r="T25" s="75">
        <v>126.49979609869266</v>
      </c>
      <c r="U25" s="75">
        <v>137.5</v>
      </c>
      <c r="V25" s="74">
        <v>7.2782555359999996</v>
      </c>
      <c r="X25" s="40" t="s">
        <v>108</v>
      </c>
      <c r="Y25" s="62">
        <v>0.06</v>
      </c>
      <c r="AA25" s="40">
        <v>11</v>
      </c>
      <c r="AB25" s="99">
        <v>0.10344076110996017</v>
      </c>
      <c r="AC25" s="99">
        <v>0.10138006723906068</v>
      </c>
      <c r="AD25" s="45"/>
      <c r="AE25" s="45"/>
    </row>
    <row r="26" spans="1:31">
      <c r="A26" s="40">
        <v>2024</v>
      </c>
      <c r="B26" s="64">
        <f t="shared" si="5"/>
        <v>1940160</v>
      </c>
      <c r="C26" s="64">
        <f t="shared" si="6"/>
        <v>194016</v>
      </c>
      <c r="D26" s="64"/>
      <c r="E26" s="64">
        <f t="shared" si="7"/>
        <v>35295160.788009092</v>
      </c>
      <c r="F26" s="64">
        <f t="shared" si="15"/>
        <v>1886542.0911307251</v>
      </c>
      <c r="G26" s="66">
        <f t="shared" si="8"/>
        <v>5708078.4033627845</v>
      </c>
      <c r="H26" s="66">
        <f t="shared" si="3"/>
        <v>10972970.91</v>
      </c>
      <c r="I26" s="66">
        <f t="shared" si="9"/>
        <v>722072.5816275347</v>
      </c>
      <c r="J26" s="66">
        <f t="shared" si="10"/>
        <v>54584824.774130136</v>
      </c>
      <c r="K26" s="66"/>
      <c r="L26" s="64">
        <f t="shared" si="11"/>
        <v>5833073.5497005908</v>
      </c>
      <c r="M26" s="64">
        <f t="shared" si="4"/>
        <v>117857219.65344198</v>
      </c>
      <c r="N26" s="66">
        <f t="shared" si="12"/>
        <v>5354181.7218844313</v>
      </c>
      <c r="O26" s="66">
        <f t="shared" si="13"/>
        <v>129044474.925027</v>
      </c>
      <c r="P26" s="65"/>
      <c r="Q26" s="66">
        <f t="shared" si="14"/>
        <v>183629299.69915712</v>
      </c>
      <c r="R26" s="66"/>
      <c r="T26" s="75">
        <v>128.9232840962797</v>
      </c>
      <c r="U26" s="75">
        <v>151.25</v>
      </c>
      <c r="V26" s="74">
        <v>7.656914875</v>
      </c>
      <c r="X26" s="40" t="s">
        <v>109</v>
      </c>
      <c r="Y26" s="40">
        <v>21</v>
      </c>
      <c r="AA26" s="40">
        <v>12</v>
      </c>
      <c r="AB26" s="99">
        <v>9.9543637930164103E-2</v>
      </c>
      <c r="AC26" s="99">
        <v>9.866906313339717E-2</v>
      </c>
      <c r="AD26" s="45"/>
      <c r="AE26" s="45"/>
    </row>
    <row r="27" spans="1:31">
      <c r="A27" s="40">
        <v>2025</v>
      </c>
      <c r="B27" s="64">
        <f t="shared" si="5"/>
        <v>1940160</v>
      </c>
      <c r="C27" s="64">
        <f t="shared" si="6"/>
        <v>194016</v>
      </c>
      <c r="D27" s="64"/>
      <c r="E27" s="64">
        <f t="shared" si="7"/>
        <v>33913358.875785619</v>
      </c>
      <c r="F27" s="64">
        <f t="shared" si="15"/>
        <v>1834707.9782675281</v>
      </c>
      <c r="G27" s="66">
        <f t="shared" si="8"/>
        <v>5819707.222377453</v>
      </c>
      <c r="H27" s="66">
        <f t="shared" si="3"/>
        <v>10972970.91</v>
      </c>
      <c r="I27" s="66">
        <f t="shared" si="9"/>
        <v>726904.65831622272</v>
      </c>
      <c r="J27" s="66">
        <f t="shared" si="10"/>
        <v>53267649.644746825</v>
      </c>
      <c r="K27" s="66"/>
      <c r="L27" s="64">
        <f t="shared" si="11"/>
        <v>5947146.8096605754</v>
      </c>
      <c r="M27" s="64">
        <f t="shared" si="4"/>
        <v>118670464.72042006</v>
      </c>
      <c r="N27" s="66">
        <f t="shared" si="12"/>
        <v>5394322.5503025996</v>
      </c>
      <c r="O27" s="66">
        <f t="shared" si="13"/>
        <v>130011934.08038323</v>
      </c>
      <c r="P27" s="65"/>
      <c r="Q27" s="66">
        <f t="shared" si="14"/>
        <v>183279583.72513005</v>
      </c>
      <c r="R27" s="66"/>
      <c r="T27" s="75">
        <v>131.44454483065957</v>
      </c>
      <c r="U27" s="75">
        <v>151.25</v>
      </c>
      <c r="V27" s="74">
        <v>7.709749553</v>
      </c>
      <c r="X27" s="69" t="s">
        <v>89</v>
      </c>
      <c r="Y27" s="98">
        <v>7.2442999999999994E-2</v>
      </c>
      <c r="AA27" s="40">
        <v>13</v>
      </c>
      <c r="AB27" s="99">
        <v>9.5646514750367964E-2</v>
      </c>
      <c r="AC27" s="99">
        <v>9.5958059027733661E-2</v>
      </c>
      <c r="AD27" s="45"/>
      <c r="AE27" s="45"/>
    </row>
    <row r="28" spans="1:31">
      <c r="A28" s="40">
        <v>2026</v>
      </c>
      <c r="B28" s="64">
        <f t="shared" si="5"/>
        <v>1940160</v>
      </c>
      <c r="C28" s="64">
        <f t="shared" si="6"/>
        <v>194016</v>
      </c>
      <c r="D28" s="64"/>
      <c r="E28" s="64">
        <f t="shared" si="7"/>
        <v>32531556.963562168</v>
      </c>
      <c r="F28" s="64">
        <f t="shared" si="15"/>
        <v>1782873.8654043311</v>
      </c>
      <c r="G28" s="66">
        <f t="shared" si="8"/>
        <v>5935069.7328183902</v>
      </c>
      <c r="H28" s="66">
        <f t="shared" si="3"/>
        <v>10972970.91</v>
      </c>
      <c r="I28" s="66">
        <f t="shared" si="9"/>
        <v>731898.35530567961</v>
      </c>
      <c r="J28" s="66">
        <f t="shared" si="10"/>
        <v>51954369.827090569</v>
      </c>
      <c r="K28" s="66"/>
      <c r="L28" s="64">
        <f t="shared" si="11"/>
        <v>6065035.5211897762</v>
      </c>
      <c r="M28" s="64">
        <f t="shared" si="4"/>
        <v>112770139.04223163</v>
      </c>
      <c r="N28" s="66">
        <f t="shared" si="12"/>
        <v>5144018.2013268219</v>
      </c>
      <c r="O28" s="66">
        <f t="shared" si="13"/>
        <v>123979192.76474823</v>
      </c>
      <c r="P28" s="65"/>
      <c r="Q28" s="66">
        <f t="shared" si="14"/>
        <v>175933562.59183881</v>
      </c>
      <c r="R28" s="66"/>
      <c r="T28" s="75">
        <v>134.05013512859153</v>
      </c>
      <c r="U28" s="75">
        <v>151.25</v>
      </c>
      <c r="V28" s="74">
        <v>7.3264188450000001</v>
      </c>
      <c r="X28" s="52" t="s">
        <v>82</v>
      </c>
      <c r="Y28" s="51">
        <v>2.66E-3</v>
      </c>
      <c r="AA28" s="40">
        <v>14</v>
      </c>
      <c r="AB28" s="99">
        <v>9.1749391570571895E-2</v>
      </c>
      <c r="AC28" s="99">
        <v>9.3247054922070152E-2</v>
      </c>
      <c r="AD28" s="45"/>
      <c r="AE28" s="45"/>
    </row>
    <row r="29" spans="1:31">
      <c r="A29" s="40">
        <v>2027</v>
      </c>
      <c r="B29" s="64">
        <f t="shared" si="5"/>
        <v>1940160</v>
      </c>
      <c r="C29" s="64">
        <f t="shared" si="6"/>
        <v>194016</v>
      </c>
      <c r="D29" s="64"/>
      <c r="E29" s="64">
        <f t="shared" si="7"/>
        <v>31149755.051338717</v>
      </c>
      <c r="F29" s="64">
        <f t="shared" si="15"/>
        <v>1731039.7525411341</v>
      </c>
      <c r="G29" s="66">
        <f t="shared" si="8"/>
        <v>6055631.4284431199</v>
      </c>
      <c r="H29" s="66">
        <f t="shared" si="3"/>
        <v>10972970.91</v>
      </c>
      <c r="I29" s="66">
        <f t="shared" si="9"/>
        <v>737117.10942418722</v>
      </c>
      <c r="J29" s="66">
        <f t="shared" si="10"/>
        <v>50646514.251747161</v>
      </c>
      <c r="K29" s="66"/>
      <c r="L29" s="64">
        <f t="shared" si="11"/>
        <v>6188237.269336991</v>
      </c>
      <c r="M29" s="64">
        <f t="shared" si="4"/>
        <v>106897980.2597442</v>
      </c>
      <c r="N29" s="66">
        <f t="shared" si="12"/>
        <v>4895163.0981813371</v>
      </c>
      <c r="O29" s="66">
        <f t="shared" si="13"/>
        <v>117981380.62726253</v>
      </c>
      <c r="P29" s="65"/>
      <c r="Q29" s="66">
        <f t="shared" si="14"/>
        <v>168627894.87900969</v>
      </c>
      <c r="R29" s="66"/>
      <c r="T29" s="75">
        <v>136.77315479261705</v>
      </c>
      <c r="U29" s="75">
        <v>151.25</v>
      </c>
      <c r="V29" s="74">
        <v>6.9449180760000004</v>
      </c>
      <c r="X29" s="52" t="s">
        <v>83</v>
      </c>
      <c r="Y29" s="51">
        <v>2E-3</v>
      </c>
      <c r="AA29" s="40">
        <v>15</v>
      </c>
      <c r="AB29" s="99">
        <v>8.7852268390775812E-2</v>
      </c>
      <c r="AC29" s="99">
        <v>9.0536050816406644E-2</v>
      </c>
      <c r="AD29" s="45"/>
      <c r="AE29" s="45"/>
    </row>
    <row r="30" spans="1:31">
      <c r="A30" s="40">
        <v>2028</v>
      </c>
      <c r="B30" s="64">
        <f t="shared" si="5"/>
        <v>1940160</v>
      </c>
      <c r="C30" s="64">
        <f t="shared" si="6"/>
        <v>194016</v>
      </c>
      <c r="D30" s="64"/>
      <c r="E30" s="64">
        <f t="shared" si="7"/>
        <v>29767953.139115259</v>
      </c>
      <c r="F30" s="64">
        <f t="shared" si="15"/>
        <v>1679205.6396779374</v>
      </c>
      <c r="G30" s="66">
        <f t="shared" si="8"/>
        <v>6179818.5733720157</v>
      </c>
      <c r="H30" s="66">
        <f t="shared" si="3"/>
        <v>10972970.91</v>
      </c>
      <c r="I30" s="66">
        <f t="shared" si="9"/>
        <v>742492.7983667244</v>
      </c>
      <c r="J30" s="66">
        <f t="shared" si="10"/>
        <v>49342441.060531944</v>
      </c>
      <c r="K30" s="66"/>
      <c r="L30" s="64">
        <f t="shared" si="11"/>
        <v>6315143.8566520521</v>
      </c>
      <c r="M30" s="64">
        <f t="shared" si="4"/>
        <v>114152856.37731333</v>
      </c>
      <c r="N30" s="66">
        <f t="shared" si="12"/>
        <v>5214698.3261276586</v>
      </c>
      <c r="O30" s="66">
        <f t="shared" si="13"/>
        <v>125682698.56009305</v>
      </c>
      <c r="P30" s="65"/>
      <c r="Q30" s="66">
        <f t="shared" si="14"/>
        <v>175025139.62062499</v>
      </c>
      <c r="R30" s="66"/>
      <c r="T30" s="75">
        <v>139.57805925176771</v>
      </c>
      <c r="U30" s="75">
        <v>151.25</v>
      </c>
      <c r="V30" s="74">
        <v>7.4162508379999998</v>
      </c>
      <c r="X30" s="52" t="s">
        <v>84</v>
      </c>
      <c r="Y30" s="51">
        <f>3.8627%</f>
        <v>3.8626999999999995E-2</v>
      </c>
      <c r="AA30" s="40">
        <v>16</v>
      </c>
      <c r="AB30" s="99">
        <v>8.3955145210979729E-2</v>
      </c>
      <c r="AC30" s="99">
        <v>8.7825046710743149E-2</v>
      </c>
      <c r="AD30" s="45"/>
      <c r="AE30" s="45"/>
    </row>
    <row r="31" spans="1:31">
      <c r="A31" s="40">
        <v>2029</v>
      </c>
      <c r="B31" s="64">
        <f t="shared" si="5"/>
        <v>1940160</v>
      </c>
      <c r="C31" s="64">
        <f t="shared" si="6"/>
        <v>194016</v>
      </c>
      <c r="D31" s="64"/>
      <c r="E31" s="64">
        <f t="shared" si="7"/>
        <v>28386151.226891793</v>
      </c>
      <c r="F31" s="64">
        <f t="shared" si="15"/>
        <v>1627371.5268147402</v>
      </c>
      <c r="G31" s="66">
        <f t="shared" si="8"/>
        <v>6308139.2855394622</v>
      </c>
      <c r="H31" s="66">
        <f t="shared" si="3"/>
        <v>10972970.91</v>
      </c>
      <c r="I31" s="66">
        <f t="shared" si="9"/>
        <v>748047.41703431658</v>
      </c>
      <c r="J31" s="66">
        <f t="shared" si="10"/>
        <v>48042680.366280302</v>
      </c>
      <c r="K31" s="66"/>
      <c r="L31" s="64">
        <f t="shared" si="11"/>
        <v>6446274.5278043142</v>
      </c>
      <c r="M31" s="64">
        <f t="shared" si="4"/>
        <v>119270898.4104805</v>
      </c>
      <c r="N31" s="66">
        <f t="shared" si="12"/>
        <v>5441919.2649795339</v>
      </c>
      <c r="O31" s="66">
        <f t="shared" si="13"/>
        <v>131159092.20326436</v>
      </c>
      <c r="P31" s="65"/>
      <c r="Q31" s="66">
        <f t="shared" si="14"/>
        <v>179201772.56954467</v>
      </c>
      <c r="R31" s="66"/>
      <c r="T31" s="75">
        <v>142.47632491337015</v>
      </c>
      <c r="U31" s="75">
        <v>151.25</v>
      </c>
      <c r="V31" s="74">
        <v>7.7487583610000001</v>
      </c>
      <c r="AA31" s="40">
        <v>17</v>
      </c>
      <c r="AB31" s="99">
        <v>8.0058022031183618E-2</v>
      </c>
      <c r="AC31" s="99">
        <v>8.5114042605079626E-2</v>
      </c>
      <c r="AD31" s="45"/>
      <c r="AE31" s="45"/>
    </row>
    <row r="32" spans="1:31">
      <c r="A32" s="40">
        <v>2030</v>
      </c>
      <c r="B32" s="64">
        <f t="shared" si="5"/>
        <v>1940160</v>
      </c>
      <c r="C32" s="64">
        <f t="shared" si="6"/>
        <v>194016</v>
      </c>
      <c r="D32" s="64"/>
      <c r="E32" s="64">
        <f t="shared" si="7"/>
        <v>27004349.314668335</v>
      </c>
      <c r="F32" s="64">
        <f t="shared" si="15"/>
        <v>1575537.4139515432</v>
      </c>
      <c r="G32" s="66">
        <f t="shared" si="8"/>
        <v>6438484.4409799101</v>
      </c>
      <c r="H32" s="66">
        <f t="shared" si="3"/>
        <v>12070268.000999998</v>
      </c>
      <c r="I32" s="66">
        <f t="shared" si="9"/>
        <v>801188.36695598415</v>
      </c>
      <c r="J32" s="66">
        <f t="shared" si="10"/>
        <v>47889827.537555769</v>
      </c>
      <c r="K32" s="66"/>
      <c r="L32" s="64">
        <f t="shared" si="11"/>
        <v>6579473.9733626209</v>
      </c>
      <c r="M32" s="64">
        <f t="shared" si="4"/>
        <v>124580860.56880313</v>
      </c>
      <c r="N32" s="66">
        <f t="shared" si="12"/>
        <v>5677537.4013267281</v>
      </c>
      <c r="O32" s="66">
        <f t="shared" si="13"/>
        <v>136837871.94349247</v>
      </c>
      <c r="P32" s="65"/>
      <c r="Q32" s="66">
        <f t="shared" si="14"/>
        <v>184727699.48104823</v>
      </c>
      <c r="R32" s="66"/>
      <c r="T32" s="75">
        <v>145.42031487249935</v>
      </c>
      <c r="U32" s="75">
        <v>166.375</v>
      </c>
      <c r="V32" s="74">
        <v>8.0937344969999998</v>
      </c>
      <c r="AA32" s="40">
        <v>18</v>
      </c>
      <c r="AB32" s="99">
        <v>7.6160898851387521E-2</v>
      </c>
      <c r="AC32" s="99">
        <v>8.2403038499416117E-2</v>
      </c>
      <c r="AD32" s="45"/>
      <c r="AE32" s="45"/>
    </row>
    <row r="33" spans="1:31">
      <c r="A33" s="40">
        <v>2031</v>
      </c>
      <c r="B33" s="64">
        <f t="shared" si="5"/>
        <v>1940160</v>
      </c>
      <c r="C33" s="64">
        <f t="shared" si="6"/>
        <v>194016</v>
      </c>
      <c r="D33" s="64"/>
      <c r="E33" s="64">
        <f t="shared" si="7"/>
        <v>25622547.402444888</v>
      </c>
      <c r="F33" s="64">
        <f t="shared" si="15"/>
        <v>1523703.3010883459</v>
      </c>
      <c r="G33" s="66">
        <f t="shared" si="8"/>
        <v>6572802.6879430329</v>
      </c>
      <c r="H33" s="66">
        <f t="shared" si="3"/>
        <v>12070268.000999998</v>
      </c>
      <c r="I33" s="66">
        <f t="shared" si="9"/>
        <v>807002.60091227689</v>
      </c>
      <c r="J33" s="66">
        <f t="shared" si="10"/>
        <v>46596323.993388541</v>
      </c>
      <c r="K33" s="66"/>
      <c r="L33" s="64">
        <f t="shared" si="11"/>
        <v>6716733.512954996</v>
      </c>
      <c r="M33" s="64">
        <f t="shared" si="4"/>
        <v>130146680.34284575</v>
      </c>
      <c r="N33" s="66">
        <f t="shared" si="12"/>
        <v>5924406.595576046</v>
      </c>
      <c r="O33" s="66">
        <f t="shared" si="13"/>
        <v>142787820.4513768</v>
      </c>
      <c r="P33" s="65"/>
      <c r="Q33" s="66">
        <f t="shared" si="14"/>
        <v>189384144.44476533</v>
      </c>
      <c r="R33" s="66"/>
      <c r="T33" s="75">
        <v>148.45404151198267</v>
      </c>
      <c r="U33" s="75">
        <v>166.375</v>
      </c>
      <c r="V33" s="74">
        <v>8.4553331190000005</v>
      </c>
      <c r="AA33" s="40">
        <v>19</v>
      </c>
      <c r="AB33" s="99">
        <v>7.2263775671591465E-2</v>
      </c>
      <c r="AC33" s="99">
        <v>7.9692034393752581E-2</v>
      </c>
      <c r="AD33" s="45"/>
      <c r="AE33" s="45"/>
    </row>
    <row r="34" spans="1:31">
      <c r="A34" s="40">
        <v>2032</v>
      </c>
      <c r="B34" s="64">
        <f t="shared" si="5"/>
        <v>1940160</v>
      </c>
      <c r="C34" s="64">
        <f t="shared" si="6"/>
        <v>194016</v>
      </c>
      <c r="D34" s="64"/>
      <c r="E34" s="64">
        <f t="shared" si="7"/>
        <v>24240745.490221426</v>
      </c>
      <c r="F34" s="64">
        <f t="shared" si="15"/>
        <v>1471869.1882251485</v>
      </c>
      <c r="G34" s="66">
        <f t="shared" si="8"/>
        <v>6709356.0853833556</v>
      </c>
      <c r="H34" s="66">
        <f t="shared" si="3"/>
        <v>12070268.000999998</v>
      </c>
      <c r="I34" s="66">
        <f t="shared" si="9"/>
        <v>812913.58782727609</v>
      </c>
      <c r="J34" s="66">
        <f t="shared" si="10"/>
        <v>45305152.352657206</v>
      </c>
      <c r="K34" s="66"/>
      <c r="L34" s="64">
        <f t="shared" si="11"/>
        <v>6856277.1482108878</v>
      </c>
      <c r="M34" s="64">
        <f t="shared" si="4"/>
        <v>135953336.5036602</v>
      </c>
      <c r="N34" s="66">
        <f t="shared" si="12"/>
        <v>6181799.7461485425</v>
      </c>
      <c r="O34" s="66">
        <f t="shared" si="13"/>
        <v>148991413.39801964</v>
      </c>
      <c r="P34" s="65"/>
      <c r="Q34" s="66">
        <f t="shared" si="14"/>
        <v>194296565.75067684</v>
      </c>
      <c r="R34" s="66"/>
      <c r="T34" s="75">
        <v>151.53825150498824</v>
      </c>
      <c r="U34" s="75">
        <v>166.375</v>
      </c>
      <c r="V34" s="74">
        <v>8.8325783320000006</v>
      </c>
      <c r="AA34" s="40">
        <v>20</v>
      </c>
      <c r="AB34" s="99">
        <v>6.8366652491795354E-2</v>
      </c>
      <c r="AC34" s="99">
        <v>7.6981030288089058E-2</v>
      </c>
      <c r="AD34" s="45"/>
      <c r="AE34" s="45"/>
    </row>
    <row r="35" spans="1:31">
      <c r="A35" s="40">
        <v>2033</v>
      </c>
      <c r="B35" s="64">
        <f t="shared" si="5"/>
        <v>1940160</v>
      </c>
      <c r="C35" s="64">
        <f t="shared" si="6"/>
        <v>194016</v>
      </c>
      <c r="D35" s="64"/>
      <c r="E35" s="64">
        <f t="shared" si="7"/>
        <v>22939442.189998455</v>
      </c>
      <c r="F35" s="64">
        <f t="shared" si="15"/>
        <v>1424375.8998917872</v>
      </c>
      <c r="G35" s="66">
        <f t="shared" si="8"/>
        <v>6846749.3307130197</v>
      </c>
      <c r="H35" s="66">
        <f t="shared" si="3"/>
        <v>12070268.000999998</v>
      </c>
      <c r="I35" s="66">
        <f t="shared" si="9"/>
        <v>818860.92923786119</v>
      </c>
      <c r="J35" s="66">
        <f t="shared" si="10"/>
        <v>44099696.35084112</v>
      </c>
      <c r="K35" s="66"/>
      <c r="L35" s="64">
        <f t="shared" si="11"/>
        <v>6996679.0222930396</v>
      </c>
      <c r="M35" s="64">
        <f t="shared" si="4"/>
        <v>142024247.01934388</v>
      </c>
      <c r="N35" s="66">
        <f t="shared" si="12"/>
        <v>6450668.825564336</v>
      </c>
      <c r="O35" s="66">
        <f t="shared" si="13"/>
        <v>155471594.86720124</v>
      </c>
      <c r="P35" s="65"/>
      <c r="Q35" s="66">
        <f t="shared" si="14"/>
        <v>199571291.21804237</v>
      </c>
      <c r="R35" s="66"/>
      <c r="T35" s="75">
        <v>154.64143039442166</v>
      </c>
      <c r="U35" s="75">
        <v>166.375</v>
      </c>
      <c r="V35" s="74">
        <v>9.2269915480000009</v>
      </c>
      <c r="AA35" s="40">
        <v>21</v>
      </c>
      <c r="AB35" s="99">
        <v>6.4696561134718139E-2</v>
      </c>
      <c r="AC35" s="99">
        <v>7.4497058005144459E-2</v>
      </c>
      <c r="AD35" s="45"/>
      <c r="AE35" s="45"/>
    </row>
    <row r="36" spans="1:31">
      <c r="A36" s="40">
        <v>2034</v>
      </c>
      <c r="B36" s="64">
        <f t="shared" si="5"/>
        <v>1940160</v>
      </c>
      <c r="C36" s="64">
        <f t="shared" si="6"/>
        <v>194016</v>
      </c>
      <c r="D36" s="64"/>
      <c r="E36" s="64">
        <f t="shared" si="7"/>
        <v>21803340.344733309</v>
      </c>
      <c r="F36" s="64">
        <f t="shared" si="15"/>
        <v>1385790.9704757314</v>
      </c>
      <c r="G36" s="66">
        <f t="shared" si="8"/>
        <v>6987781.4858638532</v>
      </c>
      <c r="H36" s="66">
        <f t="shared" si="3"/>
        <v>12070268.000999998</v>
      </c>
      <c r="I36" s="66">
        <f t="shared" si="9"/>
        <v>824965.78813787538</v>
      </c>
      <c r="J36" s="66">
        <f t="shared" si="10"/>
        <v>43072146.590210766</v>
      </c>
      <c r="K36" s="66"/>
      <c r="L36" s="64">
        <f t="shared" si="11"/>
        <v>7140799.4908176055</v>
      </c>
      <c r="M36" s="64">
        <f t="shared" si="4"/>
        <v>148364611.87226871</v>
      </c>
      <c r="N36" s="66">
        <f t="shared" si="12"/>
        <v>6731362.7416739156</v>
      </c>
      <c r="O36" s="66">
        <f t="shared" si="13"/>
        <v>162236774.10476023</v>
      </c>
      <c r="P36" s="65"/>
      <c r="Q36" s="66">
        <f t="shared" si="14"/>
        <v>205308920.694971</v>
      </c>
      <c r="R36" s="66"/>
      <c r="T36" s="75">
        <v>157.82679809969179</v>
      </c>
      <c r="U36" s="75">
        <v>166.375</v>
      </c>
      <c r="V36" s="74">
        <v>9.6389105980000007</v>
      </c>
      <c r="AA36" s="40">
        <v>22</v>
      </c>
      <c r="AB36" s="99">
        <v>6.1492390698546458E-2</v>
      </c>
      <c r="AC36" s="99">
        <v>7.2479006643105345E-2</v>
      </c>
      <c r="AD36" s="45"/>
      <c r="AE36" s="45"/>
    </row>
    <row r="37" spans="1:31">
      <c r="A37" s="40">
        <v>2035</v>
      </c>
      <c r="B37" s="64">
        <f t="shared" si="5"/>
        <v>1940160</v>
      </c>
      <c r="C37" s="64">
        <f t="shared" si="6"/>
        <v>194016</v>
      </c>
      <c r="D37" s="64"/>
      <c r="E37" s="64">
        <f t="shared" si="7"/>
        <v>20751935.546151295</v>
      </c>
      <c r="F37" s="64">
        <f t="shared" si="15"/>
        <v>1351773.2628876062</v>
      </c>
      <c r="G37" s="66">
        <f t="shared" si="8"/>
        <v>7131549.7441220582</v>
      </c>
      <c r="H37" s="66">
        <f t="shared" si="3"/>
        <v>12070268.000999998</v>
      </c>
      <c r="I37" s="66">
        <f t="shared" si="9"/>
        <v>831189.08473309828</v>
      </c>
      <c r="J37" s="66">
        <f t="shared" si="10"/>
        <v>42136715.638894051</v>
      </c>
      <c r="K37" s="66"/>
      <c r="L37" s="64">
        <f t="shared" si="11"/>
        <v>7287715.9774654433</v>
      </c>
      <c r="M37" s="64">
        <f t="shared" si="4"/>
        <v>154990867.65580767</v>
      </c>
      <c r="N37" s="66">
        <f t="shared" si="12"/>
        <v>7024553.0497334925</v>
      </c>
      <c r="O37" s="66">
        <f t="shared" si="13"/>
        <v>169303136.68300661</v>
      </c>
      <c r="P37" s="65"/>
      <c r="Q37" s="66">
        <f t="shared" si="14"/>
        <v>211439852.32190067</v>
      </c>
      <c r="R37" s="66"/>
      <c r="T37" s="75">
        <v>161.07396372946491</v>
      </c>
      <c r="U37" s="75">
        <v>166.375</v>
      </c>
      <c r="V37" s="74">
        <v>10.06940333</v>
      </c>
      <c r="AA37" s="40">
        <v>23</v>
      </c>
      <c r="AB37" s="99">
        <v>5.8527093013214994E-2</v>
      </c>
      <c r="AC37" s="99">
        <v>7.069982803190647E-2</v>
      </c>
      <c r="AD37" s="45"/>
      <c r="AE37" s="45"/>
    </row>
    <row r="38" spans="1:31">
      <c r="A38" s="40">
        <v>2036</v>
      </c>
      <c r="B38" s="64">
        <f t="shared" si="5"/>
        <v>1940160</v>
      </c>
      <c r="C38" s="64">
        <f t="shared" si="6"/>
        <v>194016</v>
      </c>
      <c r="D38" s="64"/>
      <c r="E38" s="64">
        <f t="shared" si="7"/>
        <v>19700530.747569285</v>
      </c>
      <c r="F38" s="64">
        <f t="shared" si="15"/>
        <v>1317755.5552994807</v>
      </c>
      <c r="G38" s="66">
        <f t="shared" si="8"/>
        <v>7277689.3176428415</v>
      </c>
      <c r="H38" s="66">
        <f t="shared" si="3"/>
        <v>13277294.801100001</v>
      </c>
      <c r="I38" s="66">
        <f t="shared" si="9"/>
        <v>889763.59754802124</v>
      </c>
      <c r="J38" s="66">
        <f t="shared" si="10"/>
        <v>42463034.01915963</v>
      </c>
      <c r="K38" s="66"/>
      <c r="L38" s="64">
        <f t="shared" si="11"/>
        <v>7437055.7062901901</v>
      </c>
      <c r="M38" s="64">
        <f t="shared" si="4"/>
        <v>161913065.0736407</v>
      </c>
      <c r="N38" s="66">
        <f t="shared" si="12"/>
        <v>7330658.678200867</v>
      </c>
      <c r="O38" s="66">
        <f t="shared" si="13"/>
        <v>176680779.45813176</v>
      </c>
      <c r="P38" s="65"/>
      <c r="Q38" s="66">
        <f t="shared" si="14"/>
        <v>219143813.47729141</v>
      </c>
      <c r="R38" s="66"/>
      <c r="T38" s="75">
        <v>164.37468814551869</v>
      </c>
      <c r="U38" s="75">
        <v>183.01250000000002</v>
      </c>
      <c r="V38" s="74">
        <f>V37/V36*V37</f>
        <v>10.519122715304915</v>
      </c>
      <c r="AA38" s="40">
        <v>24</v>
      </c>
      <c r="AB38" s="99">
        <v>5.5561795327883544E-2</v>
      </c>
      <c r="AC38" s="99">
        <v>6.8920649420707594E-2</v>
      </c>
      <c r="AD38" s="45"/>
      <c r="AE38" s="45"/>
    </row>
    <row r="39" spans="1:31">
      <c r="A39" s="40">
        <v>2037</v>
      </c>
      <c r="B39" s="64">
        <f t="shared" si="5"/>
        <v>1940160</v>
      </c>
      <c r="C39" s="64">
        <f t="shared" si="6"/>
        <v>194016</v>
      </c>
      <c r="D39" s="64"/>
      <c r="E39" s="64">
        <f t="shared" si="7"/>
        <v>18649125.948987272</v>
      </c>
      <c r="F39" s="64">
        <f t="shared" si="15"/>
        <v>1283737.847711355</v>
      </c>
      <c r="G39" s="66">
        <f t="shared" si="8"/>
        <v>7427368.0891899588</v>
      </c>
      <c r="H39" s="66">
        <f t="shared" si="3"/>
        <v>13277294.801100001</v>
      </c>
      <c r="I39" s="66">
        <f t="shared" si="9"/>
        <v>896242.74253198132</v>
      </c>
      <c r="J39" s="66">
        <f t="shared" si="10"/>
        <v>41533769.429520562</v>
      </c>
      <c r="K39" s="66"/>
      <c r="L39" s="64">
        <f t="shared" si="11"/>
        <v>7590012.1342798304</v>
      </c>
      <c r="M39" s="64">
        <f t="shared" si="4"/>
        <v>169144421.46203879</v>
      </c>
      <c r="N39" s="66">
        <f t="shared" si="12"/>
        <v>7650303.4270838415</v>
      </c>
      <c r="O39" s="66">
        <f t="shared" si="13"/>
        <v>184384737.02340245</v>
      </c>
      <c r="P39" s="65"/>
      <c r="Q39" s="66">
        <f t="shared" si="14"/>
        <v>225918506.452923</v>
      </c>
      <c r="R39" s="66"/>
      <c r="T39" s="75">
        <v>167.75534927588839</v>
      </c>
      <c r="U39" s="75">
        <v>183.01250000000002</v>
      </c>
      <c r="V39" s="74">
        <f t="shared" ref="V39:V44" si="16">V38/V37*V38</f>
        <v>10.988927454119951</v>
      </c>
      <c r="AA39" s="40">
        <v>25</v>
      </c>
      <c r="AB39" s="99">
        <v>5.259649764255208E-2</v>
      </c>
      <c r="AC39" s="99">
        <v>6.7141470809508705E-2</v>
      </c>
      <c r="AD39" s="45"/>
      <c r="AE39" s="45"/>
    </row>
    <row r="40" spans="1:31">
      <c r="A40" s="40">
        <v>2038</v>
      </c>
      <c r="B40" s="64">
        <f t="shared" si="5"/>
        <v>1940160</v>
      </c>
      <c r="C40" s="64">
        <f t="shared" si="6"/>
        <v>194016</v>
      </c>
      <c r="D40" s="64"/>
      <c r="E40" s="64">
        <f t="shared" si="7"/>
        <v>17597721.150405265</v>
      </c>
      <c r="F40" s="64">
        <f t="shared" si="15"/>
        <v>1249720.1401232297</v>
      </c>
      <c r="G40" s="66">
        <f t="shared" si="8"/>
        <v>7580538.259251263</v>
      </c>
      <c r="H40" s="66">
        <f t="shared" si="3"/>
        <v>13277294.801100001</v>
      </c>
      <c r="I40" s="66">
        <f t="shared" si="9"/>
        <v>902873.01968342497</v>
      </c>
      <c r="J40" s="66">
        <f t="shared" si="10"/>
        <v>40608147.370563187</v>
      </c>
      <c r="K40" s="66"/>
      <c r="L40" s="64">
        <f t="shared" si="11"/>
        <v>7746536.4152114615</v>
      </c>
      <c r="M40" s="64">
        <f t="shared" si="4"/>
        <v>176698744.46954349</v>
      </c>
      <c r="N40" s="66">
        <f t="shared" si="12"/>
        <v>7984082.8736583861</v>
      </c>
      <c r="O40" s="66">
        <f t="shared" si="13"/>
        <v>192429363.75841334</v>
      </c>
      <c r="P40" s="65"/>
      <c r="Q40" s="66">
        <f t="shared" si="14"/>
        <v>233037511.12897652</v>
      </c>
      <c r="R40" s="66"/>
      <c r="T40" s="75">
        <v>171.21486751555648</v>
      </c>
      <c r="U40" s="75">
        <v>183.01250000000002</v>
      </c>
      <c r="V40" s="74">
        <f t="shared" si="16"/>
        <v>11.479714597892762</v>
      </c>
      <c r="AA40" s="40">
        <v>26</v>
      </c>
      <c r="AB40" s="99">
        <v>4.9631199957220644E-2</v>
      </c>
      <c r="AC40" s="99">
        <v>6.5362292198309829E-2</v>
      </c>
      <c r="AD40" s="45"/>
      <c r="AE40" s="45"/>
    </row>
    <row r="41" spans="1:31">
      <c r="A41" s="40">
        <v>2039</v>
      </c>
      <c r="B41" s="64">
        <f t="shared" si="5"/>
        <v>1940160</v>
      </c>
      <c r="C41" s="64">
        <f t="shared" si="6"/>
        <v>194016</v>
      </c>
      <c r="D41" s="64"/>
      <c r="E41" s="64">
        <f t="shared" si="7"/>
        <v>16546316.351823252</v>
      </c>
      <c r="F41" s="64">
        <f t="shared" si="15"/>
        <v>1215702.4325351047</v>
      </c>
      <c r="G41" s="66">
        <f t="shared" si="8"/>
        <v>7737679.5045471946</v>
      </c>
      <c r="H41" s="66">
        <f t="shared" si="3"/>
        <v>13277294.801100001</v>
      </c>
      <c r="I41" s="66">
        <f t="shared" si="9"/>
        <v>909675.1927685499</v>
      </c>
      <c r="J41" s="66">
        <f t="shared" si="10"/>
        <v>39686668.282774098</v>
      </c>
      <c r="K41" s="66"/>
      <c r="L41" s="64">
        <f t="shared" si="11"/>
        <v>7907118.7297365582</v>
      </c>
      <c r="M41" s="64">
        <f t="shared" si="4"/>
        <v>184590458.42147568</v>
      </c>
      <c r="N41" s="66">
        <f t="shared" si="12"/>
        <v>8332642.6221445231</v>
      </c>
      <c r="O41" s="66">
        <f t="shared" si="13"/>
        <v>200830219.77335677</v>
      </c>
      <c r="P41" s="65"/>
      <c r="Q41" s="66">
        <f t="shared" si="14"/>
        <v>240516888.05613086</v>
      </c>
      <c r="R41" s="66"/>
      <c r="T41" s="75">
        <v>174.76407689547588</v>
      </c>
      <c r="U41" s="75">
        <v>183.01250000000002</v>
      </c>
      <c r="V41" s="74">
        <f t="shared" si="16"/>
        <v>11.99242126215548</v>
      </c>
      <c r="AA41" s="40">
        <v>27</v>
      </c>
      <c r="AB41" s="99">
        <v>4.666590227188918E-2</v>
      </c>
      <c r="AC41" s="99">
        <v>6.3583113587110968E-2</v>
      </c>
      <c r="AD41" s="45"/>
      <c r="AE41" s="45"/>
    </row>
    <row r="42" spans="1:31">
      <c r="A42" s="40">
        <v>2040</v>
      </c>
      <c r="B42" s="64">
        <f t="shared" si="5"/>
        <v>1940160</v>
      </c>
      <c r="C42" s="64">
        <f t="shared" si="6"/>
        <v>194016</v>
      </c>
      <c r="D42" s="64"/>
      <c r="E42" s="64">
        <f t="shared" si="7"/>
        <v>15494911.553241242</v>
      </c>
      <c r="F42" s="64">
        <f t="shared" si="15"/>
        <v>1181684.7249469792</v>
      </c>
      <c r="G42" s="66">
        <f t="shared" si="8"/>
        <v>7896777.4033846185</v>
      </c>
      <c r="H42" s="66">
        <f t="shared" si="3"/>
        <v>13277294.801100001</v>
      </c>
      <c r="I42" s="66">
        <f t="shared" si="9"/>
        <v>916562.06351552554</v>
      </c>
      <c r="J42" s="66">
        <f t="shared" si="10"/>
        <v>38767230.546188369</v>
      </c>
      <c r="K42" s="66"/>
      <c r="L42" s="64">
        <f t="shared" si="11"/>
        <v>8069700.544480864</v>
      </c>
      <c r="M42" s="64">
        <f t="shared" si="4"/>
        <v>192834631.86193502</v>
      </c>
      <c r="N42" s="66">
        <f t="shared" si="12"/>
        <v>8696545.8368765227</v>
      </c>
      <c r="O42" s="66">
        <f t="shared" si="13"/>
        <v>209600878.24329239</v>
      </c>
      <c r="P42" s="65"/>
      <c r="Q42" s="66">
        <f t="shared" si="14"/>
        <v>248368108.78948075</v>
      </c>
      <c r="R42" s="66"/>
      <c r="T42" s="75">
        <v>178.35747946662036</v>
      </c>
      <c r="U42" s="75">
        <v>183.01250000000002</v>
      </c>
      <c r="V42" s="74">
        <f t="shared" si="16"/>
        <v>12.528026415865632</v>
      </c>
      <c r="AA42" s="40">
        <v>28</v>
      </c>
      <c r="AB42" s="99">
        <v>4.370060458655773E-2</v>
      </c>
      <c r="AC42" s="99">
        <v>6.1803934975912099E-2</v>
      </c>
      <c r="AD42" s="45"/>
      <c r="AE42" s="45"/>
    </row>
    <row r="43" spans="1:31">
      <c r="A43" s="40">
        <v>2041</v>
      </c>
      <c r="B43" s="64">
        <f t="shared" si="5"/>
        <v>1940160</v>
      </c>
      <c r="C43" s="64">
        <f t="shared" si="6"/>
        <v>194016</v>
      </c>
      <c r="D43" s="64"/>
      <c r="E43" s="64">
        <f t="shared" si="7"/>
        <v>14443506.754659228</v>
      </c>
      <c r="F43" s="64">
        <f t="shared" si="15"/>
        <v>1147667.0173588542</v>
      </c>
      <c r="G43" s="66">
        <f t="shared" si="8"/>
        <v>8059146.5854794551</v>
      </c>
      <c r="H43" s="66">
        <f t="shared" si="3"/>
        <v>14605024.28121</v>
      </c>
      <c r="I43" s="66">
        <f t="shared" si="9"/>
        <v>981063.9643063863</v>
      </c>
      <c r="J43" s="66">
        <f t="shared" si="10"/>
        <v>39236408.603013918</v>
      </c>
      <c r="K43" s="66"/>
      <c r="L43" s="64">
        <f t="shared" si="11"/>
        <v>8235625.2768401746</v>
      </c>
      <c r="M43" s="64">
        <f t="shared" si="4"/>
        <v>201447006.32587948</v>
      </c>
      <c r="N43" s="66">
        <f t="shared" si="12"/>
        <v>9076532.0741869248</v>
      </c>
      <c r="O43" s="66">
        <f t="shared" si="13"/>
        <v>218759163.67690659</v>
      </c>
      <c r="P43" s="65"/>
      <c r="Q43" s="66">
        <f t="shared" si="14"/>
        <v>257995572.27992052</v>
      </c>
      <c r="R43" s="66"/>
      <c r="T43" s="74">
        <f>T42/T41*T42</f>
        <v>182.02476759976184</v>
      </c>
      <c r="U43" s="74">
        <v>201.31375000000003</v>
      </c>
      <c r="V43" s="74">
        <f t="shared" si="16"/>
        <v>13.087552750662557</v>
      </c>
      <c r="AA43" s="40">
        <v>29</v>
      </c>
      <c r="AB43" s="99">
        <v>4.0735306901226273E-2</v>
      </c>
      <c r="AC43" s="99">
        <v>6.002475636471323E-2</v>
      </c>
      <c r="AD43" s="45"/>
      <c r="AE43" s="45"/>
    </row>
    <row r="44" spans="1:31">
      <c r="A44" s="40">
        <v>2042</v>
      </c>
      <c r="B44" s="64">
        <f t="shared" si="5"/>
        <v>1940160</v>
      </c>
      <c r="C44" s="64">
        <f t="shared" si="6"/>
        <v>194016</v>
      </c>
      <c r="D44" s="64"/>
      <c r="E44" s="64">
        <f t="shared" si="7"/>
        <v>13392101.956077216</v>
      </c>
      <c r="F44" s="64">
        <f t="shared" si="15"/>
        <v>1113649.3097707289</v>
      </c>
      <c r="G44" s="66">
        <f t="shared" si="8"/>
        <v>8224854.3131540203</v>
      </c>
      <c r="H44" s="66">
        <f t="shared" si="3"/>
        <v>14605024.28121</v>
      </c>
      <c r="I44" s="66">
        <f t="shared" si="9"/>
        <v>988236.95471423515</v>
      </c>
      <c r="J44" s="66">
        <f t="shared" si="10"/>
        <v>38323866.814926207</v>
      </c>
      <c r="K44" s="66"/>
      <c r="L44" s="64">
        <f t="shared" si="11"/>
        <v>8404961.6620429512</v>
      </c>
      <c r="M44" s="64">
        <f t="shared" si="4"/>
        <v>210444026.39622262</v>
      </c>
      <c r="N44" s="66">
        <f t="shared" si="12"/>
        <v>9473316.1460781395</v>
      </c>
      <c r="O44" s="66">
        <f t="shared" si="13"/>
        <v>228322304.20434371</v>
      </c>
      <c r="P44" s="65"/>
      <c r="Q44" s="66">
        <f t="shared" si="14"/>
        <v>266646171.01926991</v>
      </c>
      <c r="R44" s="66"/>
      <c r="T44" s="74">
        <f>T43/T42*T43</f>
        <v>185.76746048908007</v>
      </c>
      <c r="U44" s="74">
        <v>201.31375000000003</v>
      </c>
      <c r="V44" s="74">
        <f t="shared" si="16"/>
        <v>13.672068633608486</v>
      </c>
      <c r="AA44" s="40">
        <v>30</v>
      </c>
      <c r="AB44" s="99">
        <v>3.7770009215894816E-2</v>
      </c>
      <c r="AC44" s="99">
        <v>5.8245577753514362E-2</v>
      </c>
      <c r="AD44" s="45"/>
      <c r="AE44" s="45"/>
    </row>
    <row r="45" spans="1:31">
      <c r="A45" s="40">
        <v>2043</v>
      </c>
      <c r="B45" s="66">
        <f>B44</f>
        <v>1940160</v>
      </c>
      <c r="C45" s="66">
        <f t="shared" ref="C45:C47" si="17">C44</f>
        <v>194016</v>
      </c>
      <c r="G45" s="66">
        <f t="shared" ref="G45:G47" si="18">($Y$15+$Y$16)*T45*$Y$19*1000/100</f>
        <v>8393969.2317413986</v>
      </c>
      <c r="H45" s="66">
        <f t="shared" ref="H45:H47" si="19">(($Y$15*$Y$23/1000*24)+($Y$16*$Y$24/1000*24))*$Y$21*365*U45/100</f>
        <v>14605024.28121</v>
      </c>
      <c r="I45" s="66">
        <f t="shared" ref="I45:I47" si="20">SUM(G45:H45)*SUM($Y$28:$Y$30)</f>
        <v>995557.43219512689</v>
      </c>
      <c r="J45" s="66">
        <f t="shared" ref="J45:J47" si="21">SUM(E45:I45)</f>
        <v>23994550.945146523</v>
      </c>
      <c r="L45" s="64">
        <f t="shared" ref="L45:L47" si="22">$Y$20*T45*(C45+B45)/100</f>
        <v>8577779.8486135229</v>
      </c>
      <c r="M45" s="64">
        <f t="shared" ref="M45:M47" si="23">((B45*$Y$23/1000*(1+($Y$22/100)))+(C45*$Y$24/1000*(1+($Y$22/100))))*V45</f>
        <v>219842871.10334</v>
      </c>
      <c r="N45" s="66">
        <f t="shared" ref="N45:N47" si="24">SUM(L45:M45)*SUM($Y$28:$Y$30)</f>
        <v>9887644.7177572101</v>
      </c>
      <c r="O45" s="66">
        <f t="shared" ref="O45:O47" si="25">SUM(L45:N45)</f>
        <v>238308295.66971076</v>
      </c>
      <c r="P45" s="65"/>
      <c r="Q45" s="66">
        <f t="shared" ref="Q45:Q47" si="26">J45+O45</f>
        <v>262302846.61485729</v>
      </c>
      <c r="T45" s="74">
        <f>T44/T43*T44</f>
        <v>189.58710856558773</v>
      </c>
      <c r="U45" s="74">
        <v>201.31375000000003</v>
      </c>
      <c r="V45" s="74">
        <f>V44/V43*V44</f>
        <v>14.282690147142896</v>
      </c>
      <c r="AA45" s="40">
        <v>31</v>
      </c>
      <c r="AB45" s="99">
        <v>1.8143680186614535E-2</v>
      </c>
      <c r="AC45" s="99">
        <v>5.6466399142315493E-2</v>
      </c>
      <c r="AD45" s="45"/>
      <c r="AE45" s="45"/>
    </row>
    <row r="46" spans="1:31">
      <c r="A46" s="40">
        <v>2044</v>
      </c>
      <c r="B46" s="66">
        <f t="shared" ref="B46:B47" si="27">B45</f>
        <v>1940160</v>
      </c>
      <c r="C46" s="66">
        <f t="shared" si="17"/>
        <v>194016</v>
      </c>
      <c r="G46" s="66">
        <f t="shared" si="18"/>
        <v>8566561.3980221543</v>
      </c>
      <c r="H46" s="66">
        <f t="shared" si="19"/>
        <v>14605024.28121</v>
      </c>
      <c r="I46" s="66">
        <f t="shared" si="20"/>
        <v>1003028.4292969221</v>
      </c>
      <c r="J46" s="66">
        <f t="shared" si="21"/>
        <v>24174614.108529076</v>
      </c>
      <c r="L46" s="64">
        <f t="shared" si="22"/>
        <v>8754151.4274314865</v>
      </c>
      <c r="M46" s="64">
        <f t="shared" si="23"/>
        <v>229661486.72693941</v>
      </c>
      <c r="N46" s="66">
        <f t="shared" si="24"/>
        <v>10320297.728788251</v>
      </c>
      <c r="O46" s="66">
        <f t="shared" si="25"/>
        <v>248735935.88315916</v>
      </c>
      <c r="P46" s="65"/>
      <c r="Q46" s="66">
        <f t="shared" si="26"/>
        <v>272910549.99168825</v>
      </c>
      <c r="T46" s="74">
        <f t="shared" ref="T46:V47" si="28">T45/T44*T45</f>
        <v>193.48529413940497</v>
      </c>
      <c r="U46" s="74">
        <v>201.31375000000003</v>
      </c>
      <c r="V46" s="74">
        <f t="shared" si="28"/>
        <v>14.920583220145234</v>
      </c>
      <c r="AA46" s="40">
        <v>32</v>
      </c>
      <c r="AB46" s="100">
        <v>-8.1217567464765797E-17</v>
      </c>
      <c r="AC46" s="99">
        <v>5.4687220531116611E-2</v>
      </c>
      <c r="AD46" s="45"/>
      <c r="AE46" s="45"/>
    </row>
    <row r="47" spans="1:31">
      <c r="A47" s="40">
        <v>2045</v>
      </c>
      <c r="B47" s="66">
        <f t="shared" si="27"/>
        <v>1940160</v>
      </c>
      <c r="C47" s="66">
        <f t="shared" si="17"/>
        <v>194016</v>
      </c>
      <c r="G47" s="66">
        <f t="shared" si="18"/>
        <v>8742702.3092457522</v>
      </c>
      <c r="H47" s="66">
        <f t="shared" si="19"/>
        <v>14605024.28121</v>
      </c>
      <c r="I47" s="66">
        <f t="shared" si="20"/>
        <v>1010653.0409210579</v>
      </c>
      <c r="J47" s="66">
        <f t="shared" si="21"/>
        <v>24358379.63137681</v>
      </c>
      <c r="L47" s="64">
        <f t="shared" si="22"/>
        <v>8934149.4613886271</v>
      </c>
      <c r="M47" s="64">
        <f t="shared" si="23"/>
        <v>239918621.06292716</v>
      </c>
      <c r="N47" s="66">
        <f t="shared" si="24"/>
        <v>10772089.877686055</v>
      </c>
      <c r="O47" s="66">
        <f t="shared" si="25"/>
        <v>259624860.40200183</v>
      </c>
      <c r="P47" s="65"/>
      <c r="Q47" s="66">
        <f t="shared" si="26"/>
        <v>283983240.03337866</v>
      </c>
      <c r="T47" s="74">
        <f t="shared" si="28"/>
        <v>197.46363205524003</v>
      </c>
      <c r="U47" s="74">
        <v>201.31375000000003</v>
      </c>
      <c r="V47" s="74">
        <f t="shared" si="28"/>
        <v>15.586965854175105</v>
      </c>
      <c r="AA47" s="40">
        <v>33</v>
      </c>
      <c r="AB47" s="100">
        <v>-8.1217567464765797E-17</v>
      </c>
      <c r="AC47" s="99">
        <v>5.2908041919917742E-2</v>
      </c>
      <c r="AD47" s="45"/>
      <c r="AE47" s="45"/>
    </row>
    <row r="48" spans="1:31">
      <c r="AA48" s="40">
        <v>34</v>
      </c>
      <c r="AB48" s="100">
        <v>-8.1217567464765797E-17</v>
      </c>
      <c r="AC48" s="99">
        <v>5.1128863308718867E-2</v>
      </c>
      <c r="AD48" s="45"/>
      <c r="AE48" s="45"/>
    </row>
    <row r="49" spans="27:31">
      <c r="AA49" s="40">
        <v>35</v>
      </c>
      <c r="AB49" s="100">
        <v>-8.1217567464765797E-17</v>
      </c>
      <c r="AC49" s="99">
        <v>4.9349684697520005E-2</v>
      </c>
      <c r="AD49" s="45"/>
      <c r="AE49" s="45"/>
    </row>
    <row r="50" spans="27:31">
      <c r="AA50" s="40">
        <v>36</v>
      </c>
      <c r="AB50" s="100">
        <v>-8.1217567464765797E-17</v>
      </c>
      <c r="AC50" s="99">
        <v>4.7570506086321115E-2</v>
      </c>
      <c r="AD50" s="45"/>
      <c r="AE50" s="45"/>
    </row>
    <row r="51" spans="27:31">
      <c r="AA51" s="40">
        <v>37</v>
      </c>
      <c r="AB51" s="100">
        <v>-8.1217567464765797E-17</v>
      </c>
      <c r="AC51" s="99">
        <v>4.5791327475122247E-2</v>
      </c>
      <c r="AD51" s="45"/>
      <c r="AE51" s="45"/>
    </row>
    <row r="52" spans="27:31">
      <c r="AA52" s="40">
        <v>38</v>
      </c>
      <c r="AB52" s="100">
        <v>-8.1217567464765797E-17</v>
      </c>
      <c r="AC52" s="99">
        <v>4.4012148863923378E-2</v>
      </c>
      <c r="AD52" s="45"/>
      <c r="AE52" s="45"/>
    </row>
    <row r="53" spans="27:31">
      <c r="AA53" s="40">
        <v>39</v>
      </c>
      <c r="AB53" s="100">
        <v>-8.1217567464765797E-17</v>
      </c>
      <c r="AC53" s="99">
        <v>4.223297025272451E-2</v>
      </c>
      <c r="AD53" s="45"/>
      <c r="AE53" s="45"/>
    </row>
    <row r="54" spans="27:31">
      <c r="AA54" s="40">
        <v>40</v>
      </c>
      <c r="AB54" s="100">
        <v>-8.1217567464765797E-17</v>
      </c>
      <c r="AC54" s="99">
        <v>4.0453791641525641E-2</v>
      </c>
      <c r="AD54" s="45"/>
      <c r="AE54" s="45"/>
    </row>
    <row r="55" spans="27:31">
      <c r="AA55" s="40">
        <v>41</v>
      </c>
      <c r="AB55" s="100">
        <v>-8.1217567464765797E-17</v>
      </c>
      <c r="AC55" s="99">
        <v>3.8674613030326772E-2</v>
      </c>
      <c r="AD55" s="45"/>
      <c r="AE55" s="45"/>
    </row>
    <row r="56" spans="27:31">
      <c r="AA56" s="40">
        <v>42</v>
      </c>
      <c r="AB56" s="100">
        <v>-8.1217567464765797E-17</v>
      </c>
      <c r="AC56" s="99">
        <v>3.6895434419127904E-2</v>
      </c>
      <c r="AD56" s="45"/>
      <c r="AE56" s="45"/>
    </row>
    <row r="57" spans="27:31">
      <c r="AA57" s="40">
        <v>43</v>
      </c>
      <c r="AB57" s="100">
        <v>-8.1217567464765797E-17</v>
      </c>
      <c r="AC57" s="99">
        <v>3.5116255807929021E-2</v>
      </c>
      <c r="AD57" s="45"/>
      <c r="AE57" s="45"/>
    </row>
    <row r="58" spans="27:31">
      <c r="AA58" s="40">
        <v>44</v>
      </c>
      <c r="AB58" s="100">
        <v>-8.1217567464765797E-17</v>
      </c>
      <c r="AC58" s="99">
        <v>3.3337077196730146E-2</v>
      </c>
      <c r="AD58" s="45"/>
      <c r="AE58" s="45"/>
    </row>
    <row r="59" spans="27:31">
      <c r="AA59" s="40">
        <v>45</v>
      </c>
      <c r="AB59" s="100">
        <v>-8.1217567464765797E-17</v>
      </c>
      <c r="AC59" s="99">
        <v>3.1557898585531277E-2</v>
      </c>
      <c r="AD59" s="45"/>
      <c r="AE59" s="45"/>
    </row>
    <row r="60" spans="27:31">
      <c r="AA60" s="40">
        <v>46</v>
      </c>
      <c r="AB60" s="100">
        <v>-8.1217567464765797E-17</v>
      </c>
      <c r="AC60" s="99">
        <v>2.9778719974332405E-2</v>
      </c>
      <c r="AD60" s="45"/>
      <c r="AE60" s="45"/>
    </row>
    <row r="61" spans="27:31">
      <c r="AA61" s="40">
        <v>47</v>
      </c>
      <c r="AB61" s="100">
        <v>-8.1217567464765797E-17</v>
      </c>
      <c r="AC61" s="99">
        <v>2.799954136313353E-2</v>
      </c>
      <c r="AD61" s="45"/>
      <c r="AE61" s="45"/>
    </row>
    <row r="62" spans="27:31">
      <c r="AA62" s="40">
        <v>48</v>
      </c>
      <c r="AB62" s="100">
        <v>-8.1217567464765797E-17</v>
      </c>
      <c r="AC62" s="99">
        <v>2.6220362751934661E-2</v>
      </c>
      <c r="AD62" s="45"/>
      <c r="AE62" s="45"/>
    </row>
    <row r="63" spans="27:31">
      <c r="AA63" s="40">
        <v>49</v>
      </c>
      <c r="AB63" s="100">
        <v>-8.1217567464765797E-17</v>
      </c>
      <c r="AC63" s="99">
        <v>2.4441184140735785E-2</v>
      </c>
      <c r="AD63" s="45"/>
      <c r="AE63" s="45"/>
    </row>
    <row r="64" spans="27:31">
      <c r="AA64" s="40">
        <v>50</v>
      </c>
      <c r="AB64" s="100">
        <v>-8.1217567464765797E-17</v>
      </c>
      <c r="AC64" s="99">
        <v>2.2662005529536917E-2</v>
      </c>
      <c r="AD64" s="45"/>
      <c r="AE64" s="45"/>
    </row>
    <row r="65" spans="27:31">
      <c r="AA65" s="40">
        <v>51</v>
      </c>
      <c r="AB65" s="101">
        <v>0</v>
      </c>
      <c r="AC65" s="99">
        <v>1.0886208111968746E-2</v>
      </c>
      <c r="AD65" s="45"/>
      <c r="AE65" s="45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C67"/>
  <sheetViews>
    <sheetView zoomScaleNormal="100" workbookViewId="0">
      <pane xSplit="1" ySplit="11" topLeftCell="K12" activePane="bottomRight" state="frozen"/>
      <selection pane="topRight" activeCell="B1" sqref="B1"/>
      <selection pane="bottomLeft" activeCell="A12" sqref="A12"/>
      <selection pane="bottomRight" activeCell="AB10" sqref="AB10"/>
    </sheetView>
  </sheetViews>
  <sheetFormatPr defaultRowHeight="12.75"/>
  <cols>
    <col min="1" max="1" width="8.5" style="40" customWidth="1"/>
    <col min="2" max="2" width="9.375" style="40" customWidth="1"/>
    <col min="3" max="3" width="8.75" style="40" customWidth="1"/>
    <col min="4" max="4" width="4.125" style="40" customWidth="1"/>
    <col min="5" max="5" width="13.5" style="40" bestFit="1" customWidth="1"/>
    <col min="6" max="6" width="10.875" style="40" bestFit="1" customWidth="1"/>
    <col min="7" max="7" width="11.125" style="40" bestFit="1" customWidth="1"/>
    <col min="8" max="8" width="12.75" style="40" bestFit="1" customWidth="1"/>
    <col min="9" max="9" width="12.75" style="40" customWidth="1"/>
    <col min="10" max="10" width="13.75" style="40" bestFit="1" customWidth="1"/>
    <col min="11" max="11" width="4.375" style="40" customWidth="1"/>
    <col min="12" max="12" width="11.875" style="40" bestFit="1" customWidth="1"/>
    <col min="13" max="13" width="12.5" style="40" bestFit="1" customWidth="1"/>
    <col min="14" max="14" width="11.125" style="40" bestFit="1" customWidth="1"/>
    <col min="15" max="15" width="12.5" style="40" bestFit="1" customWidth="1"/>
    <col min="16" max="16" width="3.125" style="40" customWidth="1"/>
    <col min="17" max="17" width="12.5" style="40" bestFit="1" customWidth="1"/>
    <col min="18" max="18" width="12.125" style="40" customWidth="1"/>
    <col min="19" max="21" width="9" style="40"/>
    <col min="22" max="22" width="11.875" style="40" bestFit="1" customWidth="1"/>
    <col min="23" max="23" width="9" style="40"/>
    <col min="24" max="24" width="33.125" style="40" bestFit="1" customWidth="1"/>
    <col min="25" max="16384" width="9" style="40"/>
  </cols>
  <sheetData>
    <row r="1" spans="1:29" ht="23.25">
      <c r="A1" s="28" t="s">
        <v>176</v>
      </c>
    </row>
    <row r="6" spans="1:29">
      <c r="H6" s="45" t="s">
        <v>177</v>
      </c>
      <c r="I6" s="41"/>
      <c r="J6" s="42">
        <f>NPV($Y$27,J16:J44)+J15</f>
        <v>405319884.00333691</v>
      </c>
      <c r="M6" s="45" t="s">
        <v>177</v>
      </c>
      <c r="N6" s="41"/>
      <c r="O6" s="42">
        <f>NPV($Y$27,O15:O44)</f>
        <v>1499863329.8904922</v>
      </c>
      <c r="Q6" s="42">
        <f>NPV($Y$27,Q15:Q44)</f>
        <v>1876659726.6584909</v>
      </c>
    </row>
    <row r="7" spans="1:29">
      <c r="H7" s="57" t="s">
        <v>91</v>
      </c>
      <c r="I7" s="57"/>
      <c r="J7" s="42">
        <f>-PMT($Y$27,30,J6)</f>
        <v>34553078.071278676</v>
      </c>
      <c r="M7" s="57" t="s">
        <v>91</v>
      </c>
      <c r="N7" s="57"/>
      <c r="O7" s="42">
        <f>-PMT($Y$27,30,O6)</f>
        <v>127861713.12909858</v>
      </c>
      <c r="Q7" s="42">
        <f>-PMT($Y$27,30,Q6)</f>
        <v>159983195.02114898</v>
      </c>
    </row>
    <row r="8" spans="1:29">
      <c r="H8" s="57" t="s">
        <v>124</v>
      </c>
      <c r="I8" s="57"/>
      <c r="J8" s="48">
        <f>J7/SUM(Y15:Y16)/1000</f>
        <v>127.97436322695806</v>
      </c>
      <c r="M8" s="57" t="s">
        <v>15</v>
      </c>
      <c r="N8" s="57"/>
      <c r="O8" s="65">
        <f>O7/(B15+C15)</f>
        <v>59.174526475501438</v>
      </c>
      <c r="Q8" s="65">
        <f>Q7/(B15+C15)</f>
        <v>74.040379858322268</v>
      </c>
    </row>
    <row r="10" spans="1:29">
      <c r="AB10" s="102" t="s">
        <v>210</v>
      </c>
    </row>
    <row r="11" spans="1:29" s="45" customFormat="1" ht="38.25">
      <c r="A11" s="45" t="s">
        <v>35</v>
      </c>
      <c r="B11" s="45" t="s">
        <v>119</v>
      </c>
      <c r="C11" s="45" t="s">
        <v>120</v>
      </c>
      <c r="E11" s="45" t="s">
        <v>101</v>
      </c>
      <c r="F11" s="45" t="s">
        <v>184</v>
      </c>
      <c r="G11" s="45" t="s">
        <v>98</v>
      </c>
      <c r="H11" s="45" t="s">
        <v>102</v>
      </c>
      <c r="I11" s="41" t="s">
        <v>85</v>
      </c>
      <c r="J11" s="45" t="s">
        <v>113</v>
      </c>
      <c r="L11" s="45" t="s">
        <v>99</v>
      </c>
      <c r="M11" s="45" t="s">
        <v>114</v>
      </c>
      <c r="N11" s="41" t="s">
        <v>85</v>
      </c>
      <c r="O11" s="45" t="s">
        <v>122</v>
      </c>
      <c r="Q11" s="45" t="s">
        <v>34</v>
      </c>
      <c r="T11" s="45" t="s">
        <v>123</v>
      </c>
      <c r="U11" s="45" t="s">
        <v>121</v>
      </c>
      <c r="V11" s="45" t="s">
        <v>185</v>
      </c>
      <c r="AA11" s="45" t="s">
        <v>110</v>
      </c>
      <c r="AB11" s="45" t="s">
        <v>111</v>
      </c>
      <c r="AC11" s="45" t="s">
        <v>112</v>
      </c>
    </row>
    <row r="12" spans="1:29" s="45" customFormat="1">
      <c r="A12" s="45" t="s">
        <v>177</v>
      </c>
      <c r="E12" s="71">
        <f>NPV($Y$27,E$16:E$44)+E15</f>
        <v>288135906.48921156</v>
      </c>
      <c r="F12" s="71">
        <f t="shared" ref="F12:J12" si="0">NPV($Y$27,F$16:F$44)+F15</f>
        <v>73991745.93880336</v>
      </c>
      <c r="G12" s="71">
        <f t="shared" si="0"/>
        <v>41400143.560997121</v>
      </c>
      <c r="H12" s="71">
        <f t="shared" si="0"/>
        <v>0</v>
      </c>
      <c r="I12" s="71">
        <f t="shared" si="0"/>
        <v>1792088.0143248816</v>
      </c>
      <c r="J12" s="71">
        <f t="shared" si="0"/>
        <v>405319884.00333691</v>
      </c>
      <c r="L12" s="71">
        <f t="shared" ref="L12:N12" si="1">NPV($Y$27,L$16:L$44)+L15</f>
        <v>59919044.373713933</v>
      </c>
      <c r="M12" s="71">
        <f t="shared" si="1"/>
        <v>1486542268.7292023</v>
      </c>
      <c r="N12" s="71">
        <f t="shared" si="1"/>
        <v>66941670.860285923</v>
      </c>
      <c r="O12" s="71">
        <f>NPV($Y$27,O$16:O$44)+O15</f>
        <v>1613402983.9632022</v>
      </c>
      <c r="Q12" s="71">
        <f>NPV($Y$27,Q$16:Q$44)+Q15</f>
        <v>2018722867.9665389</v>
      </c>
    </row>
    <row r="13" spans="1:29" s="45" customFormat="1">
      <c r="I13" s="41"/>
      <c r="N13" s="41"/>
    </row>
    <row r="14" spans="1:29" s="45" customFormat="1">
      <c r="I14" s="41"/>
      <c r="N14" s="41"/>
      <c r="Z14" s="45" t="s">
        <v>178</v>
      </c>
    </row>
    <row r="15" spans="1:29">
      <c r="A15" s="40">
        <v>2007</v>
      </c>
      <c r="B15" s="64">
        <f>($Y$15)*(8760-($Y$26*24))*(1-$Y$25)</f>
        <v>2000700</v>
      </c>
      <c r="C15" s="64">
        <f>($Y$16)*(8760-($Y$26*24))*(1-$Y$25)</f>
        <v>160056</v>
      </c>
      <c r="D15" s="64"/>
      <c r="E15" s="64">
        <f>($Y$16+$Y$15)*1000*$Y$17*$T$15*AB15/100</f>
        <v>27501784.617014159</v>
      </c>
      <c r="F15" s="64">
        <f>16.8*T15/100*($Y$15+$Y$16)*1000</f>
        <v>4536000</v>
      </c>
      <c r="G15" s="66">
        <f>($Y$15+$Y$16)*T15*$Y$19*1000/100</f>
        <v>2538000</v>
      </c>
      <c r="H15" s="66">
        <f t="shared" ref="H15:H44" si="2">(($Y$15*$Y$23/1000*24)+($Y$16*$Y$24/1000*24))*$Y$21*365*U15/100</f>
        <v>0</v>
      </c>
      <c r="I15" s="66">
        <f>SUM(G15:H15)*SUM($Y$28:$Y$30)</f>
        <v>109862.40599999997</v>
      </c>
      <c r="J15" s="66">
        <f>SUM(E15:I15)</f>
        <v>34685647.023014158</v>
      </c>
      <c r="K15" s="66"/>
      <c r="L15" s="64">
        <f>$Y$20*T15*(C15+B15)/100</f>
        <v>3673285.2</v>
      </c>
      <c r="M15" s="64">
        <f>((B15*$Y$23/1000*(1+($Y$22/100)))+(C15*$Y$24/1000*(1+($Y$22/100))))*V15</f>
        <v>101044899.1142194</v>
      </c>
      <c r="N15" s="66">
        <f>SUM(L15:M15)*SUM($Y$28:$Y$30)</f>
        <v>4532936.0444096141</v>
      </c>
      <c r="O15" s="66">
        <f>SUM(L15:N15)</f>
        <v>109251120.35862902</v>
      </c>
      <c r="P15" s="65"/>
      <c r="Q15" s="66">
        <f>J15+O15</f>
        <v>143936767.38164318</v>
      </c>
      <c r="R15" s="65"/>
      <c r="T15" s="88">
        <v>100</v>
      </c>
      <c r="U15" s="63">
        <v>125</v>
      </c>
      <c r="V15" s="61">
        <v>6.8379058877063885</v>
      </c>
      <c r="X15" s="40" t="s">
        <v>117</v>
      </c>
      <c r="Y15" s="40">
        <v>250</v>
      </c>
      <c r="AA15" s="40">
        <v>1</v>
      </c>
      <c r="AB15" s="100">
        <v>0.12959091799554312</v>
      </c>
      <c r="AC15" s="47">
        <v>0.14719574933710225</v>
      </c>
    </row>
    <row r="16" spans="1:29">
      <c r="A16" s="40">
        <v>2008</v>
      </c>
      <c r="B16" s="64">
        <f t="shared" ref="B16:B49" si="3">($Y$15)*(8760-($Y$26*24))*(1-$Y$25)</f>
        <v>2000700</v>
      </c>
      <c r="C16" s="64">
        <f t="shared" ref="C16:C49" si="4">($Y$16)*(8760-($Y$26*24))*(1-$Y$25)</f>
        <v>160056</v>
      </c>
      <c r="D16" s="64"/>
      <c r="E16" s="64">
        <f t="shared" ref="E16:E44" si="5">($Y$16+$Y$15)*1000*$Y$17*$T$15*AB16/100</f>
        <v>30485570.515254851</v>
      </c>
      <c r="F16" s="64">
        <f t="shared" ref="F16:F44" si="6">16.8*T16/100*($Y$15+$Y$16)*1000</f>
        <v>4626129.1155815218</v>
      </c>
      <c r="G16" s="66">
        <f t="shared" ref="G16:G44" si="7">($Y$15+$Y$16)*T16*$Y$19*1000/100</f>
        <v>2588429.3860991844</v>
      </c>
      <c r="H16" s="66">
        <f t="shared" si="2"/>
        <v>0</v>
      </c>
      <c r="I16" s="66">
        <f t="shared" ref="I16:I44" si="8">SUM(G16:H16)*SUM($Y$28:$Y$30)</f>
        <v>112045.34283607538</v>
      </c>
      <c r="J16" s="66">
        <f t="shared" ref="J16:J44" si="9">SUM(E16:I16)</f>
        <v>37812174.359771632</v>
      </c>
      <c r="K16" s="66"/>
      <c r="L16" s="64">
        <f t="shared" ref="L16:L44" si="10">$Y$20*T16*(C16+B16)/100</f>
        <v>3746272.4015773125</v>
      </c>
      <c r="M16" s="64">
        <f t="shared" ref="M16:M43" si="11">((B16*$Y$23/1000*(1+($Y$22/100)))+(C16*$Y$24/1000*(1+($Y$22/100))))*V16</f>
        <v>95166920.73740536</v>
      </c>
      <c r="N16" s="66">
        <f t="shared" ref="N16:N44" si="12">SUM(L16:M16)*SUM($Y$28:$Y$30)</f>
        <v>4281655.3914071424</v>
      </c>
      <c r="O16" s="66">
        <f t="shared" ref="O16:O44" si="13">SUM(L16:N16)</f>
        <v>103194848.53038982</v>
      </c>
      <c r="P16" s="65"/>
      <c r="Q16" s="66">
        <f t="shared" ref="Q16:Q44" si="14">J16+O16</f>
        <v>141007022.89016145</v>
      </c>
      <c r="R16" s="65"/>
      <c r="T16" s="88">
        <v>101.9869734475644</v>
      </c>
      <c r="U16" s="63">
        <v>125</v>
      </c>
      <c r="V16" s="61">
        <v>6.4401315982274712</v>
      </c>
      <c r="X16" s="40" t="s">
        <v>118</v>
      </c>
      <c r="Y16" s="40">
        <v>20</v>
      </c>
      <c r="AA16" s="40">
        <v>2</v>
      </c>
      <c r="AB16" s="100">
        <v>0.14365078934716261</v>
      </c>
      <c r="AC16" s="47">
        <v>0.14346985167123166</v>
      </c>
    </row>
    <row r="17" spans="1:29">
      <c r="A17" s="40">
        <v>2009</v>
      </c>
      <c r="B17" s="64">
        <f t="shared" si="3"/>
        <v>2000700</v>
      </c>
      <c r="C17" s="64">
        <f t="shared" si="4"/>
        <v>160056</v>
      </c>
      <c r="D17" s="64"/>
      <c r="E17" s="64">
        <f t="shared" si="5"/>
        <v>29518730.128580615</v>
      </c>
      <c r="F17" s="64">
        <f t="shared" si="6"/>
        <v>4724825.4524769522</v>
      </c>
      <c r="G17" s="66">
        <f t="shared" si="7"/>
        <v>2643652.3365049614</v>
      </c>
      <c r="H17" s="66">
        <f t="shared" si="2"/>
        <v>0</v>
      </c>
      <c r="I17" s="66">
        <f t="shared" si="8"/>
        <v>114435.77869029024</v>
      </c>
      <c r="J17" s="66">
        <f t="shared" si="9"/>
        <v>37001643.696252815</v>
      </c>
      <c r="K17" s="66"/>
      <c r="L17" s="64">
        <f t="shared" si="10"/>
        <v>3826197.4001690676</v>
      </c>
      <c r="M17" s="64">
        <f t="shared" si="11"/>
        <v>89204952.539527625</v>
      </c>
      <c r="N17" s="66">
        <f t="shared" si="12"/>
        <v>4027039.3874396505</v>
      </c>
      <c r="O17" s="66">
        <f t="shared" si="13"/>
        <v>97058189.327136353</v>
      </c>
      <c r="P17" s="65"/>
      <c r="Q17" s="66">
        <f t="shared" si="14"/>
        <v>134059833.02338916</v>
      </c>
      <c r="R17" s="65"/>
      <c r="T17" s="88">
        <v>104.16281861721674</v>
      </c>
      <c r="U17" s="63">
        <v>125</v>
      </c>
      <c r="V17" s="61">
        <v>6.0366735533388942</v>
      </c>
      <c r="X17" s="40" t="s">
        <v>182</v>
      </c>
      <c r="Y17" s="60">
        <v>786</v>
      </c>
      <c r="AA17" s="40">
        <v>3</v>
      </c>
      <c r="AB17" s="100">
        <v>0.13909494924408922</v>
      </c>
      <c r="AC17" s="47">
        <v>0.13915097202358021</v>
      </c>
    </row>
    <row r="18" spans="1:29">
      <c r="A18" s="40">
        <v>2010</v>
      </c>
      <c r="B18" s="64">
        <f t="shared" si="3"/>
        <v>2000700</v>
      </c>
      <c r="C18" s="64">
        <f t="shared" si="4"/>
        <v>160056</v>
      </c>
      <c r="D18" s="64"/>
      <c r="E18" s="64">
        <f t="shared" si="5"/>
        <v>28575753.208361279</v>
      </c>
      <c r="F18" s="64">
        <f t="shared" si="6"/>
        <v>4829643.7998404391</v>
      </c>
      <c r="G18" s="66">
        <f t="shared" si="7"/>
        <v>2702300.6975297695</v>
      </c>
      <c r="H18" s="66">
        <f t="shared" si="2"/>
        <v>0</v>
      </c>
      <c r="I18" s="66">
        <f t="shared" si="8"/>
        <v>116974.49029397112</v>
      </c>
      <c r="J18" s="66">
        <f t="shared" si="9"/>
        <v>36224672.196025461</v>
      </c>
      <c r="K18" s="66"/>
      <c r="L18" s="64">
        <f t="shared" si="10"/>
        <v>3911080.0465664999</v>
      </c>
      <c r="M18" s="64">
        <f t="shared" si="11"/>
        <v>83587134.869699687</v>
      </c>
      <c r="N18" s="66">
        <f t="shared" si="12"/>
        <v>3787535.2290804139</v>
      </c>
      <c r="O18" s="66">
        <f t="shared" si="13"/>
        <v>91285750.145346597</v>
      </c>
      <c r="P18" s="65"/>
      <c r="Q18" s="66">
        <f t="shared" si="14"/>
        <v>127510422.34137206</v>
      </c>
      <c r="R18" s="65"/>
      <c r="T18" s="88">
        <v>106.47362874427775</v>
      </c>
      <c r="U18" s="63">
        <v>125</v>
      </c>
      <c r="V18" s="61">
        <v>5.6565048475722151</v>
      </c>
      <c r="X18" s="40" t="s">
        <v>183</v>
      </c>
      <c r="Y18" s="60"/>
      <c r="AA18" s="40">
        <v>4</v>
      </c>
      <c r="AB18" s="100">
        <v>0.13465155597192197</v>
      </c>
      <c r="AC18" s="47">
        <v>0.13504291691248399</v>
      </c>
    </row>
    <row r="19" spans="1:29">
      <c r="A19" s="40">
        <v>2011</v>
      </c>
      <c r="B19" s="64">
        <f t="shared" si="3"/>
        <v>2000700</v>
      </c>
      <c r="C19" s="64">
        <f t="shared" si="4"/>
        <v>160056</v>
      </c>
      <c r="D19" s="64"/>
      <c r="E19" s="64">
        <f t="shared" si="5"/>
        <v>27654851.173551083</v>
      </c>
      <c r="F19" s="64">
        <f t="shared" si="6"/>
        <v>4946697.4745722078</v>
      </c>
      <c r="G19" s="66">
        <f t="shared" si="7"/>
        <v>2767795.0155344498</v>
      </c>
      <c r="H19" s="66">
        <f t="shared" si="2"/>
        <v>0</v>
      </c>
      <c r="I19" s="66">
        <f t="shared" si="8"/>
        <v>119809.5428374397</v>
      </c>
      <c r="J19" s="66">
        <f t="shared" si="9"/>
        <v>35489153.206495181</v>
      </c>
      <c r="K19" s="66"/>
      <c r="L19" s="64">
        <f t="shared" si="10"/>
        <v>4005870.9484619633</v>
      </c>
      <c r="M19" s="64">
        <f t="shared" si="11"/>
        <v>80250726.278877497</v>
      </c>
      <c r="N19" s="66">
        <f t="shared" si="12"/>
        <v>3647215.3241798426</v>
      </c>
      <c r="O19" s="66">
        <f t="shared" si="13"/>
        <v>87903812.551519305</v>
      </c>
      <c r="P19" s="65"/>
      <c r="Q19" s="66">
        <f t="shared" si="14"/>
        <v>123392965.75801449</v>
      </c>
      <c r="R19" s="65"/>
      <c r="T19" s="88">
        <v>109.05417712901694</v>
      </c>
      <c r="U19" s="63">
        <v>125</v>
      </c>
      <c r="V19" s="61">
        <v>5.4307235548303758</v>
      </c>
      <c r="X19" s="40" t="s">
        <v>179</v>
      </c>
      <c r="Y19" s="40">
        <v>9.4</v>
      </c>
      <c r="AA19" s="40">
        <v>5</v>
      </c>
      <c r="AB19" s="100">
        <v>0.13031218157360797</v>
      </c>
      <c r="AC19" s="47">
        <v>0.13112988968678913</v>
      </c>
    </row>
    <row r="20" spans="1:29">
      <c r="A20" s="40">
        <v>2012</v>
      </c>
      <c r="B20" s="64">
        <f t="shared" si="3"/>
        <v>2000700</v>
      </c>
      <c r="C20" s="64">
        <f t="shared" si="4"/>
        <v>160056</v>
      </c>
      <c r="D20" s="64"/>
      <c r="E20" s="64">
        <f t="shared" si="5"/>
        <v>26754396.330046039</v>
      </c>
      <c r="F20" s="64">
        <f t="shared" si="6"/>
        <v>5074648.8263683412</v>
      </c>
      <c r="G20" s="66">
        <f t="shared" si="7"/>
        <v>2839386.8433251437</v>
      </c>
      <c r="H20" s="66">
        <f t="shared" si="2"/>
        <v>0</v>
      </c>
      <c r="I20" s="66">
        <f t="shared" si="8"/>
        <v>122908.53828701547</v>
      </c>
      <c r="J20" s="66">
        <f t="shared" si="9"/>
        <v>34791340.538026541</v>
      </c>
      <c r="K20" s="66"/>
      <c r="L20" s="64">
        <f t="shared" si="10"/>
        <v>4109486.8670846997</v>
      </c>
      <c r="M20" s="64">
        <f t="shared" si="11"/>
        <v>80538933.515664905</v>
      </c>
      <c r="N20" s="66">
        <f t="shared" si="12"/>
        <v>3664176.1731080813</v>
      </c>
      <c r="O20" s="66">
        <f t="shared" si="13"/>
        <v>88312596.555857688</v>
      </c>
      <c r="P20" s="65"/>
      <c r="Q20" s="66">
        <f t="shared" si="14"/>
        <v>123103937.09388423</v>
      </c>
      <c r="R20" s="65"/>
      <c r="T20" s="88">
        <v>111.87497412628619</v>
      </c>
      <c r="U20" s="63">
        <v>137.5</v>
      </c>
      <c r="V20" s="61">
        <v>5.4502271020513051</v>
      </c>
      <c r="X20" s="40" t="s">
        <v>180</v>
      </c>
      <c r="Y20" s="40">
        <v>1.7</v>
      </c>
      <c r="Z20" s="40">
        <v>3.02</v>
      </c>
      <c r="AA20" s="40">
        <v>6</v>
      </c>
      <c r="AB20" s="100">
        <v>0.12606915620604109</v>
      </c>
      <c r="AC20" s="47">
        <v>0.12739751134352201</v>
      </c>
    </row>
    <row r="21" spans="1:29">
      <c r="A21" s="40">
        <v>2013</v>
      </c>
      <c r="B21" s="64">
        <f t="shared" si="3"/>
        <v>2000700</v>
      </c>
      <c r="C21" s="64">
        <f t="shared" si="4"/>
        <v>160056</v>
      </c>
      <c r="D21" s="64"/>
      <c r="E21" s="64">
        <f t="shared" si="5"/>
        <v>25872853.750970006</v>
      </c>
      <c r="F21" s="64">
        <f t="shared" si="6"/>
        <v>5211680.3199805375</v>
      </c>
      <c r="G21" s="66">
        <f t="shared" si="7"/>
        <v>2916059.2266557766</v>
      </c>
      <c r="H21" s="66">
        <f t="shared" si="2"/>
        <v>0</v>
      </c>
      <c r="I21" s="66">
        <f t="shared" si="8"/>
        <v>126227.45574424858</v>
      </c>
      <c r="J21" s="66">
        <f t="shared" si="9"/>
        <v>34126820.753350571</v>
      </c>
      <c r="K21" s="66"/>
      <c r="L21" s="64">
        <f t="shared" si="10"/>
        <v>4220455.9494082388</v>
      </c>
      <c r="M21" s="64">
        <f t="shared" si="11"/>
        <v>81655681.522868842</v>
      </c>
      <c r="N21" s="66">
        <f t="shared" si="12"/>
        <v>3717320.3627624572</v>
      </c>
      <c r="O21" s="66">
        <f t="shared" si="13"/>
        <v>89593457.835039526</v>
      </c>
      <c r="P21" s="65"/>
      <c r="Q21" s="66">
        <f t="shared" si="14"/>
        <v>123720278.5883901</v>
      </c>
      <c r="R21" s="65"/>
      <c r="T21" s="88">
        <v>114.89595061685488</v>
      </c>
      <c r="U21" s="63">
        <v>137.5</v>
      </c>
      <c r="V21" s="61">
        <v>5.5257996231828495</v>
      </c>
      <c r="X21" s="40" t="s">
        <v>181</v>
      </c>
      <c r="Y21" s="40">
        <v>0</v>
      </c>
      <c r="AA21" s="40">
        <v>7</v>
      </c>
      <c r="AB21" s="100">
        <v>0.12191524715375557</v>
      </c>
      <c r="AC21" s="47">
        <v>0.12383221296438367</v>
      </c>
    </row>
    <row r="22" spans="1:29">
      <c r="A22" s="40">
        <v>2014</v>
      </c>
      <c r="B22" s="64">
        <f t="shared" si="3"/>
        <v>2000700</v>
      </c>
      <c r="C22" s="64">
        <f t="shared" si="4"/>
        <v>160056</v>
      </c>
      <c r="D22" s="64"/>
      <c r="E22" s="64">
        <f t="shared" si="5"/>
        <v>25008801.265926376</v>
      </c>
      <c r="F22" s="64">
        <f t="shared" si="6"/>
        <v>5351727.3224884346</v>
      </c>
      <c r="G22" s="66">
        <f t="shared" si="7"/>
        <v>2994418.8590113861</v>
      </c>
      <c r="H22" s="66">
        <f t="shared" si="2"/>
        <v>0</v>
      </c>
      <c r="I22" s="66">
        <f t="shared" si="8"/>
        <v>129619.40915002585</v>
      </c>
      <c r="J22" s="66">
        <f t="shared" si="9"/>
        <v>33484566.856576223</v>
      </c>
      <c r="K22" s="66"/>
      <c r="L22" s="64">
        <f t="shared" si="10"/>
        <v>4333867.0123748658</v>
      </c>
      <c r="M22" s="64">
        <f t="shared" si="11"/>
        <v>84021398.930915684</v>
      </c>
      <c r="N22" s="66">
        <f t="shared" si="12"/>
        <v>3824634.3968872172</v>
      </c>
      <c r="O22" s="66">
        <f t="shared" si="13"/>
        <v>92179900.34017776</v>
      </c>
      <c r="P22" s="65"/>
      <c r="Q22" s="66">
        <f t="shared" si="14"/>
        <v>125664467.19675398</v>
      </c>
      <c r="R22" s="65"/>
      <c r="T22" s="88">
        <v>117.98340658043286</v>
      </c>
      <c r="U22" s="63">
        <v>137.5</v>
      </c>
      <c r="V22" s="61">
        <v>5.6858923456749304</v>
      </c>
      <c r="X22" s="40" t="s">
        <v>107</v>
      </c>
      <c r="Y22" s="40">
        <v>0</v>
      </c>
      <c r="AA22" s="40">
        <v>8</v>
      </c>
      <c r="AB22" s="100">
        <v>0.11784375302010354</v>
      </c>
      <c r="AC22" s="47">
        <v>0.12042143823691849</v>
      </c>
    </row>
    <row r="23" spans="1:29">
      <c r="A23" s="40">
        <v>2015</v>
      </c>
      <c r="B23" s="64">
        <f t="shared" si="3"/>
        <v>2000700</v>
      </c>
      <c r="C23" s="64">
        <f t="shared" si="4"/>
        <v>160056</v>
      </c>
      <c r="D23" s="64"/>
      <c r="E23" s="64">
        <f t="shared" si="5"/>
        <v>24154750.762659632</v>
      </c>
      <c r="F23" s="64">
        <f t="shared" si="6"/>
        <v>5494479.1837347979</v>
      </c>
      <c r="G23" s="66">
        <f t="shared" si="7"/>
        <v>3074291.9242325658</v>
      </c>
      <c r="H23" s="66">
        <f t="shared" si="2"/>
        <v>0</v>
      </c>
      <c r="I23" s="66">
        <f t="shared" si="8"/>
        <v>133076.87452425505</v>
      </c>
      <c r="J23" s="66">
        <f t="shared" si="9"/>
        <v>32856598.745151248</v>
      </c>
      <c r="K23" s="66"/>
      <c r="L23" s="64">
        <f t="shared" si="10"/>
        <v>4449468.4892683234</v>
      </c>
      <c r="M23" s="64">
        <f t="shared" si="11"/>
        <v>89457387.746147424</v>
      </c>
      <c r="N23" s="66">
        <f t="shared" si="12"/>
        <v>4064946.0858624405</v>
      </c>
      <c r="O23" s="66">
        <f t="shared" si="13"/>
        <v>97971802.321278185</v>
      </c>
      <c r="P23" s="65"/>
      <c r="Q23" s="66">
        <f t="shared" si="14"/>
        <v>130828401.06642944</v>
      </c>
      <c r="R23" s="65"/>
      <c r="T23" s="88">
        <v>121.13049346858021</v>
      </c>
      <c r="U23" s="63">
        <v>137.5</v>
      </c>
      <c r="V23" s="61">
        <v>6.0537563373363197</v>
      </c>
      <c r="X23" s="40" t="s">
        <v>115</v>
      </c>
      <c r="Y23" s="40">
        <v>6722</v>
      </c>
      <c r="AA23" s="40">
        <v>9</v>
      </c>
      <c r="AB23" s="100">
        <v>0.11381938913702588</v>
      </c>
      <c r="AC23" s="47">
        <v>0.11709754509080027</v>
      </c>
    </row>
    <row r="24" spans="1:29">
      <c r="A24" s="40">
        <v>2016</v>
      </c>
      <c r="B24" s="64">
        <f t="shared" si="3"/>
        <v>2000700</v>
      </c>
      <c r="C24" s="64">
        <f t="shared" si="4"/>
        <v>160056</v>
      </c>
      <c r="D24" s="64"/>
      <c r="E24" s="64">
        <f t="shared" si="5"/>
        <v>23302156.202190414</v>
      </c>
      <c r="F24" s="64">
        <f t="shared" si="6"/>
        <v>5641148.3666467499</v>
      </c>
      <c r="G24" s="66">
        <f t="shared" si="7"/>
        <v>3156356.8241952057</v>
      </c>
      <c r="H24" s="66">
        <f t="shared" si="2"/>
        <v>0</v>
      </c>
      <c r="I24" s="66">
        <f t="shared" si="8"/>
        <v>136629.21784893784</v>
      </c>
      <c r="J24" s="66">
        <f t="shared" si="9"/>
        <v>32236290.61088131</v>
      </c>
      <c r="K24" s="66"/>
      <c r="L24" s="64">
        <f t="shared" si="10"/>
        <v>4568242.2412274433</v>
      </c>
      <c r="M24" s="64">
        <f t="shared" si="11"/>
        <v>94378537.863288864</v>
      </c>
      <c r="N24" s="66">
        <f t="shared" si="12"/>
        <v>4283109.2703841971</v>
      </c>
      <c r="O24" s="66">
        <f t="shared" si="13"/>
        <v>103229889.3749005</v>
      </c>
      <c r="P24" s="65"/>
      <c r="Q24" s="66">
        <f t="shared" si="14"/>
        <v>135466179.98578182</v>
      </c>
      <c r="R24" s="65"/>
      <c r="T24" s="88">
        <v>124.36394106364088</v>
      </c>
      <c r="U24" s="63">
        <v>137.5</v>
      </c>
      <c r="V24" s="61">
        <v>6.3867801876768571</v>
      </c>
      <c r="X24" s="40" t="s">
        <v>116</v>
      </c>
      <c r="Y24" s="40">
        <v>8300</v>
      </c>
      <c r="AA24" s="40">
        <v>10</v>
      </c>
      <c r="AB24" s="100">
        <v>0.1098018857892301</v>
      </c>
      <c r="AC24" s="47">
        <v>0.1137862082571378</v>
      </c>
    </row>
    <row r="25" spans="1:29">
      <c r="A25" s="40">
        <v>2017</v>
      </c>
      <c r="B25" s="64">
        <f t="shared" si="3"/>
        <v>2000700</v>
      </c>
      <c r="C25" s="64">
        <f t="shared" si="4"/>
        <v>160056</v>
      </c>
      <c r="D25" s="64"/>
      <c r="E25" s="64">
        <f t="shared" si="5"/>
        <v>22449561.641721185</v>
      </c>
      <c r="F25" s="64">
        <f t="shared" si="6"/>
        <v>5793066.7258163178</v>
      </c>
      <c r="G25" s="66">
        <f t="shared" si="7"/>
        <v>3241358.7632543682</v>
      </c>
      <c r="H25" s="66">
        <f t="shared" si="2"/>
        <v>0</v>
      </c>
      <c r="I25" s="66">
        <f t="shared" si="8"/>
        <v>140308.6967849918</v>
      </c>
      <c r="J25" s="66">
        <f t="shared" si="9"/>
        <v>31624295.827576861</v>
      </c>
      <c r="K25" s="66"/>
      <c r="L25" s="64">
        <f t="shared" si="10"/>
        <v>4691266.8136140946</v>
      </c>
      <c r="M25" s="64">
        <f t="shared" si="11"/>
        <v>100659964.5785701</v>
      </c>
      <c r="N25" s="66">
        <f t="shared" si="12"/>
        <v>4560338.7532734768</v>
      </c>
      <c r="O25" s="66">
        <f t="shared" si="13"/>
        <v>109911570.14545767</v>
      </c>
      <c r="P25" s="65"/>
      <c r="Q25" s="66">
        <f t="shared" si="14"/>
        <v>141535865.97303453</v>
      </c>
      <c r="R25" s="65"/>
      <c r="T25" s="88">
        <v>127.7131112393368</v>
      </c>
      <c r="U25" s="63">
        <v>137.5</v>
      </c>
      <c r="V25" s="61">
        <v>6.8118566150486703</v>
      </c>
      <c r="X25" s="40" t="s">
        <v>108</v>
      </c>
      <c r="Y25" s="62">
        <v>0.05</v>
      </c>
      <c r="AA25" s="40">
        <v>11</v>
      </c>
      <c r="AB25" s="100">
        <v>0.1057843824414343</v>
      </c>
      <c r="AC25" s="47">
        <v>0.11047487142347531</v>
      </c>
    </row>
    <row r="26" spans="1:29">
      <c r="A26" s="40">
        <v>2018</v>
      </c>
      <c r="B26" s="64">
        <f t="shared" si="3"/>
        <v>2000700</v>
      </c>
      <c r="C26" s="64">
        <f t="shared" si="4"/>
        <v>160056</v>
      </c>
      <c r="D26" s="64"/>
      <c r="E26" s="64">
        <f t="shared" si="5"/>
        <v>21596967.081251968</v>
      </c>
      <c r="F26" s="64">
        <f t="shared" si="6"/>
        <v>5951072.900753798</v>
      </c>
      <c r="G26" s="66">
        <f t="shared" si="7"/>
        <v>3329766.9801836731</v>
      </c>
      <c r="H26" s="66">
        <f t="shared" si="2"/>
        <v>0</v>
      </c>
      <c r="I26" s="66">
        <f t="shared" si="8"/>
        <v>144135.62327121064</v>
      </c>
      <c r="J26" s="66">
        <f t="shared" si="9"/>
        <v>31021942.585460652</v>
      </c>
      <c r="K26" s="66"/>
      <c r="L26" s="64">
        <f t="shared" si="10"/>
        <v>4819221.3426940022</v>
      </c>
      <c r="M26" s="64">
        <f t="shared" si="11"/>
        <v>106854591.04767556</v>
      </c>
      <c r="N26" s="66">
        <f t="shared" si="12"/>
        <v>4834024.3169419263</v>
      </c>
      <c r="O26" s="66">
        <f t="shared" si="13"/>
        <v>116507836.7073115</v>
      </c>
      <c r="P26" s="65"/>
      <c r="Q26" s="66">
        <f t="shared" si="14"/>
        <v>147529779.29277214</v>
      </c>
      <c r="R26" s="65"/>
      <c r="T26" s="88">
        <v>131.1964925210273</v>
      </c>
      <c r="U26" s="63">
        <v>151.25</v>
      </c>
      <c r="V26" s="61">
        <v>7.2310591000485029</v>
      </c>
      <c r="X26" s="40" t="s">
        <v>109</v>
      </c>
      <c r="Y26" s="40">
        <v>14</v>
      </c>
      <c r="AA26" s="40">
        <v>12</v>
      </c>
      <c r="AB26" s="100">
        <v>0.10176687909363853</v>
      </c>
      <c r="AC26" s="47">
        <v>0.10716353458981281</v>
      </c>
    </row>
    <row r="27" spans="1:29">
      <c r="A27" s="40">
        <v>2019</v>
      </c>
      <c r="B27" s="64">
        <f t="shared" si="3"/>
        <v>2000700</v>
      </c>
      <c r="C27" s="64">
        <f t="shared" si="4"/>
        <v>160056</v>
      </c>
      <c r="D27" s="64"/>
      <c r="E27" s="64">
        <f t="shared" si="5"/>
        <v>20744372.520782746</v>
      </c>
      <c r="F27" s="64">
        <f t="shared" si="6"/>
        <v>6115912.2200080827</v>
      </c>
      <c r="G27" s="66">
        <f t="shared" si="7"/>
        <v>3421998.5040521417</v>
      </c>
      <c r="H27" s="66">
        <f t="shared" si="2"/>
        <v>0</v>
      </c>
      <c r="I27" s="66">
        <f t="shared" si="8"/>
        <v>148128.04924490504</v>
      </c>
      <c r="J27" s="66">
        <f t="shared" si="9"/>
        <v>30430411.294087876</v>
      </c>
      <c r="K27" s="66"/>
      <c r="L27" s="64">
        <f t="shared" si="10"/>
        <v>4952709.4008498313</v>
      </c>
      <c r="M27" s="64">
        <f t="shared" si="11"/>
        <v>112975932.35654019</v>
      </c>
      <c r="N27" s="66">
        <f t="shared" si="12"/>
        <v>5104777.115752141</v>
      </c>
      <c r="O27" s="66">
        <f t="shared" si="13"/>
        <v>123033418.87314217</v>
      </c>
      <c r="P27" s="65"/>
      <c r="Q27" s="66">
        <f t="shared" si="14"/>
        <v>153463830.16723004</v>
      </c>
      <c r="R27" s="65"/>
      <c r="T27" s="88">
        <v>134.83051631411118</v>
      </c>
      <c r="U27" s="63">
        <v>151.25</v>
      </c>
      <c r="V27" s="61">
        <v>7.6453022349664881</v>
      </c>
      <c r="X27" s="69" t="s">
        <v>89</v>
      </c>
      <c r="Y27" s="98">
        <v>7.5700000000000003E-2</v>
      </c>
      <c r="AA27" s="40">
        <v>13</v>
      </c>
      <c r="AB27" s="100">
        <v>9.7749375745842734E-2</v>
      </c>
      <c r="AC27" s="47">
        <v>0.10385219775615034</v>
      </c>
    </row>
    <row r="28" spans="1:29">
      <c r="A28" s="40">
        <v>2020</v>
      </c>
      <c r="B28" s="64">
        <f t="shared" si="3"/>
        <v>2000700</v>
      </c>
      <c r="C28" s="64">
        <f t="shared" si="4"/>
        <v>160056</v>
      </c>
      <c r="D28" s="64"/>
      <c r="E28" s="64">
        <f t="shared" si="5"/>
        <v>19891777.960313521</v>
      </c>
      <c r="F28" s="64">
        <f t="shared" si="6"/>
        <v>6285618.7781065172</v>
      </c>
      <c r="G28" s="66">
        <f t="shared" si="7"/>
        <v>3516953.3639405519</v>
      </c>
      <c r="H28" s="66">
        <f t="shared" si="2"/>
        <v>0</v>
      </c>
      <c r="I28" s="66">
        <f t="shared" si="8"/>
        <v>152238.36026489464</v>
      </c>
      <c r="J28" s="66">
        <f t="shared" si="9"/>
        <v>29846588.462625485</v>
      </c>
      <c r="K28" s="66"/>
      <c r="L28" s="64">
        <f t="shared" si="10"/>
        <v>5090138.9837876437</v>
      </c>
      <c r="M28" s="64">
        <f t="shared" si="11"/>
        <v>119004123.89026706</v>
      </c>
      <c r="N28" s="66">
        <f t="shared" si="12"/>
        <v>5371668.3570292052</v>
      </c>
      <c r="O28" s="66">
        <f t="shared" si="13"/>
        <v>129465931.2310839</v>
      </c>
      <c r="P28" s="65"/>
      <c r="Q28" s="66">
        <f t="shared" si="14"/>
        <v>159312519.69370937</v>
      </c>
      <c r="R28" s="65"/>
      <c r="T28" s="88">
        <v>138.57184255084914</v>
      </c>
      <c r="U28" s="63">
        <v>151.25</v>
      </c>
      <c r="V28" s="61">
        <v>8.0532417424729292</v>
      </c>
      <c r="X28" s="52" t="s">
        <v>82</v>
      </c>
      <c r="Y28" s="51">
        <v>2.66E-3</v>
      </c>
      <c r="AA28" s="40">
        <v>14</v>
      </c>
      <c r="AB28" s="100">
        <v>9.373187239804695E-2</v>
      </c>
      <c r="AC28" s="47">
        <v>0.1005408609224879</v>
      </c>
    </row>
    <row r="29" spans="1:29">
      <c r="A29" s="40">
        <v>2021</v>
      </c>
      <c r="B29" s="64">
        <f t="shared" si="3"/>
        <v>2000700</v>
      </c>
      <c r="C29" s="64">
        <f t="shared" si="4"/>
        <v>160056</v>
      </c>
      <c r="D29" s="64"/>
      <c r="E29" s="64">
        <f t="shared" si="5"/>
        <v>19039183.399844307</v>
      </c>
      <c r="F29" s="64">
        <f t="shared" si="6"/>
        <v>6458372.1419448517</v>
      </c>
      <c r="G29" s="66">
        <f t="shared" si="7"/>
        <v>3613612.9841834293</v>
      </c>
      <c r="H29" s="66">
        <f t="shared" si="2"/>
        <v>0</v>
      </c>
      <c r="I29" s="66">
        <f t="shared" si="8"/>
        <v>156422.46524634809</v>
      </c>
      <c r="J29" s="66">
        <f t="shared" si="9"/>
        <v>29267590.991218939</v>
      </c>
      <c r="K29" s="66"/>
      <c r="L29" s="64">
        <f t="shared" si="10"/>
        <v>5230035.8917765273</v>
      </c>
      <c r="M29" s="64">
        <f t="shared" si="11"/>
        <v>125914743.02968808</v>
      </c>
      <c r="N29" s="66">
        <f t="shared" si="12"/>
        <v>5676864.0451734373</v>
      </c>
      <c r="O29" s="66">
        <f t="shared" si="13"/>
        <v>136821642.96663806</v>
      </c>
      <c r="P29" s="65"/>
      <c r="Q29" s="66">
        <f t="shared" si="14"/>
        <v>166089233.95785701</v>
      </c>
      <c r="R29" s="65"/>
      <c r="T29" s="88">
        <v>142.38033822629745</v>
      </c>
      <c r="U29" s="63">
        <v>151.25</v>
      </c>
      <c r="V29" s="61">
        <v>8.5208968513936494</v>
      </c>
      <c r="X29" s="52" t="s">
        <v>83</v>
      </c>
      <c r="Y29" s="51">
        <v>2E-3</v>
      </c>
      <c r="AA29" s="40">
        <v>15</v>
      </c>
      <c r="AB29" s="100">
        <v>8.9714369050251194E-2</v>
      </c>
      <c r="AC29" s="47">
        <v>9.7229524088825431E-2</v>
      </c>
    </row>
    <row r="30" spans="1:29">
      <c r="A30" s="40">
        <v>2022</v>
      </c>
      <c r="B30" s="64">
        <f t="shared" si="3"/>
        <v>2000700</v>
      </c>
      <c r="C30" s="64">
        <f t="shared" si="4"/>
        <v>160056</v>
      </c>
      <c r="D30" s="64"/>
      <c r="E30" s="64">
        <f t="shared" si="5"/>
        <v>18186588.839375079</v>
      </c>
      <c r="F30" s="64">
        <f t="shared" si="6"/>
        <v>6635777.1441450771</v>
      </c>
      <c r="G30" s="66">
        <f t="shared" si="7"/>
        <v>3712875.3068430787</v>
      </c>
      <c r="H30" s="66">
        <f t="shared" si="2"/>
        <v>0</v>
      </c>
      <c r="I30" s="66">
        <f t="shared" si="8"/>
        <v>160719.23340731632</v>
      </c>
      <c r="J30" s="66">
        <f t="shared" si="9"/>
        <v>28695960.523770552</v>
      </c>
      <c r="K30" s="66"/>
      <c r="L30" s="64">
        <f t="shared" si="10"/>
        <v>5373699.7297368553</v>
      </c>
      <c r="M30" s="64">
        <f t="shared" si="11"/>
        <v>133275865.1139461</v>
      </c>
      <c r="N30" s="66">
        <f t="shared" si="12"/>
        <v>6001723.7133885026</v>
      </c>
      <c r="O30" s="66">
        <f t="shared" si="13"/>
        <v>144651288.55707145</v>
      </c>
      <c r="P30" s="65"/>
      <c r="Q30" s="66">
        <f t="shared" si="14"/>
        <v>173347249.08084199</v>
      </c>
      <c r="R30" s="65"/>
      <c r="T30" s="88">
        <v>146.29138324834824</v>
      </c>
      <c r="U30" s="63">
        <v>151.25</v>
      </c>
      <c r="V30" s="61">
        <v>9.0190383754222498</v>
      </c>
      <c r="X30" s="52" t="s">
        <v>84</v>
      </c>
      <c r="Y30" s="51">
        <f>3.8627%</f>
        <v>3.8626999999999995E-2</v>
      </c>
      <c r="AA30" s="40">
        <v>16</v>
      </c>
      <c r="AB30" s="100">
        <v>8.5696865702455369E-2</v>
      </c>
      <c r="AC30" s="47">
        <v>9.3918187255162947E-2</v>
      </c>
    </row>
    <row r="31" spans="1:29">
      <c r="A31" s="40">
        <v>2023</v>
      </c>
      <c r="B31" s="64">
        <f t="shared" si="3"/>
        <v>2000700</v>
      </c>
      <c r="C31" s="64">
        <f t="shared" si="4"/>
        <v>160056</v>
      </c>
      <c r="D31" s="64"/>
      <c r="E31" s="64">
        <f t="shared" si="5"/>
        <v>17333994.278905865</v>
      </c>
      <c r="F31" s="64">
        <f t="shared" si="6"/>
        <v>6817555.0109653417</v>
      </c>
      <c r="G31" s="66">
        <f t="shared" si="7"/>
        <v>3814584.3513734643</v>
      </c>
      <c r="H31" s="66">
        <f t="shared" si="2"/>
        <v>0</v>
      </c>
      <c r="I31" s="66">
        <f t="shared" si="8"/>
        <v>165121.91281790312</v>
      </c>
      <c r="J31" s="66">
        <f t="shared" si="9"/>
        <v>28131255.554062575</v>
      </c>
      <c r="K31" s="66"/>
      <c r="L31" s="64">
        <f t="shared" si="10"/>
        <v>5520904.7447012402</v>
      </c>
      <c r="M31" s="64">
        <f t="shared" si="11"/>
        <v>141078896.98646411</v>
      </c>
      <c r="N31" s="66">
        <f t="shared" si="12"/>
        <v>6345865.6175369537</v>
      </c>
      <c r="O31" s="66">
        <f t="shared" si="13"/>
        <v>152945667.34870231</v>
      </c>
      <c r="P31" s="65"/>
      <c r="Q31" s="66">
        <f t="shared" si="14"/>
        <v>181076922.90276489</v>
      </c>
      <c r="R31" s="65"/>
      <c r="T31" s="88">
        <v>150.29883181140522</v>
      </c>
      <c r="U31" s="63">
        <v>151.25</v>
      </c>
      <c r="V31" s="61">
        <v>9.5470847988516852</v>
      </c>
      <c r="AA31" s="40">
        <v>17</v>
      </c>
      <c r="AB31" s="100">
        <v>8.1679362354659613E-2</v>
      </c>
      <c r="AC31" s="47">
        <v>9.0606850421500462E-2</v>
      </c>
    </row>
    <row r="32" spans="1:29">
      <c r="A32" s="40">
        <v>2024</v>
      </c>
      <c r="B32" s="64">
        <f t="shared" si="3"/>
        <v>2000700</v>
      </c>
      <c r="C32" s="64">
        <f t="shared" si="4"/>
        <v>160056</v>
      </c>
      <c r="D32" s="64"/>
      <c r="E32" s="64">
        <f t="shared" si="5"/>
        <v>16481399.718436643</v>
      </c>
      <c r="F32" s="64">
        <f t="shared" si="6"/>
        <v>7004660.2961537223</v>
      </c>
      <c r="G32" s="66">
        <f t="shared" si="7"/>
        <v>3919274.2133241058</v>
      </c>
      <c r="H32" s="66">
        <f t="shared" si="2"/>
        <v>0</v>
      </c>
      <c r="I32" s="66">
        <f t="shared" si="8"/>
        <v>169653.62287216054</v>
      </c>
      <c r="J32" s="66">
        <f t="shared" si="9"/>
        <v>27574987.850786634</v>
      </c>
      <c r="K32" s="66"/>
      <c r="L32" s="64">
        <f t="shared" si="10"/>
        <v>5672423.9411131116</v>
      </c>
      <c r="M32" s="64">
        <f t="shared" si="11"/>
        <v>149341593.64014032</v>
      </c>
      <c r="N32" s="66">
        <f t="shared" si="12"/>
        <v>6710091.7790397163</v>
      </c>
      <c r="O32" s="66">
        <f t="shared" si="13"/>
        <v>161724109.36029315</v>
      </c>
      <c r="P32" s="65"/>
      <c r="Q32" s="66">
        <f t="shared" si="14"/>
        <v>189299097.21107978</v>
      </c>
      <c r="R32" s="65"/>
      <c r="T32" s="88">
        <v>154.4237278693501</v>
      </c>
      <c r="U32" s="63">
        <v>166.375</v>
      </c>
      <c r="V32" s="61">
        <v>10.106237636766227</v>
      </c>
      <c r="AA32" s="40">
        <v>18</v>
      </c>
      <c r="AB32" s="100">
        <v>7.7661859006863843E-2</v>
      </c>
      <c r="AC32" s="47">
        <v>8.7295513587837978E-2</v>
      </c>
    </row>
    <row r="33" spans="1:29">
      <c r="A33" s="40">
        <v>2025</v>
      </c>
      <c r="B33" s="64">
        <f t="shared" si="3"/>
        <v>2000700</v>
      </c>
      <c r="C33" s="64">
        <f t="shared" si="4"/>
        <v>160056</v>
      </c>
      <c r="D33" s="64"/>
      <c r="E33" s="64">
        <f t="shared" si="5"/>
        <v>15628805.157967426</v>
      </c>
      <c r="F33" s="64">
        <f t="shared" si="6"/>
        <v>7197160.2299681222</v>
      </c>
      <c r="G33" s="66">
        <f t="shared" si="7"/>
        <v>4026982.5096250204</v>
      </c>
      <c r="H33" s="66">
        <f t="shared" si="2"/>
        <v>0</v>
      </c>
      <c r="I33" s="66">
        <f t="shared" si="8"/>
        <v>174315.99189413822</v>
      </c>
      <c r="J33" s="66">
        <f t="shared" si="9"/>
        <v>27027263.889454708</v>
      </c>
      <c r="K33" s="66"/>
      <c r="L33" s="64">
        <f t="shared" si="10"/>
        <v>5828311.7625155421</v>
      </c>
      <c r="M33" s="64">
        <f t="shared" si="11"/>
        <v>158112383.33090091</v>
      </c>
      <c r="N33" s="66">
        <f t="shared" si="12"/>
        <v>7096500.868508717</v>
      </c>
      <c r="O33" s="66">
        <f t="shared" si="13"/>
        <v>171037195.96192518</v>
      </c>
      <c r="P33" s="65"/>
      <c r="Q33" s="66">
        <f t="shared" si="14"/>
        <v>198064459.85137987</v>
      </c>
      <c r="R33" s="65"/>
      <c r="T33" s="88">
        <v>158.6675535707258</v>
      </c>
      <c r="U33" s="63">
        <v>166.375</v>
      </c>
      <c r="V33" s="61">
        <v>10.699774123932125</v>
      </c>
      <c r="AA33" s="40">
        <v>19</v>
      </c>
      <c r="AB33" s="100">
        <v>7.3644355659068073E-2</v>
      </c>
      <c r="AC33" s="47">
        <v>8.3984176754175494E-2</v>
      </c>
    </row>
    <row r="34" spans="1:29">
      <c r="A34" s="40">
        <v>2026</v>
      </c>
      <c r="B34" s="64">
        <f t="shared" si="3"/>
        <v>2000700</v>
      </c>
      <c r="C34" s="64">
        <f t="shared" si="4"/>
        <v>160056</v>
      </c>
      <c r="D34" s="64"/>
      <c r="E34" s="64">
        <f t="shared" si="5"/>
        <v>14776210.597498203</v>
      </c>
      <c r="F34" s="64">
        <f t="shared" si="6"/>
        <v>7394206.8997592265</v>
      </c>
      <c r="G34" s="66">
        <f t="shared" si="7"/>
        <v>4137234.8129605199</v>
      </c>
      <c r="H34" s="66">
        <f t="shared" si="2"/>
        <v>0</v>
      </c>
      <c r="I34" s="66">
        <f t="shared" si="8"/>
        <v>179088.48334862199</v>
      </c>
      <c r="J34" s="66">
        <f t="shared" si="9"/>
        <v>26486740.793566573</v>
      </c>
      <c r="K34" s="66"/>
      <c r="L34" s="64">
        <f t="shared" si="10"/>
        <v>5987881.563188592</v>
      </c>
      <c r="M34" s="64">
        <f t="shared" si="11"/>
        <v>167362975.35997856</v>
      </c>
      <c r="N34" s="66">
        <f t="shared" si="12"/>
        <v>7503838.543633135</v>
      </c>
      <c r="O34" s="66">
        <f t="shared" si="13"/>
        <v>180854695.46680027</v>
      </c>
      <c r="P34" s="65"/>
      <c r="Q34" s="66">
        <f t="shared" si="14"/>
        <v>207341436.26036686</v>
      </c>
      <c r="R34" s="65"/>
      <c r="T34" s="88">
        <v>163.01161595589124</v>
      </c>
      <c r="U34" s="63">
        <v>166.375</v>
      </c>
      <c r="V34" s="61">
        <v>11.325779773449353</v>
      </c>
      <c r="AA34" s="40">
        <v>20</v>
      </c>
      <c r="AB34" s="100">
        <v>6.9626852311272275E-2</v>
      </c>
      <c r="AC34" s="47">
        <v>8.0672839920513037E-2</v>
      </c>
    </row>
    <row r="35" spans="1:29">
      <c r="A35" s="40">
        <v>2027</v>
      </c>
      <c r="B35" s="64">
        <f t="shared" si="3"/>
        <v>2000700</v>
      </c>
      <c r="C35" s="64">
        <f t="shared" si="4"/>
        <v>160056</v>
      </c>
      <c r="D35" s="64"/>
      <c r="E35" s="64">
        <f t="shared" si="5"/>
        <v>13973430.667434592</v>
      </c>
      <c r="F35" s="64">
        <f t="shared" si="6"/>
        <v>7596676.0375934187</v>
      </c>
      <c r="G35" s="66">
        <f t="shared" si="7"/>
        <v>4250521.1162725082</v>
      </c>
      <c r="H35" s="66">
        <f t="shared" si="2"/>
        <v>0</v>
      </c>
      <c r="I35" s="66">
        <f t="shared" si="8"/>
        <v>183992.30756008803</v>
      </c>
      <c r="J35" s="66">
        <f t="shared" si="9"/>
        <v>26004620.128860608</v>
      </c>
      <c r="K35" s="66"/>
      <c r="L35" s="64">
        <f t="shared" si="10"/>
        <v>6151842.5172148477</v>
      </c>
      <c r="M35" s="64">
        <f t="shared" si="11"/>
        <v>177172588.2923367</v>
      </c>
      <c r="N35" s="66">
        <f t="shared" si="12"/>
        <v>7935564.6364530558</v>
      </c>
      <c r="O35" s="66">
        <f t="shared" si="13"/>
        <v>191259995.4460046</v>
      </c>
      <c r="P35" s="65"/>
      <c r="Q35" s="66">
        <f t="shared" si="14"/>
        <v>217264615.57486522</v>
      </c>
      <c r="R35" s="65"/>
      <c r="T35" s="88">
        <v>167.47522128733289</v>
      </c>
      <c r="U35" s="63">
        <v>166.375</v>
      </c>
      <c r="V35" s="61">
        <v>11.989615460498431</v>
      </c>
      <c r="AA35" s="40">
        <v>21</v>
      </c>
      <c r="AB35" s="100">
        <v>6.5844080046341499E-2</v>
      </c>
      <c r="AC35" s="47">
        <v>7.7813530335257272E-2</v>
      </c>
    </row>
    <row r="36" spans="1:29">
      <c r="A36" s="40">
        <v>2028</v>
      </c>
      <c r="B36" s="64">
        <f t="shared" si="3"/>
        <v>2000700</v>
      </c>
      <c r="C36" s="64">
        <f t="shared" si="4"/>
        <v>160056</v>
      </c>
      <c r="D36" s="64"/>
      <c r="E36" s="64">
        <f t="shared" si="5"/>
        <v>13272812.353338979</v>
      </c>
      <c r="F36" s="64">
        <f t="shared" si="6"/>
        <v>7804873.6570584262</v>
      </c>
      <c r="G36" s="66">
        <f t="shared" si="7"/>
        <v>4367012.6414493583</v>
      </c>
      <c r="H36" s="66">
        <f t="shared" si="2"/>
        <v>0</v>
      </c>
      <c r="I36" s="66">
        <f t="shared" si="8"/>
        <v>189034.87621041833</v>
      </c>
      <c r="J36" s="66">
        <f t="shared" si="9"/>
        <v>25633733.52805718</v>
      </c>
      <c r="K36" s="66"/>
      <c r="L36" s="64">
        <f t="shared" si="10"/>
        <v>6320442.4365834631</v>
      </c>
      <c r="M36" s="64">
        <f t="shared" si="11"/>
        <v>187595076.61880398</v>
      </c>
      <c r="N36" s="66">
        <f t="shared" si="12"/>
        <v>8394021.0733505543</v>
      </c>
      <c r="O36" s="66">
        <f t="shared" si="13"/>
        <v>202309540.12873799</v>
      </c>
      <c r="P36" s="65"/>
      <c r="Q36" s="66">
        <f t="shared" si="14"/>
        <v>227943273.65679517</v>
      </c>
      <c r="R36" s="65"/>
      <c r="T36" s="88">
        <v>172.06511589634977</v>
      </c>
      <c r="U36" s="63">
        <v>166.375</v>
      </c>
      <c r="V36" s="61">
        <v>12.694925623770914</v>
      </c>
      <c r="AA36" s="40">
        <v>22</v>
      </c>
      <c r="AB36" s="100">
        <v>6.2542702635656297E-2</v>
      </c>
      <c r="AC36" s="47">
        <v>7.5857667683309038E-2</v>
      </c>
    </row>
    <row r="37" spans="1:29">
      <c r="A37" s="40">
        <v>2029</v>
      </c>
      <c r="B37" s="64">
        <f t="shared" si="3"/>
        <v>2000700</v>
      </c>
      <c r="C37" s="64">
        <f t="shared" si="4"/>
        <v>160056</v>
      </c>
      <c r="D37" s="64"/>
      <c r="E37" s="64">
        <f t="shared" si="5"/>
        <v>12624537.531109117</v>
      </c>
      <c r="F37" s="64">
        <f t="shared" si="6"/>
        <v>8018616.034087372</v>
      </c>
      <c r="G37" s="66">
        <f t="shared" si="7"/>
        <v>4486606.5905012675</v>
      </c>
      <c r="H37" s="66">
        <f t="shared" si="2"/>
        <v>0</v>
      </c>
      <c r="I37" s="66">
        <f t="shared" si="8"/>
        <v>194211.73948302833</v>
      </c>
      <c r="J37" s="66">
        <f t="shared" si="9"/>
        <v>25323971.895180784</v>
      </c>
      <c r="K37" s="66"/>
      <c r="L37" s="64">
        <f t="shared" si="10"/>
        <v>6493532.5402327683</v>
      </c>
      <c r="M37" s="64">
        <f t="shared" si="11"/>
        <v>198648768.40783778</v>
      </c>
      <c r="N37" s="66">
        <f t="shared" si="12"/>
        <v>8879994.7811391279</v>
      </c>
      <c r="O37" s="66">
        <f t="shared" si="13"/>
        <v>214022295.72920969</v>
      </c>
      <c r="P37" s="65"/>
      <c r="Q37" s="66">
        <f t="shared" si="14"/>
        <v>239346267.62439048</v>
      </c>
      <c r="R37" s="65"/>
      <c r="T37" s="88">
        <v>176.77724942873394</v>
      </c>
      <c r="U37" s="63">
        <v>166.375</v>
      </c>
      <c r="V37" s="61">
        <v>13.442950559494657</v>
      </c>
      <c r="AA37" s="40">
        <v>23</v>
      </c>
      <c r="AB37" s="100">
        <v>5.9487972533734404E-2</v>
      </c>
      <c r="AC37" s="47">
        <v>7.4353224716261587E-2</v>
      </c>
    </row>
    <row r="38" spans="1:29">
      <c r="A38" s="40">
        <v>2030</v>
      </c>
      <c r="B38" s="64">
        <f t="shared" si="3"/>
        <v>2000700</v>
      </c>
      <c r="C38" s="64">
        <f t="shared" si="4"/>
        <v>160056</v>
      </c>
      <c r="D38" s="64"/>
      <c r="E38" s="64">
        <f t="shared" si="5"/>
        <v>11976262.708879251</v>
      </c>
      <c r="F38" s="64">
        <f t="shared" si="6"/>
        <v>8238599.2336780932</v>
      </c>
      <c r="G38" s="66">
        <f t="shared" si="7"/>
        <v>4609692.4283675049</v>
      </c>
      <c r="H38" s="66">
        <f t="shared" si="2"/>
        <v>0</v>
      </c>
      <c r="I38" s="66">
        <f t="shared" si="8"/>
        <v>199539.75614674416</v>
      </c>
      <c r="J38" s="66">
        <f t="shared" si="9"/>
        <v>25024094.127071589</v>
      </c>
      <c r="K38" s="66"/>
      <c r="L38" s="64">
        <f t="shared" si="10"/>
        <v>6671676.5065699033</v>
      </c>
      <c r="M38" s="64">
        <f t="shared" si="11"/>
        <v>210375713.35292014</v>
      </c>
      <c r="N38" s="66">
        <f t="shared" si="12"/>
        <v>9395330.3648477439</v>
      </c>
      <c r="O38" s="66">
        <f t="shared" si="13"/>
        <v>226442720.22433779</v>
      </c>
      <c r="P38" s="65"/>
      <c r="Q38" s="66">
        <f t="shared" si="14"/>
        <v>251466814.35140938</v>
      </c>
      <c r="R38" s="65"/>
      <c r="T38" s="88">
        <v>181.62696723276221</v>
      </c>
      <c r="U38" s="63">
        <f>U32/U26*U32</f>
        <v>183.01250000000002</v>
      </c>
      <c r="V38" s="61">
        <v>14.23653585264384</v>
      </c>
      <c r="AA38" s="40">
        <v>24</v>
      </c>
      <c r="AB38" s="100">
        <v>5.6433242431812518E-2</v>
      </c>
      <c r="AC38" s="47">
        <v>7.2848781749214123E-2</v>
      </c>
    </row>
    <row r="39" spans="1:29">
      <c r="A39" s="40">
        <v>2031</v>
      </c>
      <c r="B39" s="64">
        <f t="shared" si="3"/>
        <v>2000700</v>
      </c>
      <c r="C39" s="64">
        <f t="shared" si="4"/>
        <v>160056</v>
      </c>
      <c r="D39" s="64"/>
      <c r="E39" s="64">
        <f t="shared" si="5"/>
        <v>11327987.886649389</v>
      </c>
      <c r="F39" s="64">
        <f t="shared" si="6"/>
        <v>8465164.6232608408</v>
      </c>
      <c r="G39" s="66">
        <f t="shared" si="7"/>
        <v>4736461.1582530895</v>
      </c>
      <c r="H39" s="66">
        <f t="shared" si="2"/>
        <v>0</v>
      </c>
      <c r="I39" s="66">
        <f t="shared" si="8"/>
        <v>205027.19415730145</v>
      </c>
      <c r="J39" s="66">
        <f t="shared" si="9"/>
        <v>24734640.862320621</v>
      </c>
      <c r="K39" s="66"/>
      <c r="L39" s="64">
        <f t="shared" si="10"/>
        <v>6855150.7773782229</v>
      </c>
      <c r="M39" s="64">
        <f t="shared" si="11"/>
        <v>222794941.66249162</v>
      </c>
      <c r="N39" s="66">
        <f t="shared" si="12"/>
        <v>9940863.5514446441</v>
      </c>
      <c r="O39" s="66">
        <f t="shared" si="13"/>
        <v>239590955.9913145</v>
      </c>
      <c r="P39" s="65"/>
      <c r="Q39" s="66">
        <f t="shared" si="14"/>
        <v>264325596.85363513</v>
      </c>
      <c r="R39" s="65"/>
      <c r="T39" s="88">
        <v>186.62179504543298</v>
      </c>
      <c r="U39" s="63">
        <v>183.01250000000002</v>
      </c>
      <c r="V39" s="61">
        <f t="shared" ref="V39:V49" si="15">V38/V37*V38</f>
        <v>15.07696931463181</v>
      </c>
      <c r="AA39" s="40">
        <v>25</v>
      </c>
      <c r="AB39" s="100">
        <v>5.3378512329890625E-2</v>
      </c>
      <c r="AC39" s="47">
        <v>7.1344338782166686E-2</v>
      </c>
    </row>
    <row r="40" spans="1:29">
      <c r="A40" s="40">
        <v>2032</v>
      </c>
      <c r="B40" s="64">
        <f t="shared" si="3"/>
        <v>2000700</v>
      </c>
      <c r="C40" s="64">
        <f t="shared" si="4"/>
        <v>160056</v>
      </c>
      <c r="D40" s="64"/>
      <c r="E40" s="64">
        <f t="shared" si="5"/>
        <v>10679713.064419523</v>
      </c>
      <c r="F40" s="64">
        <f t="shared" si="6"/>
        <v>8700471.1055141538</v>
      </c>
      <c r="G40" s="66">
        <f t="shared" si="7"/>
        <v>4868120.7376091098</v>
      </c>
      <c r="H40" s="66">
        <f t="shared" si="2"/>
        <v>0</v>
      </c>
      <c r="I40" s="66">
        <f t="shared" si="8"/>
        <v>210726.3423688855</v>
      </c>
      <c r="J40" s="66">
        <f t="shared" si="9"/>
        <v>24459031.249911673</v>
      </c>
      <c r="K40" s="66"/>
      <c r="L40" s="64">
        <f t="shared" si="10"/>
        <v>7045703.6474675443</v>
      </c>
      <c r="M40" s="64">
        <f t="shared" si="11"/>
        <v>235947321.29141963</v>
      </c>
      <c r="N40" s="66">
        <f t="shared" si="12"/>
        <v>10518439.070529608</v>
      </c>
      <c r="O40" s="66">
        <f t="shared" si="13"/>
        <v>253511464.00941679</v>
      </c>
      <c r="P40" s="65"/>
      <c r="Q40" s="66">
        <f t="shared" si="14"/>
        <v>277970495.25932848</v>
      </c>
      <c r="R40" s="65"/>
      <c r="T40" s="88">
        <v>191.80932772297518</v>
      </c>
      <c r="U40" s="63">
        <v>183.01250000000002</v>
      </c>
      <c r="V40" s="61">
        <f t="shared" si="15"/>
        <v>15.967016559870144</v>
      </c>
      <c r="AA40" s="40">
        <v>26</v>
      </c>
      <c r="AB40" s="100">
        <v>5.0323782227968725E-2</v>
      </c>
      <c r="AC40" s="47">
        <v>6.9839895815119235E-2</v>
      </c>
    </row>
    <row r="41" spans="1:29">
      <c r="A41" s="40">
        <v>2033</v>
      </c>
      <c r="B41" s="64">
        <f t="shared" si="3"/>
        <v>2000700</v>
      </c>
      <c r="C41" s="64">
        <f t="shared" si="4"/>
        <v>160056</v>
      </c>
      <c r="D41" s="64"/>
      <c r="E41" s="64">
        <f t="shared" si="5"/>
        <v>10031438.242189659</v>
      </c>
      <c r="F41" s="64">
        <f t="shared" si="6"/>
        <v>8944093.8547565993</v>
      </c>
      <c r="G41" s="66">
        <f t="shared" si="7"/>
        <v>5004433.4663519058</v>
      </c>
      <c r="H41" s="66">
        <f t="shared" si="2"/>
        <v>0</v>
      </c>
      <c r="I41" s="66">
        <f t="shared" si="8"/>
        <v>216626.9114579749</v>
      </c>
      <c r="J41" s="66">
        <f t="shared" si="9"/>
        <v>24196592.47475614</v>
      </c>
      <c r="K41" s="66"/>
      <c r="L41" s="64">
        <f t="shared" si="10"/>
        <v>7242991.0899665691</v>
      </c>
      <c r="M41" s="64">
        <f t="shared" si="11"/>
        <v>249876132.77563405</v>
      </c>
      <c r="N41" s="66">
        <f t="shared" si="12"/>
        <v>11129915.514770253</v>
      </c>
      <c r="O41" s="66">
        <f t="shared" si="13"/>
        <v>268249039.38037086</v>
      </c>
      <c r="P41" s="65"/>
      <c r="Q41" s="66">
        <f t="shared" si="14"/>
        <v>292445631.85512698</v>
      </c>
      <c r="R41" s="65"/>
      <c r="T41" s="88">
        <v>197.18019961985445</v>
      </c>
      <c r="U41" s="63">
        <v>183.01250000000002</v>
      </c>
      <c r="V41" s="61">
        <f t="shared" si="15"/>
        <v>16.909606466848032</v>
      </c>
      <c r="AA41" s="40">
        <v>27</v>
      </c>
      <c r="AB41" s="100">
        <v>4.7269052126046832E-2</v>
      </c>
      <c r="AC41" s="47">
        <v>6.8335452848071784E-2</v>
      </c>
    </row>
    <row r="42" spans="1:29">
      <c r="A42" s="40">
        <v>2034</v>
      </c>
      <c r="B42" s="64">
        <f t="shared" si="3"/>
        <v>2000700</v>
      </c>
      <c r="C42" s="64">
        <f t="shared" si="4"/>
        <v>160056</v>
      </c>
      <c r="D42" s="64"/>
      <c r="E42" s="64">
        <f t="shared" si="5"/>
        <v>9383163.4199597947</v>
      </c>
      <c r="F42" s="64">
        <f t="shared" si="6"/>
        <v>9194175.9248990212</v>
      </c>
      <c r="G42" s="66">
        <f t="shared" si="7"/>
        <v>5144360.3389315959</v>
      </c>
      <c r="H42" s="66">
        <f t="shared" si="2"/>
        <v>0</v>
      </c>
      <c r="I42" s="66">
        <f t="shared" si="8"/>
        <v>222683.92599133195</v>
      </c>
      <c r="J42" s="66">
        <f t="shared" si="9"/>
        <v>23944383.609781746</v>
      </c>
      <c r="K42" s="66"/>
      <c r="L42" s="64">
        <f t="shared" si="10"/>
        <v>7445509.3366684066</v>
      </c>
      <c r="M42" s="64">
        <f t="shared" si="11"/>
        <v>264627211.65538782</v>
      </c>
      <c r="N42" s="66">
        <f t="shared" si="12"/>
        <v>11777211.873583136</v>
      </c>
      <c r="O42" s="66">
        <f t="shared" si="13"/>
        <v>283849932.86563939</v>
      </c>
      <c r="P42" s="65"/>
      <c r="Q42" s="66">
        <f t="shared" si="14"/>
        <v>307794316.47542113</v>
      </c>
      <c r="R42" s="65"/>
      <c r="T42" s="88">
        <v>202.69347277114247</v>
      </c>
      <c r="U42" s="63">
        <v>183.01250000000002</v>
      </c>
      <c r="V42" s="61">
        <f t="shared" si="15"/>
        <v>17.907840816192792</v>
      </c>
      <c r="AA42" s="40">
        <v>28</v>
      </c>
      <c r="AB42" s="100">
        <v>4.4214322024124939E-2</v>
      </c>
      <c r="AC42" s="47">
        <v>6.6831009881024334E-2</v>
      </c>
    </row>
    <row r="43" spans="1:29">
      <c r="A43" s="40">
        <v>2035</v>
      </c>
      <c r="B43" s="64">
        <f t="shared" si="3"/>
        <v>2000700</v>
      </c>
      <c r="C43" s="64">
        <f t="shared" si="4"/>
        <v>160056</v>
      </c>
      <c r="D43" s="64"/>
      <c r="E43" s="64">
        <f t="shared" si="5"/>
        <v>8734888.5977299325</v>
      </c>
      <c r="F43" s="64">
        <f t="shared" si="6"/>
        <v>9451706.6439608317</v>
      </c>
      <c r="G43" s="66">
        <f t="shared" si="7"/>
        <v>5288454.9079304654</v>
      </c>
      <c r="H43" s="66">
        <f t="shared" si="2"/>
        <v>0</v>
      </c>
      <c r="I43" s="66">
        <f t="shared" si="8"/>
        <v>228921.34759958601</v>
      </c>
      <c r="J43" s="66">
        <f t="shared" si="9"/>
        <v>23703971.497220811</v>
      </c>
      <c r="K43" s="66"/>
      <c r="L43" s="64">
        <f t="shared" si="10"/>
        <v>7654059.5524697946</v>
      </c>
      <c r="M43" s="64">
        <f t="shared" si="11"/>
        <v>280249099.30627018</v>
      </c>
      <c r="N43" s="66">
        <f t="shared" si="12"/>
        <v>12462464.037518274</v>
      </c>
      <c r="O43" s="66">
        <f t="shared" si="13"/>
        <v>300365622.89625823</v>
      </c>
      <c r="P43" s="65"/>
      <c r="Q43" s="66">
        <f t="shared" si="14"/>
        <v>324069594.39347905</v>
      </c>
      <c r="R43" s="65"/>
      <c r="T43" s="88">
        <v>208.37095775927759</v>
      </c>
      <c r="U43" s="63">
        <f>U38/U31*U38</f>
        <v>221.44512500000005</v>
      </c>
      <c r="V43" s="61">
        <f t="shared" si="15"/>
        <v>18.965004497699443</v>
      </c>
      <c r="AA43" s="40">
        <v>29</v>
      </c>
      <c r="AB43" s="100">
        <v>4.1159591922203052E-2</v>
      </c>
      <c r="AC43" s="47">
        <v>6.5326566913976883E-2</v>
      </c>
    </row>
    <row r="44" spans="1:29">
      <c r="A44" s="40">
        <v>2036</v>
      </c>
      <c r="B44" s="64">
        <f t="shared" si="3"/>
        <v>2000700</v>
      </c>
      <c r="C44" s="64">
        <f t="shared" si="4"/>
        <v>160056</v>
      </c>
      <c r="D44" s="64"/>
      <c r="E44" s="64">
        <f t="shared" si="5"/>
        <v>8086613.7755000647</v>
      </c>
      <c r="F44" s="64">
        <f t="shared" si="6"/>
        <v>9716450.8503217995</v>
      </c>
      <c r="G44" s="66">
        <f t="shared" si="7"/>
        <v>5436585.5948229125</v>
      </c>
      <c r="H44" s="66">
        <f t="shared" si="2"/>
        <v>0</v>
      </c>
      <c r="I44" s="66">
        <f t="shared" si="8"/>
        <v>235333.48064309938</v>
      </c>
      <c r="J44" s="66">
        <f t="shared" si="9"/>
        <v>23474983.701287881</v>
      </c>
      <c r="K44" s="66"/>
      <c r="L44" s="64">
        <f t="shared" si="10"/>
        <v>7868451.3018109538</v>
      </c>
      <c r="M44" s="64">
        <f>((B44*$Y$23/1000*(1+($Y$22/100)))+(C44*$Y$24/1000*(1+($Y$22/100))))*V44</f>
        <v>296793202.67431247</v>
      </c>
      <c r="N44" s="66">
        <f t="shared" si="12"/>
        <v>13187889.015664453</v>
      </c>
      <c r="O44" s="66">
        <f t="shared" si="13"/>
        <v>317849542.99178791</v>
      </c>
      <c r="P44" s="65"/>
      <c r="Q44" s="66">
        <f t="shared" si="14"/>
        <v>341324526.69307578</v>
      </c>
      <c r="R44" s="65"/>
      <c r="T44" s="63">
        <f>T43/T42*T43</f>
        <v>214.2074702451896</v>
      </c>
      <c r="U44" s="63">
        <f t="shared" ref="U44:U47" si="16">U39/U32*U39</f>
        <v>201.31375000000003</v>
      </c>
      <c r="V44" s="61">
        <f t="shared" si="15"/>
        <v>20.084576319917627</v>
      </c>
      <c r="AA44" s="40">
        <v>30</v>
      </c>
      <c r="AB44" s="100">
        <v>3.8104861820281145E-2</v>
      </c>
      <c r="AC44" s="47">
        <v>6.3822123946929418E-2</v>
      </c>
    </row>
    <row r="45" spans="1:29">
      <c r="B45" s="64">
        <f t="shared" si="3"/>
        <v>2000700</v>
      </c>
      <c r="C45" s="64">
        <f t="shared" si="4"/>
        <v>160056</v>
      </c>
      <c r="L45" s="64">
        <f>$Y$20*T45*(C45+B45)/100</f>
        <v>8088848.2072226219</v>
      </c>
      <c r="M45" s="64">
        <f t="shared" ref="M45:M48" si="17">((B45*$Y$23/1000*(1+($Y$22/100)))+(C45*$Y$24/1000*(1+($Y$22/100))))*V45</f>
        <v>314313963.4408263</v>
      </c>
      <c r="N45" s="66">
        <f t="shared" ref="N45:N48" si="18">SUM(L45:M45)*SUM($Y$28:$Y$30)</f>
        <v>13955850.507809091</v>
      </c>
      <c r="O45" s="66">
        <f t="shared" ref="O45:O48" si="19">SUM(L45:N45)</f>
        <v>336358662.15585804</v>
      </c>
      <c r="T45" s="63">
        <f t="shared" ref="T45:T48" si="20">T44/T43*T44</f>
        <v>220.20746462111413</v>
      </c>
      <c r="U45" s="63">
        <f t="shared" si="16"/>
        <v>201.31375000000003</v>
      </c>
      <c r="V45" s="61">
        <f t="shared" si="15"/>
        <v>21.270240457866979</v>
      </c>
      <c r="AA45" s="40">
        <v>31</v>
      </c>
      <c r="AB45" s="100">
        <v>1.8288748384660092E-2</v>
      </c>
      <c r="AC45" s="47">
        <v>4.9632664394321707E-2</v>
      </c>
    </row>
    <row r="46" spans="1:29">
      <c r="B46" s="64">
        <f t="shared" si="3"/>
        <v>2000700</v>
      </c>
      <c r="C46" s="64">
        <f t="shared" si="4"/>
        <v>160056</v>
      </c>
      <c r="L46" s="64">
        <f t="shared" ref="L46:L48" si="21">$Y$20*T46*(C46+B46)/100</f>
        <v>8315418.4743355764</v>
      </c>
      <c r="M46" s="64">
        <f t="shared" si="17"/>
        <v>332869037.17364573</v>
      </c>
      <c r="N46" s="66">
        <f t="shared" si="18"/>
        <v>14768851.531634163</v>
      </c>
      <c r="O46" s="66">
        <f t="shared" si="19"/>
        <v>355953307.17961544</v>
      </c>
      <c r="T46" s="63">
        <f t="shared" si="20"/>
        <v>226.37552004771032</v>
      </c>
      <c r="U46" s="63">
        <f t="shared" si="16"/>
        <v>201.31375000000003</v>
      </c>
      <c r="V46" s="61">
        <f t="shared" si="15"/>
        <v>22.525898576551938</v>
      </c>
      <c r="AA46" s="40">
        <v>32</v>
      </c>
      <c r="AB46" s="100">
        <v>3.5403124183930331E-17</v>
      </c>
      <c r="AC46" s="47">
        <v>4.8128221427274263E-2</v>
      </c>
    </row>
    <row r="47" spans="1:29">
      <c r="B47" s="64">
        <f t="shared" si="3"/>
        <v>2000700</v>
      </c>
      <c r="C47" s="64">
        <f t="shared" si="4"/>
        <v>160056</v>
      </c>
      <c r="L47" s="64">
        <f t="shared" si="21"/>
        <v>8548335.0202541836</v>
      </c>
      <c r="M47" s="64">
        <f t="shared" si="17"/>
        <v>352519483.05430543</v>
      </c>
      <c r="N47" s="66">
        <f t="shared" si="18"/>
        <v>15629542.640993459</v>
      </c>
      <c r="O47" s="66">
        <f t="shared" si="19"/>
        <v>376697360.7155531</v>
      </c>
      <c r="T47" s="63">
        <f t="shared" si="20"/>
        <v>232.71634394884947</v>
      </c>
      <c r="U47" s="63">
        <f t="shared" si="16"/>
        <v>201.31375000000003</v>
      </c>
      <c r="V47" s="61">
        <f t="shared" si="15"/>
        <v>23.855682670170872</v>
      </c>
      <c r="AA47" s="40">
        <v>33</v>
      </c>
      <c r="AB47" s="100">
        <v>3.5403124183930331E-17</v>
      </c>
      <c r="AC47" s="47">
        <v>4.6623778460226813E-2</v>
      </c>
    </row>
    <row r="48" spans="1:29">
      <c r="B48" s="64">
        <f t="shared" si="3"/>
        <v>2000700</v>
      </c>
      <c r="C48" s="64">
        <f t="shared" si="4"/>
        <v>160056</v>
      </c>
      <c r="L48" s="64">
        <f t="shared" si="21"/>
        <v>8787775.6055257209</v>
      </c>
      <c r="M48" s="64">
        <f t="shared" si="17"/>
        <v>373329964.80549073</v>
      </c>
      <c r="N48" s="66">
        <f t="shared" si="18"/>
        <v>16540730.629171666</v>
      </c>
      <c r="O48" s="66">
        <f t="shared" si="19"/>
        <v>398658471.04018813</v>
      </c>
      <c r="T48" s="63">
        <f t="shared" si="20"/>
        <v>239.23477560429345</v>
      </c>
      <c r="U48" s="63">
        <f>U43/U36*U43</f>
        <v>294.74346137500009</v>
      </c>
      <c r="V48" s="61">
        <f t="shared" si="15"/>
        <v>25.263968659269466</v>
      </c>
      <c r="AA48" s="40">
        <v>34</v>
      </c>
      <c r="AB48" s="100">
        <v>3.5403124183930331E-17</v>
      </c>
      <c r="AC48" s="47">
        <v>4.5119335493179362E-2</v>
      </c>
    </row>
    <row r="49" spans="2:29">
      <c r="B49" s="64">
        <f t="shared" si="3"/>
        <v>2000700</v>
      </c>
      <c r="C49" s="64">
        <f t="shared" si="4"/>
        <v>160056</v>
      </c>
      <c r="L49" s="64">
        <f t="shared" ref="L49" si="22">$Y$20*T49*(C49+B49)/100</f>
        <v>9033922.9698061924</v>
      </c>
      <c r="M49" s="64">
        <f t="shared" ref="M49" si="23">((B49*$Y$23/1000*(1+($Y$22/100)))+(C49*$Y$24/1000*(1+($Y$22/100))))*V49</f>
        <v>395368963.4799512</v>
      </c>
      <c r="N49" s="66">
        <f t="shared" ref="N49" si="24">SUM(L49:M49)*SUM($Y$28:$Y$30)</f>
        <v>17505387.745750647</v>
      </c>
      <c r="O49" s="66">
        <f t="shared" ref="O49" si="25">SUM(L49:N49)</f>
        <v>421908274.19550806</v>
      </c>
      <c r="T49" s="63">
        <f t="shared" ref="T49" si="26">T48/T47*T48</f>
        <v>245.93578984300467</v>
      </c>
      <c r="U49" s="63">
        <f>U48</f>
        <v>294.74346137500009</v>
      </c>
      <c r="V49" s="61">
        <f t="shared" si="15"/>
        <v>26.755390790582567</v>
      </c>
      <c r="AA49" s="40">
        <v>35</v>
      </c>
      <c r="AB49" s="100">
        <v>3.5403124183930331E-17</v>
      </c>
      <c r="AC49" s="47">
        <v>4.3614892526131918E-2</v>
      </c>
    </row>
    <row r="50" spans="2:29">
      <c r="AA50" s="40">
        <v>36</v>
      </c>
      <c r="AB50" s="100">
        <v>3.5403124183930331E-17</v>
      </c>
      <c r="AC50" s="47">
        <v>4.211044955908446E-2</v>
      </c>
    </row>
    <row r="51" spans="2:29">
      <c r="AA51" s="40">
        <v>37</v>
      </c>
      <c r="AB51" s="100">
        <v>3.5403124183930331E-17</v>
      </c>
      <c r="AC51" s="47">
        <v>4.0606006592037017E-2</v>
      </c>
    </row>
    <row r="52" spans="2:29">
      <c r="AA52" s="40">
        <v>38</v>
      </c>
      <c r="AB52" s="100">
        <v>3.5403124183930331E-17</v>
      </c>
      <c r="AC52" s="47">
        <v>3.9101563624989566E-2</v>
      </c>
    </row>
    <row r="53" spans="2:29">
      <c r="M53" s="45" t="s">
        <v>198</v>
      </c>
      <c r="N53" s="41"/>
      <c r="O53" s="42">
        <f>NPV($Y$27,O17:O46)</f>
        <v>1595220720.3974493</v>
      </c>
      <c r="AA53" s="40">
        <v>39</v>
      </c>
      <c r="AB53" s="100">
        <v>3.5403124183930331E-17</v>
      </c>
      <c r="AC53" s="47">
        <v>3.7597120657942115E-2</v>
      </c>
    </row>
    <row r="54" spans="2:29">
      <c r="M54" s="57" t="s">
        <v>91</v>
      </c>
      <c r="N54" s="57"/>
      <c r="O54" s="42">
        <f>-PMT($Y$27,30,O53)</f>
        <v>135990826.67348409</v>
      </c>
      <c r="AA54" s="40">
        <v>40</v>
      </c>
      <c r="AB54" s="100">
        <v>3.5403124183930331E-17</v>
      </c>
      <c r="AC54" s="47">
        <v>3.6092677690894664E-2</v>
      </c>
    </row>
    <row r="55" spans="2:29">
      <c r="M55" s="57" t="s">
        <v>15</v>
      </c>
      <c r="N55" s="57"/>
      <c r="O55" s="65">
        <f>O54/(B16+C16)</f>
        <v>62.936688211664844</v>
      </c>
      <c r="AA55" s="40">
        <v>41</v>
      </c>
      <c r="AB55" s="100">
        <v>3.5403124183930331E-17</v>
      </c>
      <c r="AC55" s="47">
        <v>3.4588234723847214E-2</v>
      </c>
    </row>
    <row r="56" spans="2:29">
      <c r="AA56" s="40">
        <v>42</v>
      </c>
      <c r="AB56" s="100">
        <v>3.5403124183930331E-17</v>
      </c>
      <c r="AC56" s="47">
        <v>3.3083791756799763E-2</v>
      </c>
    </row>
    <row r="57" spans="2:29">
      <c r="M57" s="45" t="s">
        <v>199</v>
      </c>
      <c r="N57" s="41"/>
      <c r="O57" s="42">
        <f>NPV($Y$27,O18:O47)</f>
        <v>1661115402.2170198</v>
      </c>
      <c r="AA57" s="40">
        <v>43</v>
      </c>
      <c r="AB57" s="100">
        <v>3.5403124183930331E-17</v>
      </c>
      <c r="AC57" s="47">
        <v>3.1579348789752319E-2</v>
      </c>
    </row>
    <row r="58" spans="2:29">
      <c r="M58" s="57" t="s">
        <v>91</v>
      </c>
      <c r="N58" s="57"/>
      <c r="O58" s="42">
        <f>-PMT($Y$27,30,O57)</f>
        <v>141608276.43416485</v>
      </c>
      <c r="AA58" s="40">
        <v>44</v>
      </c>
      <c r="AB58" s="100">
        <v>3.5403124183930331E-17</v>
      </c>
      <c r="AC58" s="47">
        <v>3.0074905822704869E-2</v>
      </c>
    </row>
    <row r="59" spans="2:29">
      <c r="M59" s="57" t="s">
        <v>15</v>
      </c>
      <c r="N59" s="57"/>
      <c r="O59" s="65">
        <f>O58/(B20+C20)</f>
        <v>65.536449480721032</v>
      </c>
      <c r="AA59" s="40">
        <v>45</v>
      </c>
      <c r="AB59" s="100">
        <v>3.5403124183930331E-17</v>
      </c>
      <c r="AC59" s="47">
        <v>2.8570462855657418E-2</v>
      </c>
    </row>
    <row r="60" spans="2:29">
      <c r="AA60" s="40">
        <v>46</v>
      </c>
      <c r="AB60" s="100">
        <v>3.5403124183930331E-17</v>
      </c>
      <c r="AC60" s="47">
        <v>2.7066019888609967E-2</v>
      </c>
    </row>
    <row r="61" spans="2:29">
      <c r="M61" s="45" t="s">
        <v>200</v>
      </c>
      <c r="N61" s="41"/>
      <c r="O61" s="42">
        <f>NPV($Y$27,O19:O48)</f>
        <v>1740230660.7280815</v>
      </c>
      <c r="AA61" s="40">
        <v>47</v>
      </c>
      <c r="AB61" s="100">
        <v>3.5403124183930331E-17</v>
      </c>
      <c r="AC61" s="47">
        <v>2.556157692156252E-2</v>
      </c>
    </row>
    <row r="62" spans="2:29">
      <c r="M62" s="57" t="s">
        <v>91</v>
      </c>
      <c r="N62" s="57"/>
      <c r="O62" s="42">
        <f>-PMT($Y$27,30,O61)</f>
        <v>148352765.93949491</v>
      </c>
      <c r="AA62" s="40">
        <v>48</v>
      </c>
      <c r="AB62" s="100">
        <v>3.5403124183930331E-17</v>
      </c>
      <c r="AC62" s="47">
        <v>2.4057133954515069E-2</v>
      </c>
    </row>
    <row r="63" spans="2:29">
      <c r="M63" s="57" t="s">
        <v>15</v>
      </c>
      <c r="N63" s="57"/>
      <c r="O63" s="65">
        <f>O62/(B24+C24)</f>
        <v>68.65780585105162</v>
      </c>
      <c r="AA63" s="40">
        <v>49</v>
      </c>
      <c r="AB63" s="100">
        <v>3.5403124183930331E-17</v>
      </c>
      <c r="AC63" s="47">
        <v>2.2552690987467622E-2</v>
      </c>
    </row>
    <row r="64" spans="2:29">
      <c r="AA64" s="40">
        <v>50</v>
      </c>
      <c r="AB64" s="100">
        <v>3.5403124183930331E-17</v>
      </c>
      <c r="AC64" s="47">
        <v>2.1048248020420175E-2</v>
      </c>
    </row>
    <row r="65" spans="13:15">
      <c r="M65" s="45" t="s">
        <v>90</v>
      </c>
      <c r="N65" s="41"/>
      <c r="O65" s="42">
        <f>NPV($Y$27,O20:O49)</f>
        <v>1831321141.1890373</v>
      </c>
    </row>
    <row r="66" spans="13:15">
      <c r="M66" s="57" t="s">
        <v>91</v>
      </c>
      <c r="N66" s="57"/>
      <c r="O66" s="42">
        <f>-PMT($Y$27,30,O65)</f>
        <v>156118130.05593136</v>
      </c>
    </row>
    <row r="67" spans="13:15">
      <c r="M67" s="57" t="s">
        <v>15</v>
      </c>
      <c r="N67" s="57"/>
      <c r="O67" s="65">
        <f>O66/(B28+C28)</f>
        <v>72.251623994533105</v>
      </c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C64"/>
  <sheetViews>
    <sheetView zoomScaleNormal="100" workbookViewId="0">
      <pane xSplit="1" ySplit="11" topLeftCell="K12" activePane="bottomRight" state="frozen"/>
      <selection pane="topRight" activeCell="B1" sqref="B1"/>
      <selection pane="bottomLeft" activeCell="A12" sqref="A12"/>
      <selection pane="bottomRight" activeCell="AB10" sqref="AB10"/>
    </sheetView>
  </sheetViews>
  <sheetFormatPr defaultRowHeight="12.75"/>
  <cols>
    <col min="1" max="1" width="8.5" style="40" customWidth="1"/>
    <col min="2" max="2" width="9.375" style="40" customWidth="1"/>
    <col min="3" max="3" width="8.75" style="40" customWidth="1"/>
    <col min="4" max="4" width="4.125" style="40" customWidth="1"/>
    <col min="5" max="5" width="13.5" style="40" bestFit="1" customWidth="1"/>
    <col min="6" max="6" width="10.875" style="40" bestFit="1" customWidth="1"/>
    <col min="7" max="7" width="11.125" style="40" bestFit="1" customWidth="1"/>
    <col min="8" max="8" width="12.75" style="40" bestFit="1" customWidth="1"/>
    <col min="9" max="9" width="12.75" style="40" customWidth="1"/>
    <col min="10" max="10" width="13.75" style="40" bestFit="1" customWidth="1"/>
    <col min="11" max="11" width="4.375" style="40" customWidth="1"/>
    <col min="12" max="12" width="11.875" style="40" bestFit="1" customWidth="1"/>
    <col min="13" max="13" width="12.5" style="40" bestFit="1" customWidth="1"/>
    <col min="14" max="14" width="11.125" style="40" bestFit="1" customWidth="1"/>
    <col min="15" max="15" width="12.5" style="40" bestFit="1" customWidth="1"/>
    <col min="16" max="16" width="3.125" style="40" customWidth="1"/>
    <col min="17" max="17" width="12.5" style="40" bestFit="1" customWidth="1"/>
    <col min="18" max="18" width="12.125" style="40" customWidth="1"/>
    <col min="19" max="21" width="9" style="40"/>
    <col min="22" max="22" width="11.875" style="40" bestFit="1" customWidth="1"/>
    <col min="23" max="23" width="9" style="40"/>
    <col min="24" max="24" width="33.125" style="40" bestFit="1" customWidth="1"/>
    <col min="25" max="16384" width="9" style="40"/>
  </cols>
  <sheetData>
    <row r="1" spans="1:29" ht="23.25">
      <c r="A1" s="28" t="s">
        <v>169</v>
      </c>
    </row>
    <row r="6" spans="1:29">
      <c r="H6" s="41" t="s">
        <v>175</v>
      </c>
      <c r="I6" s="41"/>
      <c r="J6" s="42">
        <f>NPV($Y$27,J16:J44)+J15</f>
        <v>442989264.04872513</v>
      </c>
      <c r="M6" s="41" t="s">
        <v>175</v>
      </c>
      <c r="N6" s="41"/>
      <c r="O6" s="42">
        <f>NPV($Y$27,O16:O44)+O15</f>
        <v>989064971.40098023</v>
      </c>
      <c r="Q6" s="42">
        <f>NPV($Y$27,Q16:Q44)+Q15</f>
        <v>1432054235.4497051</v>
      </c>
    </row>
    <row r="7" spans="1:29">
      <c r="H7" s="57" t="s">
        <v>91</v>
      </c>
      <c r="I7" s="57"/>
      <c r="J7" s="42">
        <f>-PMT($Y$27,30,J6)</f>
        <v>35162512.919593856</v>
      </c>
      <c r="M7" s="57" t="s">
        <v>91</v>
      </c>
      <c r="N7" s="57"/>
      <c r="O7" s="42">
        <f>-PMT($Y$27,30,O6)</f>
        <v>78507568.145893946</v>
      </c>
      <c r="Q7" s="42">
        <f>-PMT($Y$27,30,Q6)</f>
        <v>113670081.06548779</v>
      </c>
    </row>
    <row r="8" spans="1:29">
      <c r="H8" s="57" t="s">
        <v>124</v>
      </c>
      <c r="I8" s="57"/>
      <c r="J8" s="48">
        <f>J7/SUM(Y15:Y16)/1000</f>
        <v>125.58040328426377</v>
      </c>
      <c r="M8" s="57" t="s">
        <v>15</v>
      </c>
      <c r="N8" s="57"/>
      <c r="O8" s="65">
        <f>O7/(B15+C15)</f>
        <v>35.439629398556704</v>
      </c>
      <c r="Q8" s="65">
        <f>Q7/(B15+C15)</f>
        <v>51.312575867572292</v>
      </c>
    </row>
    <row r="10" spans="1:29">
      <c r="AB10" s="102" t="s">
        <v>210</v>
      </c>
    </row>
    <row r="11" spans="1:29" s="45" customFormat="1" ht="38.25">
      <c r="A11" s="45" t="s">
        <v>35</v>
      </c>
      <c r="B11" s="45" t="s">
        <v>119</v>
      </c>
      <c r="C11" s="45" t="s">
        <v>120</v>
      </c>
      <c r="E11" s="45" t="s">
        <v>101</v>
      </c>
      <c r="F11" s="45" t="s">
        <v>100</v>
      </c>
      <c r="G11" s="45" t="s">
        <v>98</v>
      </c>
      <c r="H11" s="45" t="s">
        <v>102</v>
      </c>
      <c r="I11" s="41" t="s">
        <v>85</v>
      </c>
      <c r="J11" s="45" t="s">
        <v>113</v>
      </c>
      <c r="L11" s="45" t="s">
        <v>99</v>
      </c>
      <c r="M11" s="45" t="s">
        <v>114</v>
      </c>
      <c r="N11" s="41" t="s">
        <v>85</v>
      </c>
      <c r="O11" s="45" t="s">
        <v>122</v>
      </c>
      <c r="Q11" s="45" t="s">
        <v>34</v>
      </c>
      <c r="T11" s="45" t="s">
        <v>123</v>
      </c>
      <c r="U11" s="45" t="s">
        <v>121</v>
      </c>
      <c r="V11" s="45" t="s">
        <v>106</v>
      </c>
      <c r="W11" s="45" t="s">
        <v>174</v>
      </c>
      <c r="AA11" s="45" t="s">
        <v>110</v>
      </c>
      <c r="AB11" s="45" t="s">
        <v>111</v>
      </c>
      <c r="AC11" s="45" t="s">
        <v>112</v>
      </c>
    </row>
    <row r="12" spans="1:29" s="45" customFormat="1">
      <c r="A12" s="45" t="s">
        <v>175</v>
      </c>
      <c r="E12" s="71">
        <f>NPV($Y$27,E$16:E$44)+E15</f>
        <v>292575267.65500617</v>
      </c>
      <c r="F12" s="71">
        <f t="shared" ref="F12:Q12" si="0">NPV($Y$27,F$16:F$44)+F15</f>
        <v>0</v>
      </c>
      <c r="G12" s="71">
        <f t="shared" si="0"/>
        <v>144173172.28501737</v>
      </c>
      <c r="H12" s="71">
        <f t="shared" si="0"/>
        <v>0</v>
      </c>
      <c r="I12" s="71">
        <f t="shared" si="0"/>
        <v>6240824.1087015485</v>
      </c>
      <c r="J12" s="71">
        <f t="shared" si="0"/>
        <v>442989264.04872513</v>
      </c>
      <c r="K12" s="71"/>
      <c r="L12" s="71">
        <f t="shared" si="0"/>
        <v>122838204.44540009</v>
      </c>
      <c r="M12" s="71">
        <f t="shared" si="0"/>
        <v>825189492.05707717</v>
      </c>
      <c r="N12" s="71">
        <f t="shared" si="0"/>
        <v>41037274.898502722</v>
      </c>
      <c r="O12" s="71">
        <f t="shared" si="0"/>
        <v>989064971.40098023</v>
      </c>
      <c r="P12" s="71"/>
      <c r="Q12" s="71">
        <f t="shared" si="0"/>
        <v>1432054235.4497051</v>
      </c>
    </row>
    <row r="13" spans="1:29" s="45" customFormat="1">
      <c r="I13" s="41"/>
      <c r="N13" s="41"/>
    </row>
    <row r="14" spans="1:29" s="45" customFormat="1">
      <c r="I14" s="41"/>
      <c r="N14" s="41"/>
      <c r="Z14" s="45" t="s">
        <v>170</v>
      </c>
    </row>
    <row r="15" spans="1:29">
      <c r="A15" s="40">
        <v>2004</v>
      </c>
      <c r="B15" s="64">
        <f>($Y$15)*(8760-($Y$26*24))*(1-$Y$25)</f>
        <v>2057016</v>
      </c>
      <c r="C15" s="64">
        <f>($Y$16)*(8760-($Y$26*24))*(1-$Y$25)</f>
        <v>158232</v>
      </c>
      <c r="D15" s="64"/>
      <c r="E15" s="64">
        <f>($Y$16+$Y$15)*1000*$Y$17*$T$15*AB15/100</f>
        <v>29781865.646508642</v>
      </c>
      <c r="F15" s="64">
        <f>$Y$18*$T$15/100*AC15*1000</f>
        <v>0</v>
      </c>
      <c r="G15" s="66">
        <f>($Y$15+$Y$16)*T15*$Y$19*1000/100</f>
        <v>8236651.7898437493</v>
      </c>
      <c r="H15" s="66">
        <f t="shared" ref="H15:H44" si="1">(($Y$15*$Y$23/1000*24)+($Y$16*$Y$24/1000*24))*$Y$21*365*U15/100</f>
        <v>0</v>
      </c>
      <c r="I15" s="66">
        <f>SUM(G15:H15)*SUM($Y$28:$Y$30)</f>
        <v>356539.94602696633</v>
      </c>
      <c r="J15" s="66">
        <f>SUM(E15:I15)</f>
        <v>38375057.382379353</v>
      </c>
      <c r="K15" s="66"/>
      <c r="L15" s="64">
        <f>$Y$20*T15*(C15+B15)/100</f>
        <v>7017779.3862106847</v>
      </c>
      <c r="M15" s="64">
        <f t="shared" ref="M15:M44" si="2">((B15*$Y$23/1000*(1+($Y$22/100)))+(C15*$Y$24/1000*(1+($Y$22/100))))*V15</f>
        <v>49133172.131999992</v>
      </c>
      <c r="N15" s="66">
        <f>SUM(L15:M15)*SUM($Y$28:$Y$30)</f>
        <v>2430606.238368785</v>
      </c>
      <c r="O15" s="66">
        <f>SUM(L15:N15)</f>
        <v>58581557.756579466</v>
      </c>
      <c r="P15" s="65"/>
      <c r="Q15" s="66">
        <f>J15+O15</f>
        <v>96956615.138958812</v>
      </c>
      <c r="R15" s="66"/>
      <c r="T15" s="61">
        <v>102.5</v>
      </c>
      <c r="U15" s="63">
        <v>0</v>
      </c>
      <c r="V15" s="61">
        <f>(W15-0.45)*1.025^(A15-$A$15)</f>
        <v>3.1945833333333327</v>
      </c>
      <c r="W15" s="80">
        <v>3.6445833333333328</v>
      </c>
      <c r="X15" s="40" t="s">
        <v>117</v>
      </c>
      <c r="Y15" s="40">
        <v>260</v>
      </c>
      <c r="AA15" s="40">
        <v>1</v>
      </c>
      <c r="AB15" s="100">
        <v>0.13704097066158499</v>
      </c>
      <c r="AC15" s="47">
        <v>0.13804521717527046</v>
      </c>
    </row>
    <row r="16" spans="1:29">
      <c r="A16" s="40">
        <v>2005</v>
      </c>
      <c r="B16" s="64">
        <f t="shared" ref="B16:B44" si="3">($Y$15)*(8760-($Y$26*24))*(1-$Y$25)</f>
        <v>2057016</v>
      </c>
      <c r="C16" s="64">
        <f t="shared" ref="C16:C44" si="4">($Y$16)*(8760-($Y$26*24))*(1-$Y$25)</f>
        <v>158232</v>
      </c>
      <c r="D16" s="64"/>
      <c r="E16" s="64">
        <f t="shared" ref="E16:E44" si="5">($Y$16+$Y$15)*1000*$Y$17*$T$15*AB16/100</f>
        <v>28940768.00810954</v>
      </c>
      <c r="F16" s="64">
        <f t="shared" ref="F16:F44" si="6">$Y$18*$T$15/100*AC16*1000</f>
        <v>0</v>
      </c>
      <c r="G16" s="66">
        <f t="shared" ref="G16:G44" si="7">($Y$15+$Y$16)*T16*$Y$19*1000/100</f>
        <v>8442568.0845898408</v>
      </c>
      <c r="H16" s="66">
        <f t="shared" si="1"/>
        <v>0</v>
      </c>
      <c r="I16" s="66">
        <f t="shared" ref="I16:I44" si="8">SUM(G16:H16)*SUM($Y$28:$Y$30)</f>
        <v>365453.44467764039</v>
      </c>
      <c r="J16" s="66">
        <f t="shared" ref="J16:J44" si="9">SUM(E16:I16)</f>
        <v>37748789.537377022</v>
      </c>
      <c r="K16" s="66"/>
      <c r="L16" s="64">
        <f t="shared" ref="L16:L44" si="10">$Y$20*T16*(C16+B16)/100</f>
        <v>7193223.8708659522</v>
      </c>
      <c r="M16" s="64">
        <f t="shared" si="2"/>
        <v>50876480.13786</v>
      </c>
      <c r="N16" s="66">
        <f t="shared" ref="N16:N44" si="11">SUM(L16:M16)*SUM($Y$28:$Y$30)</f>
        <v>2513663.2774257199</v>
      </c>
      <c r="O16" s="66">
        <f t="shared" ref="O16:O44" si="12">SUM(L16:N16)</f>
        <v>60583367.286151677</v>
      </c>
      <c r="P16" s="65"/>
      <c r="Q16" s="66">
        <f t="shared" ref="Q16:Q44" si="13">J16+O16</f>
        <v>98332156.823528707</v>
      </c>
      <c r="R16" s="66"/>
      <c r="T16" s="61">
        <f>T15*1.025</f>
        <v>105.06249999999999</v>
      </c>
      <c r="U16" s="63">
        <v>0</v>
      </c>
      <c r="V16" s="61">
        <f t="shared" ref="V16:V39" si="14">(W16-0.45)*1.025^(A16-$A$15)</f>
        <v>3.3079312499999998</v>
      </c>
      <c r="W16" s="80">
        <v>3.6772500000000004</v>
      </c>
      <c r="X16" s="40" t="s">
        <v>118</v>
      </c>
      <c r="Y16" s="40">
        <v>20</v>
      </c>
      <c r="AA16" s="40">
        <v>2</v>
      </c>
      <c r="AB16" s="100">
        <v>0.13317066790233215</v>
      </c>
      <c r="AC16" s="47">
        <v>0.13431298505395833</v>
      </c>
    </row>
    <row r="17" spans="1:29">
      <c r="A17" s="40">
        <v>2006</v>
      </c>
      <c r="B17" s="64">
        <f t="shared" si="3"/>
        <v>2057016</v>
      </c>
      <c r="C17" s="64">
        <f t="shared" si="4"/>
        <v>158232</v>
      </c>
      <c r="D17" s="64"/>
      <c r="E17" s="64">
        <f t="shared" si="5"/>
        <v>28034943.916348357</v>
      </c>
      <c r="F17" s="64">
        <f t="shared" si="6"/>
        <v>0</v>
      </c>
      <c r="G17" s="66">
        <f t="shared" si="7"/>
        <v>8653632.2867045868</v>
      </c>
      <c r="H17" s="66">
        <f t="shared" si="1"/>
        <v>0</v>
      </c>
      <c r="I17" s="66">
        <f t="shared" si="8"/>
        <v>374589.7807945814</v>
      </c>
      <c r="J17" s="66">
        <f t="shared" si="9"/>
        <v>37063165.983847529</v>
      </c>
      <c r="K17" s="66"/>
      <c r="L17" s="64">
        <f t="shared" si="10"/>
        <v>7373054.4676375994</v>
      </c>
      <c r="M17" s="64">
        <f t="shared" si="2"/>
        <v>51426633.725014485</v>
      </c>
      <c r="N17" s="66">
        <f t="shared" si="11"/>
        <v>2545262.1027953303</v>
      </c>
      <c r="O17" s="66">
        <f t="shared" si="12"/>
        <v>61344950.295447417</v>
      </c>
      <c r="P17" s="65"/>
      <c r="Q17" s="66">
        <f t="shared" si="13"/>
        <v>98408116.279294938</v>
      </c>
      <c r="R17" s="66"/>
      <c r="T17" s="61">
        <f t="shared" ref="T17:T44" si="15">T16*1.025</f>
        <v>107.68906249999998</v>
      </c>
      <c r="U17" s="63">
        <v>0</v>
      </c>
      <c r="V17" s="61">
        <f t="shared" si="14"/>
        <v>3.3437016145833325</v>
      </c>
      <c r="W17" s="80">
        <v>3.6325833333333328</v>
      </c>
      <c r="X17" s="40" t="s">
        <v>125</v>
      </c>
      <c r="Y17" s="60">
        <f>Z17*(1.025)^4</f>
        <v>757.21564296874988</v>
      </c>
      <c r="Z17" s="40">
        <v>686</v>
      </c>
      <c r="AA17" s="40">
        <v>3</v>
      </c>
      <c r="AB17" s="100">
        <v>0.12900252698540629</v>
      </c>
      <c r="AC17" s="47">
        <v>0.13001828263963225</v>
      </c>
    </row>
    <row r="18" spans="1:29">
      <c r="A18" s="40">
        <v>2007</v>
      </c>
      <c r="B18" s="64">
        <f t="shared" si="3"/>
        <v>2057016</v>
      </c>
      <c r="C18" s="64">
        <f t="shared" si="4"/>
        <v>158232</v>
      </c>
      <c r="D18" s="64"/>
      <c r="E18" s="64">
        <f t="shared" si="5"/>
        <v>27151306.54224496</v>
      </c>
      <c r="F18" s="64">
        <f t="shared" si="6"/>
        <v>0</v>
      </c>
      <c r="G18" s="66">
        <f t="shared" si="7"/>
        <v>8869973.0938722007</v>
      </c>
      <c r="H18" s="66">
        <f t="shared" si="1"/>
        <v>0</v>
      </c>
      <c r="I18" s="66">
        <f t="shared" si="8"/>
        <v>383954.5253144459</v>
      </c>
      <c r="J18" s="66">
        <f t="shared" si="9"/>
        <v>36405234.161431603</v>
      </c>
      <c r="K18" s="66"/>
      <c r="L18" s="64">
        <f t="shared" si="10"/>
        <v>7557380.8293285398</v>
      </c>
      <c r="M18" s="64">
        <f t="shared" si="2"/>
        <v>51852417.328058399</v>
      </c>
      <c r="N18" s="66">
        <f t="shared" si="11"/>
        <v>2571671.9328388078</v>
      </c>
      <c r="O18" s="66">
        <f t="shared" si="12"/>
        <v>61981470.090225741</v>
      </c>
      <c r="P18" s="65"/>
      <c r="Q18" s="66">
        <f t="shared" si="13"/>
        <v>98386704.251657337</v>
      </c>
      <c r="R18" s="66"/>
      <c r="T18" s="61">
        <f t="shared" si="15"/>
        <v>110.38128906249997</v>
      </c>
      <c r="U18" s="63">
        <v>0</v>
      </c>
      <c r="V18" s="61">
        <f t="shared" si="14"/>
        <v>3.3713855833333333</v>
      </c>
      <c r="W18" s="80">
        <v>3.5806666666666671</v>
      </c>
      <c r="X18" s="40" t="s">
        <v>126</v>
      </c>
      <c r="Y18" s="60"/>
      <c r="AA18" s="40">
        <v>4</v>
      </c>
      <c r="AB18" s="100">
        <v>0.12493647803812755</v>
      </c>
      <c r="AC18" s="47">
        <v>0.12592355685612155</v>
      </c>
    </row>
    <row r="19" spans="1:29">
      <c r="A19" s="40">
        <v>2008</v>
      </c>
      <c r="B19" s="64">
        <f t="shared" si="3"/>
        <v>2057016</v>
      </c>
      <c r="C19" s="64">
        <f t="shared" si="4"/>
        <v>158232</v>
      </c>
      <c r="D19" s="64"/>
      <c r="E19" s="64">
        <f t="shared" si="5"/>
        <v>26288192.927122802</v>
      </c>
      <c r="F19" s="64">
        <f t="shared" si="6"/>
        <v>0</v>
      </c>
      <c r="G19" s="66">
        <f t="shared" si="7"/>
        <v>9091722.4212190043</v>
      </c>
      <c r="H19" s="66">
        <f t="shared" si="1"/>
        <v>0</v>
      </c>
      <c r="I19" s="66">
        <f t="shared" si="8"/>
        <v>393553.38844730699</v>
      </c>
      <c r="J19" s="66">
        <f t="shared" si="9"/>
        <v>35773468.736789115</v>
      </c>
      <c r="K19" s="66"/>
      <c r="L19" s="64">
        <f t="shared" si="10"/>
        <v>7746315.3500617519</v>
      </c>
      <c r="M19" s="64">
        <f t="shared" si="2"/>
        <v>53285956.961452618</v>
      </c>
      <c r="N19" s="66">
        <f t="shared" si="11"/>
        <v>2641903.9715485219</v>
      </c>
      <c r="O19" s="66">
        <f t="shared" si="12"/>
        <v>63674176.28306289</v>
      </c>
      <c r="P19" s="65"/>
      <c r="Q19" s="66">
        <f t="shared" si="13"/>
        <v>99447645.019852012</v>
      </c>
      <c r="R19" s="66"/>
      <c r="T19" s="61">
        <f t="shared" si="15"/>
        <v>113.14082128906246</v>
      </c>
      <c r="U19" s="63">
        <v>0</v>
      </c>
      <c r="V19" s="61">
        <f t="shared" si="14"/>
        <v>3.4645927104492173</v>
      </c>
      <c r="W19" s="80">
        <v>3.5887499999999997</v>
      </c>
      <c r="X19" s="40" t="s">
        <v>171</v>
      </c>
      <c r="Y19" s="60">
        <f>Z19*(1.025)^4</f>
        <v>28.699135156249994</v>
      </c>
      <c r="Z19" s="40">
        <v>26</v>
      </c>
      <c r="AA19" s="40">
        <v>5</v>
      </c>
      <c r="AB19" s="100">
        <v>0.12096486897200993</v>
      </c>
      <c r="AC19" s="47">
        <v>0.12201382386365339</v>
      </c>
    </row>
    <row r="20" spans="1:29">
      <c r="A20" s="40">
        <v>2009</v>
      </c>
      <c r="B20" s="64">
        <f t="shared" si="3"/>
        <v>2057016</v>
      </c>
      <c r="C20" s="64">
        <f t="shared" si="4"/>
        <v>158232</v>
      </c>
      <c r="D20" s="64"/>
      <c r="E20" s="64">
        <f t="shared" si="5"/>
        <v>25444089.734416332</v>
      </c>
      <c r="F20" s="64">
        <f t="shared" si="6"/>
        <v>0</v>
      </c>
      <c r="G20" s="66">
        <f t="shared" si="7"/>
        <v>9319015.4817494787</v>
      </c>
      <c r="H20" s="66">
        <f t="shared" si="1"/>
        <v>0</v>
      </c>
      <c r="I20" s="66">
        <f t="shared" si="8"/>
        <v>403392.22315848962</v>
      </c>
      <c r="J20" s="66">
        <f t="shared" si="9"/>
        <v>35166497.439324297</v>
      </c>
      <c r="K20" s="66"/>
      <c r="L20" s="64">
        <f t="shared" si="10"/>
        <v>7939973.2338132942</v>
      </c>
      <c r="M20" s="64">
        <f t="shared" si="2"/>
        <v>54829820.831971906</v>
      </c>
      <c r="N20" s="66">
        <f t="shared" si="11"/>
        <v>2717116.0757256434</v>
      </c>
      <c r="O20" s="66">
        <f t="shared" si="12"/>
        <v>65486910.141510844</v>
      </c>
      <c r="P20" s="65"/>
      <c r="Q20" s="66">
        <f t="shared" si="13"/>
        <v>100653407.58083513</v>
      </c>
      <c r="R20" s="66"/>
      <c r="T20" s="61">
        <f t="shared" si="15"/>
        <v>115.96934182128901</v>
      </c>
      <c r="U20" s="63">
        <v>0</v>
      </c>
      <c r="V20" s="61">
        <f t="shared" si="14"/>
        <v>3.564972994800617</v>
      </c>
      <c r="W20" s="80">
        <v>3.6009166666666665</v>
      </c>
      <c r="X20" s="40" t="s">
        <v>172</v>
      </c>
      <c r="Y20" s="60">
        <f>Z20*(1.025)^4</f>
        <v>3.0906760937499991</v>
      </c>
      <c r="Z20" s="40">
        <v>2.8</v>
      </c>
      <c r="AA20" s="40">
        <v>6</v>
      </c>
      <c r="AB20" s="100">
        <v>0.11708073618328392</v>
      </c>
      <c r="AC20" s="47">
        <v>0.11827544452602418</v>
      </c>
    </row>
    <row r="21" spans="1:29">
      <c r="A21" s="40">
        <v>2010</v>
      </c>
      <c r="B21" s="64">
        <f t="shared" si="3"/>
        <v>2057016</v>
      </c>
      <c r="C21" s="64">
        <f t="shared" si="4"/>
        <v>158232</v>
      </c>
      <c r="D21" s="64"/>
      <c r="E21" s="64">
        <f t="shared" si="5"/>
        <v>24617569.977735501</v>
      </c>
      <c r="F21" s="64">
        <f t="shared" si="6"/>
        <v>0</v>
      </c>
      <c r="G21" s="66">
        <f t="shared" si="7"/>
        <v>9551990.8687932137</v>
      </c>
      <c r="H21" s="66">
        <f t="shared" si="1"/>
        <v>0</v>
      </c>
      <c r="I21" s="66">
        <f t="shared" si="8"/>
        <v>413477.02873745176</v>
      </c>
      <c r="J21" s="66">
        <f t="shared" si="9"/>
        <v>34583037.875266165</v>
      </c>
      <c r="K21" s="66"/>
      <c r="L21" s="64">
        <f t="shared" si="10"/>
        <v>8138472.564658626</v>
      </c>
      <c r="M21" s="64">
        <f t="shared" si="2"/>
        <v>56054903.569386169</v>
      </c>
      <c r="N21" s="66">
        <f t="shared" si="11"/>
        <v>2778738.6727143964</v>
      </c>
      <c r="O21" s="66">
        <f t="shared" si="12"/>
        <v>66972114.806759194</v>
      </c>
      <c r="P21" s="65"/>
      <c r="Q21" s="66">
        <f t="shared" si="13"/>
        <v>101555152.68202536</v>
      </c>
      <c r="R21" s="66"/>
      <c r="T21" s="61">
        <f t="shared" si="15"/>
        <v>118.86857536682122</v>
      </c>
      <c r="U21" s="63">
        <v>0</v>
      </c>
      <c r="V21" s="61">
        <f t="shared" si="14"/>
        <v>3.6446264900885605</v>
      </c>
      <c r="W21" s="80">
        <v>3.5927500000000001</v>
      </c>
      <c r="X21" s="40" t="s">
        <v>173</v>
      </c>
      <c r="AA21" s="40">
        <v>7</v>
      </c>
      <c r="AB21" s="100">
        <v>0.1132775134076887</v>
      </c>
      <c r="AC21" s="47">
        <v>0.11469554810907003</v>
      </c>
    </row>
    <row r="22" spans="1:29">
      <c r="A22" s="40">
        <v>2011</v>
      </c>
      <c r="B22" s="64">
        <f t="shared" si="3"/>
        <v>2057016</v>
      </c>
      <c r="C22" s="64">
        <f t="shared" si="4"/>
        <v>158232</v>
      </c>
      <c r="D22" s="64"/>
      <c r="E22" s="64">
        <f t="shared" si="5"/>
        <v>23807311.328878179</v>
      </c>
      <c r="F22" s="64">
        <f t="shared" si="6"/>
        <v>0</v>
      </c>
      <c r="G22" s="66">
        <f t="shared" si="7"/>
        <v>9790790.6405130439</v>
      </c>
      <c r="H22" s="66">
        <f t="shared" si="1"/>
        <v>0</v>
      </c>
      <c r="I22" s="66">
        <f t="shared" si="8"/>
        <v>423813.95445588807</v>
      </c>
      <c r="J22" s="66">
        <f t="shared" si="9"/>
        <v>34021915.923847117</v>
      </c>
      <c r="K22" s="66"/>
      <c r="L22" s="64">
        <f t="shared" si="10"/>
        <v>8341934.3787750928</v>
      </c>
      <c r="M22" s="64">
        <f t="shared" si="2"/>
        <v>57092156.359031551</v>
      </c>
      <c r="N22" s="66">
        <f t="shared" si="11"/>
        <v>2832445.4857674357</v>
      </c>
      <c r="O22" s="66">
        <f t="shared" si="12"/>
        <v>68266536.223574072</v>
      </c>
      <c r="P22" s="65"/>
      <c r="Q22" s="66">
        <f t="shared" si="13"/>
        <v>102288452.14742118</v>
      </c>
      <c r="R22" s="66"/>
      <c r="T22" s="61">
        <f t="shared" si="15"/>
        <v>121.84028975099174</v>
      </c>
      <c r="U22" s="63">
        <v>0</v>
      </c>
      <c r="V22" s="61">
        <f t="shared" si="14"/>
        <v>3.7120674944135494</v>
      </c>
      <c r="W22" s="80">
        <v>3.5728333333333335</v>
      </c>
      <c r="X22" s="40" t="s">
        <v>107</v>
      </c>
      <c r="AA22" s="40">
        <v>8</v>
      </c>
      <c r="AB22" s="100">
        <v>0.10954911596461686</v>
      </c>
      <c r="AC22" s="47">
        <v>0.11126222438117658</v>
      </c>
    </row>
    <row r="23" spans="1:29">
      <c r="A23" s="40">
        <v>2012</v>
      </c>
      <c r="B23" s="64">
        <f t="shared" si="3"/>
        <v>2057016</v>
      </c>
      <c r="C23" s="64">
        <f t="shared" si="4"/>
        <v>158232</v>
      </c>
      <c r="D23" s="64"/>
      <c r="E23" s="64">
        <f t="shared" si="5"/>
        <v>23006367.69954031</v>
      </c>
      <c r="F23" s="64">
        <f t="shared" si="6"/>
        <v>0</v>
      </c>
      <c r="G23" s="66">
        <f t="shared" si="7"/>
        <v>10035560.406525869</v>
      </c>
      <c r="H23" s="66">
        <f t="shared" si="1"/>
        <v>0</v>
      </c>
      <c r="I23" s="66">
        <f t="shared" si="8"/>
        <v>434409.3033172852</v>
      </c>
      <c r="J23" s="66">
        <f t="shared" si="9"/>
        <v>33476337.409383465</v>
      </c>
      <c r="K23" s="66"/>
      <c r="L23" s="64">
        <f t="shared" si="10"/>
        <v>8550482.7382444683</v>
      </c>
      <c r="M23" s="64">
        <f t="shared" si="2"/>
        <v>57868272.379557766</v>
      </c>
      <c r="N23" s="66">
        <f t="shared" si="11"/>
        <v>2875068.6527843047</v>
      </c>
      <c r="O23" s="66">
        <f t="shared" si="12"/>
        <v>69293823.770586535</v>
      </c>
      <c r="P23" s="65"/>
      <c r="Q23" s="66">
        <f t="shared" si="13"/>
        <v>102770161.17997</v>
      </c>
      <c r="R23" s="66"/>
      <c r="T23" s="61">
        <f t="shared" si="15"/>
        <v>124.88629699476652</v>
      </c>
      <c r="U23" s="63">
        <v>0</v>
      </c>
      <c r="V23" s="61">
        <f t="shared" si="14"/>
        <v>3.7625296810854181</v>
      </c>
      <c r="W23" s="80">
        <v>3.5380833333333332</v>
      </c>
      <c r="X23" s="40" t="s">
        <v>115</v>
      </c>
      <c r="Y23" s="40">
        <v>6800</v>
      </c>
      <c r="AA23" s="40">
        <v>9</v>
      </c>
      <c r="AB23" s="100">
        <v>0.10586358149500107</v>
      </c>
      <c r="AC23" s="47">
        <v>0.10791131177203417</v>
      </c>
    </row>
    <row r="24" spans="1:29">
      <c r="A24" s="40">
        <v>2013</v>
      </c>
      <c r="B24" s="64">
        <f t="shared" si="3"/>
        <v>2057016</v>
      </c>
      <c r="C24" s="64">
        <f t="shared" si="4"/>
        <v>158232</v>
      </c>
      <c r="D24" s="64"/>
      <c r="E24" s="64">
        <f t="shared" si="5"/>
        <v>22206780.982554078</v>
      </c>
      <c r="F24" s="64">
        <f t="shared" si="6"/>
        <v>0</v>
      </c>
      <c r="G24" s="66">
        <f t="shared" si="7"/>
        <v>10286449.416689016</v>
      </c>
      <c r="H24" s="66">
        <f t="shared" si="1"/>
        <v>0</v>
      </c>
      <c r="I24" s="66">
        <f t="shared" si="8"/>
        <v>445269.53590021736</v>
      </c>
      <c r="J24" s="66">
        <f t="shared" si="9"/>
        <v>32938499.935143311</v>
      </c>
      <c r="K24" s="66"/>
      <c r="L24" s="64">
        <f t="shared" si="10"/>
        <v>8764244.8067005798</v>
      </c>
      <c r="M24" s="64">
        <f t="shared" si="2"/>
        <v>58698732.137537323</v>
      </c>
      <c r="N24" s="66">
        <f t="shared" si="11"/>
        <v>2920269.8829852254</v>
      </c>
      <c r="O24" s="66">
        <f t="shared" si="12"/>
        <v>70383246.827223122</v>
      </c>
      <c r="P24" s="65"/>
      <c r="Q24" s="66">
        <f t="shared" si="13"/>
        <v>103321746.76236643</v>
      </c>
      <c r="R24" s="66"/>
      <c r="T24" s="61">
        <f t="shared" si="15"/>
        <v>128.00845441963568</v>
      </c>
      <c r="U24" s="63">
        <v>0</v>
      </c>
      <c r="V24" s="61">
        <f t="shared" si="14"/>
        <v>3.8165252361600652</v>
      </c>
      <c r="W24" s="80">
        <v>3.5059999999999998</v>
      </c>
      <c r="X24" s="40" t="s">
        <v>116</v>
      </c>
      <c r="Y24" s="40">
        <v>8800</v>
      </c>
      <c r="AA24" s="40">
        <v>10</v>
      </c>
      <c r="AB24" s="100">
        <v>0.10218429084462675</v>
      </c>
      <c r="AC24" s="47">
        <v>0.10457230939450611</v>
      </c>
    </row>
    <row r="25" spans="1:29">
      <c r="A25" s="40">
        <v>2014</v>
      </c>
      <c r="B25" s="64">
        <f t="shared" si="3"/>
        <v>2057016</v>
      </c>
      <c r="C25" s="64">
        <f t="shared" si="4"/>
        <v>158232</v>
      </c>
      <c r="D25" s="64"/>
      <c r="E25" s="64">
        <f t="shared" si="5"/>
        <v>21407194.26556785</v>
      </c>
      <c r="F25" s="64">
        <f t="shared" si="6"/>
        <v>0</v>
      </c>
      <c r="G25" s="66">
        <f t="shared" si="7"/>
        <v>10543610.652106239</v>
      </c>
      <c r="H25" s="66">
        <f t="shared" si="1"/>
        <v>0</v>
      </c>
      <c r="I25" s="66">
        <f t="shared" si="8"/>
        <v>456401.27429772267</v>
      </c>
      <c r="J25" s="66">
        <f t="shared" si="9"/>
        <v>32407206.191971809</v>
      </c>
      <c r="K25" s="66"/>
      <c r="L25" s="64">
        <f t="shared" si="10"/>
        <v>8983350.9268680923</v>
      </c>
      <c r="M25" s="64">
        <f t="shared" si="2"/>
        <v>59634627.334985457</v>
      </c>
      <c r="N25" s="66">
        <f t="shared" si="11"/>
        <v>2970266.425020854</v>
      </c>
      <c r="O25" s="66">
        <f t="shared" si="12"/>
        <v>71588244.686874405</v>
      </c>
      <c r="P25" s="65"/>
      <c r="Q25" s="66">
        <f t="shared" si="13"/>
        <v>103995450.87884621</v>
      </c>
      <c r="R25" s="66"/>
      <c r="T25" s="61">
        <f t="shared" si="15"/>
        <v>131.20866578012655</v>
      </c>
      <c r="U25" s="63">
        <v>0</v>
      </c>
      <c r="V25" s="61">
        <f t="shared" si="14"/>
        <v>3.877376084370765</v>
      </c>
      <c r="W25" s="80">
        <v>3.4789999999999996</v>
      </c>
      <c r="X25" s="40" t="s">
        <v>108</v>
      </c>
      <c r="Y25" s="62">
        <v>0.05</v>
      </c>
      <c r="AA25" s="40">
        <v>11</v>
      </c>
      <c r="AB25" s="100">
        <v>9.8505000194252443E-2</v>
      </c>
      <c r="AC25" s="47">
        <v>0.10123330701697802</v>
      </c>
    </row>
    <row r="26" spans="1:29">
      <c r="A26" s="40">
        <v>2015</v>
      </c>
      <c r="B26" s="64">
        <f t="shared" si="3"/>
        <v>2057016</v>
      </c>
      <c r="C26" s="64">
        <f t="shared" si="4"/>
        <v>158232</v>
      </c>
      <c r="D26" s="64"/>
      <c r="E26" s="64">
        <f t="shared" si="5"/>
        <v>20607607.548581619</v>
      </c>
      <c r="F26" s="64">
        <f t="shared" si="6"/>
        <v>0</v>
      </c>
      <c r="G26" s="66">
        <f t="shared" si="7"/>
        <v>10807200.918408895</v>
      </c>
      <c r="H26" s="66">
        <f t="shared" si="1"/>
        <v>0</v>
      </c>
      <c r="I26" s="66">
        <f t="shared" si="8"/>
        <v>467811.30615516577</v>
      </c>
      <c r="J26" s="66">
        <f t="shared" si="9"/>
        <v>31882619.773145683</v>
      </c>
      <c r="K26" s="66"/>
      <c r="L26" s="64">
        <f t="shared" si="10"/>
        <v>9207934.7000397947</v>
      </c>
      <c r="M26" s="64">
        <f t="shared" si="2"/>
        <v>60604174.023210667</v>
      </c>
      <c r="N26" s="66">
        <f t="shared" si="11"/>
        <v>3021956.7503033425</v>
      </c>
      <c r="O26" s="66">
        <f t="shared" si="12"/>
        <v>72834065.473553807</v>
      </c>
      <c r="P26" s="65"/>
      <c r="Q26" s="66">
        <f t="shared" si="13"/>
        <v>104716685.24669948</v>
      </c>
      <c r="R26" s="66"/>
      <c r="T26" s="61">
        <f t="shared" si="15"/>
        <v>134.48888242462971</v>
      </c>
      <c r="U26" s="63">
        <v>0</v>
      </c>
      <c r="V26" s="61">
        <f t="shared" si="14"/>
        <v>3.9404149144868352</v>
      </c>
      <c r="W26" s="80">
        <v>3.4531666666666667</v>
      </c>
      <c r="X26" s="40" t="s">
        <v>109</v>
      </c>
      <c r="Y26" s="40">
        <v>18</v>
      </c>
      <c r="AA26" s="40">
        <v>12</v>
      </c>
      <c r="AB26" s="100">
        <v>9.4825709543878145E-2</v>
      </c>
      <c r="AC26" s="47">
        <v>9.7894304639449981E-2</v>
      </c>
    </row>
    <row r="27" spans="1:29">
      <c r="A27" s="40">
        <v>2016</v>
      </c>
      <c r="B27" s="64">
        <f t="shared" si="3"/>
        <v>2057016</v>
      </c>
      <c r="C27" s="64">
        <f t="shared" si="4"/>
        <v>158232</v>
      </c>
      <c r="D27" s="64"/>
      <c r="E27" s="64">
        <f t="shared" si="5"/>
        <v>19808020.831595391</v>
      </c>
      <c r="F27" s="64">
        <f t="shared" si="6"/>
        <v>0</v>
      </c>
      <c r="G27" s="66">
        <f t="shared" si="7"/>
        <v>11077380.941369114</v>
      </c>
      <c r="H27" s="66">
        <f t="shared" si="1"/>
        <v>0</v>
      </c>
      <c r="I27" s="66">
        <f t="shared" si="8"/>
        <v>479506.5888090448</v>
      </c>
      <c r="J27" s="66">
        <f t="shared" si="9"/>
        <v>31364908.361773551</v>
      </c>
      <c r="K27" s="66"/>
      <c r="L27" s="64">
        <f t="shared" si="10"/>
        <v>9438133.0675407872</v>
      </c>
      <c r="M27" s="64">
        <f t="shared" si="2"/>
        <v>61645256.464894973</v>
      </c>
      <c r="N27" s="66">
        <f t="shared" si="11"/>
        <v>3076986.6826905464</v>
      </c>
      <c r="O27" s="66">
        <f t="shared" si="12"/>
        <v>74160376.215126306</v>
      </c>
      <c r="P27" s="65"/>
      <c r="Q27" s="66">
        <f t="shared" si="13"/>
        <v>105525284.57689986</v>
      </c>
      <c r="R27" s="66"/>
      <c r="T27" s="61">
        <f t="shared" si="15"/>
        <v>137.85110448524543</v>
      </c>
      <c r="U27" s="63">
        <v>0</v>
      </c>
      <c r="V27" s="61">
        <f t="shared" si="14"/>
        <v>4.0081049184600284</v>
      </c>
      <c r="W27" s="80">
        <v>3.4302500000000005</v>
      </c>
      <c r="X27" s="69" t="s">
        <v>89</v>
      </c>
      <c r="Y27" s="98">
        <v>6.8500000000000005E-2</v>
      </c>
      <c r="AA27" s="40">
        <v>13</v>
      </c>
      <c r="AB27" s="100">
        <v>9.1146418893503833E-2</v>
      </c>
      <c r="AC27" s="47">
        <v>9.4555302261921922E-2</v>
      </c>
    </row>
    <row r="28" spans="1:29">
      <c r="A28" s="40">
        <v>2017</v>
      </c>
      <c r="B28" s="64">
        <f t="shared" si="3"/>
        <v>2057016</v>
      </c>
      <c r="C28" s="64">
        <f t="shared" si="4"/>
        <v>158232</v>
      </c>
      <c r="D28" s="64"/>
      <c r="E28" s="64">
        <f t="shared" si="5"/>
        <v>19008434.114609152</v>
      </c>
      <c r="F28" s="64">
        <f t="shared" si="6"/>
        <v>0</v>
      </c>
      <c r="G28" s="66">
        <f t="shared" si="7"/>
        <v>11354315.464903343</v>
      </c>
      <c r="H28" s="66">
        <f t="shared" si="1"/>
        <v>0</v>
      </c>
      <c r="I28" s="66">
        <f t="shared" si="8"/>
        <v>491494.25352927094</v>
      </c>
      <c r="J28" s="66">
        <f t="shared" si="9"/>
        <v>30854243.833041765</v>
      </c>
      <c r="K28" s="66"/>
      <c r="L28" s="64">
        <f t="shared" si="10"/>
        <v>9674086.3942293078</v>
      </c>
      <c r="M28" s="64">
        <f t="shared" si="2"/>
        <v>62764120.541492656</v>
      </c>
      <c r="N28" s="66">
        <f t="shared" si="11"/>
        <v>3135632.6636265959</v>
      </c>
      <c r="O28" s="66">
        <f t="shared" si="12"/>
        <v>75573839.59934856</v>
      </c>
      <c r="P28" s="65"/>
      <c r="Q28" s="66">
        <f t="shared" si="13"/>
        <v>106428083.43239033</v>
      </c>
      <c r="R28" s="66"/>
      <c r="T28" s="61">
        <f t="shared" si="15"/>
        <v>141.29738209737656</v>
      </c>
      <c r="U28" s="63">
        <v>0</v>
      </c>
      <c r="V28" s="61">
        <f t="shared" si="14"/>
        <v>4.0808521964448836</v>
      </c>
      <c r="W28" s="80">
        <v>3.4103333333333334</v>
      </c>
      <c r="X28" s="52" t="s">
        <v>82</v>
      </c>
      <c r="Y28" s="51">
        <v>2.66E-3</v>
      </c>
      <c r="AA28" s="40">
        <v>14</v>
      </c>
      <c r="AB28" s="100">
        <v>8.7467128243129494E-2</v>
      </c>
      <c r="AC28" s="47">
        <v>9.1216299884393878E-2</v>
      </c>
    </row>
    <row r="29" spans="1:29">
      <c r="A29" s="40">
        <v>2018</v>
      </c>
      <c r="B29" s="64">
        <f t="shared" si="3"/>
        <v>2057016</v>
      </c>
      <c r="C29" s="64">
        <f t="shared" si="4"/>
        <v>158232</v>
      </c>
      <c r="D29" s="64"/>
      <c r="E29" s="64">
        <f t="shared" si="5"/>
        <v>18208847.397622921</v>
      </c>
      <c r="F29" s="64">
        <f t="shared" si="6"/>
        <v>0</v>
      </c>
      <c r="G29" s="66">
        <f t="shared" si="7"/>
        <v>11638173.351525925</v>
      </c>
      <c r="H29" s="66">
        <f t="shared" si="1"/>
        <v>0</v>
      </c>
      <c r="I29" s="66">
        <f t="shared" si="8"/>
        <v>503781.60986750264</v>
      </c>
      <c r="J29" s="66">
        <f t="shared" si="9"/>
        <v>30350802.359016348</v>
      </c>
      <c r="K29" s="66"/>
      <c r="L29" s="64">
        <f t="shared" si="10"/>
        <v>9915938.5540850386</v>
      </c>
      <c r="M29" s="64">
        <f t="shared" si="2"/>
        <v>63900399.536629669</v>
      </c>
      <c r="N29" s="66">
        <f t="shared" si="11"/>
        <v>3195287.8269327669</v>
      </c>
      <c r="O29" s="66">
        <f t="shared" si="12"/>
        <v>77011625.917647481</v>
      </c>
      <c r="P29" s="65"/>
      <c r="Q29" s="66">
        <f t="shared" si="13"/>
        <v>107362428.27666382</v>
      </c>
      <c r="R29" s="66"/>
      <c r="T29" s="61">
        <f t="shared" si="15"/>
        <v>144.82981664981097</v>
      </c>
      <c r="U29" s="63">
        <v>0</v>
      </c>
      <c r="V29" s="61">
        <f t="shared" si="14"/>
        <v>4.1547317727549444</v>
      </c>
      <c r="W29" s="80">
        <v>3.3904166666666664</v>
      </c>
      <c r="X29" s="52" t="s">
        <v>83</v>
      </c>
      <c r="Y29" s="51">
        <v>2E-3</v>
      </c>
      <c r="AA29" s="40">
        <v>15</v>
      </c>
      <c r="AB29" s="100">
        <v>8.3787837592755182E-2</v>
      </c>
      <c r="AC29" s="47">
        <v>8.787729750686582E-2</v>
      </c>
    </row>
    <row r="30" spans="1:29">
      <c r="A30" s="40">
        <v>2019</v>
      </c>
      <c r="B30" s="64">
        <f t="shared" si="3"/>
        <v>2057016</v>
      </c>
      <c r="C30" s="64">
        <f t="shared" si="4"/>
        <v>158232</v>
      </c>
      <c r="D30" s="64"/>
      <c r="E30" s="64">
        <f t="shared" si="5"/>
        <v>17409260.680636689</v>
      </c>
      <c r="F30" s="64">
        <f t="shared" si="6"/>
        <v>0</v>
      </c>
      <c r="G30" s="66">
        <f t="shared" si="7"/>
        <v>11929127.68531407</v>
      </c>
      <c r="H30" s="66">
        <f t="shared" si="1"/>
        <v>0</v>
      </c>
      <c r="I30" s="66">
        <f t="shared" si="8"/>
        <v>516376.15011419007</v>
      </c>
      <c r="J30" s="66">
        <f t="shared" si="9"/>
        <v>29854764.516064949</v>
      </c>
      <c r="K30" s="66"/>
      <c r="L30" s="64">
        <f t="shared" si="10"/>
        <v>10163837.017937163</v>
      </c>
      <c r="M30" s="64">
        <f t="shared" si="2"/>
        <v>65141508.82704886</v>
      </c>
      <c r="N30" s="66">
        <f t="shared" si="11"/>
        <v>3259742.5055919094</v>
      </c>
      <c r="O30" s="66">
        <f t="shared" si="12"/>
        <v>78565088.350577936</v>
      </c>
      <c r="P30" s="65"/>
      <c r="Q30" s="66">
        <f t="shared" si="13"/>
        <v>108419852.86664289</v>
      </c>
      <c r="R30" s="66"/>
      <c r="T30" s="61">
        <f t="shared" si="15"/>
        <v>148.45056206605622</v>
      </c>
      <c r="U30" s="63">
        <v>0</v>
      </c>
      <c r="V30" s="61">
        <f t="shared" si="14"/>
        <v>4.2354272964098492</v>
      </c>
      <c r="W30" s="80">
        <v>3.3744166666666668</v>
      </c>
      <c r="X30" s="52" t="s">
        <v>84</v>
      </c>
      <c r="Y30" s="51">
        <f>3.8627%</f>
        <v>3.8626999999999995E-2</v>
      </c>
      <c r="AA30" s="40">
        <v>16</v>
      </c>
      <c r="AB30" s="100">
        <v>8.010854694238087E-2</v>
      </c>
      <c r="AC30" s="47">
        <v>8.4538295129337762E-2</v>
      </c>
    </row>
    <row r="31" spans="1:29">
      <c r="A31" s="40">
        <v>2020</v>
      </c>
      <c r="B31" s="64">
        <f t="shared" si="3"/>
        <v>2057016</v>
      </c>
      <c r="C31" s="64">
        <f t="shared" si="4"/>
        <v>158232</v>
      </c>
      <c r="D31" s="64"/>
      <c r="E31" s="64">
        <f t="shared" si="5"/>
        <v>16609673.963650463</v>
      </c>
      <c r="F31" s="64">
        <f t="shared" si="6"/>
        <v>0</v>
      </c>
      <c r="G31" s="66">
        <f t="shared" si="7"/>
        <v>12227355.877446923</v>
      </c>
      <c r="H31" s="66">
        <f t="shared" si="1"/>
        <v>0</v>
      </c>
      <c r="I31" s="66">
        <f t="shared" si="8"/>
        <v>529285.55386704486</v>
      </c>
      <c r="J31" s="66">
        <f t="shared" si="9"/>
        <v>29366315.39496443</v>
      </c>
      <c r="K31" s="66"/>
      <c r="L31" s="64">
        <f t="shared" si="10"/>
        <v>10417932.943385594</v>
      </c>
      <c r="M31" s="64">
        <f t="shared" si="2"/>
        <v>66545532.670523599</v>
      </c>
      <c r="N31" s="66">
        <f t="shared" si="11"/>
        <v>3331517.5360292862</v>
      </c>
      <c r="O31" s="66">
        <f t="shared" si="12"/>
        <v>80294983.149938464</v>
      </c>
      <c r="P31" s="65"/>
      <c r="Q31" s="66">
        <f t="shared" si="13"/>
        <v>109661298.54490289</v>
      </c>
      <c r="R31" s="66"/>
      <c r="T31" s="61">
        <f t="shared" si="15"/>
        <v>152.16182611770762</v>
      </c>
      <c r="U31" s="63">
        <v>0</v>
      </c>
      <c r="V31" s="61">
        <f t="shared" si="14"/>
        <v>4.3267153402169329</v>
      </c>
      <c r="W31" s="80">
        <v>3.3645833333333335</v>
      </c>
      <c r="AA31" s="40">
        <v>17</v>
      </c>
      <c r="AB31" s="100">
        <v>7.6429256292006573E-2</v>
      </c>
      <c r="AC31" s="47">
        <v>8.1199292751809704E-2</v>
      </c>
    </row>
    <row r="32" spans="1:29">
      <c r="A32" s="40">
        <v>2021</v>
      </c>
      <c r="B32" s="64">
        <f t="shared" si="3"/>
        <v>2057016</v>
      </c>
      <c r="C32" s="64">
        <f t="shared" si="4"/>
        <v>158232</v>
      </c>
      <c r="D32" s="64"/>
      <c r="E32" s="64">
        <f t="shared" si="5"/>
        <v>15810087.246664232</v>
      </c>
      <c r="F32" s="64">
        <f t="shared" si="6"/>
        <v>0</v>
      </c>
      <c r="G32" s="66">
        <f t="shared" si="7"/>
        <v>12533039.774383096</v>
      </c>
      <c r="H32" s="66">
        <f t="shared" si="1"/>
        <v>0</v>
      </c>
      <c r="I32" s="66">
        <f t="shared" si="8"/>
        <v>542517.69271372096</v>
      </c>
      <c r="J32" s="66">
        <f t="shared" si="9"/>
        <v>28885644.71376105</v>
      </c>
      <c r="K32" s="66"/>
      <c r="L32" s="64">
        <f t="shared" si="10"/>
        <v>10678381.266970232</v>
      </c>
      <c r="M32" s="64">
        <f t="shared" si="2"/>
        <v>68090207.172269538</v>
      </c>
      <c r="N32" s="66">
        <f t="shared" si="11"/>
        <v>3409655.8877693713</v>
      </c>
      <c r="O32" s="66">
        <f t="shared" si="12"/>
        <v>82178244.327009141</v>
      </c>
      <c r="P32" s="65"/>
      <c r="Q32" s="66">
        <f t="shared" si="13"/>
        <v>111063889.04077019</v>
      </c>
      <c r="R32" s="66"/>
      <c r="T32" s="61">
        <f t="shared" si="15"/>
        <v>155.9658717706503</v>
      </c>
      <c r="U32" s="63">
        <v>0</v>
      </c>
      <c r="V32" s="61">
        <f t="shared" si="14"/>
        <v>4.4271483308947053</v>
      </c>
      <c r="W32" s="80">
        <v>3.3595000000000002</v>
      </c>
      <c r="AA32" s="40">
        <v>18</v>
      </c>
      <c r="AB32" s="100">
        <v>7.2749965641632261E-2</v>
      </c>
      <c r="AC32" s="47">
        <v>7.7860290374281618E-2</v>
      </c>
    </row>
    <row r="33" spans="1:29">
      <c r="A33" s="40">
        <v>2022</v>
      </c>
      <c r="B33" s="64">
        <f t="shared" si="3"/>
        <v>2057016</v>
      </c>
      <c r="C33" s="64">
        <f t="shared" si="4"/>
        <v>158232</v>
      </c>
      <c r="D33" s="64"/>
      <c r="E33" s="64">
        <f t="shared" si="5"/>
        <v>15010500.529677996</v>
      </c>
      <c r="F33" s="64">
        <f t="shared" si="6"/>
        <v>0</v>
      </c>
      <c r="G33" s="66">
        <f t="shared" si="7"/>
        <v>12846365.768742673</v>
      </c>
      <c r="H33" s="66">
        <f t="shared" si="1"/>
        <v>0</v>
      </c>
      <c r="I33" s="66">
        <f t="shared" si="8"/>
        <v>556080.63503156404</v>
      </c>
      <c r="J33" s="66">
        <f t="shared" si="9"/>
        <v>28412946.93345223</v>
      </c>
      <c r="K33" s="66"/>
      <c r="L33" s="64">
        <f t="shared" si="10"/>
        <v>10945340.798644485</v>
      </c>
      <c r="M33" s="64">
        <f t="shared" si="2"/>
        <v>69866424.690666854</v>
      </c>
      <c r="N33" s="66">
        <f t="shared" si="11"/>
        <v>3498098.8927358193</v>
      </c>
      <c r="O33" s="66">
        <f t="shared" si="12"/>
        <v>84309864.382047161</v>
      </c>
      <c r="P33" s="65"/>
      <c r="Q33" s="66">
        <f t="shared" si="13"/>
        <v>112722811.3154994</v>
      </c>
      <c r="R33" s="66"/>
      <c r="T33" s="61">
        <f t="shared" si="15"/>
        <v>159.86501856491654</v>
      </c>
      <c r="U33" s="63">
        <v>0</v>
      </c>
      <c r="V33" s="61">
        <f t="shared" si="14"/>
        <v>4.5426359868800015</v>
      </c>
      <c r="W33" s="80">
        <v>3.3625833333333333</v>
      </c>
      <c r="AA33" s="40">
        <v>19</v>
      </c>
      <c r="AB33" s="100">
        <v>6.9070674991257935E-2</v>
      </c>
      <c r="AC33" s="47">
        <v>7.4521287996753602E-2</v>
      </c>
    </row>
    <row r="34" spans="1:29">
      <c r="A34" s="40">
        <v>2023</v>
      </c>
      <c r="B34" s="64">
        <f t="shared" si="3"/>
        <v>2057016</v>
      </c>
      <c r="C34" s="64">
        <f t="shared" si="4"/>
        <v>158232</v>
      </c>
      <c r="D34" s="64"/>
      <c r="E34" s="64">
        <f t="shared" si="5"/>
        <v>14210913.812691772</v>
      </c>
      <c r="F34" s="64">
        <f t="shared" si="6"/>
        <v>0</v>
      </c>
      <c r="G34" s="66">
        <f t="shared" si="7"/>
        <v>13167524.912961237</v>
      </c>
      <c r="H34" s="66">
        <f t="shared" si="1"/>
        <v>0</v>
      </c>
      <c r="I34" s="66">
        <f t="shared" si="8"/>
        <v>569982.65090735292</v>
      </c>
      <c r="J34" s="66">
        <f t="shared" si="9"/>
        <v>27948421.37656036</v>
      </c>
      <c r="K34" s="66"/>
      <c r="L34" s="64">
        <f t="shared" si="10"/>
        <v>11218974.318610597</v>
      </c>
      <c r="M34" s="64">
        <f t="shared" si="2"/>
        <v>71783148.713288411</v>
      </c>
      <c r="N34" s="66">
        <f t="shared" si="11"/>
        <v>3592912.8996818117</v>
      </c>
      <c r="O34" s="66">
        <f t="shared" si="12"/>
        <v>86595035.931580812</v>
      </c>
      <c r="P34" s="65"/>
      <c r="Q34" s="66">
        <f t="shared" si="13"/>
        <v>114543457.30814117</v>
      </c>
      <c r="R34" s="66"/>
      <c r="T34" s="61">
        <f t="shared" si="15"/>
        <v>163.86164402903944</v>
      </c>
      <c r="U34" s="63">
        <v>0</v>
      </c>
      <c r="V34" s="61">
        <f t="shared" si="14"/>
        <v>4.6672592170027416</v>
      </c>
      <c r="W34" s="80">
        <v>3.3694999999999999</v>
      </c>
      <c r="AA34" s="40">
        <v>20</v>
      </c>
      <c r="AB34" s="100">
        <v>6.5391384340883651E-2</v>
      </c>
      <c r="AC34" s="47">
        <v>7.1182285619225544E-2</v>
      </c>
    </row>
    <row r="35" spans="1:29">
      <c r="A35" s="40">
        <v>2024</v>
      </c>
      <c r="B35" s="64">
        <f t="shared" si="3"/>
        <v>2057016</v>
      </c>
      <c r="C35" s="64">
        <f t="shared" si="4"/>
        <v>158232</v>
      </c>
      <c r="D35" s="64"/>
      <c r="E35" s="64">
        <f t="shared" si="5"/>
        <v>13457514.153408946</v>
      </c>
      <c r="F35" s="64">
        <f t="shared" si="6"/>
        <v>0</v>
      </c>
      <c r="G35" s="66">
        <f t="shared" si="7"/>
        <v>13496713.035785267</v>
      </c>
      <c r="H35" s="66">
        <f t="shared" si="1"/>
        <v>0</v>
      </c>
      <c r="I35" s="66">
        <f t="shared" si="8"/>
        <v>584232.21718003671</v>
      </c>
      <c r="J35" s="66">
        <f t="shared" si="9"/>
        <v>27538459.40637425</v>
      </c>
      <c r="K35" s="66"/>
      <c r="L35" s="64">
        <f t="shared" si="10"/>
        <v>11499448.676575862</v>
      </c>
      <c r="M35" s="64">
        <f t="shared" si="2"/>
        <v>73903255.425406858</v>
      </c>
      <c r="N35" s="66">
        <f t="shared" si="11"/>
        <v>3696826.852462525</v>
      </c>
      <c r="O35" s="66">
        <f t="shared" si="12"/>
        <v>89099530.954445243</v>
      </c>
      <c r="P35" s="65"/>
      <c r="Q35" s="66">
        <f t="shared" si="13"/>
        <v>116637990.36081949</v>
      </c>
      <c r="R35" s="66"/>
      <c r="T35" s="61">
        <f t="shared" si="15"/>
        <v>167.95818512976541</v>
      </c>
      <c r="U35" s="63">
        <v>0</v>
      </c>
      <c r="V35" s="61">
        <f t="shared" si="14"/>
        <v>4.8051061597815616</v>
      </c>
      <c r="W35" s="80">
        <v>3.3824166666666673</v>
      </c>
      <c r="AA35" s="40">
        <v>21</v>
      </c>
      <c r="AB35" s="100">
        <v>6.1924622995919713E-2</v>
      </c>
      <c r="AC35" s="47">
        <v>6.8272051579814724E-2</v>
      </c>
    </row>
    <row r="36" spans="1:29">
      <c r="A36" s="40">
        <v>2025</v>
      </c>
      <c r="B36" s="64">
        <f t="shared" si="3"/>
        <v>2057016</v>
      </c>
      <c r="C36" s="64">
        <f t="shared" si="4"/>
        <v>158232</v>
      </c>
      <c r="D36" s="64"/>
      <c r="E36" s="64">
        <f t="shared" si="5"/>
        <v>12799088.317109795</v>
      </c>
      <c r="F36" s="64">
        <f t="shared" si="6"/>
        <v>0</v>
      </c>
      <c r="G36" s="66">
        <f t="shared" si="7"/>
        <v>13834130.861679897</v>
      </c>
      <c r="H36" s="66">
        <f t="shared" si="1"/>
        <v>0</v>
      </c>
      <c r="I36" s="66">
        <f t="shared" si="8"/>
        <v>598838.02260953758</v>
      </c>
      <c r="J36" s="66">
        <f t="shared" si="9"/>
        <v>27232057.201399229</v>
      </c>
      <c r="K36" s="66"/>
      <c r="L36" s="64">
        <f t="shared" si="10"/>
        <v>11786934.893490257</v>
      </c>
      <c r="M36" s="64">
        <f t="shared" si="2"/>
        <v>76140472.818396524</v>
      </c>
      <c r="N36" s="66">
        <f t="shared" si="11"/>
        <v>3806113.6976244422</v>
      </c>
      <c r="O36" s="66">
        <f t="shared" si="12"/>
        <v>91733521.409511223</v>
      </c>
      <c r="P36" s="65"/>
      <c r="Q36" s="66">
        <f t="shared" si="13"/>
        <v>118965578.61091045</v>
      </c>
      <c r="R36" s="66"/>
      <c r="T36" s="61">
        <f t="shared" si="15"/>
        <v>172.15713975800952</v>
      </c>
      <c r="U36" s="63">
        <v>0</v>
      </c>
      <c r="V36" s="61">
        <f t="shared" si="14"/>
        <v>4.950567506699838</v>
      </c>
      <c r="W36" s="80">
        <v>3.3974999999999995</v>
      </c>
      <c r="AA36" s="40">
        <v>22</v>
      </c>
      <c r="AB36" s="100">
        <v>5.8894882791390928E-2</v>
      </c>
      <c r="AC36" s="47">
        <v>6.6218777915108676E-2</v>
      </c>
    </row>
    <row r="37" spans="1:29">
      <c r="A37" s="40">
        <v>2026</v>
      </c>
      <c r="B37" s="64">
        <f t="shared" si="3"/>
        <v>2057016</v>
      </c>
      <c r="C37" s="64">
        <f t="shared" si="4"/>
        <v>158232</v>
      </c>
      <c r="D37" s="64"/>
      <c r="E37" s="64">
        <f t="shared" si="5"/>
        <v>12189445.66842025</v>
      </c>
      <c r="F37" s="64">
        <f t="shared" si="6"/>
        <v>0</v>
      </c>
      <c r="G37" s="66">
        <f t="shared" si="7"/>
        <v>14179984.133221893</v>
      </c>
      <c r="H37" s="66">
        <f t="shared" si="1"/>
        <v>0</v>
      </c>
      <c r="I37" s="66">
        <f t="shared" si="8"/>
        <v>613808.97317477595</v>
      </c>
      <c r="J37" s="66">
        <f t="shared" si="9"/>
        <v>26983238.774816919</v>
      </c>
      <c r="K37" s="66"/>
      <c r="L37" s="64">
        <f t="shared" si="10"/>
        <v>12081608.265827511</v>
      </c>
      <c r="M37" s="64">
        <f t="shared" si="2"/>
        <v>78566925.672484055</v>
      </c>
      <c r="N37" s="66">
        <f t="shared" si="11"/>
        <v>3923903.088587692</v>
      </c>
      <c r="O37" s="66">
        <f t="shared" si="12"/>
        <v>94572437.026899248</v>
      </c>
      <c r="P37" s="65"/>
      <c r="Q37" s="66">
        <f t="shared" si="13"/>
        <v>121555675.80171616</v>
      </c>
      <c r="R37" s="66"/>
      <c r="T37" s="61">
        <f t="shared" si="15"/>
        <v>176.46106825195974</v>
      </c>
      <c r="U37" s="63">
        <v>0</v>
      </c>
      <c r="V37" s="61">
        <f t="shared" si="14"/>
        <v>5.1083327294695406</v>
      </c>
      <c r="W37" s="80">
        <v>3.4172499999999997</v>
      </c>
      <c r="AA37" s="40">
        <v>23</v>
      </c>
      <c r="AB37" s="100">
        <v>5.6089617959269547E-2</v>
      </c>
      <c r="AC37" s="47">
        <v>6.4593696286990146E-2</v>
      </c>
    </row>
    <row r="38" spans="1:29">
      <c r="A38" s="40">
        <v>2027</v>
      </c>
      <c r="B38" s="64">
        <f t="shared" si="3"/>
        <v>2057016</v>
      </c>
      <c r="C38" s="64">
        <f t="shared" si="4"/>
        <v>158232</v>
      </c>
      <c r="D38" s="64"/>
      <c r="E38" s="64">
        <f t="shared" si="5"/>
        <v>11579803.019730713</v>
      </c>
      <c r="F38" s="64">
        <f t="shared" si="6"/>
        <v>0</v>
      </c>
      <c r="G38" s="66">
        <f t="shared" si="7"/>
        <v>14534483.736552441</v>
      </c>
      <c r="H38" s="66">
        <f t="shared" si="1"/>
        <v>0</v>
      </c>
      <c r="I38" s="66">
        <f t="shared" si="8"/>
        <v>629154.19750414544</v>
      </c>
      <c r="J38" s="66">
        <f t="shared" si="9"/>
        <v>26743440.953787301</v>
      </c>
      <c r="K38" s="66"/>
      <c r="L38" s="64">
        <f t="shared" si="10"/>
        <v>12383648.472473199</v>
      </c>
      <c r="M38" s="64">
        <f t="shared" si="2"/>
        <v>81132701.653193116</v>
      </c>
      <c r="N38" s="66">
        <f t="shared" si="11"/>
        <v>4048042.2478897171</v>
      </c>
      <c r="O38" s="66">
        <f t="shared" si="12"/>
        <v>97564392.373556033</v>
      </c>
      <c r="P38" s="65"/>
      <c r="Q38" s="66">
        <f t="shared" si="13"/>
        <v>124307833.32734333</v>
      </c>
      <c r="R38" s="66"/>
      <c r="T38" s="61">
        <f t="shared" si="15"/>
        <v>180.87259495825873</v>
      </c>
      <c r="U38" s="63">
        <v>0</v>
      </c>
      <c r="V38" s="61">
        <f t="shared" si="14"/>
        <v>5.2751565845021329</v>
      </c>
      <c r="W38" s="80">
        <v>3.4394166666666677</v>
      </c>
      <c r="AA38" s="40">
        <v>24</v>
      </c>
      <c r="AB38" s="100">
        <v>5.3284353127148187E-2</v>
      </c>
      <c r="AC38" s="47">
        <v>6.2968614658871616E-2</v>
      </c>
    </row>
    <row r="39" spans="1:29">
      <c r="A39" s="40">
        <v>2028</v>
      </c>
      <c r="B39" s="64">
        <f t="shared" si="3"/>
        <v>2057016</v>
      </c>
      <c r="C39" s="64">
        <f t="shared" si="4"/>
        <v>158232</v>
      </c>
      <c r="D39" s="64"/>
      <c r="E39" s="64">
        <f t="shared" si="5"/>
        <v>10970160.371041171</v>
      </c>
      <c r="F39" s="64">
        <f t="shared" si="6"/>
        <v>0</v>
      </c>
      <c r="G39" s="66">
        <f t="shared" si="7"/>
        <v>14897845.829966249</v>
      </c>
      <c r="H39" s="66">
        <f t="shared" si="1"/>
        <v>0</v>
      </c>
      <c r="I39" s="66">
        <f t="shared" si="8"/>
        <v>644883.05244174891</v>
      </c>
      <c r="J39" s="66">
        <f t="shared" si="9"/>
        <v>26512889.253449168</v>
      </c>
      <c r="K39" s="66"/>
      <c r="L39" s="64">
        <f t="shared" si="10"/>
        <v>12693239.684285028</v>
      </c>
      <c r="M39" s="64">
        <f t="shared" si="2"/>
        <v>84148575.132885098</v>
      </c>
      <c r="N39" s="66">
        <f t="shared" si="11"/>
        <v>4191991.6379908426</v>
      </c>
      <c r="O39" s="66">
        <f t="shared" si="12"/>
        <v>101033806.45516098</v>
      </c>
      <c r="P39" s="65"/>
      <c r="Q39" s="66">
        <f t="shared" si="13"/>
        <v>127546695.70861015</v>
      </c>
      <c r="R39" s="66"/>
      <c r="T39" s="61">
        <f t="shared" si="15"/>
        <v>185.39440983221519</v>
      </c>
      <c r="U39" s="63">
        <v>0</v>
      </c>
      <c r="V39" s="61">
        <f t="shared" si="14"/>
        <v>5.4712452703248662</v>
      </c>
      <c r="W39" s="80">
        <v>3.4749166666666667</v>
      </c>
      <c r="AA39" s="40">
        <v>25</v>
      </c>
      <c r="AB39" s="100">
        <v>5.0479088295026814E-2</v>
      </c>
      <c r="AC39" s="47">
        <v>6.1343533030753086E-2</v>
      </c>
    </row>
    <row r="40" spans="1:29">
      <c r="A40" s="40">
        <v>2029</v>
      </c>
      <c r="B40" s="64">
        <f t="shared" si="3"/>
        <v>2057016</v>
      </c>
      <c r="C40" s="64">
        <f t="shared" si="4"/>
        <v>158232</v>
      </c>
      <c r="D40" s="64"/>
      <c r="E40" s="64">
        <f t="shared" si="5"/>
        <v>10360517.722351629</v>
      </c>
      <c r="F40" s="64">
        <f t="shared" si="6"/>
        <v>0</v>
      </c>
      <c r="G40" s="66">
        <f t="shared" si="7"/>
        <v>15270291.975715404</v>
      </c>
      <c r="H40" s="66">
        <f t="shared" si="1"/>
        <v>0</v>
      </c>
      <c r="I40" s="66">
        <f t="shared" si="8"/>
        <v>661005.1287527926</v>
      </c>
      <c r="J40" s="66">
        <f t="shared" si="9"/>
        <v>26291814.826819826</v>
      </c>
      <c r="K40" s="66"/>
      <c r="L40" s="64">
        <f t="shared" si="10"/>
        <v>13010570.676392153</v>
      </c>
      <c r="M40" s="64">
        <f t="shared" si="2"/>
        <v>87276554.984732538</v>
      </c>
      <c r="N40" s="66">
        <f t="shared" si="11"/>
        <v>4341128.8084931038</v>
      </c>
      <c r="O40" s="66">
        <f t="shared" si="12"/>
        <v>104628254.4696178</v>
      </c>
      <c r="P40" s="65"/>
      <c r="Q40" s="66">
        <f t="shared" si="13"/>
        <v>130920069.29643762</v>
      </c>
      <c r="R40" s="66"/>
      <c r="T40" s="61">
        <f t="shared" si="15"/>
        <v>190.02927007802055</v>
      </c>
      <c r="U40" s="63">
        <v>0</v>
      </c>
      <c r="V40" s="61">
        <f t="shared" ref="V40:V44" si="16">V39/V38*V39</f>
        <v>5.6746229857890427</v>
      </c>
      <c r="AA40" s="40">
        <v>26</v>
      </c>
      <c r="AB40" s="100">
        <v>4.7673823462905433E-2</v>
      </c>
      <c r="AC40" s="47">
        <v>5.9718451402634563E-2</v>
      </c>
    </row>
    <row r="41" spans="1:29">
      <c r="A41" s="40">
        <v>2030</v>
      </c>
      <c r="B41" s="64">
        <f t="shared" si="3"/>
        <v>2057016</v>
      </c>
      <c r="C41" s="64">
        <f t="shared" si="4"/>
        <v>158232</v>
      </c>
      <c r="D41" s="64"/>
      <c r="E41" s="64">
        <f t="shared" si="5"/>
        <v>9750875.073662091</v>
      </c>
      <c r="F41" s="64">
        <f t="shared" si="6"/>
        <v>0</v>
      </c>
      <c r="G41" s="66">
        <f t="shared" si="7"/>
        <v>15652049.275108287</v>
      </c>
      <c r="H41" s="66">
        <f t="shared" si="1"/>
        <v>0</v>
      </c>
      <c r="I41" s="66">
        <f t="shared" si="8"/>
        <v>677530.25697161234</v>
      </c>
      <c r="J41" s="66">
        <f t="shared" si="9"/>
        <v>26080454.605741993</v>
      </c>
      <c r="K41" s="66"/>
      <c r="L41" s="64">
        <f t="shared" si="10"/>
        <v>13335834.943301953</v>
      </c>
      <c r="M41" s="64">
        <f t="shared" si="2"/>
        <v>90520808.438814029</v>
      </c>
      <c r="N41" s="66">
        <f t="shared" si="11"/>
        <v>4495642.5220816536</v>
      </c>
      <c r="O41" s="66">
        <f t="shared" si="12"/>
        <v>108352285.90419765</v>
      </c>
      <c r="P41" s="65"/>
      <c r="Q41" s="66">
        <f t="shared" si="13"/>
        <v>134432740.50993964</v>
      </c>
      <c r="R41" s="66"/>
      <c r="T41" s="61">
        <f t="shared" si="15"/>
        <v>194.78000182997104</v>
      </c>
      <c r="U41" s="63">
        <v>0</v>
      </c>
      <c r="V41" s="61">
        <f t="shared" si="16"/>
        <v>5.8855606794855548</v>
      </c>
      <c r="AA41" s="40">
        <v>27</v>
      </c>
      <c r="AB41" s="100">
        <v>4.4868558630784074E-2</v>
      </c>
      <c r="AC41" s="47">
        <v>5.8093369774516034E-2</v>
      </c>
    </row>
    <row r="42" spans="1:29">
      <c r="A42" s="40">
        <v>2031</v>
      </c>
      <c r="B42" s="64">
        <f t="shared" si="3"/>
        <v>2057016</v>
      </c>
      <c r="C42" s="64">
        <f t="shared" si="4"/>
        <v>158232</v>
      </c>
      <c r="D42" s="64"/>
      <c r="E42" s="64">
        <f t="shared" si="5"/>
        <v>9141232.4249725454</v>
      </c>
      <c r="F42" s="64">
        <f t="shared" si="6"/>
        <v>0</v>
      </c>
      <c r="G42" s="66">
        <f t="shared" si="7"/>
        <v>16043350.506985994</v>
      </c>
      <c r="H42" s="66">
        <f t="shared" si="1"/>
        <v>0</v>
      </c>
      <c r="I42" s="66">
        <f t="shared" si="8"/>
        <v>694468.51339590258</v>
      </c>
      <c r="J42" s="66">
        <f t="shared" si="9"/>
        <v>25879051.445354443</v>
      </c>
      <c r="K42" s="66"/>
      <c r="L42" s="64">
        <f t="shared" si="10"/>
        <v>13669230.816884501</v>
      </c>
      <c r="M42" s="64">
        <f t="shared" si="2"/>
        <v>93885657.629931211</v>
      </c>
      <c r="N42" s="66">
        <f t="shared" si="11"/>
        <v>4655728.4561973112</v>
      </c>
      <c r="O42" s="66">
        <f t="shared" si="12"/>
        <v>112210616.90301302</v>
      </c>
      <c r="P42" s="65"/>
      <c r="Q42" s="66">
        <f t="shared" si="13"/>
        <v>138089668.34836745</v>
      </c>
      <c r="R42" s="66"/>
      <c r="T42" s="61">
        <f t="shared" si="15"/>
        <v>199.64950187572029</v>
      </c>
      <c r="U42" s="63">
        <v>0</v>
      </c>
      <c r="V42" s="61">
        <f t="shared" si="16"/>
        <v>6.1043393717353513</v>
      </c>
      <c r="AA42" s="40">
        <v>28</v>
      </c>
      <c r="AB42" s="100">
        <v>4.2063293798662679E-2</v>
      </c>
      <c r="AC42" s="47">
        <v>5.6468288146397504E-2</v>
      </c>
    </row>
    <row r="43" spans="1:29">
      <c r="A43" s="40">
        <v>2032</v>
      </c>
      <c r="B43" s="64">
        <f t="shared" si="3"/>
        <v>2057016</v>
      </c>
      <c r="C43" s="64">
        <f t="shared" si="4"/>
        <v>158232</v>
      </c>
      <c r="D43" s="64"/>
      <c r="E43" s="64">
        <f t="shared" si="5"/>
        <v>8531589.7762830034</v>
      </c>
      <c r="F43" s="64">
        <f t="shared" si="6"/>
        <v>0</v>
      </c>
      <c r="G43" s="66">
        <f t="shared" si="7"/>
        <v>16444434.269660642</v>
      </c>
      <c r="H43" s="66">
        <f t="shared" si="1"/>
        <v>0</v>
      </c>
      <c r="I43" s="66">
        <f t="shared" si="8"/>
        <v>711830.22623080015</v>
      </c>
      <c r="J43" s="66">
        <f t="shared" si="9"/>
        <v>25687854.272174448</v>
      </c>
      <c r="K43" s="66"/>
      <c r="L43" s="64">
        <f t="shared" si="10"/>
        <v>14010961.587306613</v>
      </c>
      <c r="M43" s="64">
        <f t="shared" si="2"/>
        <v>97375585.355743706</v>
      </c>
      <c r="N43" s="66">
        <f t="shared" si="11"/>
        <v>4821589.4575238181</v>
      </c>
      <c r="O43" s="66">
        <f t="shared" si="12"/>
        <v>116208136.40057415</v>
      </c>
      <c r="P43" s="65"/>
      <c r="Q43" s="66">
        <f t="shared" si="13"/>
        <v>141895990.6727486</v>
      </c>
      <c r="R43" s="66"/>
      <c r="T43" s="61">
        <f t="shared" si="15"/>
        <v>204.64073942261328</v>
      </c>
      <c r="U43" s="63">
        <v>0</v>
      </c>
      <c r="V43" s="61">
        <f t="shared" si="16"/>
        <v>6.3312505289768621</v>
      </c>
      <c r="AA43" s="40">
        <v>29</v>
      </c>
      <c r="AB43" s="100">
        <v>3.9258028966541306E-2</v>
      </c>
      <c r="AC43" s="47">
        <v>5.4843206518278974E-2</v>
      </c>
    </row>
    <row r="44" spans="1:29">
      <c r="A44" s="40">
        <v>2033</v>
      </c>
      <c r="B44" s="64">
        <f t="shared" si="3"/>
        <v>2057016</v>
      </c>
      <c r="C44" s="64">
        <f t="shared" si="4"/>
        <v>158232</v>
      </c>
      <c r="D44" s="64"/>
      <c r="E44" s="64">
        <f t="shared" si="5"/>
        <v>7921947.1275934689</v>
      </c>
      <c r="F44" s="64">
        <f t="shared" si="6"/>
        <v>0</v>
      </c>
      <c r="G44" s="66">
        <f t="shared" si="7"/>
        <v>16855545.126402155</v>
      </c>
      <c r="H44" s="66">
        <f t="shared" si="1"/>
        <v>0</v>
      </c>
      <c r="I44" s="66">
        <f t="shared" si="8"/>
        <v>729625.98188656988</v>
      </c>
      <c r="J44" s="66">
        <f t="shared" si="9"/>
        <v>25507118.235882193</v>
      </c>
      <c r="K44" s="66"/>
      <c r="L44" s="64">
        <f t="shared" si="10"/>
        <v>14361235.626989277</v>
      </c>
      <c r="M44" s="64">
        <f t="shared" si="2"/>
        <v>100995241.0489461</v>
      </c>
      <c r="N44" s="66">
        <f t="shared" si="11"/>
        <v>4993435.8058712138</v>
      </c>
      <c r="O44" s="66">
        <f t="shared" si="12"/>
        <v>120349912.48180659</v>
      </c>
      <c r="P44" s="65"/>
      <c r="Q44" s="66">
        <f t="shared" si="13"/>
        <v>145857030.7176888</v>
      </c>
      <c r="R44" s="66"/>
      <c r="T44" s="61">
        <f t="shared" si="15"/>
        <v>209.7567579081786</v>
      </c>
      <c r="U44" s="63">
        <v>0</v>
      </c>
      <c r="V44" s="61">
        <f t="shared" si="16"/>
        <v>6.5665964520702014</v>
      </c>
      <c r="AA44" s="40">
        <v>30</v>
      </c>
      <c r="AB44" s="100">
        <v>3.6452764134419953E-2</v>
      </c>
      <c r="AC44" s="47">
        <v>5.3218124890160437E-2</v>
      </c>
    </row>
    <row r="45" spans="1:29">
      <c r="AA45" s="40">
        <v>31</v>
      </c>
      <c r="AB45" s="47">
        <v>-8.1217567464765797E-17</v>
      </c>
      <c r="AC45" s="47">
        <v>5.1593043262041921E-2</v>
      </c>
    </row>
    <row r="46" spans="1:29">
      <c r="AA46" s="40">
        <v>32</v>
      </c>
      <c r="AB46" s="47">
        <v>-8.1217567464765797E-17</v>
      </c>
      <c r="AC46" s="47">
        <v>4.9967961633923391E-2</v>
      </c>
    </row>
    <row r="47" spans="1:29">
      <c r="AA47" s="40">
        <v>33</v>
      </c>
      <c r="AB47" s="47">
        <v>-8.1217567464765797E-17</v>
      </c>
      <c r="AC47" s="47">
        <v>4.8342880005804854E-2</v>
      </c>
    </row>
    <row r="48" spans="1:29">
      <c r="AA48" s="40">
        <v>34</v>
      </c>
      <c r="AB48" s="47">
        <v>-8.1217567464765797E-17</v>
      </c>
      <c r="AC48" s="47">
        <v>4.6717798377686325E-2</v>
      </c>
    </row>
    <row r="49" spans="27:29">
      <c r="AA49" s="40">
        <v>35</v>
      </c>
      <c r="AB49" s="47">
        <v>-8.1217567464765797E-17</v>
      </c>
      <c r="AC49" s="47">
        <v>4.5092716749567795E-2</v>
      </c>
    </row>
    <row r="50" spans="27:29">
      <c r="AA50" s="40">
        <v>36</v>
      </c>
      <c r="AB50" s="47">
        <v>-8.1217567464765797E-17</v>
      </c>
      <c r="AC50" s="47">
        <v>4.3467635121449279E-2</v>
      </c>
    </row>
    <row r="51" spans="27:29">
      <c r="AA51" s="40">
        <v>37</v>
      </c>
      <c r="AB51" s="47">
        <v>-8.1217567464765797E-17</v>
      </c>
      <c r="AC51" s="47">
        <v>4.1842553493330749E-2</v>
      </c>
    </row>
    <row r="52" spans="27:29">
      <c r="AA52" s="40">
        <v>38</v>
      </c>
      <c r="AB52" s="47">
        <v>-8.1217567464765797E-17</v>
      </c>
      <c r="AC52" s="47">
        <v>4.0217471865212212E-2</v>
      </c>
    </row>
    <row r="53" spans="27:29">
      <c r="AA53" s="40">
        <v>39</v>
      </c>
      <c r="AB53" s="47">
        <v>-8.1217567464765797E-17</v>
      </c>
      <c r="AC53" s="47">
        <v>3.8592390237093682E-2</v>
      </c>
    </row>
    <row r="54" spans="27:29">
      <c r="AA54" s="40">
        <v>40</v>
      </c>
      <c r="AB54" s="47">
        <v>-8.1217567464765797E-17</v>
      </c>
      <c r="AC54" s="47">
        <v>3.6967308608975152E-2</v>
      </c>
    </row>
    <row r="55" spans="27:29">
      <c r="AA55" s="40">
        <v>41</v>
      </c>
      <c r="AB55" s="47">
        <v>-8.1217567464765797E-17</v>
      </c>
      <c r="AC55" s="47">
        <v>3.5342226980856636E-2</v>
      </c>
    </row>
    <row r="56" spans="27:29">
      <c r="AA56" s="40">
        <v>42</v>
      </c>
      <c r="AB56" s="47">
        <v>-8.1217567464765797E-17</v>
      </c>
      <c r="AC56" s="47">
        <v>3.37171453527381E-2</v>
      </c>
    </row>
    <row r="57" spans="27:29">
      <c r="AA57" s="40">
        <v>43</v>
      </c>
      <c r="AB57" s="47">
        <v>-8.1217567464765797E-17</v>
      </c>
      <c r="AC57" s="47">
        <v>3.2092063724619563E-2</v>
      </c>
    </row>
    <row r="58" spans="27:29">
      <c r="AA58" s="40">
        <v>44</v>
      </c>
      <c r="AB58" s="47">
        <v>-8.1217567464765797E-17</v>
      </c>
      <c r="AC58" s="47">
        <v>3.046698209650104E-2</v>
      </c>
    </row>
    <row r="59" spans="27:29">
      <c r="AA59" s="40">
        <v>45</v>
      </c>
      <c r="AB59" s="47">
        <v>-8.1217567464765797E-17</v>
      </c>
      <c r="AC59" s="47">
        <v>2.884190046838251E-2</v>
      </c>
    </row>
    <row r="60" spans="27:29">
      <c r="AA60" s="40">
        <v>46</v>
      </c>
      <c r="AB60" s="47">
        <v>-8.1217567464765797E-17</v>
      </c>
      <c r="AC60" s="47">
        <v>2.721681884026398E-2</v>
      </c>
    </row>
    <row r="61" spans="27:29">
      <c r="AA61" s="40">
        <v>47</v>
      </c>
      <c r="AB61" s="47">
        <v>-8.1217567464765797E-17</v>
      </c>
      <c r="AC61" s="47">
        <v>2.5591737212145454E-2</v>
      </c>
    </row>
    <row r="62" spans="27:29">
      <c r="AA62" s="40">
        <v>48</v>
      </c>
      <c r="AB62" s="47">
        <v>-8.1217567464765797E-17</v>
      </c>
      <c r="AC62" s="47">
        <v>2.3966655584026924E-2</v>
      </c>
    </row>
    <row r="63" spans="27:29">
      <c r="AA63" s="40">
        <v>49</v>
      </c>
      <c r="AB63" s="47">
        <v>-8.1217567464765797E-17</v>
      </c>
      <c r="AC63" s="47">
        <v>2.2341573955908391E-2</v>
      </c>
    </row>
    <row r="64" spans="27:29">
      <c r="AA64" s="40">
        <v>50</v>
      </c>
      <c r="AB64" s="47">
        <v>-8.1217567464765797E-17</v>
      </c>
      <c r="AC64" s="47">
        <v>2.0716492327789864E-2</v>
      </c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D16"/>
  <sheetViews>
    <sheetView zoomScaleNormal="100" workbookViewId="0">
      <selection activeCell="E20" sqref="E20"/>
    </sheetView>
  </sheetViews>
  <sheetFormatPr defaultRowHeight="12.75"/>
  <cols>
    <col min="1" max="1" width="32.375" style="40" bestFit="1" customWidth="1"/>
    <col min="2" max="2" width="11.625" style="58" bestFit="1" customWidth="1"/>
    <col min="3" max="3" width="11.625" style="58" customWidth="1"/>
    <col min="4" max="4" width="10.25" style="40" bestFit="1" customWidth="1"/>
    <col min="5" max="5" width="15.125" style="40" bestFit="1" customWidth="1"/>
    <col min="6" max="6" width="12.125" style="40" bestFit="1" customWidth="1"/>
    <col min="7" max="7" width="10.625" style="40" bestFit="1" customWidth="1"/>
    <col min="8" max="8" width="10.25" style="40" bestFit="1" customWidth="1"/>
    <col min="9" max="9" width="12.75" style="40" bestFit="1" customWidth="1"/>
    <col min="10" max="10" width="12.75" style="40" customWidth="1"/>
    <col min="11" max="11" width="13.75" style="40" bestFit="1" customWidth="1"/>
    <col min="12" max="12" width="4.375" style="40" customWidth="1"/>
    <col min="13" max="13" width="11.875" style="40" bestFit="1" customWidth="1"/>
    <col min="14" max="14" width="12.5" style="40" bestFit="1" customWidth="1"/>
    <col min="15" max="15" width="11.125" style="40" bestFit="1" customWidth="1"/>
    <col min="16" max="16" width="12.5" style="40" bestFit="1" customWidth="1"/>
    <col min="17" max="17" width="3.125" style="40" customWidth="1"/>
    <col min="18" max="18" width="12.5" style="40" bestFit="1" customWidth="1"/>
    <col min="19" max="19" width="12.125" style="40" customWidth="1"/>
    <col min="20" max="22" width="9" style="40"/>
    <col min="23" max="23" width="11.875" style="40" bestFit="1" customWidth="1"/>
    <col min="24" max="24" width="9" style="40"/>
    <col min="25" max="25" width="33.125" style="40" bestFit="1" customWidth="1"/>
    <col min="26" max="16384" width="9" style="40"/>
  </cols>
  <sheetData>
    <row r="1" spans="1:30" ht="23.25">
      <c r="A1" s="28" t="s">
        <v>127</v>
      </c>
    </row>
    <row r="2" spans="1:30">
      <c r="A2" s="40" t="s">
        <v>128</v>
      </c>
      <c r="AB2" s="40">
        <v>36</v>
      </c>
      <c r="AC2" s="47">
        <v>-8.3669071252462966E-17</v>
      </c>
      <c r="AD2" s="47">
        <v>4.4418753221941956E-2</v>
      </c>
    </row>
    <row r="3" spans="1:30">
      <c r="A3" s="40" t="s">
        <v>129</v>
      </c>
      <c r="AB3" s="40">
        <v>37</v>
      </c>
      <c r="AC3" s="47">
        <v>-8.3669071252462966E-17</v>
      </c>
      <c r="AD3" s="47">
        <v>4.2769510958889097E-2</v>
      </c>
    </row>
    <row r="4" spans="1:30">
      <c r="AB4" s="40">
        <v>38</v>
      </c>
      <c r="AC4" s="47">
        <v>-8.3669071252462966E-17</v>
      </c>
      <c r="AD4" s="47">
        <v>4.1120268695836244E-2</v>
      </c>
    </row>
    <row r="5" spans="1:30">
      <c r="AB5" s="40">
        <v>39</v>
      </c>
      <c r="AC5" s="47">
        <v>-8.3669071252462966E-17</v>
      </c>
      <c r="AD5" s="47">
        <v>3.9471026432783385E-2</v>
      </c>
    </row>
    <row r="6" spans="1:30">
      <c r="A6" s="40" t="s">
        <v>130</v>
      </c>
      <c r="AB6" s="40">
        <v>40</v>
      </c>
      <c r="AC6" s="47">
        <v>-8.3669071252462966E-17</v>
      </c>
      <c r="AD6" s="47">
        <v>3.7821784169730525E-2</v>
      </c>
    </row>
    <row r="7" spans="1:30" s="70" customFormat="1" ht="25.5">
      <c r="A7" s="70" t="s">
        <v>91</v>
      </c>
      <c r="B7" s="67" t="s">
        <v>135</v>
      </c>
      <c r="C7" s="67" t="s">
        <v>137</v>
      </c>
      <c r="D7" s="67" t="s">
        <v>141</v>
      </c>
      <c r="E7" s="67"/>
      <c r="F7" s="67" t="s">
        <v>138</v>
      </c>
      <c r="G7" s="67" t="s">
        <v>139</v>
      </c>
      <c r="H7" s="67" t="s">
        <v>140</v>
      </c>
      <c r="AB7" s="70">
        <v>41</v>
      </c>
      <c r="AC7" s="76">
        <v>-8.3669071252462966E-17</v>
      </c>
      <c r="AD7" s="76">
        <v>3.6172541906677666E-2</v>
      </c>
    </row>
    <row r="8" spans="1:30">
      <c r="A8" s="40" t="s">
        <v>131</v>
      </c>
      <c r="B8" s="58">
        <v>13.23</v>
      </c>
      <c r="C8" s="72">
        <f>B8*(1+$B$14)^2</f>
        <v>13.89976875</v>
      </c>
      <c r="D8" s="62">
        <v>0</v>
      </c>
      <c r="F8" s="104">
        <f>(1-D8)*C8*0.94</f>
        <v>13.065782624999999</v>
      </c>
      <c r="G8" s="65">
        <f>C8*D8</f>
        <v>0</v>
      </c>
      <c r="H8" s="65">
        <f>SUM(F8:G8)</f>
        <v>13.065782624999999</v>
      </c>
      <c r="AB8" s="40">
        <v>42</v>
      </c>
      <c r="AC8" s="47">
        <v>-8.3669071252462966E-17</v>
      </c>
      <c r="AD8" s="47">
        <v>3.45232996436248E-2</v>
      </c>
    </row>
    <row r="9" spans="1:30">
      <c r="A9" s="40" t="s">
        <v>132</v>
      </c>
      <c r="B9" s="58">
        <v>3.75</v>
      </c>
      <c r="C9" s="72">
        <f t="shared" ref="C9:C10" si="0">B9*(1+$B$14)^2</f>
        <v>3.9398437499999996</v>
      </c>
      <c r="D9" s="68">
        <f>'2012 CCCT LC'!L15/('2012 CCCT LC'!G15+'2012 CCCT LC'!L15)</f>
        <v>0.505415193684571</v>
      </c>
      <c r="F9" s="65">
        <f t="shared" ref="F9:F10" si="1">(1-D9)*C9</f>
        <v>1.9485868580068033</v>
      </c>
      <c r="G9" s="65">
        <f t="shared" ref="G9:G10" si="2">C9*D9</f>
        <v>1.9912568919931963</v>
      </c>
      <c r="H9" s="65">
        <f t="shared" ref="H9:H11" si="3">SUM(F9:G9)</f>
        <v>3.9398437499999996</v>
      </c>
      <c r="AB9" s="40">
        <v>43</v>
      </c>
      <c r="AC9" s="47">
        <v>-8.3669071252462966E-17</v>
      </c>
      <c r="AD9" s="47">
        <v>3.287405738057194E-2</v>
      </c>
    </row>
    <row r="10" spans="1:30">
      <c r="A10" s="40" t="s">
        <v>133</v>
      </c>
      <c r="B10" s="58">
        <v>24.24</v>
      </c>
      <c r="C10" s="72">
        <f t="shared" si="0"/>
        <v>25.467149999999997</v>
      </c>
      <c r="D10" s="68">
        <f>'2012 CCCT LC'!M15/('2012 CCCT LC'!H15+'2012 CCCT LC'!M15)</f>
        <v>0.89901772745626685</v>
      </c>
      <c r="F10" s="65">
        <f t="shared" si="1"/>
        <v>2.5717306822121335</v>
      </c>
      <c r="G10" s="65">
        <f t="shared" si="2"/>
        <v>22.895419317787862</v>
      </c>
      <c r="H10" s="65">
        <f t="shared" si="3"/>
        <v>25.467149999999997</v>
      </c>
      <c r="AB10" s="40">
        <v>44</v>
      </c>
      <c r="AC10" s="47">
        <v>-8.3669071252462966E-17</v>
      </c>
      <c r="AD10" s="47">
        <v>3.1224815117519084E-2</v>
      </c>
    </row>
    <row r="11" spans="1:30">
      <c r="A11" s="57" t="s">
        <v>2</v>
      </c>
      <c r="B11" s="65">
        <f>SUM(B8:B10)</f>
        <v>41.22</v>
      </c>
      <c r="C11" s="65">
        <f>SUM(C8:C10)</f>
        <v>43.306762499999998</v>
      </c>
      <c r="F11" s="65">
        <f>SUM(F8:F10)</f>
        <v>17.586100165218937</v>
      </c>
      <c r="G11" s="65">
        <f>SUM(G8:G10)</f>
        <v>24.886676209781058</v>
      </c>
      <c r="H11" s="65">
        <f t="shared" si="3"/>
        <v>42.472776374999995</v>
      </c>
      <c r="AB11" s="40">
        <v>45</v>
      </c>
      <c r="AC11" s="47">
        <v>-8.3669071252462966E-17</v>
      </c>
      <c r="AD11" s="47">
        <v>2.9575572854466221E-2</v>
      </c>
    </row>
    <row r="12" spans="1:30">
      <c r="E12" s="58" t="s">
        <v>143</v>
      </c>
      <c r="F12" s="65">
        <f>F11*8760*B15/1000</f>
        <v>141.72989845153248</v>
      </c>
      <c r="AB12" s="40">
        <v>46</v>
      </c>
      <c r="AC12" s="47">
        <v>-8.3669071252462966E-17</v>
      </c>
      <c r="AD12" s="47">
        <v>2.7926330591413362E-2</v>
      </c>
    </row>
    <row r="13" spans="1:30">
      <c r="AB13" s="40">
        <v>47</v>
      </c>
      <c r="AC13" s="47">
        <v>-8.3669071252462966E-17</v>
      </c>
      <c r="AD13" s="47">
        <v>2.6277088328360499E-2</v>
      </c>
    </row>
    <row r="14" spans="1:30">
      <c r="A14" s="40" t="s">
        <v>136</v>
      </c>
      <c r="B14" s="73">
        <v>2.5000000000000001E-2</v>
      </c>
      <c r="C14" s="73"/>
      <c r="AB14" s="40">
        <v>48</v>
      </c>
      <c r="AC14" s="47">
        <v>-8.3669071252462966E-17</v>
      </c>
      <c r="AD14" s="47">
        <v>2.4627846065307643E-2</v>
      </c>
    </row>
    <row r="15" spans="1:30">
      <c r="A15" s="40" t="s">
        <v>142</v>
      </c>
      <c r="B15" s="77">
        <v>0.92</v>
      </c>
    </row>
    <row r="16" spans="1:30">
      <c r="F16" s="65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565E3346B944D4D9F6D8757E192A487" ma:contentTypeVersion="44" ma:contentTypeDescription="" ma:contentTypeScope="" ma:versionID="59ba1072e510fed4af03c06b9f2e359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2020-06-01T07:00:00+00:00</OpenedDate>
    <SignificantOrder xmlns="dc463f71-b30c-4ab2-9473-d307f9d35888">false</SignificantOrder>
    <Date1 xmlns="dc463f71-b30c-4ab2-9473-d307f9d35888">2020-06-01T07:00:00+00:00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200505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406B0ED-FD92-433A-8BA7-E726A89C23C0}"/>
</file>

<file path=customXml/itemProps2.xml><?xml version="1.0" encoding="utf-8"?>
<ds:datastoreItem xmlns:ds="http://schemas.openxmlformats.org/officeDocument/2006/customXml" ds:itemID="{286A35B4-7B6B-45B9-8231-0A00624DA817}"/>
</file>

<file path=customXml/itemProps3.xml><?xml version="1.0" encoding="utf-8"?>
<ds:datastoreItem xmlns:ds="http://schemas.openxmlformats.org/officeDocument/2006/customXml" ds:itemID="{CA13E0BB-4FA1-415D-A137-24DA206EDE83}"/>
</file>

<file path=customXml/itemProps4.xml><?xml version="1.0" encoding="utf-8"?>
<ds:datastoreItem xmlns:ds="http://schemas.openxmlformats.org/officeDocument/2006/customXml" ds:itemID="{FE471716-1BEC-46E2-BCA2-DBD79AA016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Summary</vt:lpstr>
      <vt:lpstr>Hydro Energy</vt:lpstr>
      <vt:lpstr>Rattlesnake</vt:lpstr>
      <vt:lpstr>Palouse LC</vt:lpstr>
      <vt:lpstr>2020 CCCT LC</vt:lpstr>
      <vt:lpstr>2012 CCCT LC</vt:lpstr>
      <vt:lpstr>2007 CCCT LC</vt:lpstr>
      <vt:lpstr>2004 CCCT LC</vt:lpstr>
      <vt:lpstr>2001 CCCT LC</vt:lpstr>
      <vt:lpstr>1999 CCCT LC</vt:lpstr>
      <vt:lpstr>Palouse Wind Integration Costs</vt:lpstr>
      <vt:lpstr>LF_4</vt:lpstr>
      <vt:lpstr>LL_3</vt:lpstr>
      <vt:lpstr>CG_3</vt:lpstr>
      <vt:lpstr>CG_2</vt:lpstr>
      <vt:lpstr>CG_4</vt:lpstr>
      <vt:lpstr>NR_1</vt:lpstr>
      <vt:lpstr>NR_2</vt:lpstr>
      <vt:lpstr>NR_3</vt:lpstr>
      <vt:lpstr>NR_4</vt:lpstr>
      <vt:lpstr>NM1&amp;2</vt:lpstr>
      <vt:lpstr>Summary!Print_Area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Gall</dc:creator>
  <cp:lastModifiedBy>Gall, James</cp:lastModifiedBy>
  <cp:lastPrinted>2014-05-20T16:42:24Z</cp:lastPrinted>
  <dcterms:created xsi:type="dcterms:W3CDTF">2012-02-24T23:48:44Z</dcterms:created>
  <dcterms:modified xsi:type="dcterms:W3CDTF">2020-06-01T15:38:32Z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{47759303-BE4B-45BF-B6B8-0F13F4BACD06}</vt:lpwstr>
  </property>
  <property fmtid="{D5CDD505-2E9C-101B-9397-08002B2CF9AE}" pid="3" name="ContentTypeId">
    <vt:lpwstr>0x0101006E56B4D1795A2E4DB2F0B01679ED314A00B565E3346B944D4D9F6D8757E192A487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