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0\"/>
    </mc:Choice>
  </mc:AlternateContent>
  <xr:revisionPtr revIDLastSave="0" documentId="13_ncr:1_{89B60663-9D34-40CB-A6E1-E9825C77EA09}" xr6:coauthVersionLast="44" xr6:coauthVersionMax="44" xr10:uidLastSave="{00000000-0000-0000-0000-000000000000}"/>
  <bookViews>
    <workbookView xWindow="-28920" yWindow="1830" windowWidth="29040" windowHeight="15840" xr2:uid="{00000000-000D-0000-FFFF-FFFF00000000}"/>
  </bookViews>
  <sheets>
    <sheet name="2020 Rate Calculation" sheetId="3" r:id="rId1"/>
    <sheet name="2019 Rate Calcul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3" l="1"/>
  <c r="L32" i="3" s="1"/>
  <c r="H26" i="3"/>
  <c r="H32" i="3" l="1"/>
  <c r="K32" i="3"/>
  <c r="M32" i="3"/>
  <c r="J32" i="3"/>
  <c r="I32" i="3"/>
  <c r="F32" i="3" l="1"/>
  <c r="E27" i="2" l="1"/>
  <c r="E31" i="2" l="1"/>
  <c r="E33" i="2" l="1"/>
  <c r="E34" i="2" s="1"/>
  <c r="G52" i="2"/>
  <c r="H52" i="2" s="1"/>
  <c r="G53" i="2"/>
  <c r="H53" i="2" s="1"/>
  <c r="G33" i="2"/>
  <c r="G38" i="2" s="1"/>
  <c r="H55" i="2" l="1"/>
  <c r="E35" i="2" s="1"/>
  <c r="E36" i="2" l="1"/>
  <c r="E39" i="2" s="1"/>
  <c r="G37" i="2" l="1"/>
  <c r="G42" i="2" s="1"/>
  <c r="E42" i="2"/>
  <c r="G43" i="2" l="1"/>
  <c r="G45" i="2" s="1"/>
  <c r="F51" i="3" s="1"/>
  <c r="F26" i="3" l="1"/>
  <c r="F35" i="3" s="1"/>
  <c r="F39" i="3" s="1"/>
  <c r="F37" i="3" l="1"/>
  <c r="H37" i="3" s="1"/>
  <c r="H42" i="3" s="1"/>
  <c r="F40" i="3" l="1"/>
  <c r="F41" i="3" s="1"/>
  <c r="F38" i="3"/>
  <c r="F44" i="3" l="1"/>
  <c r="H43" i="3" l="1"/>
  <c r="H47" i="3" s="1"/>
  <c r="F47" i="3"/>
  <c r="F48" i="3" s="1"/>
  <c r="F50" i="3" s="1"/>
  <c r="F53" i="3" s="1"/>
  <c r="L58" i="3"/>
  <c r="L62" i="3" s="1"/>
  <c r="I58" i="3"/>
  <c r="I62" i="3" s="1"/>
  <c r="M58" i="3" l="1"/>
  <c r="M62" i="3" s="1"/>
  <c r="H58" i="3"/>
  <c r="H62" i="3" s="1"/>
  <c r="J58" i="3"/>
  <c r="J62" i="3" s="1"/>
  <c r="K58" i="3"/>
  <c r="K62" i="3" s="1"/>
  <c r="F56" i="3"/>
  <c r="H65" i="3" s="1"/>
</calcChain>
</file>

<file path=xl/sharedStrings.xml><?xml version="1.0" encoding="utf-8"?>
<sst xmlns="http://schemas.openxmlformats.org/spreadsheetml/2006/main" count="189" uniqueCount="118">
  <si>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</si>
  <si>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</si>
  <si>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</si>
  <si>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</si>
  <si>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</si>
  <si>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</si>
  <si>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</si>
  <si>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</si>
  <si>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</si>
  <si>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</si>
  <si>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</si>
  <si>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</si>
  <si>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</si>
  <si>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</si>
  <si>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</si>
  <si>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</si>
  <si>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</si>
  <si>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</si>
  <si>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</si>
  <si>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</si>
  <si>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</si>
  <si>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CRM RPL  ANACORTES BARE STEEL</t>
  </si>
  <si>
    <t>MT. VERNON</t>
  </si>
  <si>
    <t>BARE STEEL/PRE-CNG PIPE - IDENTIFIED HIGH (RED) RISK IN DIMP</t>
  </si>
  <si>
    <t>PRE-CNG PIPE - IDENTIFIED HIGH (RED) RISK IN DIMP</t>
  </si>
  <si>
    <t>WENATCHEE</t>
  </si>
  <si>
    <t>CRM BELLINGHAM BRIDGE CROSSINGS RMV</t>
  </si>
  <si>
    <t>BELLINGHAM</t>
  </si>
  <si>
    <t>EXPOSED PIPE SUSCEPTIBLE TO CORROSION RISK - MODERATE (ORANGE)</t>
  </si>
  <si>
    <t>CRM RPL LONGVIEW BARE STEEL</t>
  </si>
  <si>
    <t>LONGVIEW</t>
  </si>
  <si>
    <t>CRM KELSO GRADE ST BRIDGE RELOCATE</t>
  </si>
  <si>
    <t>ABERDEEN</t>
  </si>
  <si>
    <t>Accum Tax depreciation</t>
  </si>
  <si>
    <t>TYPE OF PIPE TO BE REPLACED</t>
  </si>
  <si>
    <t xml:space="preserve"> </t>
  </si>
  <si>
    <t>Ln 20</t>
  </si>
  <si>
    <t>Ln 40* 2.58%</t>
  </si>
  <si>
    <t>Ln 41 / 2</t>
  </si>
  <si>
    <t>Ln 40 *3.75%</t>
  </si>
  <si>
    <t>Ln 44 / 2</t>
  </si>
  <si>
    <t>Ln 20 - Ln 42 - Ln 45</t>
  </si>
  <si>
    <t>Sum Ln 50</t>
  </si>
  <si>
    <t>Ln 51 / Ln 52</t>
  </si>
  <si>
    <t>Ln 54 * Ln 39</t>
  </si>
  <si>
    <t>Ln 55 / Ln 56</t>
  </si>
  <si>
    <t>Ln 25</t>
  </si>
  <si>
    <t>Ln 28* 2.58%</t>
  </si>
  <si>
    <t>Ln 29 / 2 + 1st yr depr</t>
  </si>
  <si>
    <t xml:space="preserve">Accum Tax depreciation </t>
  </si>
  <si>
    <t>See Calc Below</t>
  </si>
  <si>
    <t>Accum Deferred Tax (Avg)</t>
  </si>
  <si>
    <t>Interest Coordination Adj (Rate Base x Weighted Cost of Debt x FIT)</t>
  </si>
  <si>
    <t>(Ln 35 * Ln 36) and (Ln 29 - Ln 34 - Ln 33)</t>
  </si>
  <si>
    <t>(Ln 35 * Ln 36) + (Ln 29 - Ln 34 - Ln 33)</t>
  </si>
  <si>
    <t>Revenue Requirement</t>
  </si>
  <si>
    <t>Ln 21 / Ln 22</t>
  </si>
  <si>
    <t>Accum</t>
  </si>
  <si>
    <t>Tax Depreciation</t>
  </si>
  <si>
    <t>Year 1</t>
  </si>
  <si>
    <t>Year 2</t>
  </si>
  <si>
    <t>Increase in Revenue Requirement</t>
  </si>
  <si>
    <t>Replacement Projects 11-1-16 to 10-31-17</t>
  </si>
  <si>
    <t>Actual costs thru</t>
  </si>
  <si>
    <t>Cascade Natural Gas Corp.</t>
  </si>
  <si>
    <t>Ln 54 / Ln 58</t>
  </si>
  <si>
    <t>Authorized ROR from UG-170929</t>
  </si>
  <si>
    <t>Rate Base Allocation from UG-170929 Company COS</t>
  </si>
  <si>
    <t>Ln 41* .21</t>
  </si>
  <si>
    <t>(Ln 43 - Ln 41) * .21</t>
  </si>
  <si>
    <t>Ln 53</t>
  </si>
  <si>
    <t>(Ln 31 - Ln 30) * .21</t>
  </si>
  <si>
    <t>Ln 29 * .21</t>
  </si>
  <si>
    <t>Conversion Factor from UG-170929</t>
  </si>
  <si>
    <t>CRM SHELTON REPLACEMENT</t>
  </si>
  <si>
    <t>CRM RPL 8" MARCH POINT - 11C1144-1</t>
  </si>
  <si>
    <t>CRM 6,8" HP; MOSES LAKE; 16,495'</t>
  </si>
  <si>
    <t>CRM KELSO REPLACEMENT</t>
  </si>
  <si>
    <t>((Ln 48 * Ln 49)  and  (Ln 41 - Ln 46-Ln 47)</t>
  </si>
  <si>
    <t>PRE-CODE TRANSMISSION MAIN, HISTORY OF CORROSION</t>
  </si>
  <si>
    <t>PRE-CNG PIPE</t>
  </si>
  <si>
    <t>HIGH-MODERATE RISK IN DIMP</t>
  </si>
  <si>
    <t>PRE-CNG PIPE - HIGH (RED) IN DIMP</t>
  </si>
  <si>
    <t>BARE STEEL/PRE-CNG PIPE IDENTIFIED HIGH (RED) RISK IN DIMP</t>
  </si>
  <si>
    <t>MT VERNON</t>
  </si>
  <si>
    <t>Replacement Cost</t>
  </si>
  <si>
    <t>503</t>
  </si>
  <si>
    <t>505</t>
  </si>
  <si>
    <t>570</t>
  </si>
  <si>
    <t>Replacement Cost Included in UG-180674</t>
  </si>
  <si>
    <t>x</t>
  </si>
  <si>
    <t>CRM RPL HP OTHELLO</t>
  </si>
  <si>
    <t>CRM RPL; 12" STL HP, LONG/KELSO PH3</t>
  </si>
  <si>
    <t>CRM RP 8" BRIDGE CROSSING WALLA WALLA</t>
  </si>
  <si>
    <t>WALLA WALLA</t>
  </si>
  <si>
    <t>CRM RP 2" LYNDEN</t>
  </si>
  <si>
    <t>CRM 2" STL BELLINGHAM</t>
  </si>
  <si>
    <t>BELLIGHAM</t>
  </si>
  <si>
    <t>ANACORTES CRM PHASE 2</t>
  </si>
  <si>
    <t>PRE-CNG STEEL PIPE</t>
  </si>
  <si>
    <t>EARLY VINTAGE STEEL PIPE PRE-1970</t>
  </si>
  <si>
    <t>EARLY VINTAGE STEEL PIPE (FISH)</t>
  </si>
  <si>
    <t>thru October</t>
  </si>
  <si>
    <t>Rate Base</t>
  </si>
  <si>
    <t>2019 Commission Basis Total Revenue</t>
  </si>
  <si>
    <t>2020 Current Revenue Requirement</t>
  </si>
  <si>
    <t>Conversion Factor in UG-190210</t>
  </si>
  <si>
    <t>Authorized ROR from UG-190210</t>
  </si>
  <si>
    <t>Interest Coordination Adj (Rate Base x Weighted Cost of Debt (2.623895%) x 21% FIT)</t>
  </si>
  <si>
    <t>April with</t>
  </si>
  <si>
    <t>Included in UG-190210</t>
  </si>
  <si>
    <t>Replacement Projects 1-1-20 to 10-31-20</t>
  </si>
  <si>
    <t>Less UG-190455 Updated Revenue Requirement (From UG-190210 Compliance filing)</t>
  </si>
  <si>
    <t xml:space="preserve">Weather Normalized 2019 Volumes </t>
  </si>
  <si>
    <t>CRM RPL  ANACORTES BARE STEEL Phase 3</t>
  </si>
  <si>
    <t>CRM RPL; 3" HP; Zilliah; 873'</t>
  </si>
  <si>
    <t>CRM Longview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</si>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</sst>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9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0" fontId="0" fillId="0" borderId="0" xfId="0"/>
    <xf numFmtId="3" fontId="0" fillId="0" borderId="0" xfId="0" applyNumberFormat="1"/>
    <xf numFmtId="166" fontId="0" fillId="0" borderId="2" xfId="1" applyNumberFormat="1" applyFont="1" applyBorder="1"/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1" fontId="0" fillId="0" borderId="0" xfId="0" applyNumberFormat="1"/>
    <xf numFmtId="6" fontId="1" fillId="0" borderId="0" xfId="3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6" fontId="1" fillId="0" borderId="0" xfId="0" applyNumberFormat="1" applyFont="1" applyBorder="1"/>
    <xf numFmtId="43" fontId="1" fillId="0" borderId="0" xfId="1" applyFont="1" applyBorder="1"/>
    <xf numFmtId="166" fontId="1" fillId="0" borderId="0" xfId="1" applyNumberFormat="1" applyFont="1"/>
    <xf numFmtId="166" fontId="1" fillId="0" borderId="3" xfId="0" applyNumberFormat="1" applyFont="1" applyBorder="1"/>
    <xf numFmtId="167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6" fontId="0" fillId="0" borderId="0" xfId="0" applyNumberFormat="1" applyFont="1" applyBorder="1"/>
    <xf numFmtId="6" fontId="2" fillId="0" borderId="0" xfId="3" applyNumberFormat="1" applyFont="1" applyBorder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4" fontId="2" fillId="0" borderId="0" xfId="3" applyFont="1" applyBorder="1" applyAlignment="1">
      <alignment vertical="center"/>
    </xf>
    <xf numFmtId="0" fontId="0" fillId="0" borderId="0" xfId="0" applyFont="1" applyBorder="1"/>
    <xf numFmtId="43" fontId="0" fillId="0" borderId="0" xfId="0" applyNumberFormat="1" applyBorder="1"/>
    <xf numFmtId="43" fontId="1" fillId="0" borderId="0" xfId="0" applyNumberFormat="1" applyFont="1" applyBorder="1"/>
    <xf numFmtId="43" fontId="0" fillId="0" borderId="0" xfId="0" applyNumberFormat="1" applyFont="1" applyBorder="1"/>
    <xf numFmtId="4" fontId="0" fillId="0" borderId="0" xfId="0" applyNumberFormat="1"/>
    <xf numFmtId="39" fontId="1" fillId="0" borderId="0" xfId="0" applyNumberFormat="1" applyFont="1" applyBorder="1"/>
    <xf numFmtId="39" fontId="0" fillId="0" borderId="0" xfId="0" applyNumberFormat="1" applyFont="1" applyBorder="1"/>
    <xf numFmtId="39" fontId="0" fillId="0" borderId="0" xfId="0" applyNumberFormat="1" applyBorder="1"/>
    <xf numFmtId="39" fontId="0" fillId="0" borderId="0" xfId="0" applyNumberFormat="1" applyBorder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43" fontId="0" fillId="2" borderId="0" xfId="3" applyNumberFormat="1" applyFont="1" applyFill="1" applyAlignment="1">
      <alignment vertical="center"/>
    </xf>
    <xf numFmtId="43" fontId="1" fillId="2" borderId="0" xfId="3" applyNumberFormat="1" applyFont="1" applyFill="1" applyAlignment="1">
      <alignment vertical="center"/>
    </xf>
    <xf numFmtId="43" fontId="2" fillId="0" borderId="0" xfId="3" applyNumberFormat="1" applyAlignment="1">
      <alignment vertical="center"/>
    </xf>
    <xf numFmtId="43" fontId="1" fillId="0" borderId="0" xfId="3" applyNumberFormat="1" applyFont="1" applyAlignment="1">
      <alignment vertical="center"/>
    </xf>
    <xf numFmtId="43" fontId="0" fillId="0" borderId="0" xfId="3" applyNumberFormat="1" applyFont="1" applyAlignment="1">
      <alignment vertical="center"/>
    </xf>
    <xf numFmtId="39" fontId="1" fillId="0" borderId="0" xfId="3" applyNumberFormat="1" applyFont="1" applyAlignment="1">
      <alignment vertical="center"/>
    </xf>
    <xf numFmtId="39" fontId="2" fillId="0" borderId="0" xfId="3" applyNumberFormat="1" applyAlignment="1">
      <alignment vertical="center"/>
    </xf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39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vertical="center"/>
    </xf>
    <xf numFmtId="0" fontId="0" fillId="0" borderId="0" xfId="0" applyFont="1" applyFill="1"/>
    <xf numFmtId="166" fontId="2" fillId="0" borderId="0" xfId="1" applyNumberFormat="1" applyFont="1" applyFill="1"/>
    <xf numFmtId="166" fontId="2" fillId="0" borderId="0" xfId="1" applyNumberFormat="1" applyFont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3" fontId="0" fillId="0" borderId="0" xfId="0" applyNumberForma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abSelected="1" topLeftCell="A42" zoomScaleNormal="100" workbookViewId="0">
      <selection activeCell="F35" sqref="F35:M72"/>
    </sheetView>
  </sheetViews>
  <sheetFormatPr defaultRowHeight="15" x14ac:dyDescent="0.25"/>
  <cols>
    <col min="1" max="1" width="3" bestFit="1" customWidth="1"/>
    <col min="2" max="2" width="2.7109375" style="25" customWidth="1"/>
    <col min="3" max="3" width="75.42578125" bestFit="1" customWidth="1"/>
    <col min="4" max="4" width="15.28515625" bestFit="1" customWidth="1"/>
    <col min="5" max="5" width="41.710937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A1" s="25"/>
      <c r="C1" s="47" t="s">
        <v>64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x14ac:dyDescent="0.25">
      <c r="A2" s="25"/>
      <c r="C2" s="25" t="s">
        <v>111</v>
      </c>
      <c r="D2" s="25"/>
      <c r="E2" s="25"/>
      <c r="F2" s="46" t="s">
        <v>63</v>
      </c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5">
      <c r="A3" s="25"/>
      <c r="C3" s="25"/>
      <c r="D3" s="25"/>
      <c r="E3" s="25"/>
      <c r="F3" s="2" t="s">
        <v>109</v>
      </c>
      <c r="G3" s="25"/>
      <c r="H3" s="25"/>
      <c r="I3" s="25"/>
      <c r="J3" s="25"/>
      <c r="K3" s="25"/>
      <c r="L3" s="25"/>
      <c r="M3" s="25"/>
      <c r="N3" s="25"/>
      <c r="O3" s="25"/>
    </row>
    <row r="4" spans="1:16" x14ac:dyDescent="0.25">
      <c r="A4" s="25"/>
      <c r="C4" s="1"/>
      <c r="D4" s="1"/>
      <c r="E4" s="1"/>
      <c r="F4" s="2" t="s">
        <v>1</v>
      </c>
      <c r="G4" s="1"/>
      <c r="H4" s="10">
        <v>43951</v>
      </c>
      <c r="I4" s="1"/>
      <c r="J4" s="1"/>
      <c r="K4" s="1"/>
      <c r="L4" s="1"/>
      <c r="M4" s="1"/>
      <c r="N4" s="1"/>
      <c r="O4" s="1"/>
    </row>
    <row r="5" spans="1:16" x14ac:dyDescent="0.25">
      <c r="A5" s="25"/>
      <c r="C5" s="2" t="s">
        <v>0</v>
      </c>
      <c r="D5" s="2" t="s">
        <v>19</v>
      </c>
      <c r="E5" s="1"/>
      <c r="F5" s="2" t="s">
        <v>102</v>
      </c>
      <c r="G5" s="1"/>
      <c r="H5" s="2" t="s">
        <v>2</v>
      </c>
      <c r="I5" s="1"/>
      <c r="J5" s="3" t="s">
        <v>34</v>
      </c>
      <c r="K5" s="1"/>
      <c r="L5" s="1"/>
      <c r="M5" s="1"/>
      <c r="N5" s="3"/>
      <c r="O5" s="1"/>
    </row>
    <row r="6" spans="1:16" x14ac:dyDescent="0.25">
      <c r="A6" s="25"/>
      <c r="C6" s="65"/>
      <c r="D6" s="2"/>
      <c r="E6" s="1"/>
      <c r="F6" s="3"/>
      <c r="G6" s="1"/>
      <c r="H6" s="3"/>
      <c r="I6" s="1"/>
      <c r="J6" s="1"/>
      <c r="K6" s="1"/>
      <c r="L6" s="1"/>
      <c r="M6" s="1"/>
      <c r="N6" s="1"/>
      <c r="O6" s="1"/>
    </row>
    <row r="7" spans="1:16" s="82" customFormat="1" x14ac:dyDescent="0.25">
      <c r="A7" s="82">
        <v>1</v>
      </c>
      <c r="B7" s="82" t="s">
        <v>90</v>
      </c>
      <c r="C7" s="68" t="s">
        <v>114</v>
      </c>
      <c r="D7" s="85" t="s">
        <v>22</v>
      </c>
      <c r="E7" s="86"/>
      <c r="F7" s="78">
        <v>1006822.37</v>
      </c>
      <c r="G7" s="79"/>
      <c r="H7" s="80">
        <v>0</v>
      </c>
      <c r="I7" s="68" t="s">
        <v>23</v>
      </c>
      <c r="J7" s="87"/>
      <c r="K7" s="87"/>
      <c r="L7" s="88"/>
      <c r="M7" s="68"/>
      <c r="N7" s="83"/>
      <c r="O7" s="83"/>
      <c r="P7" s="83"/>
    </row>
    <row r="8" spans="1:16" s="82" customFormat="1" x14ac:dyDescent="0.25">
      <c r="A8" s="82">
        <v>2</v>
      </c>
      <c r="B8" s="82" t="s">
        <v>90</v>
      </c>
      <c r="C8" s="68" t="s">
        <v>29</v>
      </c>
      <c r="D8" s="85" t="s">
        <v>30</v>
      </c>
      <c r="E8" s="86"/>
      <c r="F8" s="78">
        <v>6963767.5999999996</v>
      </c>
      <c r="G8" s="79"/>
      <c r="H8" s="80">
        <v>134119.63</v>
      </c>
      <c r="I8" s="68" t="s">
        <v>23</v>
      </c>
      <c r="J8" s="87"/>
      <c r="K8" s="87"/>
      <c r="L8" s="88"/>
      <c r="M8" s="68"/>
      <c r="N8" s="83"/>
      <c r="O8" s="83"/>
      <c r="P8" s="83"/>
    </row>
    <row r="9" spans="1:16" s="82" customFormat="1" x14ac:dyDescent="0.25">
      <c r="A9" s="82">
        <v>3</v>
      </c>
      <c r="B9" s="82" t="s">
        <v>90</v>
      </c>
      <c r="C9" s="68" t="s">
        <v>92</v>
      </c>
      <c r="D9" s="85" t="s">
        <v>30</v>
      </c>
      <c r="E9" s="86"/>
      <c r="F9" s="78">
        <v>-1600147.7</v>
      </c>
      <c r="G9" s="79"/>
      <c r="H9" s="80">
        <v>-1600147.7</v>
      </c>
      <c r="I9" s="68" t="s">
        <v>82</v>
      </c>
      <c r="J9" s="87"/>
      <c r="K9" s="87"/>
      <c r="L9" s="88"/>
      <c r="M9" s="68"/>
      <c r="N9" s="83"/>
      <c r="O9" s="83"/>
      <c r="P9" s="83"/>
    </row>
    <row r="10" spans="1:16" s="82" customFormat="1" x14ac:dyDescent="0.25">
      <c r="A10" s="82">
        <v>4</v>
      </c>
      <c r="B10" s="82" t="s">
        <v>90</v>
      </c>
      <c r="C10" s="68" t="s">
        <v>74</v>
      </c>
      <c r="D10" s="85" t="s">
        <v>32</v>
      </c>
      <c r="E10" s="86"/>
      <c r="F10" s="78">
        <v>-109107.97</v>
      </c>
      <c r="G10" s="79"/>
      <c r="H10" s="80">
        <v>-122448.77</v>
      </c>
      <c r="I10" s="68" t="s">
        <v>24</v>
      </c>
      <c r="J10" s="87"/>
      <c r="K10" s="87"/>
      <c r="L10" s="88"/>
      <c r="M10" s="68"/>
      <c r="N10" s="83"/>
      <c r="O10" s="83"/>
      <c r="P10" s="83"/>
    </row>
    <row r="11" spans="1:16" s="82" customFormat="1" x14ac:dyDescent="0.25">
      <c r="A11" s="84">
        <v>5</v>
      </c>
      <c r="B11" s="84" t="s">
        <v>90</v>
      </c>
      <c r="C11" s="68" t="s">
        <v>95</v>
      </c>
      <c r="D11" s="85" t="s">
        <v>27</v>
      </c>
      <c r="E11" s="86"/>
      <c r="F11" s="78">
        <v>0</v>
      </c>
      <c r="G11" s="79"/>
      <c r="H11" s="80">
        <v>0</v>
      </c>
      <c r="I11" s="68" t="s">
        <v>99</v>
      </c>
      <c r="J11" s="87"/>
      <c r="K11" s="87"/>
      <c r="L11" s="88"/>
      <c r="M11" s="68"/>
      <c r="N11" s="83"/>
      <c r="O11" s="83"/>
      <c r="P11" s="83"/>
    </row>
    <row r="12" spans="1:16" s="82" customFormat="1" x14ac:dyDescent="0.25">
      <c r="A12" s="84">
        <v>6</v>
      </c>
      <c r="B12" s="84" t="s">
        <v>90</v>
      </c>
      <c r="C12" s="68" t="s">
        <v>115</v>
      </c>
      <c r="D12" s="85" t="s">
        <v>117</v>
      </c>
      <c r="E12" s="86"/>
      <c r="F12" s="78">
        <v>218297.27</v>
      </c>
      <c r="G12" s="79"/>
      <c r="H12" s="80">
        <v>0</v>
      </c>
      <c r="I12" s="68" t="s">
        <v>24</v>
      </c>
      <c r="J12" s="87"/>
      <c r="K12" s="87"/>
      <c r="L12" s="88"/>
      <c r="M12" s="68"/>
      <c r="N12" s="83"/>
      <c r="O12" s="83"/>
      <c r="P12" s="83"/>
    </row>
    <row r="13" spans="1:16" s="82" customFormat="1" x14ac:dyDescent="0.25">
      <c r="A13" s="82">
        <v>7</v>
      </c>
      <c r="B13" s="82" t="s">
        <v>90</v>
      </c>
      <c r="C13" s="68" t="s">
        <v>31</v>
      </c>
      <c r="D13" s="85" t="s">
        <v>30</v>
      </c>
      <c r="E13" s="86"/>
      <c r="F13" s="78">
        <v>-286700</v>
      </c>
      <c r="G13" s="79"/>
      <c r="H13" s="80">
        <v>-286700</v>
      </c>
      <c r="I13" s="68" t="s">
        <v>28</v>
      </c>
      <c r="J13" s="87"/>
      <c r="K13" s="87"/>
      <c r="L13" s="88"/>
      <c r="M13" s="68"/>
      <c r="N13" s="83"/>
      <c r="O13" s="83"/>
      <c r="P13" s="83"/>
    </row>
    <row r="14" spans="1:16" s="82" customFormat="1" x14ac:dyDescent="0.25">
      <c r="A14" s="82">
        <v>8</v>
      </c>
      <c r="B14" s="82" t="s">
        <v>90</v>
      </c>
      <c r="C14" s="68" t="s">
        <v>116</v>
      </c>
      <c r="D14" s="85" t="s">
        <v>30</v>
      </c>
      <c r="E14" s="86"/>
      <c r="F14" s="78">
        <v>-219534.4</v>
      </c>
      <c r="G14" s="79"/>
      <c r="H14" s="80">
        <v>-219534.4</v>
      </c>
      <c r="I14" s="68" t="s">
        <v>80</v>
      </c>
      <c r="J14" s="87"/>
      <c r="K14" s="87"/>
      <c r="L14" s="88"/>
      <c r="M14" s="68"/>
      <c r="N14" s="83"/>
      <c r="O14" s="83"/>
      <c r="P14" s="83"/>
    </row>
    <row r="15" spans="1:16" x14ac:dyDescent="0.25">
      <c r="A15" s="25">
        <v>9</v>
      </c>
      <c r="B15" s="25" t="s">
        <v>90</v>
      </c>
      <c r="C15" s="68" t="s">
        <v>98</v>
      </c>
      <c r="D15" s="41" t="s">
        <v>84</v>
      </c>
      <c r="E15" s="48"/>
      <c r="F15" s="78">
        <v>1396461.83</v>
      </c>
      <c r="G15" s="79"/>
      <c r="H15" s="80">
        <v>1396461.83</v>
      </c>
      <c r="I15" s="42" t="s">
        <v>80</v>
      </c>
      <c r="J15" s="45"/>
      <c r="K15" s="45"/>
      <c r="L15" s="89"/>
      <c r="M15" s="42"/>
      <c r="N15" s="53"/>
      <c r="O15" s="53"/>
      <c r="P15" s="53"/>
    </row>
    <row r="16" spans="1:16" x14ac:dyDescent="0.25">
      <c r="A16" s="25">
        <v>10</v>
      </c>
      <c r="B16" s="25" t="s">
        <v>90</v>
      </c>
      <c r="C16" s="68" t="s">
        <v>77</v>
      </c>
      <c r="D16" s="41" t="s">
        <v>30</v>
      </c>
      <c r="E16" s="48"/>
      <c r="F16" s="78">
        <v>192701.11</v>
      </c>
      <c r="G16" s="79"/>
      <c r="H16" s="80">
        <v>192701.11</v>
      </c>
      <c r="I16" s="42" t="s">
        <v>81</v>
      </c>
      <c r="J16" s="45"/>
      <c r="K16" s="45"/>
      <c r="L16" s="89"/>
      <c r="M16" s="42"/>
      <c r="N16" s="53"/>
      <c r="O16" s="53"/>
      <c r="P16" s="53"/>
    </row>
    <row r="17" spans="1:16" x14ac:dyDescent="0.25">
      <c r="A17" s="25">
        <v>11</v>
      </c>
      <c r="B17" s="25" t="s">
        <v>90</v>
      </c>
      <c r="C17" s="68" t="s">
        <v>96</v>
      </c>
      <c r="D17" s="41" t="s">
        <v>97</v>
      </c>
      <c r="E17" s="48"/>
      <c r="F17" s="78">
        <v>-157769.66</v>
      </c>
      <c r="G17" s="79"/>
      <c r="H17" s="80">
        <v>-157769.66</v>
      </c>
      <c r="I17" s="42" t="s">
        <v>83</v>
      </c>
      <c r="J17" s="45"/>
      <c r="K17" s="45"/>
      <c r="L17" s="89"/>
      <c r="M17" s="42"/>
      <c r="N17" s="53"/>
      <c r="O17" s="53"/>
      <c r="P17" s="53"/>
    </row>
    <row r="18" spans="1:16" x14ac:dyDescent="0.25">
      <c r="A18" s="25">
        <v>12</v>
      </c>
      <c r="B18" s="25" t="s">
        <v>90</v>
      </c>
      <c r="C18" s="68" t="s">
        <v>91</v>
      </c>
      <c r="D18" s="41" t="s">
        <v>25</v>
      </c>
      <c r="E18" s="48"/>
      <c r="F18" s="78">
        <v>1756846.77</v>
      </c>
      <c r="G18" s="79"/>
      <c r="H18" s="80">
        <v>130647.41</v>
      </c>
      <c r="I18" s="42" t="s">
        <v>100</v>
      </c>
      <c r="J18" s="45"/>
      <c r="K18" s="45"/>
      <c r="L18" s="89"/>
      <c r="M18" s="42"/>
      <c r="N18" s="53"/>
      <c r="O18" s="53"/>
      <c r="P18" s="53"/>
    </row>
    <row r="19" spans="1:16" x14ac:dyDescent="0.25">
      <c r="A19" s="45">
        <v>13</v>
      </c>
      <c r="B19" s="45" t="s">
        <v>90</v>
      </c>
      <c r="C19" s="68" t="s">
        <v>93</v>
      </c>
      <c r="D19" s="41" t="s">
        <v>94</v>
      </c>
      <c r="E19" s="48"/>
      <c r="F19" s="60">
        <v>166305.43</v>
      </c>
      <c r="G19" s="81"/>
      <c r="H19" s="81">
        <v>166305.43</v>
      </c>
      <c r="I19" s="42" t="s">
        <v>100</v>
      </c>
      <c r="J19" s="45"/>
      <c r="K19" s="45"/>
      <c r="L19" s="89"/>
      <c r="M19" s="42"/>
      <c r="N19" s="25"/>
      <c r="O19" s="25"/>
    </row>
    <row r="20" spans="1:16" s="25" customFormat="1" x14ac:dyDescent="0.25">
      <c r="A20" s="45">
        <v>14</v>
      </c>
      <c r="B20" s="45" t="s">
        <v>90</v>
      </c>
      <c r="C20" s="68"/>
      <c r="D20" s="41"/>
      <c r="E20" s="48"/>
      <c r="F20" s="60"/>
      <c r="G20" s="81"/>
      <c r="H20" s="81"/>
      <c r="I20" s="42"/>
      <c r="J20" s="45"/>
      <c r="K20" s="45"/>
      <c r="L20" s="89"/>
      <c r="M20" s="42"/>
    </row>
    <row r="21" spans="1:16" s="25" customFormat="1" x14ac:dyDescent="0.25">
      <c r="A21" s="45">
        <v>15</v>
      </c>
      <c r="B21" s="45"/>
      <c r="C21" s="68"/>
      <c r="D21" s="41"/>
      <c r="E21" s="20"/>
      <c r="F21" s="60"/>
      <c r="G21" s="54"/>
      <c r="H21" s="55"/>
      <c r="I21" s="33"/>
      <c r="J21" s="32"/>
      <c r="K21" s="32"/>
      <c r="L21" s="38"/>
      <c r="M21" s="15"/>
    </row>
    <row r="22" spans="1:16" s="25" customFormat="1" x14ac:dyDescent="0.25">
      <c r="A22" s="45">
        <v>16</v>
      </c>
      <c r="B22" s="45"/>
      <c r="C22" s="68"/>
      <c r="D22" s="41"/>
      <c r="E22" s="20"/>
      <c r="F22" s="60"/>
      <c r="G22" s="54"/>
      <c r="H22" s="55"/>
      <c r="I22" s="33"/>
      <c r="J22" s="32"/>
      <c r="K22" s="32"/>
      <c r="L22" s="38"/>
      <c r="M22" s="15"/>
    </row>
    <row r="23" spans="1:16" s="25" customFormat="1" x14ac:dyDescent="0.25">
      <c r="A23" s="45">
        <v>17</v>
      </c>
      <c r="B23" s="45"/>
      <c r="C23" s="42"/>
      <c r="D23" s="41"/>
      <c r="E23" s="20"/>
      <c r="F23" s="60"/>
      <c r="G23" s="54"/>
      <c r="H23" s="55"/>
      <c r="I23" s="33"/>
      <c r="J23" s="32"/>
      <c r="K23" s="32"/>
      <c r="L23" s="38"/>
      <c r="M23" s="15"/>
    </row>
    <row r="24" spans="1:16" x14ac:dyDescent="0.25">
      <c r="A24" s="25">
        <v>18</v>
      </c>
      <c r="C24" s="15"/>
      <c r="D24" s="16"/>
      <c r="E24" s="17"/>
      <c r="F24" s="61"/>
      <c r="G24" s="56"/>
      <c r="H24" s="56"/>
      <c r="I24" s="15"/>
      <c r="J24" s="25"/>
      <c r="K24" s="25"/>
      <c r="L24" s="11"/>
      <c r="M24" s="15"/>
      <c r="N24" s="25"/>
      <c r="O24" s="25"/>
    </row>
    <row r="25" spans="1:16" ht="15.75" thickBot="1" x14ac:dyDescent="0.3">
      <c r="A25" s="25">
        <v>19</v>
      </c>
      <c r="C25" s="15"/>
      <c r="D25" s="16"/>
      <c r="E25" s="20"/>
      <c r="F25" s="62"/>
      <c r="G25" s="57"/>
      <c r="H25" s="58"/>
      <c r="I25" s="19"/>
      <c r="J25" s="19"/>
      <c r="K25" s="19"/>
      <c r="L25" s="1"/>
      <c r="M25" s="1"/>
      <c r="N25" s="1"/>
      <c r="O25" s="1"/>
    </row>
    <row r="26" spans="1:16" ht="15.75" thickTop="1" x14ac:dyDescent="0.25">
      <c r="A26" s="25">
        <v>20</v>
      </c>
      <c r="C26" s="1" t="s">
        <v>14</v>
      </c>
      <c r="D26" s="1"/>
      <c r="E26" s="1"/>
      <c r="F26" s="63">
        <f>SUM(F7:F25)</f>
        <v>9327942.6499999985</v>
      </c>
      <c r="G26" s="28"/>
      <c r="H26" s="59">
        <f>SUM(H7:H25)</f>
        <v>-366365.1199999997</v>
      </c>
      <c r="I26" s="11"/>
      <c r="J26" s="1"/>
      <c r="K26" s="1"/>
      <c r="L26" s="1"/>
      <c r="M26" s="1"/>
      <c r="N26" s="1"/>
      <c r="O26" s="1"/>
    </row>
    <row r="27" spans="1:16" x14ac:dyDescent="0.25">
      <c r="A27" s="25"/>
      <c r="C27" s="1"/>
      <c r="D27" s="1"/>
      <c r="E27" s="1"/>
      <c r="F27" s="64"/>
      <c r="G27" s="1"/>
      <c r="H27" s="11"/>
      <c r="I27" s="1"/>
      <c r="J27" s="1"/>
      <c r="K27" s="1"/>
      <c r="L27" s="1"/>
      <c r="M27" s="1"/>
      <c r="N27" s="1"/>
      <c r="O27" s="1"/>
    </row>
    <row r="28" spans="1:16" ht="18.75" x14ac:dyDescent="0.3">
      <c r="A28" s="25"/>
      <c r="C28" s="1"/>
      <c r="D28" s="1"/>
      <c r="E28" s="1"/>
      <c r="F28" s="1"/>
      <c r="G28" s="1"/>
      <c r="H28" s="7" t="s">
        <v>13</v>
      </c>
      <c r="I28" s="7" t="s">
        <v>13</v>
      </c>
      <c r="J28" s="7" t="s">
        <v>13</v>
      </c>
      <c r="K28" s="7" t="s">
        <v>13</v>
      </c>
      <c r="L28" s="7" t="s">
        <v>13</v>
      </c>
      <c r="M28" s="7" t="s">
        <v>13</v>
      </c>
      <c r="N28" s="7"/>
      <c r="O28" s="7"/>
    </row>
    <row r="29" spans="1:16" ht="18.75" x14ac:dyDescent="0.3">
      <c r="A29" s="25"/>
      <c r="C29" s="1"/>
      <c r="D29" s="1"/>
      <c r="E29" s="1"/>
      <c r="F29" s="1"/>
      <c r="G29" s="1"/>
      <c r="H29" s="29" t="s">
        <v>86</v>
      </c>
      <c r="I29" s="6">
        <v>504</v>
      </c>
      <c r="J29" s="29" t="s">
        <v>87</v>
      </c>
      <c r="K29" s="6">
        <v>511</v>
      </c>
      <c r="L29" s="29" t="s">
        <v>88</v>
      </c>
      <c r="M29" s="6">
        <v>663</v>
      </c>
      <c r="N29" s="6"/>
      <c r="O29" s="6"/>
    </row>
    <row r="30" spans="1:16" x14ac:dyDescent="0.25">
      <c r="A30" s="25"/>
      <c r="C30" s="1"/>
      <c r="D30" s="1"/>
      <c r="E30" s="1"/>
      <c r="F30" s="1"/>
      <c r="G30" s="1"/>
      <c r="H30" s="1" t="s">
        <v>35</v>
      </c>
      <c r="I30" s="1"/>
      <c r="J30" s="1"/>
      <c r="K30" s="1"/>
      <c r="L30" s="1"/>
      <c r="M30" s="1"/>
      <c r="N30" s="1"/>
      <c r="O30" s="1"/>
    </row>
    <row r="31" spans="1:16" x14ac:dyDescent="0.25">
      <c r="A31" s="25">
        <v>38</v>
      </c>
      <c r="C31" s="9" t="s">
        <v>67</v>
      </c>
      <c r="D31" s="9"/>
      <c r="E31" s="1"/>
      <c r="F31" s="11">
        <f>SUM(H31:Q31)</f>
        <v>279938461</v>
      </c>
      <c r="G31" s="11"/>
      <c r="H31" s="11">
        <v>139245995</v>
      </c>
      <c r="I31" s="11">
        <v>64103014</v>
      </c>
      <c r="J31" s="11">
        <v>7030783</v>
      </c>
      <c r="K31" s="11">
        <v>5473765</v>
      </c>
      <c r="L31" s="11">
        <v>806645</v>
      </c>
      <c r="M31" s="11">
        <v>63278259</v>
      </c>
      <c r="N31" s="11"/>
      <c r="O31" s="11"/>
    </row>
    <row r="32" spans="1:16" x14ac:dyDescent="0.25">
      <c r="A32" s="25">
        <v>39</v>
      </c>
      <c r="C32" s="25" t="s">
        <v>3</v>
      </c>
      <c r="D32" s="25"/>
      <c r="E32" s="25"/>
      <c r="F32" s="4">
        <f>SUM(H32:Q32)</f>
        <v>1</v>
      </c>
      <c r="G32" s="25"/>
      <c r="H32" s="4">
        <f t="shared" ref="H32:M32" si="0">+H31/$F$31</f>
        <v>0.49741644825288939</v>
      </c>
      <c r="I32" s="4">
        <f t="shared" si="0"/>
        <v>0.22898966355323358</v>
      </c>
      <c r="J32" s="4">
        <f t="shared" si="0"/>
        <v>2.5115459215159435E-2</v>
      </c>
      <c r="K32" s="4">
        <f t="shared" si="0"/>
        <v>1.9553458215232526E-2</v>
      </c>
      <c r="L32" s="4">
        <f t="shared" si="0"/>
        <v>2.8815083040697291E-3</v>
      </c>
      <c r="M32" s="4">
        <f t="shared" si="0"/>
        <v>0.22604346245941531</v>
      </c>
      <c r="N32" s="4"/>
      <c r="O32" s="4"/>
    </row>
    <row r="33" spans="1:15" x14ac:dyDescent="0.25">
      <c r="A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5">
      <c r="A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x14ac:dyDescent="0.25">
      <c r="A35" s="25">
        <v>40</v>
      </c>
      <c r="C35" s="25" t="s">
        <v>4</v>
      </c>
      <c r="D35" s="25"/>
      <c r="E35" s="25" t="s">
        <v>36</v>
      </c>
      <c r="F35" s="90">
        <f>+F26</f>
        <v>9327942.6499999985</v>
      </c>
      <c r="G35" s="82"/>
      <c r="H35" s="82"/>
      <c r="I35" s="82"/>
      <c r="J35" s="82"/>
      <c r="K35" s="82"/>
      <c r="L35" s="82"/>
      <c r="M35" s="82"/>
      <c r="N35" s="25"/>
      <c r="O35" s="25"/>
    </row>
    <row r="36" spans="1:15" x14ac:dyDescent="0.25">
      <c r="A36" s="25"/>
      <c r="C36" s="25"/>
      <c r="D36" s="25"/>
      <c r="E36" s="25"/>
      <c r="F36" s="82"/>
      <c r="G36" s="82"/>
      <c r="H36" s="82"/>
      <c r="I36" s="82"/>
      <c r="J36" s="82"/>
      <c r="K36" s="82"/>
      <c r="L36" s="82"/>
      <c r="M36" s="82"/>
      <c r="N36" s="25"/>
      <c r="O36" s="25"/>
    </row>
    <row r="37" spans="1:15" x14ac:dyDescent="0.25">
      <c r="A37" s="25">
        <v>41</v>
      </c>
      <c r="C37" s="25" t="s">
        <v>5</v>
      </c>
      <c r="D37" s="25"/>
      <c r="E37" s="25" t="s">
        <v>37</v>
      </c>
      <c r="F37" s="91">
        <f>+F35*0.0258</f>
        <v>240660.92036999995</v>
      </c>
      <c r="G37" s="91"/>
      <c r="H37" s="91">
        <f>+F37</f>
        <v>240660.92036999995</v>
      </c>
      <c r="I37" s="82"/>
      <c r="J37" s="82"/>
      <c r="K37" s="82"/>
      <c r="L37" s="82"/>
      <c r="M37" s="82"/>
      <c r="N37" s="25"/>
      <c r="O37" s="25"/>
    </row>
    <row r="38" spans="1:15" x14ac:dyDescent="0.25">
      <c r="A38" s="25">
        <v>42</v>
      </c>
      <c r="C38" s="25" t="s">
        <v>7</v>
      </c>
      <c r="D38" s="25"/>
      <c r="E38" s="25" t="s">
        <v>38</v>
      </c>
      <c r="F38" s="91">
        <f>+F37/2</f>
        <v>120330.46018499997</v>
      </c>
      <c r="G38" s="91"/>
      <c r="H38" s="91"/>
      <c r="I38" s="82"/>
      <c r="J38" s="82"/>
      <c r="K38" s="82"/>
      <c r="L38" s="82"/>
      <c r="M38" s="82"/>
      <c r="N38" s="25"/>
      <c r="O38" s="25"/>
    </row>
    <row r="39" spans="1:15" x14ac:dyDescent="0.25">
      <c r="A39" s="25">
        <v>43</v>
      </c>
      <c r="C39" s="25" t="s">
        <v>33</v>
      </c>
      <c r="D39" s="25"/>
      <c r="E39" s="25" t="s">
        <v>39</v>
      </c>
      <c r="F39" s="91">
        <f>+F35*0.0375</f>
        <v>349797.84937499993</v>
      </c>
      <c r="G39" s="91"/>
      <c r="H39" s="91"/>
      <c r="I39" s="82"/>
      <c r="J39" s="82"/>
      <c r="K39" s="82"/>
      <c r="L39" s="82"/>
      <c r="M39" s="82"/>
      <c r="N39" s="25"/>
      <c r="O39" s="25"/>
    </row>
    <row r="40" spans="1:15" x14ac:dyDescent="0.25">
      <c r="A40" s="25">
        <v>44</v>
      </c>
      <c r="C40" s="25" t="s">
        <v>6</v>
      </c>
      <c r="D40" s="25"/>
      <c r="E40" s="25" t="s">
        <v>69</v>
      </c>
      <c r="F40" s="91">
        <f>(+F39-F37)*0.21</f>
        <v>22918.755091049996</v>
      </c>
      <c r="G40" s="91"/>
      <c r="H40" s="91"/>
      <c r="I40" s="82"/>
      <c r="J40" s="82"/>
      <c r="K40" s="82"/>
      <c r="L40" s="82"/>
      <c r="M40" s="82"/>
      <c r="N40" s="25"/>
      <c r="O40" s="25"/>
    </row>
    <row r="41" spans="1:15" x14ac:dyDescent="0.25">
      <c r="A41" s="25">
        <v>45</v>
      </c>
      <c r="C41" s="25" t="s">
        <v>8</v>
      </c>
      <c r="D41" s="25"/>
      <c r="E41" s="25" t="s">
        <v>40</v>
      </c>
      <c r="F41" s="91">
        <f>+F40/2</f>
        <v>11459.377545524998</v>
      </c>
      <c r="G41" s="91"/>
      <c r="H41" s="91"/>
      <c r="I41" s="82"/>
      <c r="J41" s="82"/>
      <c r="K41" s="82"/>
      <c r="L41" s="82"/>
      <c r="M41" s="82"/>
      <c r="N41" s="25"/>
      <c r="O41" s="25"/>
    </row>
    <row r="42" spans="1:15" x14ac:dyDescent="0.25">
      <c r="A42" s="25">
        <v>46</v>
      </c>
      <c r="C42" s="25" t="s">
        <v>11</v>
      </c>
      <c r="D42" s="25"/>
      <c r="E42" s="25" t="s">
        <v>68</v>
      </c>
      <c r="F42" s="91"/>
      <c r="G42" s="91"/>
      <c r="H42" s="91">
        <f>+H37*0.21</f>
        <v>50538.793277699988</v>
      </c>
      <c r="I42" s="82"/>
      <c r="J42" s="82"/>
      <c r="K42" s="82"/>
      <c r="L42" s="82"/>
      <c r="M42" s="82"/>
      <c r="N42" s="25"/>
      <c r="O42" s="25"/>
    </row>
    <row r="43" spans="1:15" x14ac:dyDescent="0.25">
      <c r="A43" s="30">
        <v>47</v>
      </c>
      <c r="B43" s="30"/>
      <c r="C43" s="25" t="s">
        <v>108</v>
      </c>
      <c r="D43" s="25"/>
      <c r="E43" s="25"/>
      <c r="F43" s="91"/>
      <c r="G43" s="91"/>
      <c r="H43" s="91">
        <f>+F44*0.026239*0.21</f>
        <v>50672.549264639129</v>
      </c>
      <c r="I43" s="82"/>
      <c r="J43" s="82"/>
      <c r="K43" s="82"/>
      <c r="L43" s="82"/>
      <c r="M43" s="82"/>
      <c r="N43" s="25"/>
      <c r="O43" s="25"/>
    </row>
    <row r="44" spans="1:15" x14ac:dyDescent="0.25">
      <c r="A44" s="25">
        <v>48</v>
      </c>
      <c r="C44" s="25" t="s">
        <v>103</v>
      </c>
      <c r="D44" s="25"/>
      <c r="E44" s="25" t="s">
        <v>41</v>
      </c>
      <c r="F44" s="91">
        <f>+F26-F41-F38</f>
        <v>9196152.8122694734</v>
      </c>
      <c r="G44" s="91"/>
      <c r="H44" s="91"/>
      <c r="I44" s="82"/>
      <c r="J44" s="82"/>
      <c r="K44" s="82"/>
      <c r="L44" s="82"/>
      <c r="M44" s="82"/>
      <c r="N44" s="25"/>
      <c r="O44" s="25"/>
    </row>
    <row r="45" spans="1:15" x14ac:dyDescent="0.25">
      <c r="A45" s="25">
        <v>49</v>
      </c>
      <c r="C45" s="25" t="s">
        <v>107</v>
      </c>
      <c r="D45" s="25"/>
      <c r="E45" s="25"/>
      <c r="F45" s="92">
        <v>7.2400000000000006E-2</v>
      </c>
      <c r="G45" s="82"/>
      <c r="H45" s="82"/>
      <c r="I45" s="82"/>
      <c r="J45" s="82"/>
      <c r="K45" s="82"/>
      <c r="L45" s="82"/>
      <c r="M45" s="82"/>
      <c r="N45" s="25"/>
      <c r="O45" s="25"/>
    </row>
    <row r="46" spans="1:15" x14ac:dyDescent="0.25">
      <c r="A46" s="25"/>
      <c r="C46" s="25"/>
      <c r="D46" s="25"/>
      <c r="E46" s="25"/>
      <c r="F46" s="82"/>
      <c r="G46" s="82"/>
      <c r="H46" s="82"/>
      <c r="I46" s="82"/>
      <c r="J46" s="82"/>
      <c r="K46" s="82"/>
      <c r="L46" s="82"/>
      <c r="M46" s="82"/>
      <c r="N46" s="25"/>
      <c r="O46" s="25"/>
    </row>
    <row r="47" spans="1:15" x14ac:dyDescent="0.25">
      <c r="A47" s="25">
        <v>50</v>
      </c>
      <c r="C47" s="25" t="s">
        <v>10</v>
      </c>
      <c r="D47" s="25"/>
      <c r="E47" s="25" t="s">
        <v>78</v>
      </c>
      <c r="F47" s="93">
        <f>+F44*F45</f>
        <v>665801.46360830998</v>
      </c>
      <c r="G47" s="93"/>
      <c r="H47" s="93">
        <f>+H37-H42-H43</f>
        <v>139449.57782766083</v>
      </c>
      <c r="I47" s="82"/>
      <c r="J47" s="82"/>
      <c r="K47" s="82"/>
      <c r="L47" s="82"/>
      <c r="M47" s="82"/>
      <c r="N47" s="25"/>
      <c r="O47" s="25"/>
    </row>
    <row r="48" spans="1:15" x14ac:dyDescent="0.25">
      <c r="A48" s="25">
        <v>51</v>
      </c>
      <c r="C48" s="25" t="s">
        <v>12</v>
      </c>
      <c r="D48" s="25"/>
      <c r="E48" s="25" t="s">
        <v>42</v>
      </c>
      <c r="F48" s="93">
        <f>+F47+H47</f>
        <v>805251.04143597081</v>
      </c>
      <c r="G48" s="93"/>
      <c r="H48" s="93"/>
      <c r="I48" s="82"/>
      <c r="J48" s="82"/>
      <c r="K48" s="82"/>
      <c r="L48" s="82"/>
      <c r="M48" s="82"/>
      <c r="N48" s="25"/>
      <c r="O48" s="25"/>
    </row>
    <row r="49" spans="1:16" x14ac:dyDescent="0.25">
      <c r="A49" s="25">
        <v>52</v>
      </c>
      <c r="C49" s="25" t="s">
        <v>106</v>
      </c>
      <c r="D49" s="25"/>
      <c r="E49" s="25"/>
      <c r="F49" s="82">
        <v>0.75553999999999999</v>
      </c>
      <c r="G49" s="82"/>
      <c r="H49" s="82"/>
      <c r="I49" s="82"/>
      <c r="J49" s="82"/>
      <c r="K49" s="82"/>
      <c r="L49" s="82"/>
      <c r="M49" s="82"/>
      <c r="N49" s="25"/>
      <c r="O49" s="25"/>
    </row>
    <row r="50" spans="1:16" x14ac:dyDescent="0.25">
      <c r="A50" s="25">
        <v>53</v>
      </c>
      <c r="C50" s="25" t="s">
        <v>17</v>
      </c>
      <c r="D50" s="25"/>
      <c r="E50" s="25" t="s">
        <v>43</v>
      </c>
      <c r="F50" s="94">
        <f>+F48/F49</f>
        <v>1065795.3800407269</v>
      </c>
      <c r="G50" s="82"/>
      <c r="H50" s="94"/>
      <c r="I50" s="93"/>
      <c r="J50" s="93"/>
      <c r="K50" s="93"/>
      <c r="L50" s="93"/>
      <c r="M50" s="93"/>
      <c r="N50" s="14"/>
      <c r="O50" s="14"/>
    </row>
    <row r="51" spans="1:16" s="25" customFormat="1" x14ac:dyDescent="0.25">
      <c r="C51" s="25" t="s">
        <v>105</v>
      </c>
      <c r="F51" s="94">
        <f>+'2019 Rate Calculation'!G45</f>
        <v>884304.84920150833</v>
      </c>
      <c r="G51" s="82"/>
      <c r="H51" s="94"/>
      <c r="I51" s="93"/>
      <c r="J51" s="93"/>
      <c r="K51" s="93"/>
      <c r="L51" s="93"/>
      <c r="M51" s="93"/>
      <c r="N51" s="14"/>
      <c r="O51" s="14"/>
    </row>
    <row r="52" spans="1:16" x14ac:dyDescent="0.25">
      <c r="A52" s="25"/>
      <c r="C52" s="25"/>
      <c r="D52" s="25"/>
      <c r="E52" s="25"/>
      <c r="F52" s="82"/>
      <c r="G52" s="82"/>
      <c r="H52" s="94"/>
      <c r="I52" s="93"/>
      <c r="J52" s="93"/>
      <c r="K52" s="93"/>
      <c r="L52" s="93"/>
      <c r="M52" s="93"/>
      <c r="N52" s="14"/>
      <c r="O52" s="14"/>
    </row>
    <row r="53" spans="1:16" ht="15.75" thickBot="1" x14ac:dyDescent="0.3">
      <c r="A53" s="25">
        <v>54</v>
      </c>
      <c r="C53" s="25" t="s">
        <v>18</v>
      </c>
      <c r="D53" s="25"/>
      <c r="E53" s="25" t="s">
        <v>70</v>
      </c>
      <c r="F53" s="95">
        <f>+F50+F51</f>
        <v>1950100.2292422352</v>
      </c>
      <c r="G53" s="82"/>
      <c r="H53" s="94"/>
      <c r="I53" s="93"/>
      <c r="J53" s="93"/>
      <c r="K53" s="93"/>
      <c r="L53" s="93"/>
      <c r="M53" s="93"/>
      <c r="N53" s="14"/>
      <c r="O53" s="14"/>
    </row>
    <row r="54" spans="1:16" s="25" customFormat="1" ht="15.75" thickTop="1" x14ac:dyDescent="0.25">
      <c r="C54" s="25" t="s">
        <v>112</v>
      </c>
      <c r="F54" s="94">
        <v>906760</v>
      </c>
      <c r="G54" s="82"/>
      <c r="H54" s="69"/>
      <c r="I54" s="69"/>
      <c r="J54" s="69"/>
      <c r="K54" s="69"/>
      <c r="L54" s="69"/>
      <c r="M54" s="69"/>
      <c r="N54" s="14"/>
      <c r="O54" s="14"/>
      <c r="P54" s="14"/>
    </row>
    <row r="55" spans="1:16" s="25" customFormat="1" x14ac:dyDescent="0.25">
      <c r="F55" s="94"/>
      <c r="G55" s="82"/>
      <c r="H55" s="94"/>
      <c r="I55" s="93"/>
      <c r="J55" s="93"/>
      <c r="K55" s="93"/>
      <c r="L55" s="93"/>
      <c r="M55" s="93"/>
      <c r="N55" s="14"/>
      <c r="O55" s="14"/>
    </row>
    <row r="56" spans="1:16" s="25" customFormat="1" x14ac:dyDescent="0.25">
      <c r="C56" s="25" t="s">
        <v>61</v>
      </c>
      <c r="F56" s="94">
        <f>+F53-F54</f>
        <v>1043340.2292422352</v>
      </c>
      <c r="G56" s="82"/>
      <c r="H56" s="94"/>
      <c r="I56" s="93"/>
      <c r="J56" s="93"/>
      <c r="K56" s="93"/>
      <c r="L56" s="93"/>
      <c r="M56" s="93"/>
      <c r="N56" s="14"/>
      <c r="O56" s="14"/>
    </row>
    <row r="57" spans="1:16" ht="15.75" thickTop="1" x14ac:dyDescent="0.25">
      <c r="A57" s="25"/>
      <c r="C57" s="25"/>
      <c r="D57" s="25"/>
      <c r="E57" s="25"/>
      <c r="F57" s="82"/>
      <c r="G57" s="82"/>
      <c r="H57" s="93"/>
      <c r="I57" s="93"/>
      <c r="J57" s="93"/>
      <c r="K57" s="93"/>
      <c r="L57" s="93"/>
      <c r="M57" s="93"/>
      <c r="N57" s="14"/>
      <c r="O57" s="14"/>
    </row>
    <row r="58" spans="1:16" x14ac:dyDescent="0.25">
      <c r="A58" s="25">
        <v>55</v>
      </c>
      <c r="C58" s="25" t="s">
        <v>15</v>
      </c>
      <c r="D58" s="25"/>
      <c r="E58" s="25" t="s">
        <v>44</v>
      </c>
      <c r="F58" s="82"/>
      <c r="G58" s="82"/>
      <c r="H58" s="93">
        <f t="shared" ref="H58:M58" si="1">+$F$53*H32</f>
        <v>970011.92976681807</v>
      </c>
      <c r="I58" s="93">
        <f t="shared" si="1"/>
        <v>446552.79538926313</v>
      </c>
      <c r="J58" s="93">
        <f t="shared" si="1"/>
        <v>48977.662773006421</v>
      </c>
      <c r="K58" s="93">
        <f t="shared" si="1"/>
        <v>38131.203348003415</v>
      </c>
      <c r="L58" s="93">
        <f t="shared" si="1"/>
        <v>5619.2300043297828</v>
      </c>
      <c r="M58" s="93">
        <f t="shared" si="1"/>
        <v>440807.40796081437</v>
      </c>
      <c r="N58" s="14"/>
      <c r="O58" s="14"/>
    </row>
    <row r="59" spans="1:16" x14ac:dyDescent="0.25">
      <c r="A59" s="25">
        <v>56</v>
      </c>
      <c r="C59" s="25" t="s">
        <v>113</v>
      </c>
      <c r="D59" s="25"/>
      <c r="E59" s="25"/>
      <c r="F59" s="91"/>
      <c r="G59" s="82"/>
      <c r="H59" s="91">
        <v>130528548</v>
      </c>
      <c r="I59" s="91">
        <v>92679715</v>
      </c>
      <c r="J59" s="91">
        <v>13156465</v>
      </c>
      <c r="K59" s="91">
        <v>18010718</v>
      </c>
      <c r="L59" s="91">
        <v>2270481</v>
      </c>
      <c r="M59" s="91">
        <v>621523064</v>
      </c>
      <c r="N59" s="26"/>
      <c r="O59" s="26"/>
    </row>
    <row r="60" spans="1:16" x14ac:dyDescent="0.25">
      <c r="A60" s="25"/>
      <c r="C60" s="25"/>
      <c r="D60" s="25"/>
      <c r="E60" s="25"/>
      <c r="F60" s="82"/>
      <c r="G60" s="82"/>
      <c r="H60" s="91"/>
      <c r="I60" s="91"/>
      <c r="J60" s="91"/>
      <c r="K60" s="91"/>
      <c r="L60" s="91"/>
      <c r="M60" s="91"/>
      <c r="N60" s="26"/>
      <c r="O60" s="26"/>
    </row>
    <row r="61" spans="1:16" x14ac:dyDescent="0.25">
      <c r="A61" s="25"/>
      <c r="C61" s="25"/>
      <c r="D61" s="25"/>
      <c r="E61" s="25"/>
      <c r="F61" s="82"/>
      <c r="G61" s="82"/>
      <c r="H61" s="91"/>
      <c r="I61" s="91"/>
      <c r="J61" s="91"/>
      <c r="K61" s="91"/>
      <c r="L61" s="91"/>
      <c r="M61" s="91"/>
      <c r="N61" s="26"/>
      <c r="O61" s="26"/>
    </row>
    <row r="62" spans="1:16" x14ac:dyDescent="0.25">
      <c r="A62" s="25">
        <v>57</v>
      </c>
      <c r="C62" s="25" t="s">
        <v>20</v>
      </c>
      <c r="D62" s="25"/>
      <c r="E62" s="25" t="s">
        <v>45</v>
      </c>
      <c r="F62" s="82"/>
      <c r="G62" s="82"/>
      <c r="H62" s="96">
        <f>+H58/H59</f>
        <v>7.4314159211118936E-3</v>
      </c>
      <c r="I62" s="96">
        <f>+I58/I59</f>
        <v>4.8182366053808341E-3</v>
      </c>
      <c r="J62" s="96">
        <f>+J58/J59</f>
        <v>3.7227068800780774E-3</v>
      </c>
      <c r="K62" s="96">
        <f t="shared" ref="K62:M62" si="2">+K58/K59</f>
        <v>2.1171395470188036E-3</v>
      </c>
      <c r="L62" s="96">
        <f t="shared" si="2"/>
        <v>2.474907301285403E-3</v>
      </c>
      <c r="M62" s="96">
        <f t="shared" si="2"/>
        <v>7.0923740966886202E-4</v>
      </c>
      <c r="N62" s="8"/>
      <c r="O62" s="8"/>
    </row>
    <row r="63" spans="1:16" x14ac:dyDescent="0.25">
      <c r="A63" s="25"/>
      <c r="C63" s="25"/>
      <c r="D63" s="25"/>
      <c r="E63" s="25"/>
      <c r="F63" s="82"/>
      <c r="G63" s="82"/>
      <c r="H63" s="82"/>
      <c r="I63" s="82"/>
      <c r="J63" s="82"/>
      <c r="K63" s="82"/>
      <c r="L63" s="82"/>
      <c r="M63" s="82"/>
      <c r="N63" s="25"/>
      <c r="O63" s="25"/>
    </row>
    <row r="64" spans="1:16" x14ac:dyDescent="0.25">
      <c r="A64" s="25">
        <v>58</v>
      </c>
      <c r="C64" s="25" t="s">
        <v>104</v>
      </c>
      <c r="D64" s="25"/>
      <c r="E64" s="25"/>
      <c r="F64" s="82"/>
      <c r="G64" s="82"/>
      <c r="H64" s="93">
        <v>247324990</v>
      </c>
      <c r="I64" s="82"/>
      <c r="J64" s="82"/>
      <c r="K64" s="82"/>
      <c r="L64" s="82"/>
      <c r="M64" s="82"/>
      <c r="N64" s="25"/>
      <c r="O64" s="25"/>
    </row>
    <row r="65" spans="1:15" x14ac:dyDescent="0.25">
      <c r="A65" s="25">
        <v>59</v>
      </c>
      <c r="C65" s="25" t="s">
        <v>16</v>
      </c>
      <c r="D65" s="25"/>
      <c r="E65" s="25" t="s">
        <v>65</v>
      </c>
      <c r="F65" s="82"/>
      <c r="G65" s="82"/>
      <c r="H65" s="92">
        <f>(+F56)/H64</f>
        <v>4.2184990252793911E-3</v>
      </c>
      <c r="I65" s="82"/>
      <c r="J65" s="82"/>
      <c r="K65" s="82"/>
      <c r="L65" s="82"/>
      <c r="M65" s="82"/>
      <c r="N65" s="25"/>
      <c r="O65" s="25"/>
    </row>
    <row r="66" spans="1:15" x14ac:dyDescent="0.25">
      <c r="A66" s="25"/>
      <c r="C66" s="25"/>
      <c r="D66" s="25"/>
      <c r="E66" s="25"/>
      <c r="F66" s="82"/>
      <c r="G66" s="82"/>
      <c r="H66" s="97"/>
      <c r="I66" s="82"/>
      <c r="J66" s="82"/>
      <c r="K66" s="82"/>
      <c r="L66" s="82"/>
      <c r="M66" s="82"/>
      <c r="N66" s="25"/>
      <c r="O66" s="25"/>
    </row>
    <row r="67" spans="1:15" x14ac:dyDescent="0.25">
      <c r="F67" s="82"/>
      <c r="G67" s="82"/>
      <c r="H67" s="97"/>
      <c r="I67" s="82"/>
      <c r="J67" s="82"/>
      <c r="K67" s="82"/>
      <c r="L67" s="82"/>
      <c r="M67" s="82"/>
    </row>
    <row r="68" spans="1:15" x14ac:dyDescent="0.25">
      <c r="F68" s="82"/>
      <c r="G68" s="82"/>
      <c r="H68" s="82"/>
      <c r="I68" s="82"/>
      <c r="J68" s="82"/>
      <c r="K68" s="82"/>
      <c r="L68" s="82"/>
      <c r="M68" s="82"/>
    </row>
    <row r="69" spans="1:15" x14ac:dyDescent="0.25">
      <c r="F69" s="82"/>
      <c r="G69" s="82"/>
      <c r="H69" s="82"/>
      <c r="I69" s="82"/>
      <c r="J69" s="82"/>
      <c r="K69" s="82"/>
      <c r="L69" s="82"/>
      <c r="M69" s="82"/>
    </row>
    <row r="70" spans="1:15" x14ac:dyDescent="0.25">
      <c r="F70" s="82"/>
      <c r="G70" s="82"/>
      <c r="H70" s="77"/>
      <c r="I70" s="77"/>
      <c r="J70" s="77"/>
      <c r="K70" s="77"/>
      <c r="L70" s="77"/>
      <c r="M70" s="77"/>
    </row>
    <row r="71" spans="1:15" x14ac:dyDescent="0.25">
      <c r="F71" s="82"/>
      <c r="G71" s="82"/>
      <c r="H71" s="77"/>
      <c r="I71" s="77"/>
      <c r="J71" s="77"/>
      <c r="K71" s="77"/>
      <c r="L71" s="77"/>
      <c r="M71" s="77"/>
    </row>
    <row r="72" spans="1:15" x14ac:dyDescent="0.25">
      <c r="F72" s="82"/>
      <c r="G72" s="82"/>
      <c r="H72" s="98"/>
      <c r="I72" s="98"/>
      <c r="J72" s="98"/>
      <c r="K72" s="98"/>
      <c r="L72" s="98"/>
      <c r="M72" s="98"/>
    </row>
    <row r="73" spans="1:15" x14ac:dyDescent="0.25">
      <c r="H73" s="26"/>
      <c r="I73" s="26"/>
      <c r="J73" s="26"/>
      <c r="K73" s="26"/>
      <c r="L73" s="26"/>
      <c r="M73" s="26"/>
    </row>
  </sheetData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60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45.140625" bestFit="1" customWidth="1"/>
    <col min="5" max="5" width="22.7109375" bestFit="1" customWidth="1"/>
    <col min="6" max="6" width="2.5703125" customWidth="1"/>
    <col min="7" max="7" width="15.28515625" bestFit="1" customWidth="1"/>
    <col min="8" max="8" width="13.28515625" customWidth="1"/>
    <col min="9" max="9" width="11.7109375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62</v>
      </c>
    </row>
    <row r="4" spans="1:18" x14ac:dyDescent="0.25">
      <c r="B4" s="1"/>
      <c r="C4" s="1"/>
      <c r="D4" s="1"/>
      <c r="E4" s="3" t="s">
        <v>85</v>
      </c>
      <c r="F4" s="1"/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0</v>
      </c>
      <c r="C5" s="2" t="s">
        <v>19</v>
      </c>
      <c r="D5" s="1"/>
      <c r="E5" s="3" t="s">
        <v>110</v>
      </c>
      <c r="F5" s="1"/>
      <c r="G5" s="3"/>
      <c r="H5" s="1"/>
      <c r="I5" s="1"/>
      <c r="J5" s="3" t="s">
        <v>34</v>
      </c>
      <c r="K5" s="1"/>
      <c r="L5" s="1"/>
      <c r="M5" s="1"/>
      <c r="N5" s="3"/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66" t="s">
        <v>21</v>
      </c>
      <c r="C7" s="16" t="s">
        <v>22</v>
      </c>
      <c r="D7" s="17"/>
      <c r="E7" s="70">
        <v>1272510.96</v>
      </c>
      <c r="F7" s="18"/>
      <c r="G7" s="50"/>
      <c r="H7" s="15" t="s">
        <v>23</v>
      </c>
      <c r="I7" s="25"/>
      <c r="J7" s="25"/>
      <c r="K7" s="25"/>
      <c r="L7" s="11"/>
      <c r="M7" s="15"/>
      <c r="P7" s="1"/>
      <c r="Q7" s="1"/>
      <c r="R7" s="1"/>
    </row>
    <row r="8" spans="1:18" x14ac:dyDescent="0.25">
      <c r="A8">
        <v>2</v>
      </c>
      <c r="B8" s="66" t="s">
        <v>29</v>
      </c>
      <c r="C8" s="16" t="s">
        <v>30</v>
      </c>
      <c r="D8" s="17"/>
      <c r="E8" s="70">
        <v>1317983.47</v>
      </c>
      <c r="F8" s="18"/>
      <c r="G8" s="50"/>
      <c r="H8" s="15" t="s">
        <v>23</v>
      </c>
      <c r="I8" s="25"/>
      <c r="J8" s="25"/>
      <c r="K8" s="25"/>
      <c r="L8" s="11"/>
      <c r="M8" s="15"/>
      <c r="P8" s="1"/>
      <c r="Q8" s="1"/>
      <c r="R8" s="1"/>
    </row>
    <row r="9" spans="1:18" x14ac:dyDescent="0.25">
      <c r="A9">
        <v>3</v>
      </c>
      <c r="B9" s="67" t="s">
        <v>92</v>
      </c>
      <c r="C9" s="34" t="s">
        <v>30</v>
      </c>
      <c r="D9" s="17"/>
      <c r="E9" s="71">
        <v>2742222.49</v>
      </c>
      <c r="F9" s="18"/>
      <c r="G9" s="51"/>
      <c r="H9" s="33" t="s">
        <v>82</v>
      </c>
      <c r="I9" s="25"/>
      <c r="J9" s="25"/>
      <c r="K9" s="25"/>
      <c r="L9" s="11"/>
      <c r="M9" s="15"/>
      <c r="P9" s="1"/>
      <c r="Q9" s="1"/>
      <c r="R9" s="1"/>
    </row>
    <row r="10" spans="1:18" x14ac:dyDescent="0.25">
      <c r="A10">
        <v>4</v>
      </c>
      <c r="B10" s="66" t="s">
        <v>74</v>
      </c>
      <c r="C10" s="16" t="s">
        <v>32</v>
      </c>
      <c r="D10" s="17"/>
      <c r="E10" s="70"/>
      <c r="F10" s="18"/>
      <c r="G10" s="50"/>
      <c r="H10" s="15" t="s">
        <v>24</v>
      </c>
      <c r="I10" s="25"/>
      <c r="J10" s="25"/>
      <c r="K10" s="25"/>
      <c r="L10" s="11"/>
      <c r="M10" s="15"/>
      <c r="P10" s="1"/>
      <c r="Q10" s="1"/>
      <c r="R10" s="1"/>
    </row>
    <row r="11" spans="1:18" x14ac:dyDescent="0.25">
      <c r="A11" s="32">
        <v>5</v>
      </c>
      <c r="B11" s="68" t="s">
        <v>95</v>
      </c>
      <c r="C11" s="41" t="s">
        <v>27</v>
      </c>
      <c r="D11" s="48"/>
      <c r="E11" s="72">
        <v>60438.53</v>
      </c>
      <c r="F11" s="49"/>
      <c r="G11" s="52"/>
      <c r="H11" s="42" t="s">
        <v>99</v>
      </c>
      <c r="I11" s="45"/>
      <c r="J11" s="32"/>
      <c r="K11" s="32"/>
      <c r="L11" s="38"/>
      <c r="M11" s="15"/>
      <c r="P11" s="1"/>
      <c r="Q11" s="1"/>
      <c r="R11" s="1"/>
    </row>
    <row r="12" spans="1:18" x14ac:dyDescent="0.25">
      <c r="A12">
        <v>6</v>
      </c>
      <c r="B12" s="67" t="s">
        <v>26</v>
      </c>
      <c r="C12" s="34" t="s">
        <v>27</v>
      </c>
      <c r="D12" s="20"/>
      <c r="E12" s="73">
        <v>0</v>
      </c>
      <c r="F12" s="35"/>
      <c r="G12" s="51"/>
      <c r="H12" s="33" t="s">
        <v>24</v>
      </c>
      <c r="I12" s="32"/>
      <c r="J12" s="32"/>
      <c r="K12" s="32"/>
      <c r="L12" s="38"/>
      <c r="M12" s="15"/>
      <c r="P12" s="1"/>
      <c r="Q12" s="1"/>
      <c r="R12" s="1"/>
    </row>
    <row r="13" spans="1:18" x14ac:dyDescent="0.25">
      <c r="A13" s="32">
        <v>7</v>
      </c>
      <c r="B13" s="66" t="s">
        <v>31</v>
      </c>
      <c r="C13" s="16" t="s">
        <v>30</v>
      </c>
      <c r="D13" s="17"/>
      <c r="E13" s="74">
        <v>315382.90999999997</v>
      </c>
      <c r="F13" s="18"/>
      <c r="G13" s="50"/>
      <c r="H13" s="15" t="s">
        <v>28</v>
      </c>
      <c r="I13" s="25"/>
      <c r="J13" s="25"/>
      <c r="K13" s="25"/>
      <c r="L13" s="11"/>
      <c r="M13" s="15"/>
      <c r="P13" s="1"/>
      <c r="Q13" s="1"/>
      <c r="R13" s="1"/>
    </row>
    <row r="14" spans="1:18" x14ac:dyDescent="0.25">
      <c r="A14" s="32">
        <v>8</v>
      </c>
      <c r="B14" s="67" t="s">
        <v>75</v>
      </c>
      <c r="C14" s="34" t="s">
        <v>22</v>
      </c>
      <c r="D14" s="17"/>
      <c r="E14" s="73">
        <v>0</v>
      </c>
      <c r="F14" s="18"/>
      <c r="G14" s="51"/>
      <c r="H14" s="33" t="s">
        <v>79</v>
      </c>
      <c r="I14" s="25"/>
      <c r="J14" s="25"/>
      <c r="K14" s="25"/>
      <c r="L14" s="11"/>
      <c r="M14" s="15"/>
      <c r="P14" s="1"/>
      <c r="Q14" s="1"/>
      <c r="R14" s="1"/>
    </row>
    <row r="15" spans="1:18" x14ac:dyDescent="0.25">
      <c r="A15">
        <v>9</v>
      </c>
      <c r="B15" s="67" t="s">
        <v>76</v>
      </c>
      <c r="C15" s="34" t="s">
        <v>25</v>
      </c>
      <c r="D15" s="17"/>
      <c r="E15" s="73">
        <v>0</v>
      </c>
      <c r="F15" s="18"/>
      <c r="G15" s="50"/>
      <c r="H15" s="33" t="s">
        <v>80</v>
      </c>
      <c r="I15" s="25"/>
      <c r="J15" s="25"/>
      <c r="K15" s="25"/>
      <c r="L15" s="11"/>
      <c r="M15" s="15"/>
      <c r="P15" s="1"/>
      <c r="Q15" s="1"/>
      <c r="R15" s="1"/>
    </row>
    <row r="16" spans="1:18" s="25" customFormat="1" x14ac:dyDescent="0.25">
      <c r="B16" s="67" t="s">
        <v>98</v>
      </c>
      <c r="C16" s="34" t="s">
        <v>84</v>
      </c>
      <c r="D16" s="17"/>
      <c r="E16" s="73"/>
      <c r="F16" s="35"/>
      <c r="G16" s="51"/>
      <c r="H16" s="33" t="s">
        <v>81</v>
      </c>
      <c r="L16" s="11"/>
      <c r="M16" s="15"/>
      <c r="P16" s="1"/>
      <c r="Q16" s="1"/>
      <c r="R16" s="1"/>
    </row>
    <row r="17" spans="1:18" x14ac:dyDescent="0.25">
      <c r="A17">
        <v>10</v>
      </c>
      <c r="B17" s="66" t="s">
        <v>77</v>
      </c>
      <c r="C17" s="16" t="s">
        <v>30</v>
      </c>
      <c r="D17" s="17"/>
      <c r="E17" s="74">
        <v>1697159.99</v>
      </c>
      <c r="F17" s="35"/>
      <c r="G17" s="51"/>
      <c r="H17" s="15" t="s">
        <v>83</v>
      </c>
      <c r="I17" s="25"/>
      <c r="J17" s="25"/>
      <c r="K17" s="25"/>
      <c r="L17" s="11"/>
      <c r="M17" s="15"/>
      <c r="P17" s="1"/>
      <c r="Q17" s="1"/>
      <c r="R17" s="1"/>
    </row>
    <row r="18" spans="1:18" x14ac:dyDescent="0.25">
      <c r="A18">
        <v>11</v>
      </c>
      <c r="B18" s="68" t="s">
        <v>96</v>
      </c>
      <c r="C18" s="16" t="s">
        <v>97</v>
      </c>
      <c r="D18" s="17"/>
      <c r="E18" s="74">
        <v>279770.44</v>
      </c>
      <c r="F18" s="18"/>
      <c r="G18" s="50"/>
      <c r="H18" s="42" t="s">
        <v>100</v>
      </c>
      <c r="I18" s="25"/>
      <c r="J18" s="25"/>
      <c r="K18" s="25"/>
      <c r="L18" s="11"/>
      <c r="M18" s="15"/>
      <c r="P18" s="1"/>
      <c r="Q18" s="1"/>
      <c r="R18" s="1"/>
    </row>
    <row r="19" spans="1:18" x14ac:dyDescent="0.25">
      <c r="A19">
        <v>12</v>
      </c>
      <c r="B19" s="67" t="s">
        <v>91</v>
      </c>
      <c r="C19" s="34" t="s">
        <v>25</v>
      </c>
      <c r="D19" s="20"/>
      <c r="E19" s="75"/>
      <c r="F19" s="18"/>
      <c r="G19" s="50"/>
      <c r="H19" s="33" t="s">
        <v>100</v>
      </c>
      <c r="I19" s="25"/>
      <c r="J19" s="25"/>
      <c r="K19" s="25"/>
      <c r="L19" s="11"/>
      <c r="M19" s="15"/>
      <c r="P19" s="1"/>
      <c r="Q19" s="1"/>
      <c r="R19" s="1"/>
    </row>
    <row r="20" spans="1:18" x14ac:dyDescent="0.25">
      <c r="A20">
        <v>13</v>
      </c>
      <c r="B20" s="68" t="s">
        <v>93</v>
      </c>
      <c r="C20" s="41" t="s">
        <v>94</v>
      </c>
      <c r="D20" s="20"/>
      <c r="E20" s="76">
        <v>196263.52000000002</v>
      </c>
      <c r="F20" s="35"/>
      <c r="G20" s="43"/>
      <c r="H20" s="42" t="s">
        <v>101</v>
      </c>
      <c r="I20" s="37"/>
      <c r="J20" s="32"/>
      <c r="K20" s="32"/>
      <c r="L20" s="38"/>
      <c r="M20" s="15"/>
      <c r="P20" s="1"/>
      <c r="Q20" s="1"/>
      <c r="R20" s="1"/>
    </row>
    <row r="21" spans="1:18" x14ac:dyDescent="0.25">
      <c r="A21">
        <v>14</v>
      </c>
      <c r="B21" s="42"/>
      <c r="C21" s="41"/>
      <c r="D21" s="20"/>
      <c r="E21" s="44"/>
      <c r="F21" s="35"/>
      <c r="G21" s="43"/>
      <c r="H21" s="33"/>
      <c r="I21" s="37"/>
      <c r="J21" s="32"/>
      <c r="K21" s="32"/>
      <c r="L21" s="38"/>
      <c r="M21" s="15"/>
      <c r="P21" s="1"/>
      <c r="Q21" s="1"/>
      <c r="R21" s="1"/>
    </row>
    <row r="22" spans="1:18" x14ac:dyDescent="0.25">
      <c r="A22">
        <v>15</v>
      </c>
      <c r="B22" s="42"/>
      <c r="C22" s="41"/>
      <c r="D22" s="20"/>
      <c r="E22" s="44"/>
      <c r="F22" s="35"/>
      <c r="G22" s="43"/>
      <c r="H22" s="33"/>
      <c r="I22" s="37"/>
      <c r="J22" s="32"/>
      <c r="K22" s="32"/>
      <c r="L22" s="38"/>
      <c r="M22" s="15"/>
      <c r="P22" s="1"/>
      <c r="Q22" s="1"/>
      <c r="R22" s="1"/>
    </row>
    <row r="23" spans="1:18" x14ac:dyDescent="0.25">
      <c r="A23">
        <v>16</v>
      </c>
      <c r="B23" s="42"/>
      <c r="C23" s="41"/>
      <c r="D23" s="20"/>
      <c r="E23" s="44"/>
      <c r="F23" s="35"/>
      <c r="G23" s="43"/>
      <c r="H23" s="33"/>
      <c r="I23" s="37"/>
      <c r="J23" s="32"/>
      <c r="K23" s="32"/>
      <c r="L23" s="38"/>
      <c r="M23" s="15"/>
      <c r="P23" s="1"/>
      <c r="Q23" s="1"/>
      <c r="R23" s="1"/>
    </row>
    <row r="24" spans="1:18" x14ac:dyDescent="0.25">
      <c r="A24" s="32">
        <v>17</v>
      </c>
      <c r="B24" s="33"/>
      <c r="C24" s="34"/>
      <c r="D24" s="20"/>
      <c r="E24" s="31"/>
      <c r="F24" s="35"/>
      <c r="G24" s="36"/>
      <c r="H24" s="33"/>
      <c r="I24" s="37"/>
      <c r="J24" s="32"/>
      <c r="K24" s="32"/>
      <c r="L24" s="38"/>
      <c r="M24" s="15"/>
      <c r="P24" s="1"/>
      <c r="Q24" s="1"/>
      <c r="R24" s="1"/>
    </row>
    <row r="25" spans="1:18" x14ac:dyDescent="0.25">
      <c r="A25">
        <v>18</v>
      </c>
      <c r="B25" s="15"/>
      <c r="C25" s="16"/>
      <c r="D25" s="17"/>
      <c r="E25" s="23"/>
      <c r="F25" s="18"/>
      <c r="G25" s="21"/>
      <c r="H25" s="15"/>
      <c r="I25" s="19"/>
      <c r="L25" s="11"/>
      <c r="M25" s="15"/>
      <c r="P25" s="1"/>
      <c r="Q25" s="1"/>
      <c r="R25" s="1"/>
    </row>
    <row r="26" spans="1:18" ht="15.75" thickBot="1" x14ac:dyDescent="0.3">
      <c r="A26">
        <v>19</v>
      </c>
      <c r="B26" s="15"/>
      <c r="C26" s="16"/>
      <c r="D26" s="20"/>
      <c r="E26" s="24"/>
      <c r="F26" s="15"/>
      <c r="G26" s="22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</row>
    <row r="27" spans="1:18" ht="15.75" thickTop="1" x14ac:dyDescent="0.25">
      <c r="A27">
        <v>20</v>
      </c>
      <c r="B27" s="1" t="s">
        <v>89</v>
      </c>
      <c r="C27" s="1"/>
      <c r="D27" s="1"/>
      <c r="E27" s="27">
        <f>SUM(E7:E26)</f>
        <v>7881732.3100000005</v>
      </c>
      <c r="F27" s="28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5" customFormat="1" x14ac:dyDescent="0.25">
      <c r="B28" s="1"/>
      <c r="C28" s="1"/>
      <c r="D28" s="1"/>
      <c r="E28" s="11"/>
      <c r="F28" s="1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5" customFormat="1" x14ac:dyDescent="0.25">
      <c r="B29" s="1"/>
      <c r="C29" s="1"/>
      <c r="D29" s="1"/>
      <c r="E29" s="11"/>
      <c r="F29" s="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1:18" x14ac:dyDescent="0.25">
      <c r="A31" s="25">
        <v>28</v>
      </c>
      <c r="B31" s="25" t="s">
        <v>4</v>
      </c>
      <c r="C31" s="25" t="s">
        <v>46</v>
      </c>
      <c r="E31" s="12">
        <f>+E27</f>
        <v>7881732.3100000005</v>
      </c>
      <c r="F31" s="25"/>
      <c r="G31" s="25"/>
      <c r="H31" s="25"/>
    </row>
    <row r="32" spans="1:18" x14ac:dyDescent="0.25">
      <c r="A32" s="25"/>
      <c r="B32" s="25"/>
      <c r="C32" s="25"/>
      <c r="E32" s="25"/>
      <c r="F32" s="25"/>
      <c r="G32" s="25"/>
      <c r="H32" s="25"/>
    </row>
    <row r="33" spans="1:16" x14ac:dyDescent="0.25">
      <c r="A33" s="25">
        <v>29</v>
      </c>
      <c r="B33" s="25" t="s">
        <v>5</v>
      </c>
      <c r="C33" s="25" t="s">
        <v>47</v>
      </c>
      <c r="E33" s="26">
        <f>+E31*0.0258</f>
        <v>203348.69359800001</v>
      </c>
      <c r="F33" s="26"/>
      <c r="G33" s="26">
        <f>+E33</f>
        <v>203348.69359800001</v>
      </c>
      <c r="H33" s="25"/>
    </row>
    <row r="34" spans="1:16" x14ac:dyDescent="0.25">
      <c r="A34" s="25">
        <v>30</v>
      </c>
      <c r="B34" s="25" t="s">
        <v>7</v>
      </c>
      <c r="C34" s="25" t="s">
        <v>48</v>
      </c>
      <c r="E34" s="26">
        <f>+E33/2+E33</f>
        <v>305023.04039700003</v>
      </c>
      <c r="F34" s="26"/>
      <c r="G34" s="26"/>
      <c r="H34" s="25"/>
    </row>
    <row r="35" spans="1:16" x14ac:dyDescent="0.25">
      <c r="A35" s="25">
        <v>31</v>
      </c>
      <c r="B35" s="25" t="s">
        <v>49</v>
      </c>
      <c r="C35" s="25" t="s">
        <v>50</v>
      </c>
      <c r="E35" s="26">
        <f>+H55</f>
        <v>580056.08935445012</v>
      </c>
      <c r="F35" s="26"/>
      <c r="G35" s="26"/>
      <c r="H35" s="25"/>
    </row>
    <row r="36" spans="1:16" x14ac:dyDescent="0.25">
      <c r="A36" s="25">
        <v>32</v>
      </c>
      <c r="B36" s="25" t="s">
        <v>51</v>
      </c>
      <c r="C36" s="25" t="s">
        <v>71</v>
      </c>
      <c r="E36" s="26">
        <f>(+E35-E34)*0.21</f>
        <v>57756.940281064519</v>
      </c>
      <c r="F36" s="26"/>
      <c r="G36" s="26"/>
      <c r="H36" s="25"/>
    </row>
    <row r="37" spans="1:16" x14ac:dyDescent="0.25">
      <c r="A37" s="25">
        <v>33</v>
      </c>
      <c r="B37" s="25" t="s">
        <v>52</v>
      </c>
      <c r="C37" s="25"/>
      <c r="E37" s="26"/>
      <c r="F37" s="26"/>
      <c r="G37" s="26">
        <f>+E39*0.0270045*0.21</f>
        <v>42639.565117206585</v>
      </c>
      <c r="H37" s="25"/>
    </row>
    <row r="38" spans="1:16" x14ac:dyDescent="0.25">
      <c r="A38" s="25">
        <v>34</v>
      </c>
      <c r="B38" s="25" t="s">
        <v>11</v>
      </c>
      <c r="C38" s="25" t="s">
        <v>72</v>
      </c>
      <c r="E38" s="26"/>
      <c r="F38" s="26"/>
      <c r="G38" s="26">
        <f>+G33*0.21</f>
        <v>42703.225655579998</v>
      </c>
      <c r="H38" s="25"/>
    </row>
    <row r="39" spans="1:16" x14ac:dyDescent="0.25">
      <c r="A39" s="25">
        <v>35</v>
      </c>
      <c r="B39" s="25" t="s">
        <v>9</v>
      </c>
      <c r="C39" s="25"/>
      <c r="D39" s="25"/>
      <c r="E39" s="26">
        <f>+E27-E36-E34</f>
        <v>7518952.3293219358</v>
      </c>
      <c r="F39" s="26"/>
      <c r="G39" s="26"/>
      <c r="H39" s="25"/>
    </row>
    <row r="40" spans="1:16" x14ac:dyDescent="0.25">
      <c r="A40" s="25">
        <v>36</v>
      </c>
      <c r="B40" s="25" t="s">
        <v>66</v>
      </c>
      <c r="C40" s="25"/>
      <c r="E40" s="5">
        <v>7.3099999999999998E-2</v>
      </c>
      <c r="F40" s="25"/>
      <c r="G40" s="25"/>
      <c r="H40" s="25"/>
    </row>
    <row r="41" spans="1:16" x14ac:dyDescent="0.25">
      <c r="A41" s="25"/>
      <c r="B41" s="25"/>
      <c r="C41" s="25"/>
      <c r="E41" s="25"/>
      <c r="F41" s="25"/>
      <c r="G41" s="25"/>
      <c r="H41" s="25"/>
    </row>
    <row r="42" spans="1:16" x14ac:dyDescent="0.25">
      <c r="A42" s="25">
        <v>37</v>
      </c>
      <c r="B42" s="25" t="s">
        <v>10</v>
      </c>
      <c r="C42" s="25" t="s">
        <v>53</v>
      </c>
      <c r="E42" s="14">
        <f>+E39*E40</f>
        <v>549635.41527343343</v>
      </c>
      <c r="F42" s="14"/>
      <c r="G42" s="14">
        <f>+G33-G38-G37</f>
        <v>118005.90282521343</v>
      </c>
      <c r="H42" s="25"/>
    </row>
    <row r="43" spans="1:16" x14ac:dyDescent="0.25">
      <c r="A43" s="25">
        <v>38</v>
      </c>
      <c r="B43" s="25" t="s">
        <v>12</v>
      </c>
      <c r="C43" s="25" t="s">
        <v>54</v>
      </c>
      <c r="E43" s="14"/>
      <c r="F43" s="14"/>
      <c r="G43" s="14">
        <f>+G42+E42</f>
        <v>667641.31809864682</v>
      </c>
      <c r="H43" s="25"/>
    </row>
    <row r="44" spans="1:16" x14ac:dyDescent="0.25">
      <c r="A44" s="25">
        <v>39</v>
      </c>
      <c r="B44" s="25" t="s">
        <v>73</v>
      </c>
      <c r="C44" s="25"/>
      <c r="E44" s="25"/>
      <c r="F44" s="25"/>
      <c r="G44" s="25">
        <v>0.75499000000000005</v>
      </c>
      <c r="H44" s="25"/>
    </row>
    <row r="45" spans="1:16" x14ac:dyDescent="0.25">
      <c r="A45" s="25">
        <v>40</v>
      </c>
      <c r="B45" s="25" t="s">
        <v>55</v>
      </c>
      <c r="C45" s="25" t="s">
        <v>56</v>
      </c>
      <c r="E45" s="25"/>
      <c r="F45" s="25"/>
      <c r="G45" s="39">
        <f>+G43/G44</f>
        <v>884304.84920150833</v>
      </c>
      <c r="H45" s="25"/>
    </row>
    <row r="46" spans="1:16" x14ac:dyDescent="0.25">
      <c r="A46" s="25"/>
      <c r="B46" s="25"/>
      <c r="C46" s="25"/>
      <c r="E46" s="25"/>
      <c r="F46" s="25"/>
      <c r="G46" s="14"/>
      <c r="H46" s="25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A47" s="25"/>
      <c r="B47" s="25"/>
      <c r="C47" s="25"/>
      <c r="E47" s="25"/>
      <c r="F47" s="25"/>
      <c r="G47" s="14"/>
      <c r="H47" s="25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A48" s="25"/>
      <c r="B48" s="25"/>
      <c r="C48" s="25"/>
      <c r="E48" s="25"/>
      <c r="F48" s="25"/>
      <c r="G48" s="26"/>
      <c r="H48" s="25"/>
      <c r="I48" s="14"/>
      <c r="J48" s="14"/>
      <c r="K48" s="14"/>
      <c r="L48" s="14"/>
      <c r="M48" s="14"/>
      <c r="N48" s="14"/>
      <c r="O48" s="14"/>
      <c r="P48" s="14"/>
    </row>
    <row r="49" spans="1:16" x14ac:dyDescent="0.25">
      <c r="A49" s="25"/>
      <c r="B49" s="25"/>
      <c r="C49" s="25"/>
      <c r="E49" s="25"/>
      <c r="F49" s="25"/>
      <c r="G49" s="26"/>
      <c r="H49" s="25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25"/>
      <c r="B50" s="25"/>
      <c r="C50" s="25"/>
      <c r="E50" s="25"/>
      <c r="F50" s="25"/>
      <c r="G50" s="26"/>
      <c r="H50" s="25"/>
      <c r="I50" s="14"/>
      <c r="J50" s="14"/>
      <c r="K50" s="14"/>
      <c r="L50" s="14"/>
      <c r="M50" s="14"/>
      <c r="N50" s="14"/>
      <c r="O50" s="14"/>
      <c r="P50" s="14"/>
    </row>
    <row r="51" spans="1:16" x14ac:dyDescent="0.25">
      <c r="A51" s="25"/>
      <c r="B51" s="25"/>
      <c r="C51" s="25"/>
      <c r="E51" s="25"/>
      <c r="F51" s="25"/>
      <c r="G51" s="26"/>
      <c r="H51" s="25" t="s">
        <v>57</v>
      </c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25"/>
      <c r="B52" s="25" t="s">
        <v>58</v>
      </c>
      <c r="C52" s="25" t="s">
        <v>59</v>
      </c>
      <c r="E52" s="40">
        <v>3.7499999999999999E-2</v>
      </c>
      <c r="F52" s="25"/>
      <c r="G52" s="26">
        <f>+E31*E52</f>
        <v>295564.961625</v>
      </c>
      <c r="H52" s="26">
        <f>+G52</f>
        <v>295564.961625</v>
      </c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5"/>
      <c r="B53" s="25"/>
      <c r="C53" s="25" t="s">
        <v>60</v>
      </c>
      <c r="E53" s="40">
        <v>7.2190000000000004E-2</v>
      </c>
      <c r="F53" s="25"/>
      <c r="G53" s="26">
        <f>+E31*E53</f>
        <v>568982.25545890012</v>
      </c>
      <c r="H53" s="26">
        <f>+G53/2</f>
        <v>284491.12772945006</v>
      </c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E54" s="25"/>
      <c r="F54" s="25"/>
      <c r="G54" s="26"/>
      <c r="H54" s="26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E55" s="25"/>
      <c r="F55" s="25"/>
      <c r="G55" s="26"/>
      <c r="H55" s="26">
        <f>+H52+H53</f>
        <v>580056.08935445012</v>
      </c>
    </row>
    <row r="56" spans="1:16" x14ac:dyDescent="0.25">
      <c r="G56" s="14"/>
    </row>
    <row r="57" spans="1:16" x14ac:dyDescent="0.25">
      <c r="G57" s="5"/>
    </row>
    <row r="60" spans="1:16" x14ac:dyDescent="0.25">
      <c r="G60" s="12"/>
    </row>
  </sheetData>
  <pageMargins left="0.45" right="0.45" top="0.25" bottom="0.25" header="0" footer="0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C47F3CCF27D0E4A8905F932EA7FBA22" ma:contentTypeVersion="52" ma:contentTypeDescription="" ma:contentTypeScope="" ma:versionID="c8a0bd421027a0fbe1719540c23e953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2020-05-29T07:00:00+00:00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200493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1857B61-8F9D-423F-A23F-3A4EBE1E42C0}"/>
</file>

<file path=customXml/itemProps2.xml><?xml version="1.0" encoding="utf-8"?>
<ds:datastoreItem xmlns:ds="http://schemas.openxmlformats.org/officeDocument/2006/customXml" ds:itemID="{E2D8EE25-D587-47ED-9EF8-F234269B32A7}"/>
</file>

<file path=customXml/itemProps3.xml><?xml version="1.0" encoding="utf-8"?>
<ds:datastoreItem xmlns:ds="http://schemas.openxmlformats.org/officeDocument/2006/customXml" ds:itemID="{D1AD931E-6911-4DCC-9909-9BC848281CD3}"/>
</file>

<file path=customXml/itemProps4.xml><?xml version="1.0" encoding="utf-8"?>
<ds:datastoreItem xmlns:ds="http://schemas.openxmlformats.org/officeDocument/2006/customXml" ds:itemID="{C3164FFB-1731-4F2E-818A-5B3B8E266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Rate Calculation</vt:lpstr>
      <vt:lpstr>2019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2019-05-31T15:50:32Z</cp:lastPrinted>
  <dcterms:created xsi:type="dcterms:W3CDTF">2013-05-14T16:54:39Z</dcterms:created>
  <dcterms:modified xsi:type="dcterms:W3CDTF">2020-05-28T21:59:36Z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0x0101006E56B4D1795A2E4DB2F0B01679ED314A001C47F3CCF27D0E4A8905F932EA7FBA22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