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Ellensburg\2020 Disposal Fee Increase\"/>
    </mc:Choice>
  </mc:AlternateContent>
  <xr:revisionPtr revIDLastSave="0" documentId="13_ncr:1_{E9B87BF1-238B-4A53-8CA0-7315D1B2A54B}" xr6:coauthVersionLast="44" xr6:coauthVersionMax="44" xr10:uidLastSave="{00000000-0000-0000-0000-000000000000}"/>
  <bookViews>
    <workbookView xWindow="34800" yWindow="1515" windowWidth="19185" windowHeight="10275" activeTab="1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format'!$A$2:$S$123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4" i="7" l="1"/>
  <c r="P104" i="7" s="1"/>
  <c r="O103" i="7"/>
  <c r="P103" i="7" s="1"/>
  <c r="O102" i="7"/>
  <c r="P102" i="7" s="1"/>
  <c r="O101" i="7"/>
  <c r="P101" i="7" s="1"/>
  <c r="O100" i="7"/>
  <c r="P100" i="7" s="1"/>
  <c r="O99" i="7"/>
  <c r="P99" i="7" s="1"/>
  <c r="O98" i="7"/>
  <c r="P98" i="7" s="1"/>
  <c r="O97" i="7"/>
  <c r="P97" i="7" s="1"/>
  <c r="O96" i="7"/>
  <c r="P96" i="7" s="1"/>
  <c r="O95" i="7"/>
  <c r="P95" i="7" s="1"/>
  <c r="O94" i="7"/>
  <c r="P94" i="7" s="1"/>
  <c r="O93" i="7"/>
  <c r="P93" i="7" s="1"/>
  <c r="O92" i="7"/>
  <c r="P92" i="7" s="1"/>
  <c r="O91" i="7"/>
  <c r="P91" i="7" s="1"/>
  <c r="O90" i="7"/>
  <c r="P90" i="7" s="1"/>
  <c r="O89" i="7"/>
  <c r="P89" i="7" s="1"/>
  <c r="O88" i="7"/>
  <c r="P88" i="7" s="1"/>
  <c r="O87" i="7"/>
  <c r="P87" i="7" s="1"/>
  <c r="O86" i="7"/>
  <c r="P86" i="7" s="1"/>
  <c r="O79" i="7"/>
  <c r="P79" i="7" s="1"/>
  <c r="O80" i="7"/>
  <c r="P80" i="7" s="1"/>
  <c r="O81" i="7"/>
  <c r="P81" i="7" s="1"/>
  <c r="O82" i="7"/>
  <c r="P82" i="7" s="1"/>
  <c r="O83" i="7"/>
  <c r="P83" i="7" s="1"/>
  <c r="O84" i="7"/>
  <c r="P84" i="7" s="1"/>
  <c r="O85" i="7"/>
  <c r="P85" i="7" s="1"/>
  <c r="O65" i="7"/>
  <c r="P65" i="7" s="1"/>
  <c r="G56" i="7"/>
  <c r="G55" i="7"/>
  <c r="F55" i="7"/>
  <c r="F56" i="7"/>
  <c r="Q56" i="7" s="1"/>
  <c r="W52" i="7"/>
  <c r="W51" i="7"/>
  <c r="O78" i="7"/>
  <c r="P78" i="7" s="1"/>
  <c r="R69" i="7"/>
  <c r="Q68" i="7"/>
  <c r="Q76" i="7"/>
  <c r="Q66" i="7"/>
  <c r="O69" i="7"/>
  <c r="P69" i="7" s="1"/>
  <c r="O66" i="7"/>
  <c r="P66" i="7" s="1"/>
  <c r="R66" i="7" s="1"/>
  <c r="O67" i="7"/>
  <c r="P67" i="7" s="1"/>
  <c r="R67" i="7" s="1"/>
  <c r="O70" i="7"/>
  <c r="P70" i="7" s="1"/>
  <c r="R70" i="7" s="1"/>
  <c r="O71" i="7"/>
  <c r="P71" i="7" s="1"/>
  <c r="R71" i="7" s="1"/>
  <c r="O72" i="7"/>
  <c r="P72" i="7" s="1"/>
  <c r="R72" i="7" s="1"/>
  <c r="O73" i="7"/>
  <c r="P73" i="7" s="1"/>
  <c r="R73" i="7" s="1"/>
  <c r="O74" i="7"/>
  <c r="P74" i="7" s="1"/>
  <c r="R74" i="7" s="1"/>
  <c r="O75" i="7"/>
  <c r="P75" i="7" s="1"/>
  <c r="R75" i="7" s="1"/>
  <c r="O76" i="7"/>
  <c r="P76" i="7" s="1"/>
  <c r="R76" i="7" s="1"/>
  <c r="O77" i="7"/>
  <c r="P77" i="7" s="1"/>
  <c r="O64" i="7"/>
  <c r="P64" i="7" s="1"/>
  <c r="O68" i="7"/>
  <c r="P68" i="7" s="1"/>
  <c r="O63" i="7"/>
  <c r="P63" i="7" s="1"/>
  <c r="H55" i="7" l="1"/>
  <c r="H56" i="7"/>
  <c r="Q55" i="7"/>
  <c r="R68" i="7"/>
  <c r="G48" i="4"/>
  <c r="B58" i="4" l="1"/>
  <c r="G57" i="7" l="1"/>
  <c r="G51" i="7"/>
  <c r="G47" i="7"/>
  <c r="G48" i="7" s="1"/>
  <c r="G49" i="7" s="1"/>
  <c r="G50" i="7" s="1"/>
  <c r="G42" i="7"/>
  <c r="G35" i="7"/>
  <c r="G36" i="7" s="1"/>
  <c r="G30" i="7"/>
  <c r="G31" i="7" s="1"/>
  <c r="G27" i="7"/>
  <c r="G24" i="7"/>
  <c r="G25" i="7" s="1"/>
  <c r="F23" i="7"/>
  <c r="H23" i="7" s="1"/>
  <c r="F24" i="7"/>
  <c r="F25" i="7"/>
  <c r="F27" i="7"/>
  <c r="Q27" i="7" s="1"/>
  <c r="F30" i="7"/>
  <c r="Q30" i="7" s="1"/>
  <c r="F35" i="7"/>
  <c r="Q35" i="7" s="1"/>
  <c r="F42" i="7"/>
  <c r="Q42" i="7" s="1"/>
  <c r="F51" i="7"/>
  <c r="Q51" i="7" s="1"/>
  <c r="F57" i="7"/>
  <c r="Q57" i="7" s="1"/>
  <c r="E28" i="7"/>
  <c r="E31" i="7" s="1"/>
  <c r="E36" i="7" s="1"/>
  <c r="E43" i="7" s="1"/>
  <c r="E52" i="7" s="1"/>
  <c r="F52" i="7" s="1"/>
  <c r="E20" i="7"/>
  <c r="E21" i="7" s="1"/>
  <c r="F19" i="7"/>
  <c r="Q19" i="7" s="1"/>
  <c r="Q17" i="7"/>
  <c r="F17" i="7"/>
  <c r="Q5" i="7"/>
  <c r="Q6" i="7"/>
  <c r="Q7" i="7"/>
  <c r="Q8" i="7"/>
  <c r="Q9" i="7"/>
  <c r="Q10" i="7"/>
  <c r="Q12" i="7"/>
  <c r="Q14" i="7"/>
  <c r="Q4" i="7"/>
  <c r="Q3" i="7"/>
  <c r="Q16" i="7"/>
  <c r="Q13" i="7"/>
  <c r="Q11" i="7"/>
  <c r="Q23" i="7" l="1"/>
  <c r="H57" i="7"/>
  <c r="H42" i="7"/>
  <c r="H27" i="7"/>
  <c r="H51" i="7"/>
  <c r="Q52" i="7"/>
  <c r="H35" i="7"/>
  <c r="G28" i="7"/>
  <c r="G29" i="7" s="1"/>
  <c r="G52" i="7"/>
  <c r="G53" i="7" s="1"/>
  <c r="G54" i="7" s="1"/>
  <c r="H25" i="7"/>
  <c r="G26" i="7"/>
  <c r="G32" i="7"/>
  <c r="G37" i="7"/>
  <c r="G38" i="7" s="1"/>
  <c r="G39" i="7" s="1"/>
  <c r="G40" i="7" s="1"/>
  <c r="G41" i="7" s="1"/>
  <c r="H30" i="7"/>
  <c r="G43" i="7"/>
  <c r="H24" i="7"/>
  <c r="Q25" i="7"/>
  <c r="Q24" i="7"/>
  <c r="E22" i="7"/>
  <c r="E26" i="7" s="1"/>
  <c r="E29" i="7" s="1"/>
  <c r="E32" i="7" s="1"/>
  <c r="F32" i="7" s="1"/>
  <c r="F21" i="7"/>
  <c r="F36" i="7"/>
  <c r="Q36" i="7" s="1"/>
  <c r="F28" i="7"/>
  <c r="Q28" i="7" s="1"/>
  <c r="F43" i="7"/>
  <c r="Q43" i="7" s="1"/>
  <c r="F31" i="7"/>
  <c r="Q31" i="7" s="1"/>
  <c r="F20" i="7"/>
  <c r="D119" i="7"/>
  <c r="Q15" i="7"/>
  <c r="F22" i="7" l="1"/>
  <c r="D110" i="7"/>
  <c r="D123" i="7"/>
  <c r="F29" i="7"/>
  <c r="Q29" i="7" s="1"/>
  <c r="F26" i="7"/>
  <c r="Q26" i="7" s="1"/>
  <c r="H36" i="7"/>
  <c r="H31" i="7"/>
  <c r="E34" i="7"/>
  <c r="F34" i="7" s="1"/>
  <c r="Q34" i="7" s="1"/>
  <c r="E33" i="7"/>
  <c r="H52" i="7"/>
  <c r="H28" i="7"/>
  <c r="H43" i="7"/>
  <c r="G44" i="7"/>
  <c r="G45" i="7" s="1"/>
  <c r="G46" i="7" s="1"/>
  <c r="G33" i="7"/>
  <c r="G34" i="7" s="1"/>
  <c r="H32" i="7"/>
  <c r="Q32" i="7"/>
  <c r="H29" i="7" l="1"/>
  <c r="H26" i="7"/>
  <c r="E37" i="7"/>
  <c r="F33" i="7"/>
  <c r="Q33" i="7" s="1"/>
  <c r="H34" i="7"/>
  <c r="H33" i="7" l="1"/>
  <c r="E38" i="7"/>
  <c r="F37" i="7"/>
  <c r="Q37" i="7" l="1"/>
  <c r="H37" i="7"/>
  <c r="E39" i="7"/>
  <c r="F38" i="7"/>
  <c r="H38" i="7" l="1"/>
  <c r="Q38" i="7"/>
  <c r="E40" i="7"/>
  <c r="F39" i="7"/>
  <c r="G20" i="7"/>
  <c r="G19" i="7"/>
  <c r="G22" i="7"/>
  <c r="G21" i="7"/>
  <c r="G15" i="7"/>
  <c r="G16" i="7" s="1"/>
  <c r="G14" i="7"/>
  <c r="G13" i="7"/>
  <c r="G12" i="7"/>
  <c r="G11" i="7"/>
  <c r="G10" i="7"/>
  <c r="G8" i="7"/>
  <c r="G9" i="7"/>
  <c r="G7" i="7"/>
  <c r="G6" i="7"/>
  <c r="G17" i="7" s="1"/>
  <c r="H17" i="7" s="1"/>
  <c r="G5" i="7"/>
  <c r="G4" i="7"/>
  <c r="G3" i="7"/>
  <c r="H39" i="7" l="1"/>
  <c r="Q39" i="7"/>
  <c r="E41" i="7"/>
  <c r="F40" i="7"/>
  <c r="H19" i="7"/>
  <c r="H20" i="7"/>
  <c r="D58" i="7"/>
  <c r="D111" i="7"/>
  <c r="H40" i="7" l="1"/>
  <c r="Q40" i="7"/>
  <c r="E44" i="7"/>
  <c r="F41" i="7"/>
  <c r="D18" i="7"/>
  <c r="D59" i="7" s="1"/>
  <c r="E45" i="7" l="1"/>
  <c r="F44" i="7"/>
  <c r="Q41" i="7"/>
  <c r="H41" i="7"/>
  <c r="H21" i="7"/>
  <c r="Q21" i="7"/>
  <c r="H22" i="7"/>
  <c r="Q22" i="7"/>
  <c r="Q44" i="7" l="1"/>
  <c r="H44" i="7"/>
  <c r="E46" i="7"/>
  <c r="E47" i="7"/>
  <c r="F45" i="7"/>
  <c r="Q20" i="7"/>
  <c r="B54" i="4"/>
  <c r="E48" i="7" l="1"/>
  <c r="F46" i="7"/>
  <c r="H45" i="7"/>
  <c r="Q45" i="7"/>
  <c r="F47" i="7"/>
  <c r="E49" i="7"/>
  <c r="F49" i="7" l="1"/>
  <c r="E50" i="7"/>
  <c r="Q46" i="7"/>
  <c r="H46" i="7"/>
  <c r="H47" i="7"/>
  <c r="Q47" i="7"/>
  <c r="F48" i="7"/>
  <c r="E54" i="7"/>
  <c r="F54" i="7" s="1"/>
  <c r="B3" i="4"/>
  <c r="B4" i="4"/>
  <c r="B5" i="4"/>
  <c r="B6" i="4"/>
  <c r="E53" i="7" l="1"/>
  <c r="F53" i="7" s="1"/>
  <c r="F50" i="7"/>
  <c r="Q54" i="7"/>
  <c r="H54" i="7"/>
  <c r="Q49" i="7"/>
  <c r="H49" i="7"/>
  <c r="Q48" i="7"/>
  <c r="H48" i="7"/>
  <c r="E11" i="7"/>
  <c r="E15" i="7"/>
  <c r="E13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50" i="7" l="1"/>
  <c r="Q50" i="7"/>
  <c r="F58" i="7"/>
  <c r="Q53" i="7"/>
  <c r="H53" i="7"/>
  <c r="G6" i="4"/>
  <c r="F6" i="4"/>
  <c r="E6" i="4"/>
  <c r="D6" i="4"/>
  <c r="Q58" i="7" l="1"/>
  <c r="B49" i="4"/>
  <c r="C48" i="4"/>
  <c r="C47" i="4"/>
  <c r="B9" i="4"/>
  <c r="B8" i="4"/>
  <c r="B7" i="4"/>
  <c r="B52" i="4" l="1"/>
  <c r="B59" i="4"/>
  <c r="G50" i="4"/>
  <c r="G52" i="4" s="1"/>
  <c r="E6" i="7"/>
  <c r="F6" i="7" s="1"/>
  <c r="H6" i="7" s="1"/>
  <c r="E10" i="7"/>
  <c r="F10" i="7" s="1"/>
  <c r="H10" i="7" s="1"/>
  <c r="E14" i="7"/>
  <c r="E16" i="7" s="1"/>
  <c r="F16" i="7" s="1"/>
  <c r="H16" i="7" s="1"/>
  <c r="E7" i="7"/>
  <c r="E4" i="7"/>
  <c r="F4" i="7" s="1"/>
  <c r="H4" i="7" s="1"/>
  <c r="E8" i="7"/>
  <c r="E12" i="7"/>
  <c r="F12" i="7" s="1"/>
  <c r="H12" i="7" s="1"/>
  <c r="E5" i="7"/>
  <c r="E9" i="7"/>
  <c r="F9" i="7" s="1"/>
  <c r="H9" i="7" s="1"/>
  <c r="E3" i="7"/>
  <c r="F3" i="7" s="1"/>
  <c r="H3" i="7" s="1"/>
  <c r="F11" i="7"/>
  <c r="H11" i="7" s="1"/>
  <c r="F13" i="7"/>
  <c r="H13" i="7" s="1"/>
  <c r="F15" i="7"/>
  <c r="H15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4" i="7" l="1"/>
  <c r="H14" i="7" s="1"/>
  <c r="F7" i="7"/>
  <c r="H7" i="7" s="1"/>
  <c r="F8" i="7"/>
  <c r="H8" i="7" s="1"/>
  <c r="F5" i="7"/>
  <c r="H5" i="7" s="1"/>
  <c r="Q18" i="7"/>
  <c r="Q59" i="7" s="1"/>
  <c r="B53" i="4"/>
  <c r="B55" i="4" s="1"/>
  <c r="B61" i="4" s="1"/>
  <c r="F18" i="7" l="1"/>
  <c r="H18" i="7"/>
  <c r="F59" i="7" l="1"/>
  <c r="D112" i="7"/>
  <c r="H58" i="7"/>
  <c r="H59" i="7" s="1"/>
  <c r="D113" i="7" s="1"/>
  <c r="I56" i="7" l="1"/>
  <c r="J56" i="7" s="1"/>
  <c r="K56" i="7" s="1"/>
  <c r="M56" i="7" s="1"/>
  <c r="N56" i="7" s="1"/>
  <c r="O56" i="7" s="1"/>
  <c r="P56" i="7" s="1"/>
  <c r="I55" i="7"/>
  <c r="J55" i="7" s="1"/>
  <c r="K55" i="7" s="1"/>
  <c r="M55" i="7" s="1"/>
  <c r="N55" i="7" s="1"/>
  <c r="O55" i="7" s="1"/>
  <c r="P55" i="7" s="1"/>
  <c r="I26" i="7"/>
  <c r="J26" i="7" s="1"/>
  <c r="K26" i="7" s="1"/>
  <c r="M26" i="7" s="1"/>
  <c r="N26" i="7" s="1"/>
  <c r="O26" i="7" s="1"/>
  <c r="P26" i="7" s="1"/>
  <c r="I30" i="7"/>
  <c r="J30" i="7" s="1"/>
  <c r="K30" i="7" s="1"/>
  <c r="M30" i="7" s="1"/>
  <c r="N30" i="7" s="1"/>
  <c r="O30" i="7" s="1"/>
  <c r="P30" i="7" s="1"/>
  <c r="I34" i="7"/>
  <c r="J34" i="7" s="1"/>
  <c r="K34" i="7" s="1"/>
  <c r="M34" i="7" s="1"/>
  <c r="N34" i="7" s="1"/>
  <c r="O34" i="7" s="1"/>
  <c r="P34" i="7" s="1"/>
  <c r="I38" i="7"/>
  <c r="J38" i="7" s="1"/>
  <c r="K38" i="7" s="1"/>
  <c r="M38" i="7" s="1"/>
  <c r="N38" i="7" s="1"/>
  <c r="O38" i="7" s="1"/>
  <c r="P38" i="7" s="1"/>
  <c r="I46" i="7"/>
  <c r="J46" i="7" s="1"/>
  <c r="K46" i="7" s="1"/>
  <c r="M46" i="7" s="1"/>
  <c r="N46" i="7" s="1"/>
  <c r="O46" i="7" s="1"/>
  <c r="P46" i="7" s="1"/>
  <c r="I54" i="7"/>
  <c r="J54" i="7" s="1"/>
  <c r="K54" i="7" s="1"/>
  <c r="M54" i="7" s="1"/>
  <c r="N54" i="7" s="1"/>
  <c r="O54" i="7" s="1"/>
  <c r="P54" i="7" s="1"/>
  <c r="I27" i="7"/>
  <c r="J27" i="7" s="1"/>
  <c r="K27" i="7" s="1"/>
  <c r="M27" i="7" s="1"/>
  <c r="N27" i="7" s="1"/>
  <c r="O27" i="7" s="1"/>
  <c r="P27" i="7" s="1"/>
  <c r="I31" i="7"/>
  <c r="J31" i="7" s="1"/>
  <c r="K31" i="7" s="1"/>
  <c r="M31" i="7" s="1"/>
  <c r="N31" i="7" s="1"/>
  <c r="O31" i="7" s="1"/>
  <c r="P31" i="7" s="1"/>
  <c r="I47" i="7"/>
  <c r="J47" i="7" s="1"/>
  <c r="K47" i="7" s="1"/>
  <c r="M47" i="7" s="1"/>
  <c r="N47" i="7" s="1"/>
  <c r="O47" i="7" s="1"/>
  <c r="P47" i="7" s="1"/>
  <c r="I24" i="7"/>
  <c r="J24" i="7" s="1"/>
  <c r="K24" i="7" s="1"/>
  <c r="M24" i="7" s="1"/>
  <c r="N24" i="7" s="1"/>
  <c r="O24" i="7" s="1"/>
  <c r="P24" i="7" s="1"/>
  <c r="I25" i="7"/>
  <c r="J25" i="7" s="1"/>
  <c r="K25" i="7" s="1"/>
  <c r="M25" i="7" s="1"/>
  <c r="N25" i="7" s="1"/>
  <c r="O25" i="7" s="1"/>
  <c r="P25" i="7" s="1"/>
  <c r="I29" i="7"/>
  <c r="J29" i="7" s="1"/>
  <c r="K29" i="7" s="1"/>
  <c r="M29" i="7" s="1"/>
  <c r="N29" i="7" s="1"/>
  <c r="O29" i="7" s="1"/>
  <c r="P29" i="7" s="1"/>
  <c r="I33" i="7"/>
  <c r="J33" i="7" s="1"/>
  <c r="K33" i="7" s="1"/>
  <c r="M33" i="7" s="1"/>
  <c r="N33" i="7" s="1"/>
  <c r="O33" i="7" s="1"/>
  <c r="P33" i="7" s="1"/>
  <c r="I37" i="7"/>
  <c r="J37" i="7" s="1"/>
  <c r="K37" i="7" s="1"/>
  <c r="M37" i="7" s="1"/>
  <c r="N37" i="7" s="1"/>
  <c r="O37" i="7" s="1"/>
  <c r="P37" i="7" s="1"/>
  <c r="I41" i="7"/>
  <c r="J41" i="7" s="1"/>
  <c r="K41" i="7" s="1"/>
  <c r="M41" i="7" s="1"/>
  <c r="N41" i="7" s="1"/>
  <c r="O41" i="7" s="1"/>
  <c r="P41" i="7" s="1"/>
  <c r="I45" i="7"/>
  <c r="J45" i="7" s="1"/>
  <c r="K45" i="7" s="1"/>
  <c r="M45" i="7" s="1"/>
  <c r="N45" i="7" s="1"/>
  <c r="O45" i="7" s="1"/>
  <c r="P45" i="7" s="1"/>
  <c r="I49" i="7"/>
  <c r="J49" i="7" s="1"/>
  <c r="K49" i="7" s="1"/>
  <c r="M49" i="7" s="1"/>
  <c r="N49" i="7" s="1"/>
  <c r="O49" i="7" s="1"/>
  <c r="P49" i="7" s="1"/>
  <c r="I53" i="7"/>
  <c r="J53" i="7" s="1"/>
  <c r="K53" i="7" s="1"/>
  <c r="M53" i="7" s="1"/>
  <c r="N53" i="7" s="1"/>
  <c r="O53" i="7" s="1"/>
  <c r="P53" i="7" s="1"/>
  <c r="I42" i="7"/>
  <c r="J42" i="7" s="1"/>
  <c r="K42" i="7" s="1"/>
  <c r="M42" i="7" s="1"/>
  <c r="N42" i="7" s="1"/>
  <c r="O42" i="7" s="1"/>
  <c r="P42" i="7" s="1"/>
  <c r="I50" i="7"/>
  <c r="J50" i="7" s="1"/>
  <c r="K50" i="7" s="1"/>
  <c r="M50" i="7" s="1"/>
  <c r="N50" i="7" s="1"/>
  <c r="O50" i="7" s="1"/>
  <c r="P50" i="7" s="1"/>
  <c r="I23" i="7"/>
  <c r="J23" i="7" s="1"/>
  <c r="K23" i="7" s="1"/>
  <c r="M23" i="7" s="1"/>
  <c r="N23" i="7" s="1"/>
  <c r="O23" i="7" s="1"/>
  <c r="P23" i="7" s="1"/>
  <c r="I35" i="7"/>
  <c r="J35" i="7" s="1"/>
  <c r="K35" i="7" s="1"/>
  <c r="M35" i="7" s="1"/>
  <c r="N35" i="7" s="1"/>
  <c r="O35" i="7" s="1"/>
  <c r="P35" i="7" s="1"/>
  <c r="I39" i="7"/>
  <c r="J39" i="7" s="1"/>
  <c r="K39" i="7" s="1"/>
  <c r="M39" i="7" s="1"/>
  <c r="N39" i="7" s="1"/>
  <c r="O39" i="7" s="1"/>
  <c r="P39" i="7" s="1"/>
  <c r="I43" i="7"/>
  <c r="J43" i="7" s="1"/>
  <c r="K43" i="7" s="1"/>
  <c r="M43" i="7" s="1"/>
  <c r="N43" i="7" s="1"/>
  <c r="O43" i="7" s="1"/>
  <c r="P43" i="7" s="1"/>
  <c r="I51" i="7"/>
  <c r="J51" i="7" s="1"/>
  <c r="K51" i="7" s="1"/>
  <c r="M51" i="7" s="1"/>
  <c r="O51" i="7" s="1"/>
  <c r="P51" i="7" s="1"/>
  <c r="I57" i="7"/>
  <c r="J57" i="7" s="1"/>
  <c r="K57" i="7" s="1"/>
  <c r="M57" i="7" s="1"/>
  <c r="I28" i="7"/>
  <c r="J28" i="7" s="1"/>
  <c r="K28" i="7" s="1"/>
  <c r="M28" i="7" s="1"/>
  <c r="N28" i="7" s="1"/>
  <c r="O28" i="7" s="1"/>
  <c r="P28" i="7" s="1"/>
  <c r="I44" i="7"/>
  <c r="J44" i="7" s="1"/>
  <c r="K44" i="7" s="1"/>
  <c r="M44" i="7" s="1"/>
  <c r="N44" i="7" s="1"/>
  <c r="O44" i="7" s="1"/>
  <c r="P44" i="7" s="1"/>
  <c r="I40" i="7"/>
  <c r="J40" i="7" s="1"/>
  <c r="K40" i="7" s="1"/>
  <c r="M40" i="7" s="1"/>
  <c r="N40" i="7" s="1"/>
  <c r="O40" i="7" s="1"/>
  <c r="P40" i="7" s="1"/>
  <c r="I36" i="7"/>
  <c r="J36" i="7" s="1"/>
  <c r="K36" i="7" s="1"/>
  <c r="M36" i="7" s="1"/>
  <c r="N36" i="7" s="1"/>
  <c r="O36" i="7" s="1"/>
  <c r="P36" i="7" s="1"/>
  <c r="I52" i="7"/>
  <c r="J52" i="7" s="1"/>
  <c r="K52" i="7" s="1"/>
  <c r="M52" i="7" s="1"/>
  <c r="N52" i="7" s="1"/>
  <c r="O52" i="7" s="1"/>
  <c r="P52" i="7" s="1"/>
  <c r="I32" i="7"/>
  <c r="J32" i="7" s="1"/>
  <c r="K32" i="7" s="1"/>
  <c r="M32" i="7" s="1"/>
  <c r="N32" i="7" s="1"/>
  <c r="O32" i="7" s="1"/>
  <c r="P32" i="7" s="1"/>
  <c r="I48" i="7"/>
  <c r="J48" i="7" s="1"/>
  <c r="K48" i="7" s="1"/>
  <c r="M48" i="7" s="1"/>
  <c r="N48" i="7" s="1"/>
  <c r="O48" i="7" s="1"/>
  <c r="P48" i="7" s="1"/>
  <c r="I16" i="7"/>
  <c r="J16" i="7" s="1"/>
  <c r="K16" i="7" s="1"/>
  <c r="M16" i="7" s="1"/>
  <c r="N16" i="7" s="1"/>
  <c r="O16" i="7" s="1"/>
  <c r="P16" i="7" s="1"/>
  <c r="I17" i="7"/>
  <c r="J17" i="7" s="1"/>
  <c r="I3" i="7"/>
  <c r="T55" i="7" l="1"/>
  <c r="R55" i="7"/>
  <c r="S55" i="7" s="1"/>
  <c r="R56" i="7"/>
  <c r="S56" i="7" s="1"/>
  <c r="T56" i="7"/>
  <c r="N57" i="7"/>
  <c r="O57" i="7" s="1"/>
  <c r="P57" i="7" s="1"/>
  <c r="T44" i="7"/>
  <c r="R44" i="7"/>
  <c r="S44" i="7" s="1"/>
  <c r="T50" i="7"/>
  <c r="R50" i="7"/>
  <c r="S50" i="7" s="1"/>
  <c r="T29" i="7"/>
  <c r="R29" i="7"/>
  <c r="S29" i="7" s="1"/>
  <c r="T52" i="7"/>
  <c r="R52" i="7"/>
  <c r="S52" i="7" s="1"/>
  <c r="T39" i="7"/>
  <c r="R39" i="7"/>
  <c r="S39" i="7" s="1"/>
  <c r="T41" i="7"/>
  <c r="R41" i="7"/>
  <c r="S41" i="7" s="1"/>
  <c r="T27" i="7"/>
  <c r="R27" i="7"/>
  <c r="S27" i="7" s="1"/>
  <c r="T16" i="7"/>
  <c r="R16" i="7"/>
  <c r="S16" i="7" s="1"/>
  <c r="T36" i="7"/>
  <c r="R36" i="7"/>
  <c r="S36" i="7" s="1"/>
  <c r="T35" i="7"/>
  <c r="R35" i="7"/>
  <c r="S35" i="7" s="1"/>
  <c r="T53" i="7"/>
  <c r="R53" i="7"/>
  <c r="S53" i="7" s="1"/>
  <c r="T37" i="7"/>
  <c r="R37" i="7"/>
  <c r="S37" i="7" s="1"/>
  <c r="T24" i="7"/>
  <c r="R24" i="7"/>
  <c r="S24" i="7" s="1"/>
  <c r="T54" i="7"/>
  <c r="R54" i="7"/>
  <c r="S54" i="7" s="1"/>
  <c r="T30" i="7"/>
  <c r="R30" i="7"/>
  <c r="S30" i="7" s="1"/>
  <c r="T32" i="7"/>
  <c r="R32" i="7"/>
  <c r="S32" i="7" s="1"/>
  <c r="T43" i="7"/>
  <c r="R43" i="7"/>
  <c r="S43" i="7" s="1"/>
  <c r="T45" i="7"/>
  <c r="R45" i="7"/>
  <c r="S45" i="7" s="1"/>
  <c r="T31" i="7"/>
  <c r="R31" i="7"/>
  <c r="S31" i="7" s="1"/>
  <c r="T38" i="7"/>
  <c r="R38" i="7"/>
  <c r="S38" i="7" s="1"/>
  <c r="T28" i="7"/>
  <c r="R28" i="7"/>
  <c r="S28" i="7" s="1"/>
  <c r="T42" i="7"/>
  <c r="R42" i="7"/>
  <c r="S42" i="7" s="1"/>
  <c r="T25" i="7"/>
  <c r="R25" i="7"/>
  <c r="S25" i="7" s="1"/>
  <c r="T34" i="7"/>
  <c r="R34" i="7"/>
  <c r="S34" i="7" s="1"/>
  <c r="T48" i="7"/>
  <c r="R48" i="7"/>
  <c r="S48" i="7" s="1"/>
  <c r="T40" i="7"/>
  <c r="R40" i="7"/>
  <c r="S40" i="7" s="1"/>
  <c r="T51" i="7"/>
  <c r="R51" i="7"/>
  <c r="S51" i="7" s="1"/>
  <c r="T23" i="7"/>
  <c r="R23" i="7"/>
  <c r="S23" i="7" s="1"/>
  <c r="T49" i="7"/>
  <c r="R49" i="7"/>
  <c r="S49" i="7" s="1"/>
  <c r="T33" i="7"/>
  <c r="R33" i="7"/>
  <c r="S33" i="7" s="1"/>
  <c r="T47" i="7"/>
  <c r="R47" i="7"/>
  <c r="S47" i="7" s="1"/>
  <c r="T46" i="7"/>
  <c r="R46" i="7"/>
  <c r="T26" i="7"/>
  <c r="R26" i="7"/>
  <c r="S26" i="7" s="1"/>
  <c r="S46" i="7"/>
  <c r="K17" i="7"/>
  <c r="M17" i="7" s="1"/>
  <c r="N17" i="7" s="1"/>
  <c r="O17" i="7" s="1"/>
  <c r="P17" i="7" s="1"/>
  <c r="J3" i="7"/>
  <c r="K3" i="7" s="1"/>
  <c r="I4" i="7"/>
  <c r="J4" i="7" s="1"/>
  <c r="K4" i="7" s="1"/>
  <c r="I22" i="7"/>
  <c r="J22" i="7" s="1"/>
  <c r="K22" i="7" s="1"/>
  <c r="M22" i="7" s="1"/>
  <c r="N22" i="7" s="1"/>
  <c r="O22" i="7" s="1"/>
  <c r="P22" i="7" s="1"/>
  <c r="I6" i="7"/>
  <c r="J6" i="7" s="1"/>
  <c r="K6" i="7" s="1"/>
  <c r="M6" i="7" s="1"/>
  <c r="I13" i="7"/>
  <c r="J13" i="7" s="1"/>
  <c r="K13" i="7" s="1"/>
  <c r="M13" i="7" s="1"/>
  <c r="N13" i="7" s="1"/>
  <c r="O13" i="7" s="1"/>
  <c r="P13" i="7" s="1"/>
  <c r="I5" i="7"/>
  <c r="J5" i="7" s="1"/>
  <c r="K5" i="7" s="1"/>
  <c r="M5" i="7" s="1"/>
  <c r="N5" i="7" s="1"/>
  <c r="O5" i="7" s="1"/>
  <c r="P5" i="7" s="1"/>
  <c r="I9" i="7"/>
  <c r="J9" i="7" s="1"/>
  <c r="K9" i="7" s="1"/>
  <c r="M9" i="7" s="1"/>
  <c r="N9" i="7" s="1"/>
  <c r="O9" i="7" s="1"/>
  <c r="P9" i="7" s="1"/>
  <c r="I12" i="7"/>
  <c r="J12" i="7" s="1"/>
  <c r="K12" i="7" s="1"/>
  <c r="M12" i="7" s="1"/>
  <c r="N12" i="7" s="1"/>
  <c r="O12" i="7" s="1"/>
  <c r="P12" i="7" s="1"/>
  <c r="I15" i="7"/>
  <c r="J15" i="7" s="1"/>
  <c r="K15" i="7" s="1"/>
  <c r="M15" i="7" s="1"/>
  <c r="N15" i="7" s="1"/>
  <c r="O15" i="7" s="1"/>
  <c r="P15" i="7" s="1"/>
  <c r="I19" i="7"/>
  <c r="J19" i="7" s="1"/>
  <c r="I21" i="7"/>
  <c r="J21" i="7" s="1"/>
  <c r="K21" i="7" s="1"/>
  <c r="M21" i="7" s="1"/>
  <c r="N21" i="7" s="1"/>
  <c r="O21" i="7" s="1"/>
  <c r="P21" i="7" s="1"/>
  <c r="I8" i="7"/>
  <c r="J8" i="7" s="1"/>
  <c r="K8" i="7" s="1"/>
  <c r="M8" i="7" s="1"/>
  <c r="N8" i="7" s="1"/>
  <c r="O8" i="7" s="1"/>
  <c r="P8" i="7" s="1"/>
  <c r="I11" i="7"/>
  <c r="J11" i="7" s="1"/>
  <c r="K11" i="7" s="1"/>
  <c r="M11" i="7" s="1"/>
  <c r="N11" i="7" s="1"/>
  <c r="O11" i="7" s="1"/>
  <c r="P11" i="7" s="1"/>
  <c r="I7" i="7"/>
  <c r="J7" i="7" s="1"/>
  <c r="K7" i="7" s="1"/>
  <c r="M7" i="7" s="1"/>
  <c r="N7" i="7" s="1"/>
  <c r="O7" i="7" s="1"/>
  <c r="P7" i="7" s="1"/>
  <c r="I10" i="7"/>
  <c r="J10" i="7" s="1"/>
  <c r="K10" i="7" s="1"/>
  <c r="M10" i="7" s="1"/>
  <c r="N10" i="7" s="1"/>
  <c r="O10" i="7" s="1"/>
  <c r="P10" i="7" s="1"/>
  <c r="I14" i="7"/>
  <c r="J14" i="7" s="1"/>
  <c r="K14" i="7" s="1"/>
  <c r="M14" i="7" s="1"/>
  <c r="N14" i="7" s="1"/>
  <c r="O14" i="7" s="1"/>
  <c r="P14" i="7" s="1"/>
  <c r="I20" i="7"/>
  <c r="J20" i="7" s="1"/>
  <c r="K20" i="7" s="1"/>
  <c r="M20" i="7" s="1"/>
  <c r="N20" i="7" s="1"/>
  <c r="O20" i="7" s="1"/>
  <c r="P20" i="7" s="1"/>
  <c r="T57" i="7" l="1"/>
  <c r="R57" i="7"/>
  <c r="S57" i="7" s="1"/>
  <c r="T11" i="7"/>
  <c r="V11" i="7" s="1"/>
  <c r="R11" i="7"/>
  <c r="T15" i="7"/>
  <c r="V15" i="7" s="1"/>
  <c r="R15" i="7"/>
  <c r="T14" i="7"/>
  <c r="R14" i="7"/>
  <c r="S14" i="7" s="1"/>
  <c r="T12" i="7"/>
  <c r="R12" i="7"/>
  <c r="S12" i="7" s="1"/>
  <c r="T10" i="7"/>
  <c r="R10" i="7"/>
  <c r="S10" i="7" s="1"/>
  <c r="T21" i="7"/>
  <c r="R21" i="7"/>
  <c r="S21" i="7" s="1"/>
  <c r="T9" i="7"/>
  <c r="R9" i="7"/>
  <c r="S9" i="7" s="1"/>
  <c r="T22" i="7"/>
  <c r="R22" i="7"/>
  <c r="S22" i="7" s="1"/>
  <c r="T20" i="7"/>
  <c r="R20" i="7"/>
  <c r="T13" i="7"/>
  <c r="V13" i="7" s="1"/>
  <c r="R13" i="7"/>
  <c r="T8" i="7"/>
  <c r="R8" i="7"/>
  <c r="S8" i="7" s="1"/>
  <c r="T17" i="7"/>
  <c r="R17" i="7"/>
  <c r="S17" i="7" s="1"/>
  <c r="T7" i="7"/>
  <c r="R7" i="7"/>
  <c r="S7" i="7" s="1"/>
  <c r="T5" i="7"/>
  <c r="V5" i="7" s="1"/>
  <c r="X5" i="7" s="1"/>
  <c r="R5" i="7"/>
  <c r="S5" i="7" s="1"/>
  <c r="N6" i="7"/>
  <c r="O6" i="7" s="1"/>
  <c r="P6" i="7" s="1"/>
  <c r="S20" i="7"/>
  <c r="K19" i="7"/>
  <c r="J58" i="7"/>
  <c r="M3" i="7"/>
  <c r="N3" i="7" s="1"/>
  <c r="O3" i="7" s="1"/>
  <c r="P3" i="7" s="1"/>
  <c r="K18" i="7"/>
  <c r="J18" i="7"/>
  <c r="I18" i="7"/>
  <c r="M4" i="7"/>
  <c r="N4" i="7" s="1"/>
  <c r="O4" i="7" s="1"/>
  <c r="P4" i="7" s="1"/>
  <c r="I58" i="7"/>
  <c r="T4" i="7" l="1"/>
  <c r="R4" i="7"/>
  <c r="S4" i="7" s="1"/>
  <c r="T3" i="7"/>
  <c r="R3" i="7"/>
  <c r="S3" i="7" s="1"/>
  <c r="T6" i="7"/>
  <c r="R6" i="7"/>
  <c r="S6" i="7" s="1"/>
  <c r="J59" i="7"/>
  <c r="S11" i="7"/>
  <c r="X11" i="7"/>
  <c r="S15" i="7"/>
  <c r="X15" i="7"/>
  <c r="S13" i="7"/>
  <c r="X13" i="7"/>
  <c r="M19" i="7"/>
  <c r="N19" i="7" s="1"/>
  <c r="O19" i="7" s="1"/>
  <c r="P19" i="7" s="1"/>
  <c r="K58" i="7"/>
  <c r="I59" i="7"/>
  <c r="T19" i="7" l="1"/>
  <c r="R19" i="7"/>
  <c r="K59" i="7"/>
  <c r="S18" i="7"/>
  <c r="T18" i="7" s="1"/>
  <c r="R18" i="7"/>
  <c r="S19" i="7" l="1"/>
  <c r="S58" i="7" s="1"/>
  <c r="R58" i="7"/>
  <c r="R59" i="7" s="1"/>
  <c r="S59" i="7" l="1"/>
  <c r="T59" i="7" s="1"/>
  <c r="T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<sst xmlns="http://schemas.openxmlformats.org/spreadsheetml/2006/main" count="221" uniqueCount="188">
  <si>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</si>
  <si>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</si>
  <si>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</si>
  <si>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</si>
  <si>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</si>
  <si>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</si>
  <si>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</si>
  <si>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</si>
  <si>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</si>
  <si>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</si>
  <si>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</si>
  <si>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</si>
  <si>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</si>
  <si>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</si>
  <si>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</si>
  <si>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</si>
  <si>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</si>
  <si>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</si>
  <si>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</si>
  <si>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</si>
  <si>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</si>
  <si>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</si>
  <si>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</si>
  <si>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</si>
  <si>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</si>
  <si>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</si>
  <si>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</si>
  <si>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</si>
  <si>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</si>
  <si>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</si>
  <si>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</si>
  <si>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</si>
  <si>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</si>
  <si>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</si>
  <si>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</si>
  <si>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</si>
  <si>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</si>
  <si>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</si>
  <si>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</si>
  <si>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</si>
  <si>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</si>
  <si>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</si>
  <si>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</si>
  <si>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</si>
  <si>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</si>
  <si>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</si>
  <si>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</si>
  <si>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</si>
  <si>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</si>
  <si>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</si>
  <si>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</si>
  <si>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</si>
  <si>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</si>
  <si>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</si>
  <si>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</si>
  <si>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</si>
  <si>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</si>
  <si>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</si>
  <si>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</si>
  <si>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</si>
  <si>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</si>
  <si>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</si>
  <si>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</si>
  <si>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</si>
  <si>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</si>
  <si>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</si>
  <si>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</si>
  <si>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</si>
  <si>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</si>
  <si>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</si>
  <si>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</si>
  <si>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</si>
  <si>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</si>
  <si>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</si>
  <si>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</si>
  <si>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</si>
  <si>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</si>
  <si>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</si>
  <si>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</si>
  <si>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</si>
  <si>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</si>
  <si>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</si>
  <si>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</si>
  <si>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</si>
  <si>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</si>
  <si>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</si>
  <si>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</si>
  <si>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</si>
  <si>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</si>
  <si>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</si>
  <si>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</si>
  <si>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</si>
  <si>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</si>
  <si>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</si>
  <si>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</si>
  <si>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</si>
  <si>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</si>
  <si>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</si>
  <si>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</si>
  <si>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</si>
  <si>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</si>
  <si>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</si>
  <si>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</si>
  <si>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</si>
  <si>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</si>
  <si>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</si>
  <si>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</si>
  <si>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</si>
  <si>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</si>
  <si>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</si>
  <si>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</si>
  <si>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</si>
  <si>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</si>
  <si>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</si>
  <si>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</si>
  <si>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</si>
  <si>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</si>
  <si>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</si>
  <si>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</si>
  <si>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</si>
  <si>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</si>
  <si>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</si>
  <si>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</si>
  <si>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</si>
  <si>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</si>
  <si>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</si>
  <si>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</si>
  <si>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</si>
  <si>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</si>
  <si>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</si>
  <si>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</si>
  <si>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</si>
  <si>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</si>
  <si>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</si>
  <si>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</si>
  <si>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</si>
  <si>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</si>
  <si>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</si>
  <si>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</si>
  <si>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</si>
  <si>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</si>
  <si>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</si>
  <si>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</si>
  <si>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</si>
  <si>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</si>
  <si>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</si>
  <si>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</si>
  <si>
    <t>Disposal Tariff Rate Increase</t>
  </si>
  <si>
    <t>Company Proposed Tariff</t>
  </si>
  <si>
    <t>B &amp; Tax Increase</t>
  </si>
  <si>
    <t>Company Proposed Tariff w/B&amp;O Tax</t>
  </si>
  <si>
    <t>Note: Commercial Rates not reflected on the worksheet will be increased by 4.8%</t>
  </si>
  <si>
    <t>Delivery</t>
  </si>
  <si>
    <t>B &amp; O Tax increase only:</t>
  </si>
  <si>
    <t>Gate Fee</t>
  </si>
  <si>
    <t>1.25 yd</t>
  </si>
  <si>
    <t>1.5 yd</t>
  </si>
  <si>
    <t>2 yd</t>
  </si>
  <si>
    <t>3 yd</t>
  </si>
  <si>
    <t>4 yd</t>
  </si>
  <si>
    <t>6 yd</t>
  </si>
  <si>
    <t>8 yd</t>
  </si>
  <si>
    <t>35 gal cart</t>
  </si>
  <si>
    <t>64 gal cart</t>
  </si>
  <si>
    <t>96 galcart</t>
  </si>
  <si>
    <t>1 yd</t>
  </si>
  <si>
    <t>4 yd compactor</t>
  </si>
  <si>
    <t>6 yd compactor</t>
  </si>
  <si>
    <t>Disconnect Fee</t>
  </si>
  <si>
    <t>12 yard rent</t>
  </si>
  <si>
    <t>15 yard rent</t>
  </si>
  <si>
    <t>20 yard rent</t>
  </si>
  <si>
    <t>25 yard rent</t>
  </si>
  <si>
    <t>30 yard rent</t>
  </si>
  <si>
    <t>40 yard rent</t>
  </si>
  <si>
    <t>50 yard rent</t>
  </si>
  <si>
    <t>12 - 50 yd Perm Haul</t>
  </si>
  <si>
    <t>12 - 50 yd Temp. Haul</t>
  </si>
  <si>
    <t>Mileage</t>
  </si>
  <si>
    <t>15 - 50 yd Perm Haul</t>
  </si>
  <si>
    <t>15 - 50 yd Temp Haul</t>
  </si>
  <si>
    <t>20 - 30 yard Compactor haul</t>
  </si>
  <si>
    <t>35 and 37</t>
  </si>
  <si>
    <t>10 - 40 yard Compactor haul</t>
  </si>
  <si>
    <t>36 and 38</t>
  </si>
  <si>
    <t>Special PU</t>
  </si>
  <si>
    <t>Addition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</si>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</sst>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6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 wrapText="1"/>
    </xf>
    <xf numFmtId="166" fontId="3" fillId="5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3" fillId="5" borderId="1" xfId="2" applyNumberFormat="1" applyFont="1" applyFill="1" applyBorder="1" applyAlignment="1">
      <alignment horizontal="center" wrapText="1"/>
    </xf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64" fontId="3" fillId="5" borderId="1" xfId="2" applyNumberFormat="1" applyFont="1" applyFill="1" applyBorder="1" applyAlignment="1">
      <alignment wrapText="1"/>
    </xf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44" fontId="0" fillId="0" borderId="0" xfId="2" applyNumberFormat="1" applyFont="1" applyFill="1" applyBorder="1"/>
    <xf numFmtId="0" fontId="3" fillId="5" borderId="0" xfId="0" applyFont="1" applyFill="1" applyAlignment="1">
      <alignment horizontal="center" wrapText="1"/>
    </xf>
    <xf numFmtId="10" fontId="65" fillId="0" borderId="0" xfId="3" applyNumberFormat="1" applyFont="1" applyAlignment="1">
      <alignment horizontal="center"/>
    </xf>
    <xf numFmtId="44" fontId="1" fillId="0" borderId="0" xfId="2"/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43" fontId="0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44" fontId="1" fillId="0" borderId="0" xfId="2" applyFont="1" applyBorder="1" applyAlignment="1">
      <alignment horizontal="right"/>
    </xf>
    <xf numFmtId="0" fontId="66" fillId="0" borderId="0" xfId="4" applyFont="1" applyFill="1" applyBorder="1" applyAlignment="1">
      <alignment horizontal="left"/>
    </xf>
    <xf numFmtId="44" fontId="1" fillId="0" borderId="0" xfId="2" applyBorder="1"/>
    <xf numFmtId="44" fontId="1" fillId="0" borderId="0" xfId="2" applyFont="1" applyFill="1" applyBorder="1" applyAlignment="1">
      <alignment horizontal="right"/>
    </xf>
    <xf numFmtId="44" fontId="1" fillId="0" borderId="0" xfId="2" applyFill="1" applyBorder="1"/>
    <xf numFmtId="164" fontId="3" fillId="0" borderId="0" xfId="2" applyNumberFormat="1" applyFont="1" applyBorder="1" applyAlignment="1">
      <alignment horizontal="center"/>
    </xf>
    <xf numFmtId="164" fontId="64" fillId="0" borderId="0" xfId="2" applyNumberFormat="1" applyFont="1" applyBorder="1" applyAlignment="1">
      <alignment horizontal="center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opLeftCell="A31" workbookViewId="0">
      <selection activeCell="J4" sqref="J4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50" t="s">
        <v>17</v>
      </c>
      <c r="B1" s="150"/>
      <c r="C1" s="150"/>
      <c r="D1" s="150"/>
      <c r="E1" s="150"/>
      <c r="F1" s="150"/>
      <c r="G1" s="150"/>
      <c r="H1" s="150"/>
    </row>
    <row r="2" spans="1:8">
      <c r="A2" s="3" t="s">
        <v>51</v>
      </c>
      <c r="B2" s="16" t="s">
        <v>38</v>
      </c>
      <c r="C2" s="16" t="s">
        <v>39</v>
      </c>
      <c r="D2" s="16" t="s">
        <v>40</v>
      </c>
      <c r="E2" s="17" t="s">
        <v>42</v>
      </c>
      <c r="F2" s="17" t="s">
        <v>43</v>
      </c>
      <c r="G2" s="17" t="s">
        <v>44</v>
      </c>
      <c r="H2" s="16" t="s">
        <v>47</v>
      </c>
    </row>
    <row r="3" spans="1:8">
      <c r="A3" s="3" t="s">
        <v>48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80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49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50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50" t="s">
        <v>10</v>
      </c>
      <c r="B11" s="150"/>
      <c r="C11" s="33"/>
      <c r="D11" s="19"/>
      <c r="E11" s="19"/>
      <c r="F11" s="19"/>
      <c r="G11" s="19"/>
      <c r="H11" s="19"/>
    </row>
    <row r="12" spans="1:8">
      <c r="A12" s="31" t="s">
        <v>46</v>
      </c>
      <c r="B12" s="35" t="s">
        <v>76</v>
      </c>
      <c r="C12" s="33"/>
      <c r="D12" s="19"/>
      <c r="E12" s="19"/>
      <c r="F12" s="19"/>
      <c r="G12" s="19"/>
      <c r="H12" s="19"/>
    </row>
    <row r="13" spans="1:8">
      <c r="A13" s="34" t="s">
        <v>77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52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53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54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55</v>
      </c>
      <c r="B17" s="32">
        <v>97</v>
      </c>
      <c r="C17" s="33"/>
      <c r="D17" s="19"/>
      <c r="E17" s="19"/>
      <c r="F17" s="3" t="s">
        <v>19</v>
      </c>
      <c r="G17" s="21" t="s">
        <v>41</v>
      </c>
      <c r="H17" s="19"/>
    </row>
    <row r="18" spans="1:8">
      <c r="A18" s="34" t="s">
        <v>56</v>
      </c>
      <c r="B18" s="32">
        <v>117</v>
      </c>
      <c r="C18" s="33"/>
      <c r="D18" s="19"/>
      <c r="E18" s="19"/>
      <c r="H18" s="19"/>
    </row>
    <row r="19" spans="1:8">
      <c r="A19" s="34" t="s">
        <v>57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90</v>
      </c>
      <c r="B20" s="43">
        <v>37</v>
      </c>
      <c r="C20" s="52" t="s">
        <v>78</v>
      </c>
      <c r="D20" s="33"/>
      <c r="E20" s="33"/>
      <c r="F20" s="14"/>
      <c r="G20" s="15"/>
      <c r="H20" s="33"/>
    </row>
    <row r="21" spans="1:8">
      <c r="A21" s="34" t="s">
        <v>58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59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60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61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62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63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64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65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66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67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68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69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81</v>
      </c>
      <c r="B34" s="32">
        <v>482</v>
      </c>
      <c r="C34" s="33" t="s">
        <v>78</v>
      </c>
      <c r="D34" s="19"/>
      <c r="E34" s="19"/>
      <c r="F34" s="19"/>
      <c r="G34" s="19"/>
      <c r="H34" s="19"/>
    </row>
    <row r="35" spans="1:8">
      <c r="A35" s="34" t="s">
        <v>82</v>
      </c>
      <c r="B35" s="32">
        <v>689</v>
      </c>
      <c r="C35" s="33" t="s">
        <v>78</v>
      </c>
      <c r="D35" s="19"/>
      <c r="E35" s="19"/>
      <c r="F35" s="19"/>
      <c r="G35" s="19"/>
      <c r="H35" s="19"/>
    </row>
    <row r="36" spans="1:8" s="29" customFormat="1">
      <c r="A36" s="34" t="s">
        <v>71</v>
      </c>
      <c r="B36" s="32">
        <v>892</v>
      </c>
      <c r="C36" s="33" t="s">
        <v>78</v>
      </c>
      <c r="D36" s="30"/>
      <c r="E36" s="30"/>
      <c r="F36" s="30"/>
      <c r="G36" s="30"/>
      <c r="H36" s="30"/>
    </row>
    <row r="37" spans="1:8" s="29" customFormat="1">
      <c r="A37" s="34" t="s">
        <v>70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72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73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74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83</v>
      </c>
      <c r="B41" s="32">
        <v>2800</v>
      </c>
      <c r="C41" s="33" t="s">
        <v>78</v>
      </c>
      <c r="D41" s="30"/>
      <c r="E41" s="30"/>
      <c r="F41" s="30"/>
      <c r="G41" s="30"/>
      <c r="H41" s="30"/>
    </row>
    <row r="42" spans="1:8" s="29" customFormat="1">
      <c r="A42" s="34" t="s">
        <v>75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52" t="s">
        <v>84</v>
      </c>
      <c r="C43" s="152"/>
    </row>
    <row r="46" spans="1:8">
      <c r="A46" s="28" t="s">
        <v>85</v>
      </c>
      <c r="B46" s="26" t="s">
        <v>5</v>
      </c>
      <c r="C46" s="26" t="s">
        <v>6</v>
      </c>
      <c r="F46" s="151" t="s">
        <v>24</v>
      </c>
      <c r="G46" s="151"/>
    </row>
    <row r="47" spans="1:8">
      <c r="A47" s="22" t="s">
        <v>7</v>
      </c>
      <c r="B47" s="5">
        <v>105.16</v>
      </c>
      <c r="C47" s="4">
        <f>B47/2000</f>
        <v>5.2580000000000002E-2</v>
      </c>
      <c r="F47" s="3" t="s">
        <v>25</v>
      </c>
      <c r="G47" s="8">
        <v>1.7500000000000002E-2</v>
      </c>
    </row>
    <row r="48" spans="1:8">
      <c r="A48" s="22" t="s">
        <v>8</v>
      </c>
      <c r="B48" s="6">
        <v>116.33</v>
      </c>
      <c r="C48" s="7">
        <f>B48/2000</f>
        <v>5.8165000000000001E-2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11.170000000000002</v>
      </c>
      <c r="C49" s="11">
        <f>C48-C47</f>
        <v>5.5849999999999997E-3</v>
      </c>
      <c r="F49" s="3" t="s">
        <v>45</v>
      </c>
      <c r="G49" s="10">
        <v>6.1000000000000004E-3</v>
      </c>
    </row>
    <row r="50" spans="1:7">
      <c r="F50" s="3" t="s">
        <v>15</v>
      </c>
      <c r="G50" s="23">
        <f>SUM(G47:G49)</f>
        <v>2.8700000000000003E-2</v>
      </c>
    </row>
    <row r="51" spans="1:7">
      <c r="B51" s="27" t="s">
        <v>86</v>
      </c>
    </row>
    <row r="52" spans="1:7">
      <c r="A52" s="3" t="s">
        <v>144</v>
      </c>
      <c r="B52" s="24">
        <f>B49</f>
        <v>11.170000000000002</v>
      </c>
      <c r="F52" s="3" t="s">
        <v>27</v>
      </c>
      <c r="G52" s="25">
        <f>1-G50</f>
        <v>0.97130000000000005</v>
      </c>
    </row>
    <row r="53" spans="1:7">
      <c r="A53" s="3" t="s">
        <v>145</v>
      </c>
      <c r="B53" s="24">
        <f>B52/$G$52</f>
        <v>11.500051477401422</v>
      </c>
    </row>
    <row r="54" spans="1:7">
      <c r="A54" s="3" t="s">
        <v>23</v>
      </c>
      <c r="B54" s="13">
        <f>'Calc. per Staff format'!D110</f>
        <v>5699</v>
      </c>
    </row>
    <row r="55" spans="1:7" ht="17.25">
      <c r="A55" s="2" t="s">
        <v>146</v>
      </c>
      <c r="B55" s="142">
        <f>B53*B54</f>
        <v>65538.793369710707</v>
      </c>
    </row>
    <row r="57" spans="1:7">
      <c r="A57" s="140" t="s">
        <v>143</v>
      </c>
    </row>
    <row r="58" spans="1:7" ht="17.25">
      <c r="A58" s="29" t="s">
        <v>23</v>
      </c>
      <c r="B58" s="141">
        <f>+'Calc. per Staff format'!D121</f>
        <v>2561</v>
      </c>
    </row>
    <row r="59" spans="1:7" ht="17.25">
      <c r="A59" s="31" t="s">
        <v>146</v>
      </c>
      <c r="B59" s="142">
        <f>+B58*B49</f>
        <v>28606.370000000003</v>
      </c>
    </row>
    <row r="61" spans="1:7" ht="17.25">
      <c r="B61" s="143">
        <f>+B59+B55</f>
        <v>94145.163369710703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23"/>
  <sheetViews>
    <sheetView tabSelected="1" zoomScale="80" zoomScaleNormal="80" workbookViewId="0">
      <pane xSplit="3" ySplit="2" topLeftCell="K42" activePane="bottomRight" state="frozen"/>
      <selection pane="topRight" activeCell="D1" sqref="D1"/>
      <selection pane="bottomLeft" activeCell="A6" sqref="A6"/>
      <selection pane="bottomRight" activeCell="R63" sqref="R63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16.85546875" style="68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6.5703125" style="68" customWidth="1"/>
    <col min="13" max="13" width="10.7109375" style="68" customWidth="1"/>
    <col min="14" max="14" width="15.140625" style="68" bestFit="1" customWidth="1"/>
    <col min="15" max="16" width="15.140625" style="68" customWidth="1"/>
    <col min="17" max="17" width="17.140625" style="36" bestFit="1" customWidth="1"/>
    <col min="18" max="18" width="18.42578125" style="68" customWidth="1"/>
    <col min="19" max="19" width="19.28515625" style="36" bestFit="1" customWidth="1"/>
    <col min="20" max="20" width="10.28515625" style="68" customWidth="1"/>
    <col min="21" max="21" width="4.7109375" style="68" customWidth="1"/>
    <col min="22" max="22" width="15.5703125" style="68" customWidth="1"/>
    <col min="23" max="23" width="9.7109375" style="68" customWidth="1"/>
    <col min="24" max="16384" width="8.85546875" style="68"/>
  </cols>
  <sheetData>
    <row r="1" spans="1:24">
      <c r="O1" s="148">
        <v>2.5000000000000001E-3</v>
      </c>
      <c r="P1" s="148"/>
    </row>
    <row r="2" spans="1:24" ht="45">
      <c r="A2" s="57"/>
      <c r="B2" s="87" t="s">
        <v>14</v>
      </c>
      <c r="C2" s="88" t="s">
        <v>16</v>
      </c>
      <c r="D2" s="87" t="s">
        <v>36</v>
      </c>
      <c r="E2" s="87" t="s">
        <v>0</v>
      </c>
      <c r="F2" s="57" t="s">
        <v>1</v>
      </c>
      <c r="G2" s="87" t="s">
        <v>10</v>
      </c>
      <c r="H2" s="87" t="s">
        <v>31</v>
      </c>
      <c r="I2" s="102" t="s">
        <v>32</v>
      </c>
      <c r="J2" s="135" t="s">
        <v>9</v>
      </c>
      <c r="K2" s="126" t="s">
        <v>2</v>
      </c>
      <c r="L2" s="87" t="s">
        <v>34</v>
      </c>
      <c r="M2" s="147" t="s">
        <v>147</v>
      </c>
      <c r="N2" s="147" t="s">
        <v>148</v>
      </c>
      <c r="O2" s="147" t="s">
        <v>149</v>
      </c>
      <c r="P2" s="147" t="s">
        <v>150</v>
      </c>
      <c r="Q2" s="131" t="s">
        <v>35</v>
      </c>
      <c r="R2" s="87" t="s">
        <v>33</v>
      </c>
      <c r="S2" s="126" t="s">
        <v>37</v>
      </c>
    </row>
    <row r="3" spans="1:24" s="70" customFormat="1">
      <c r="A3" s="154" t="s">
        <v>12</v>
      </c>
      <c r="B3" s="59">
        <v>21</v>
      </c>
      <c r="C3" s="106" t="s">
        <v>93</v>
      </c>
      <c r="D3" s="108">
        <v>19</v>
      </c>
      <c r="E3" s="81">
        <f>References!B9</f>
        <v>1</v>
      </c>
      <c r="F3" s="78">
        <f>D3*E3*12</f>
        <v>228</v>
      </c>
      <c r="G3" s="111">
        <f>References!B14</f>
        <v>34</v>
      </c>
      <c r="H3" s="80">
        <f>F3*G3</f>
        <v>7752</v>
      </c>
      <c r="I3" s="101">
        <f>$D$113*H3</f>
        <v>7057.8839279652047</v>
      </c>
      <c r="J3" s="127">
        <f>(References!$C$49*I3)</f>
        <v>39.418281737685668</v>
      </c>
      <c r="K3" s="127">
        <f>J3/References!$G$52</f>
        <v>40.583014246561994</v>
      </c>
      <c r="L3" s="113">
        <v>6.96</v>
      </c>
      <c r="M3" s="82">
        <f>K3/F3</f>
        <v>0.17799567652000875</v>
      </c>
      <c r="N3" s="146">
        <f t="shared" ref="N3:N17" si="0">ROUND(M3+L3,2)</f>
        <v>7.14</v>
      </c>
      <c r="O3" s="149">
        <f>ROUND(+N3*$O$1,2)</f>
        <v>0.02</v>
      </c>
      <c r="P3" s="149">
        <f>+O3+N3</f>
        <v>7.1599999999999993</v>
      </c>
      <c r="Q3" s="128">
        <f t="shared" ref="Q3:Q17" si="1">+D3*L3*12</f>
        <v>1586.88</v>
      </c>
      <c r="R3" s="128">
        <f>+P3*D3*12</f>
        <v>1632.48</v>
      </c>
      <c r="S3" s="127">
        <f>R3-Q3</f>
        <v>45.599999999999909</v>
      </c>
      <c r="T3" s="136">
        <f>+P3/L3-1</f>
        <v>2.8735632183907844E-2</v>
      </c>
    </row>
    <row r="4" spans="1:24" s="70" customFormat="1">
      <c r="A4" s="155"/>
      <c r="B4" s="55">
        <v>21</v>
      </c>
      <c r="C4" s="106" t="s">
        <v>94</v>
      </c>
      <c r="D4" s="108">
        <v>17</v>
      </c>
      <c r="E4" s="79">
        <f>References!B7</f>
        <v>4.333333333333333</v>
      </c>
      <c r="F4" s="78">
        <f>D4*E4*12</f>
        <v>883.99999999999989</v>
      </c>
      <c r="G4" s="112">
        <f>References!B13</f>
        <v>20</v>
      </c>
      <c r="H4" s="78">
        <f>F4*G4</f>
        <v>17679.999999999996</v>
      </c>
      <c r="I4" s="54">
        <f>$D$113*H4</f>
        <v>16096.928256762745</v>
      </c>
      <c r="J4" s="128">
        <f>(References!$C$49*I4)</f>
        <v>89.901344314019923</v>
      </c>
      <c r="K4" s="128">
        <f>J4/References!$G$52</f>
        <v>92.557751790404524</v>
      </c>
      <c r="L4" s="113">
        <v>11.69</v>
      </c>
      <c r="M4" s="77">
        <f>K4/F4*E4</f>
        <v>0.45371446956080652</v>
      </c>
      <c r="N4" s="146">
        <f t="shared" si="0"/>
        <v>12.14</v>
      </c>
      <c r="O4" s="149">
        <f t="shared" ref="O4:O57" si="2">ROUND(+N4*$O$1,2)</f>
        <v>0.03</v>
      </c>
      <c r="P4" s="149">
        <f t="shared" ref="P4:P17" si="3">+O4+N4</f>
        <v>12.17</v>
      </c>
      <c r="Q4" s="128">
        <f t="shared" si="1"/>
        <v>2384.7599999999998</v>
      </c>
      <c r="R4" s="128">
        <f t="shared" ref="R4:R17" si="4">+P4*D4*12</f>
        <v>2482.6799999999998</v>
      </c>
      <c r="S4" s="128">
        <f>R4-Q4</f>
        <v>97.920000000000073</v>
      </c>
      <c r="T4" s="136">
        <f t="shared" ref="T4:T57" si="5">+P4/L4-1</f>
        <v>4.1060735671514248E-2</v>
      </c>
    </row>
    <row r="5" spans="1:24" s="70" customFormat="1">
      <c r="A5" s="155"/>
      <c r="B5" s="55">
        <v>21</v>
      </c>
      <c r="C5" s="106" t="s">
        <v>95</v>
      </c>
      <c r="D5" s="108">
        <v>55</v>
      </c>
      <c r="E5" s="79">
        <f>References!B7</f>
        <v>4.333333333333333</v>
      </c>
      <c r="F5" s="78">
        <f t="shared" ref="F5:F17" si="6">D5*E5*12</f>
        <v>2860</v>
      </c>
      <c r="G5" s="112">
        <f>References!B13</f>
        <v>20</v>
      </c>
      <c r="H5" s="78">
        <f>F5*G5</f>
        <v>57200</v>
      </c>
      <c r="I5" s="54">
        <f>$D$113*H5</f>
        <v>52078.297301291248</v>
      </c>
      <c r="J5" s="128">
        <f>(References!$C$49*I5)</f>
        <v>290.85729042771163</v>
      </c>
      <c r="K5" s="128">
        <f>J5/References!$G$52</f>
        <v>299.45154991013243</v>
      </c>
      <c r="L5" s="113">
        <v>12.94</v>
      </c>
      <c r="M5" s="77">
        <f t="shared" ref="M5:M17" si="7">K5/F5*E5</f>
        <v>0.45371446956080663</v>
      </c>
      <c r="N5" s="146">
        <f t="shared" si="0"/>
        <v>13.39</v>
      </c>
      <c r="O5" s="149">
        <f t="shared" si="2"/>
        <v>0.03</v>
      </c>
      <c r="P5" s="149">
        <f t="shared" si="3"/>
        <v>13.42</v>
      </c>
      <c r="Q5" s="128">
        <f t="shared" si="1"/>
        <v>8540.4</v>
      </c>
      <c r="R5" s="128">
        <f t="shared" si="4"/>
        <v>8857.2000000000007</v>
      </c>
      <c r="S5" s="128">
        <f>R5-Q5</f>
        <v>316.80000000000109</v>
      </c>
      <c r="T5" s="136">
        <f t="shared" si="5"/>
        <v>3.7094281298299947E-2</v>
      </c>
      <c r="V5" s="145">
        <f>ROUND(+W5*T5+W5,2)</f>
        <v>8.31</v>
      </c>
      <c r="W5" s="77">
        <v>8.01</v>
      </c>
      <c r="X5" s="136">
        <f>+V5/W5-1</f>
        <v>3.7453183520599342E-2</v>
      </c>
    </row>
    <row r="6" spans="1:24" s="70" customFormat="1">
      <c r="A6" s="155"/>
      <c r="B6" s="55">
        <v>21</v>
      </c>
      <c r="C6" s="106" t="s">
        <v>96</v>
      </c>
      <c r="D6" s="108">
        <v>791</v>
      </c>
      <c r="E6" s="79">
        <f>References!B7</f>
        <v>4.333333333333333</v>
      </c>
      <c r="F6" s="78">
        <f t="shared" si="6"/>
        <v>41132</v>
      </c>
      <c r="G6" s="114">
        <f>References!B14</f>
        <v>34</v>
      </c>
      <c r="H6" s="78">
        <f t="shared" ref="H6:H17" si="8">F6*G6</f>
        <v>1398488</v>
      </c>
      <c r="I6" s="54">
        <f>$D$113*H6</f>
        <v>1273267.0251099335</v>
      </c>
      <c r="J6" s="128">
        <f>(References!$C$49*I6)</f>
        <v>7111.1963352389776</v>
      </c>
      <c r="K6" s="128">
        <f>J6/References!$G$52</f>
        <v>7321.3181666210003</v>
      </c>
      <c r="L6" s="113">
        <v>13.76</v>
      </c>
      <c r="M6" s="77">
        <f>K6/F6*E6</f>
        <v>0.77131459825337123</v>
      </c>
      <c r="N6" s="146">
        <f t="shared" si="0"/>
        <v>14.53</v>
      </c>
      <c r="O6" s="149">
        <f t="shared" si="2"/>
        <v>0.04</v>
      </c>
      <c r="P6" s="149">
        <f t="shared" si="3"/>
        <v>14.569999999999999</v>
      </c>
      <c r="Q6" s="128">
        <f t="shared" si="1"/>
        <v>130609.92</v>
      </c>
      <c r="R6" s="128">
        <f t="shared" si="4"/>
        <v>138298.44</v>
      </c>
      <c r="S6" s="128">
        <f t="shared" ref="S6:S17" si="9">R6-Q6</f>
        <v>7688.5200000000041</v>
      </c>
      <c r="T6" s="136">
        <f t="shared" si="5"/>
        <v>5.886627906976738E-2</v>
      </c>
    </row>
    <row r="7" spans="1:24" s="70" customFormat="1">
      <c r="A7" s="155"/>
      <c r="B7" s="55">
        <v>21</v>
      </c>
      <c r="C7" s="106" t="s">
        <v>97</v>
      </c>
      <c r="D7" s="108">
        <v>308</v>
      </c>
      <c r="E7" s="79">
        <f>References!B7</f>
        <v>4.333333333333333</v>
      </c>
      <c r="F7" s="78">
        <f t="shared" si="6"/>
        <v>16015.999999999998</v>
      </c>
      <c r="G7" s="111">
        <f>References!B15</f>
        <v>51</v>
      </c>
      <c r="H7" s="78">
        <f t="shared" si="8"/>
        <v>816815.99999999988</v>
      </c>
      <c r="I7" s="54">
        <f>$D$113*H7</f>
        <v>743678.08546243887</v>
      </c>
      <c r="J7" s="128">
        <f>(References!$C$49*I7)</f>
        <v>4153.442107307721</v>
      </c>
      <c r="K7" s="128">
        <f>J7/References!$G$52</f>
        <v>4276.1681327166898</v>
      </c>
      <c r="L7" s="113">
        <v>21.04</v>
      </c>
      <c r="M7" s="77">
        <f t="shared" si="7"/>
        <v>1.1569718973800569</v>
      </c>
      <c r="N7" s="146">
        <f t="shared" si="0"/>
        <v>22.2</v>
      </c>
      <c r="O7" s="149">
        <f t="shared" si="2"/>
        <v>0.06</v>
      </c>
      <c r="P7" s="149">
        <f t="shared" si="3"/>
        <v>22.259999999999998</v>
      </c>
      <c r="Q7" s="128">
        <f t="shared" si="1"/>
        <v>77763.839999999997</v>
      </c>
      <c r="R7" s="128">
        <f t="shared" si="4"/>
        <v>82272.959999999992</v>
      </c>
      <c r="S7" s="128">
        <f t="shared" si="9"/>
        <v>4509.1199999999953</v>
      </c>
      <c r="T7" s="136">
        <f t="shared" si="5"/>
        <v>5.7984790874524572E-2</v>
      </c>
    </row>
    <row r="8" spans="1:24" s="70" customFormat="1">
      <c r="A8" s="155"/>
      <c r="B8" s="55">
        <v>21</v>
      </c>
      <c r="C8" s="106" t="s">
        <v>98</v>
      </c>
      <c r="D8" s="108">
        <v>22</v>
      </c>
      <c r="E8" s="79">
        <f>References!B7</f>
        <v>4.333333333333333</v>
      </c>
      <c r="F8" s="78">
        <f t="shared" si="6"/>
        <v>1144</v>
      </c>
      <c r="G8" s="118">
        <f>References!B16</f>
        <v>77</v>
      </c>
      <c r="H8" s="78">
        <f t="shared" si="8"/>
        <v>88088</v>
      </c>
      <c r="I8" s="54">
        <f>$D$113*H8</f>
        <v>80200.577843988518</v>
      </c>
      <c r="J8" s="128">
        <f>(References!$C$49*I8)</f>
        <v>447.92022725867582</v>
      </c>
      <c r="K8" s="128">
        <f>J8/References!$G$52</f>
        <v>461.1553868616038</v>
      </c>
      <c r="L8" s="113">
        <v>28.47</v>
      </c>
      <c r="M8" s="77">
        <f t="shared" si="7"/>
        <v>1.7468007078091052</v>
      </c>
      <c r="N8" s="146">
        <f t="shared" si="0"/>
        <v>30.22</v>
      </c>
      <c r="O8" s="149">
        <f t="shared" si="2"/>
        <v>0.08</v>
      </c>
      <c r="P8" s="149">
        <f t="shared" si="3"/>
        <v>30.299999999999997</v>
      </c>
      <c r="Q8" s="128">
        <f t="shared" si="1"/>
        <v>7516.079999999999</v>
      </c>
      <c r="R8" s="128">
        <f t="shared" si="4"/>
        <v>7999.1999999999989</v>
      </c>
      <c r="S8" s="128">
        <f t="shared" si="9"/>
        <v>483.11999999999989</v>
      </c>
      <c r="T8" s="136">
        <f t="shared" si="5"/>
        <v>6.427818756585868E-2</v>
      </c>
    </row>
    <row r="9" spans="1:24" s="70" customFormat="1">
      <c r="A9" s="155"/>
      <c r="B9" s="55">
        <v>21</v>
      </c>
      <c r="C9" s="106" t="s">
        <v>99</v>
      </c>
      <c r="D9" s="108">
        <v>8</v>
      </c>
      <c r="E9" s="79">
        <f>References!$B$7</f>
        <v>4.333333333333333</v>
      </c>
      <c r="F9" s="78">
        <f t="shared" si="6"/>
        <v>416</v>
      </c>
      <c r="G9" s="118">
        <f>References!B17</f>
        <v>97</v>
      </c>
      <c r="H9" s="78">
        <f t="shared" si="8"/>
        <v>40352</v>
      </c>
      <c r="I9" s="54">
        <f>$D$113*H9</f>
        <v>36738.871550729098</v>
      </c>
      <c r="J9" s="128">
        <f>(References!$C$49*I9)</f>
        <v>205.18659761082199</v>
      </c>
      <c r="K9" s="128">
        <f>J9/References!$G$52</f>
        <v>211.24945702751157</v>
      </c>
      <c r="L9" s="113">
        <v>35.799999999999997</v>
      </c>
      <c r="M9" s="77">
        <f t="shared" si="7"/>
        <v>2.2005151773699119</v>
      </c>
      <c r="N9" s="146">
        <f t="shared" si="0"/>
        <v>38</v>
      </c>
      <c r="O9" s="149">
        <f t="shared" si="2"/>
        <v>0.1</v>
      </c>
      <c r="P9" s="149">
        <f t="shared" si="3"/>
        <v>38.1</v>
      </c>
      <c r="Q9" s="128">
        <f t="shared" si="1"/>
        <v>3436.7999999999997</v>
      </c>
      <c r="R9" s="128">
        <f t="shared" si="4"/>
        <v>3657.6000000000004</v>
      </c>
      <c r="S9" s="128">
        <f t="shared" si="9"/>
        <v>220.80000000000064</v>
      </c>
      <c r="T9" s="136">
        <f t="shared" si="5"/>
        <v>6.4245810055866048E-2</v>
      </c>
    </row>
    <row r="10" spans="1:24" s="70" customFormat="1">
      <c r="A10" s="155"/>
      <c r="B10" s="55">
        <v>21</v>
      </c>
      <c r="C10" s="106" t="s">
        <v>100</v>
      </c>
      <c r="D10" s="108">
        <v>602</v>
      </c>
      <c r="E10" s="79">
        <f>References!$B$7</f>
        <v>4.333333333333333</v>
      </c>
      <c r="F10" s="78">
        <f t="shared" si="6"/>
        <v>31304</v>
      </c>
      <c r="G10" s="111">
        <f>References!B20</f>
        <v>37</v>
      </c>
      <c r="H10" s="78">
        <f t="shared" si="8"/>
        <v>1158248</v>
      </c>
      <c r="I10" s="54">
        <f>$D$113*H10</f>
        <v>1054538.1764445102</v>
      </c>
      <c r="J10" s="128">
        <f>(References!$C$49*I10)</f>
        <v>5889.5957154425896</v>
      </c>
      <c r="K10" s="128">
        <f>J10/References!$G$52</f>
        <v>6063.6216569984445</v>
      </c>
      <c r="L10" s="113">
        <v>15.24</v>
      </c>
      <c r="M10" s="77">
        <f t="shared" si="7"/>
        <v>0.8393717686874923</v>
      </c>
      <c r="N10" s="146">
        <f t="shared" si="0"/>
        <v>16.079999999999998</v>
      </c>
      <c r="O10" s="149">
        <f t="shared" si="2"/>
        <v>0.04</v>
      </c>
      <c r="P10" s="149">
        <f t="shared" si="3"/>
        <v>16.119999999999997</v>
      </c>
      <c r="Q10" s="128">
        <f t="shared" si="1"/>
        <v>110093.75999999999</v>
      </c>
      <c r="R10" s="128">
        <f t="shared" si="4"/>
        <v>116450.87999999998</v>
      </c>
      <c r="S10" s="128">
        <f t="shared" si="9"/>
        <v>6357.1199999999808</v>
      </c>
      <c r="T10" s="136">
        <f t="shared" si="5"/>
        <v>5.7742782152230721E-2</v>
      </c>
    </row>
    <row r="11" spans="1:24" s="70" customFormat="1">
      <c r="A11" s="155"/>
      <c r="B11" s="55">
        <v>21</v>
      </c>
      <c r="C11" s="106" t="s">
        <v>101</v>
      </c>
      <c r="D11" s="108">
        <v>2</v>
      </c>
      <c r="E11" s="119">
        <f>References!B6</f>
        <v>8.6666666666666661</v>
      </c>
      <c r="F11" s="78">
        <f>D11*E11*12</f>
        <v>208</v>
      </c>
      <c r="G11" s="111">
        <f>References!B20</f>
        <v>37</v>
      </c>
      <c r="H11" s="100">
        <f>F11*G11</f>
        <v>7696</v>
      </c>
      <c r="I11" s="54">
        <f>$D$113*H11</f>
        <v>7006.8981823555496</v>
      </c>
      <c r="J11" s="128">
        <f>(References!$C$49*I11)</f>
        <v>39.133526348455739</v>
      </c>
      <c r="K11" s="128">
        <f>J11/References!$G$52</f>
        <v>40.289844896999625</v>
      </c>
      <c r="L11" s="113">
        <v>24.69</v>
      </c>
      <c r="M11" s="77">
        <f t="shared" si="7"/>
        <v>1.6787435373749842</v>
      </c>
      <c r="N11" s="146">
        <f t="shared" si="0"/>
        <v>26.37</v>
      </c>
      <c r="O11" s="149">
        <f t="shared" si="2"/>
        <v>7.0000000000000007E-2</v>
      </c>
      <c r="P11" s="149">
        <f t="shared" si="3"/>
        <v>26.44</v>
      </c>
      <c r="Q11" s="128">
        <f t="shared" si="1"/>
        <v>592.56000000000006</v>
      </c>
      <c r="R11" s="128">
        <f t="shared" si="4"/>
        <v>634.56000000000006</v>
      </c>
      <c r="S11" s="128">
        <f t="shared" si="9"/>
        <v>42</v>
      </c>
      <c r="T11" s="136">
        <f t="shared" si="5"/>
        <v>7.0878898339408636E-2</v>
      </c>
      <c r="V11" s="145">
        <f>ROUND(+W11*T11+W11,2)</f>
        <v>10.07</v>
      </c>
      <c r="W11" s="77">
        <v>9.4</v>
      </c>
      <c r="X11" s="136">
        <f>+V11/W11-1</f>
        <v>7.1276595744680815E-2</v>
      </c>
    </row>
    <row r="12" spans="1:24" s="70" customFormat="1">
      <c r="A12" s="155"/>
      <c r="B12" s="55">
        <v>21</v>
      </c>
      <c r="C12" s="106" t="s">
        <v>102</v>
      </c>
      <c r="D12" s="108">
        <v>759</v>
      </c>
      <c r="E12" s="79">
        <f>References!$B$7</f>
        <v>4.333333333333333</v>
      </c>
      <c r="F12" s="78">
        <f t="shared" si="6"/>
        <v>39468</v>
      </c>
      <c r="G12" s="111">
        <f>References!B21</f>
        <v>47</v>
      </c>
      <c r="H12" s="78">
        <f t="shared" si="8"/>
        <v>1854996</v>
      </c>
      <c r="I12" s="54">
        <f>$D$113*H12</f>
        <v>1688899.181480875</v>
      </c>
      <c r="J12" s="128">
        <f>(References!$C$49*I12)</f>
        <v>9432.5019285706858</v>
      </c>
      <c r="K12" s="128">
        <f>J12/References!$G$52</f>
        <v>9711.2137635855925</v>
      </c>
      <c r="L12" s="113">
        <v>22.36</v>
      </c>
      <c r="M12" s="77">
        <f t="shared" si="7"/>
        <v>1.0662290034678954</v>
      </c>
      <c r="N12" s="146">
        <f t="shared" si="0"/>
        <v>23.43</v>
      </c>
      <c r="O12" s="149">
        <f t="shared" si="2"/>
        <v>0.06</v>
      </c>
      <c r="P12" s="149">
        <f t="shared" si="3"/>
        <v>23.49</v>
      </c>
      <c r="Q12" s="128">
        <f t="shared" si="1"/>
        <v>203654.87999999998</v>
      </c>
      <c r="R12" s="128">
        <f t="shared" si="4"/>
        <v>213946.91999999998</v>
      </c>
      <c r="S12" s="128">
        <f t="shared" si="9"/>
        <v>10292.040000000008</v>
      </c>
      <c r="T12" s="136">
        <f t="shared" si="5"/>
        <v>5.0536672629695856E-2</v>
      </c>
      <c r="W12" s="77"/>
      <c r="X12" s="136"/>
    </row>
    <row r="13" spans="1:24" s="70" customFormat="1">
      <c r="A13" s="155"/>
      <c r="B13" s="55">
        <v>21</v>
      </c>
      <c r="C13" s="106" t="s">
        <v>103</v>
      </c>
      <c r="D13" s="108">
        <v>6</v>
      </c>
      <c r="E13" s="119">
        <f>References!B6</f>
        <v>8.6666666666666661</v>
      </c>
      <c r="F13" s="78">
        <f t="shared" si="6"/>
        <v>624</v>
      </c>
      <c r="G13" s="111">
        <f>References!B21</f>
        <v>47</v>
      </c>
      <c r="H13" s="78">
        <f t="shared" si="8"/>
        <v>29328</v>
      </c>
      <c r="I13" s="54">
        <f>$D$113*H13</f>
        <v>26701.963343571148</v>
      </c>
      <c r="J13" s="128">
        <f>(References!$C$49*I13)</f>
        <v>149.13046527384486</v>
      </c>
      <c r="K13" s="128">
        <f>J13/References!$G$52</f>
        <v>153.53697649937698</v>
      </c>
      <c r="L13" s="113">
        <v>36.18</v>
      </c>
      <c r="M13" s="77">
        <f t="shared" si="7"/>
        <v>2.1324580069357912</v>
      </c>
      <c r="N13" s="146">
        <f t="shared" si="0"/>
        <v>38.31</v>
      </c>
      <c r="O13" s="149">
        <f t="shared" si="2"/>
        <v>0.1</v>
      </c>
      <c r="P13" s="149">
        <f t="shared" si="3"/>
        <v>38.410000000000004</v>
      </c>
      <c r="Q13" s="128">
        <f t="shared" si="1"/>
        <v>2604.96</v>
      </c>
      <c r="R13" s="128">
        <f t="shared" si="4"/>
        <v>2765.5200000000004</v>
      </c>
      <c r="S13" s="128">
        <f t="shared" si="9"/>
        <v>160.5600000000004</v>
      </c>
      <c r="T13" s="136">
        <f t="shared" si="5"/>
        <v>6.163626312880055E-2</v>
      </c>
      <c r="V13" s="145">
        <f>ROUND(+W13*T13+W13,2)</f>
        <v>14.6</v>
      </c>
      <c r="W13" s="77">
        <v>13.75</v>
      </c>
      <c r="X13" s="136">
        <f t="shared" ref="X13:X15" si="10">+V13/W13-1</f>
        <v>6.1818181818181772E-2</v>
      </c>
    </row>
    <row r="14" spans="1:24" s="70" customFormat="1">
      <c r="A14" s="155"/>
      <c r="B14" s="55">
        <v>21</v>
      </c>
      <c r="C14" s="106" t="s">
        <v>104</v>
      </c>
      <c r="D14" s="108">
        <v>230</v>
      </c>
      <c r="E14" s="79">
        <f>References!$B$7</f>
        <v>4.333333333333333</v>
      </c>
      <c r="F14" s="78">
        <f t="shared" si="6"/>
        <v>11960</v>
      </c>
      <c r="G14" s="111">
        <f>References!B22</f>
        <v>68</v>
      </c>
      <c r="H14" s="78">
        <f t="shared" si="8"/>
        <v>813280</v>
      </c>
      <c r="I14" s="54">
        <f>$D$113*H14</f>
        <v>740458.69981108641</v>
      </c>
      <c r="J14" s="128">
        <f>(References!$C$49*I14)</f>
        <v>4135.4618384449177</v>
      </c>
      <c r="K14" s="128">
        <f>J14/References!$G$52</f>
        <v>4257.6565823586097</v>
      </c>
      <c r="L14" s="113">
        <v>29.72</v>
      </c>
      <c r="M14" s="77">
        <f t="shared" si="7"/>
        <v>1.5426291965067427</v>
      </c>
      <c r="N14" s="146">
        <f t="shared" si="0"/>
        <v>31.26</v>
      </c>
      <c r="O14" s="149">
        <f t="shared" si="2"/>
        <v>0.08</v>
      </c>
      <c r="P14" s="149">
        <f t="shared" si="3"/>
        <v>31.34</v>
      </c>
      <c r="Q14" s="128">
        <f t="shared" si="1"/>
        <v>82027.199999999997</v>
      </c>
      <c r="R14" s="128">
        <f t="shared" si="4"/>
        <v>86498.4</v>
      </c>
      <c r="S14" s="128">
        <f t="shared" si="9"/>
        <v>4471.1999999999971</v>
      </c>
      <c r="T14" s="136">
        <f t="shared" si="5"/>
        <v>5.4508748317631195E-2</v>
      </c>
      <c r="W14" s="77"/>
      <c r="X14" s="136"/>
    </row>
    <row r="15" spans="1:24" s="70" customFormat="1">
      <c r="A15" s="155"/>
      <c r="B15" s="55">
        <v>21</v>
      </c>
      <c r="C15" s="106" t="s">
        <v>105</v>
      </c>
      <c r="D15" s="107">
        <v>12</v>
      </c>
      <c r="E15" s="119">
        <f>References!B6</f>
        <v>8.6666666666666661</v>
      </c>
      <c r="F15" s="78">
        <f t="shared" si="6"/>
        <v>1248</v>
      </c>
      <c r="G15" s="111">
        <f>References!B22</f>
        <v>68</v>
      </c>
      <c r="H15" s="100">
        <f t="shared" si="8"/>
        <v>84864</v>
      </c>
      <c r="I15" s="54">
        <f>$D$113*H15</f>
        <v>77265.255632461194</v>
      </c>
      <c r="J15" s="128">
        <f>(References!$C$49*I15)</f>
        <v>431.52645270729573</v>
      </c>
      <c r="K15" s="128">
        <f>J15/References!$G$52</f>
        <v>444.27720859394185</v>
      </c>
      <c r="L15" s="113">
        <v>48.13</v>
      </c>
      <c r="M15" s="77">
        <f t="shared" si="7"/>
        <v>3.0852583930134849</v>
      </c>
      <c r="N15" s="146">
        <f t="shared" si="0"/>
        <v>51.22</v>
      </c>
      <c r="O15" s="149">
        <f t="shared" si="2"/>
        <v>0.13</v>
      </c>
      <c r="P15" s="149">
        <f t="shared" si="3"/>
        <v>51.35</v>
      </c>
      <c r="Q15" s="128">
        <f t="shared" si="1"/>
        <v>6930.7200000000012</v>
      </c>
      <c r="R15" s="128">
        <f t="shared" si="4"/>
        <v>7394.4000000000005</v>
      </c>
      <c r="S15" s="128">
        <f t="shared" si="9"/>
        <v>463.67999999999938</v>
      </c>
      <c r="T15" s="136">
        <f t="shared" si="5"/>
        <v>6.6902140037398583E-2</v>
      </c>
      <c r="V15" s="145">
        <f>ROUND(+W15*T15+W15,2)</f>
        <v>19.53</v>
      </c>
      <c r="W15" s="77">
        <v>18.309999999999999</v>
      </c>
      <c r="X15" s="136">
        <f t="shared" si="10"/>
        <v>6.6630256690333178E-2</v>
      </c>
    </row>
    <row r="16" spans="1:24" s="70" customFormat="1">
      <c r="A16" s="72"/>
      <c r="B16" s="55">
        <v>21</v>
      </c>
      <c r="C16" s="124" t="s">
        <v>125</v>
      </c>
      <c r="D16" s="132">
        <v>4</v>
      </c>
      <c r="E16" s="79">
        <f>+E14*3</f>
        <v>13</v>
      </c>
      <c r="F16" s="78">
        <f t="shared" si="6"/>
        <v>624</v>
      </c>
      <c r="G16" s="125">
        <f>+G15</f>
        <v>68</v>
      </c>
      <c r="H16" s="100">
        <f t="shared" si="8"/>
        <v>42432</v>
      </c>
      <c r="I16" s="54">
        <f>$D$113*H16</f>
        <v>38632.627816230597</v>
      </c>
      <c r="J16" s="128">
        <f>(References!$C$49*I16)</f>
        <v>215.76322635364787</v>
      </c>
      <c r="K16" s="128">
        <f>J16/References!$G$52</f>
        <v>222.13860429697093</v>
      </c>
      <c r="L16" s="113">
        <v>66.540000000000006</v>
      </c>
      <c r="M16" s="77">
        <f t="shared" si="7"/>
        <v>4.6278875895202276</v>
      </c>
      <c r="N16" s="146">
        <f t="shared" si="0"/>
        <v>71.17</v>
      </c>
      <c r="O16" s="149">
        <f t="shared" si="2"/>
        <v>0.18</v>
      </c>
      <c r="P16" s="149">
        <f t="shared" si="3"/>
        <v>71.350000000000009</v>
      </c>
      <c r="Q16" s="128">
        <f t="shared" si="1"/>
        <v>3193.92</v>
      </c>
      <c r="R16" s="128">
        <f t="shared" si="4"/>
        <v>3424.8</v>
      </c>
      <c r="S16" s="128">
        <f t="shared" si="9"/>
        <v>230.88000000000011</v>
      </c>
      <c r="T16" s="136">
        <f t="shared" si="5"/>
        <v>7.2287345957319005E-2</v>
      </c>
    </row>
    <row r="17" spans="1:20" s="70" customFormat="1">
      <c r="A17" s="109"/>
      <c r="B17" s="99">
        <v>23</v>
      </c>
      <c r="C17" s="110" t="s">
        <v>126</v>
      </c>
      <c r="D17" s="133">
        <v>425</v>
      </c>
      <c r="E17" s="97">
        <v>1</v>
      </c>
      <c r="F17" s="86">
        <f t="shared" si="6"/>
        <v>5100</v>
      </c>
      <c r="G17" s="134">
        <f>+G6</f>
        <v>34</v>
      </c>
      <c r="H17" s="103">
        <f t="shared" si="8"/>
        <v>173400</v>
      </c>
      <c r="I17" s="54">
        <f>$D$113*H17</f>
        <v>157873.71944132695</v>
      </c>
      <c r="J17" s="128">
        <f>(References!$C$49*I17)</f>
        <v>881.72472307981093</v>
      </c>
      <c r="K17" s="128">
        <f>J17/References!$G$52</f>
        <v>907.77795025204455</v>
      </c>
      <c r="L17" s="113">
        <v>4.4000000000000004</v>
      </c>
      <c r="M17" s="77">
        <f t="shared" si="7"/>
        <v>0.17799567652000872</v>
      </c>
      <c r="N17" s="146">
        <f t="shared" si="0"/>
        <v>4.58</v>
      </c>
      <c r="O17" s="149">
        <f t="shared" si="2"/>
        <v>0.01</v>
      </c>
      <c r="P17" s="149">
        <f t="shared" si="3"/>
        <v>4.59</v>
      </c>
      <c r="Q17" s="128">
        <f t="shared" si="1"/>
        <v>22440.000000000004</v>
      </c>
      <c r="R17" s="128">
        <f t="shared" si="4"/>
        <v>23409</v>
      </c>
      <c r="S17" s="128">
        <f t="shared" si="9"/>
        <v>968.99999999999636</v>
      </c>
      <c r="T17" s="136">
        <f t="shared" si="5"/>
        <v>4.3181818181817988E-2</v>
      </c>
    </row>
    <row r="18" spans="1:20" s="70" customFormat="1">
      <c r="A18" s="58"/>
      <c r="B18" s="89"/>
      <c r="C18" s="60" t="s">
        <v>15</v>
      </c>
      <c r="D18" s="61">
        <f>SUM(D3:D17)</f>
        <v>3260</v>
      </c>
      <c r="E18" s="62"/>
      <c r="F18" s="63">
        <f>SUM(F3:F17)</f>
        <v>153216</v>
      </c>
      <c r="G18" s="64"/>
      <c r="H18" s="90">
        <f>SUM(H3:H17)</f>
        <v>6590620</v>
      </c>
      <c r="I18" s="65">
        <f>SUM(I3:I17)</f>
        <v>6000494.191605526</v>
      </c>
      <c r="J18" s="129">
        <f>SUM(J3:J17)</f>
        <v>33512.76006011686</v>
      </c>
      <c r="K18" s="129">
        <f>SUM(K3:K17)</f>
        <v>34502.996046655884</v>
      </c>
      <c r="L18" s="84"/>
      <c r="M18" s="84"/>
      <c r="N18" s="84"/>
      <c r="O18" s="84"/>
      <c r="P18" s="84"/>
      <c r="Q18" s="129">
        <f>SUM(Q3:Q17)</f>
        <v>663376.67999999982</v>
      </c>
      <c r="R18" s="129">
        <f>SUM(R3:R17)</f>
        <v>699725.04</v>
      </c>
      <c r="S18" s="129">
        <f>SUM(S3:S17)</f>
        <v>36348.359999999986</v>
      </c>
      <c r="T18" s="137">
        <f>+S18/Q18</f>
        <v>5.4792942073272753E-2</v>
      </c>
    </row>
    <row r="19" spans="1:20" s="70" customFormat="1" ht="15" customHeight="1">
      <c r="A19" s="154" t="s">
        <v>13</v>
      </c>
      <c r="B19" s="55">
        <v>32</v>
      </c>
      <c r="C19" s="116" t="s">
        <v>96</v>
      </c>
      <c r="D19" s="67">
        <v>13</v>
      </c>
      <c r="E19" s="79">
        <v>4.3330000000000002</v>
      </c>
      <c r="F19" s="121">
        <f>ROUND(+E19*D19*12,0)</f>
        <v>676</v>
      </c>
      <c r="G19" s="118">
        <f>References!B26</f>
        <v>29</v>
      </c>
      <c r="H19" s="78">
        <f t="shared" ref="H19:H20" si="11">F19*G19</f>
        <v>19604</v>
      </c>
      <c r="I19" s="54">
        <f>$D$113*H19</f>
        <v>17848.652802351637</v>
      </c>
      <c r="J19" s="128">
        <f>(References!$C$49*I19)</f>
        <v>99.684725901133888</v>
      </c>
      <c r="K19" s="128">
        <f>J19/References!$G$52</f>
        <v>102.63021301465447</v>
      </c>
      <c r="L19" s="113">
        <v>4.3499999999999996</v>
      </c>
      <c r="M19" s="77">
        <f>K19/F19</f>
        <v>0.15181984173765453</v>
      </c>
      <c r="N19" s="146">
        <f t="shared" ref="N19:N57" si="12">ROUND(M19+L19,2)</f>
        <v>4.5</v>
      </c>
      <c r="O19" s="149">
        <f t="shared" si="2"/>
        <v>0.01</v>
      </c>
      <c r="P19" s="149">
        <f t="shared" ref="P19" si="13">+O19+N19</f>
        <v>4.51</v>
      </c>
      <c r="Q19" s="128">
        <f t="shared" ref="Q19:Q57" si="14">F19*L19</f>
        <v>2940.6</v>
      </c>
      <c r="R19" s="128">
        <f>+F19*P19</f>
        <v>3048.7599999999998</v>
      </c>
      <c r="S19" s="128">
        <f t="shared" ref="S19" si="15">R19-Q19</f>
        <v>108.15999999999985</v>
      </c>
      <c r="T19" s="136">
        <f t="shared" si="5"/>
        <v>3.6781609195402298E-2</v>
      </c>
    </row>
    <row r="20" spans="1:20" s="70" customFormat="1">
      <c r="A20" s="155"/>
      <c r="B20" s="55">
        <v>32</v>
      </c>
      <c r="C20" s="116" t="s">
        <v>97</v>
      </c>
      <c r="D20" s="67">
        <v>8</v>
      </c>
      <c r="E20" s="79">
        <f>+E19</f>
        <v>4.3330000000000002</v>
      </c>
      <c r="F20" s="121">
        <f t="shared" ref="F20:F57" si="16">ROUND(+E20*D20*12,0)</f>
        <v>416</v>
      </c>
      <c r="G20" s="118">
        <f>References!B26</f>
        <v>29</v>
      </c>
      <c r="H20" s="78">
        <f t="shared" si="11"/>
        <v>12064</v>
      </c>
      <c r="I20" s="54">
        <f>$D$113*H20</f>
        <v>10983.786339908698</v>
      </c>
      <c r="J20" s="128">
        <f>(References!$C$49*I20)</f>
        <v>61.344446708390073</v>
      </c>
      <c r="K20" s="128">
        <f>J20/References!$G$52</f>
        <v>63.157054162864277</v>
      </c>
      <c r="L20" s="113">
        <v>4.3499999999999996</v>
      </c>
      <c r="M20" s="77">
        <f t="shared" ref="M20" si="17">K20/F20</f>
        <v>0.1518198417376545</v>
      </c>
      <c r="N20" s="146">
        <f t="shared" si="12"/>
        <v>4.5</v>
      </c>
      <c r="O20" s="149">
        <f t="shared" si="2"/>
        <v>0.01</v>
      </c>
      <c r="P20" s="149">
        <f t="shared" ref="P20:P57" si="18">+O20+N20</f>
        <v>4.51</v>
      </c>
      <c r="Q20" s="128">
        <f t="shared" si="14"/>
        <v>1809.6</v>
      </c>
      <c r="R20" s="128">
        <f t="shared" ref="R20:R57" si="19">+F20*P20</f>
        <v>1876.1599999999999</v>
      </c>
      <c r="S20" s="128">
        <f t="shared" ref="S20" si="20">R20-Q20</f>
        <v>66.559999999999945</v>
      </c>
      <c r="T20" s="136">
        <f t="shared" si="5"/>
        <v>3.6781609195402298E-2</v>
      </c>
    </row>
    <row r="21" spans="1:20" s="70" customFormat="1">
      <c r="A21" s="155"/>
      <c r="B21" s="55">
        <v>30</v>
      </c>
      <c r="C21" s="116" t="s">
        <v>104</v>
      </c>
      <c r="D21" s="98">
        <v>11</v>
      </c>
      <c r="E21" s="79">
        <f>+E20</f>
        <v>4.3330000000000002</v>
      </c>
      <c r="F21" s="121">
        <f t="shared" si="16"/>
        <v>572</v>
      </c>
      <c r="G21" s="118">
        <f>References!B22</f>
        <v>68</v>
      </c>
      <c r="H21" s="78">
        <f t="shared" ref="H21:H22" si="21">F21*G21</f>
        <v>38896</v>
      </c>
      <c r="I21" s="54">
        <f>$D$113*H21</f>
        <v>35413.242164878044</v>
      </c>
      <c r="J21" s="128">
        <f>(References!$C$49*I21)</f>
        <v>197.78295749084387</v>
      </c>
      <c r="K21" s="128">
        <f>J21/References!$G$52</f>
        <v>203.62705393889001</v>
      </c>
      <c r="L21" s="113">
        <v>10.24</v>
      </c>
      <c r="M21" s="77">
        <f t="shared" ref="M21:M22" si="22">K21/F21</f>
        <v>0.3559913530400175</v>
      </c>
      <c r="N21" s="146">
        <f t="shared" si="12"/>
        <v>10.6</v>
      </c>
      <c r="O21" s="149">
        <f t="shared" si="2"/>
        <v>0.03</v>
      </c>
      <c r="P21" s="149">
        <f t="shared" si="18"/>
        <v>10.629999999999999</v>
      </c>
      <c r="Q21" s="128">
        <f t="shared" si="14"/>
        <v>5857.28</v>
      </c>
      <c r="R21" s="128">
        <f t="shared" si="19"/>
        <v>6080.36</v>
      </c>
      <c r="S21" s="128">
        <f t="shared" ref="S21:S22" si="23">R21-Q21</f>
        <v>223.07999999999993</v>
      </c>
      <c r="T21" s="136">
        <f t="shared" si="5"/>
        <v>3.8085937499999778E-2</v>
      </c>
    </row>
    <row r="22" spans="1:20" s="70" customFormat="1">
      <c r="A22" s="155"/>
      <c r="B22" s="55">
        <v>30</v>
      </c>
      <c r="C22" s="116" t="s">
        <v>105</v>
      </c>
      <c r="D22" s="98">
        <v>2</v>
      </c>
      <c r="E22" s="79">
        <f t="shared" ref="E22:E26" si="24">+E21</f>
        <v>4.3330000000000002</v>
      </c>
      <c r="F22" s="121">
        <f t="shared" si="16"/>
        <v>104</v>
      </c>
      <c r="G22" s="118">
        <f>References!B22</f>
        <v>68</v>
      </c>
      <c r="H22" s="78">
        <f t="shared" si="21"/>
        <v>7072</v>
      </c>
      <c r="I22" s="54">
        <f>$D$113*H22</f>
        <v>6438.7713027050995</v>
      </c>
      <c r="J22" s="128">
        <f>(References!$C$49*I22)</f>
        <v>35.960537725607978</v>
      </c>
      <c r="K22" s="128">
        <f>J22/References!$G$52</f>
        <v>37.023100716161821</v>
      </c>
      <c r="L22" s="113">
        <v>10.24</v>
      </c>
      <c r="M22" s="77">
        <f t="shared" si="22"/>
        <v>0.3559913530400175</v>
      </c>
      <c r="N22" s="146">
        <f t="shared" si="12"/>
        <v>10.6</v>
      </c>
      <c r="O22" s="149">
        <f t="shared" si="2"/>
        <v>0.03</v>
      </c>
      <c r="P22" s="149">
        <f t="shared" si="18"/>
        <v>10.629999999999999</v>
      </c>
      <c r="Q22" s="128">
        <f t="shared" si="14"/>
        <v>1064.96</v>
      </c>
      <c r="R22" s="128">
        <f t="shared" si="19"/>
        <v>1105.52</v>
      </c>
      <c r="S22" s="128">
        <f t="shared" si="23"/>
        <v>40.559999999999945</v>
      </c>
      <c r="T22" s="136">
        <f t="shared" si="5"/>
        <v>3.8085937499999778E-2</v>
      </c>
    </row>
    <row r="23" spans="1:20" s="70" customFormat="1">
      <c r="A23" s="155"/>
      <c r="B23" s="55">
        <v>30</v>
      </c>
      <c r="C23" s="116" t="s">
        <v>127</v>
      </c>
      <c r="D23" s="98">
        <v>6</v>
      </c>
      <c r="E23" s="79">
        <v>1</v>
      </c>
      <c r="F23" s="121">
        <f t="shared" si="16"/>
        <v>72</v>
      </c>
      <c r="G23" s="120">
        <v>158.55000000000001</v>
      </c>
      <c r="H23" s="78">
        <f t="shared" ref="H23:H57" si="25">F23*G23</f>
        <v>11415.6</v>
      </c>
      <c r="I23" s="54">
        <f>$D$113*H23</f>
        <v>10393.444242528329</v>
      </c>
      <c r="J23" s="128">
        <f>(References!$C$49*I23)</f>
        <v>58.047386094520711</v>
      </c>
      <c r="K23" s="128">
        <f>J23/References!$G$52</f>
        <v>59.762571908288592</v>
      </c>
      <c r="L23" s="113">
        <v>25.67</v>
      </c>
      <c r="M23" s="77">
        <f t="shared" ref="M23:M57" si="26">K23/F23</f>
        <v>0.83003572094845268</v>
      </c>
      <c r="N23" s="146">
        <f t="shared" si="12"/>
        <v>26.5</v>
      </c>
      <c r="O23" s="149">
        <f t="shared" si="2"/>
        <v>7.0000000000000007E-2</v>
      </c>
      <c r="P23" s="149">
        <f t="shared" si="18"/>
        <v>26.57</v>
      </c>
      <c r="Q23" s="128">
        <f t="shared" si="14"/>
        <v>1848.2400000000002</v>
      </c>
      <c r="R23" s="128">
        <f t="shared" si="19"/>
        <v>1913.04</v>
      </c>
      <c r="S23" s="128">
        <f t="shared" ref="S23:S57" si="27">R23-Q23</f>
        <v>64.799999999999727</v>
      </c>
      <c r="T23" s="136">
        <f t="shared" si="5"/>
        <v>3.506038176860149E-2</v>
      </c>
    </row>
    <row r="24" spans="1:20" s="70" customFormat="1">
      <c r="A24" s="155"/>
      <c r="B24" s="55">
        <v>30</v>
      </c>
      <c r="C24" s="116" t="s">
        <v>128</v>
      </c>
      <c r="D24" s="98">
        <v>6</v>
      </c>
      <c r="E24" s="79">
        <v>2.1667000000000001</v>
      </c>
      <c r="F24" s="121">
        <f t="shared" si="16"/>
        <v>156</v>
      </c>
      <c r="G24" s="115">
        <f>+G23</f>
        <v>158.55000000000001</v>
      </c>
      <c r="H24" s="78">
        <f t="shared" si="25"/>
        <v>24733.800000000003</v>
      </c>
      <c r="I24" s="54">
        <f>$D$113*H24</f>
        <v>22519.129192144712</v>
      </c>
      <c r="J24" s="128">
        <f>(References!$C$49*I24)</f>
        <v>125.76933653812821</v>
      </c>
      <c r="K24" s="128">
        <f>J24/References!$G$52</f>
        <v>129.48557246795863</v>
      </c>
      <c r="L24" s="113">
        <v>25.67</v>
      </c>
      <c r="M24" s="77">
        <f t="shared" si="26"/>
        <v>0.83003572094845279</v>
      </c>
      <c r="N24" s="146">
        <f t="shared" si="12"/>
        <v>26.5</v>
      </c>
      <c r="O24" s="149">
        <f t="shared" si="2"/>
        <v>7.0000000000000007E-2</v>
      </c>
      <c r="P24" s="149">
        <f t="shared" si="18"/>
        <v>26.57</v>
      </c>
      <c r="Q24" s="128">
        <f t="shared" si="14"/>
        <v>4004.5200000000004</v>
      </c>
      <c r="R24" s="128">
        <f t="shared" si="19"/>
        <v>4144.92</v>
      </c>
      <c r="S24" s="128">
        <f t="shared" si="27"/>
        <v>140.39999999999964</v>
      </c>
      <c r="T24" s="136">
        <f t="shared" si="5"/>
        <v>3.506038176860149E-2</v>
      </c>
    </row>
    <row r="25" spans="1:20" s="70" customFormat="1">
      <c r="A25" s="155"/>
      <c r="B25" s="55">
        <v>30</v>
      </c>
      <c r="C25" s="116" t="s">
        <v>106</v>
      </c>
      <c r="D25" s="98">
        <v>37</v>
      </c>
      <c r="E25" s="79">
        <v>4.3330000000000002</v>
      </c>
      <c r="F25" s="121">
        <f t="shared" si="16"/>
        <v>1924</v>
      </c>
      <c r="G25" s="115">
        <f>+G24</f>
        <v>158.55000000000001</v>
      </c>
      <c r="H25" s="78">
        <f t="shared" si="25"/>
        <v>305050.2</v>
      </c>
      <c r="I25" s="54">
        <f>$D$113*H25</f>
        <v>277735.92670311808</v>
      </c>
      <c r="J25" s="128">
        <f>(References!$C$49*I25)</f>
        <v>1551.1551506369144</v>
      </c>
      <c r="K25" s="128">
        <f>J25/References!$G$52</f>
        <v>1596.9887271048228</v>
      </c>
      <c r="L25" s="113">
        <v>25.67</v>
      </c>
      <c r="M25" s="77">
        <f t="shared" si="26"/>
        <v>0.83003572094845257</v>
      </c>
      <c r="N25" s="146">
        <f t="shared" si="12"/>
        <v>26.5</v>
      </c>
      <c r="O25" s="149">
        <f t="shared" si="2"/>
        <v>7.0000000000000007E-2</v>
      </c>
      <c r="P25" s="149">
        <f t="shared" si="18"/>
        <v>26.57</v>
      </c>
      <c r="Q25" s="128">
        <f t="shared" si="14"/>
        <v>49389.08</v>
      </c>
      <c r="R25" s="128">
        <f t="shared" si="19"/>
        <v>51120.68</v>
      </c>
      <c r="S25" s="128">
        <f t="shared" si="27"/>
        <v>1731.5999999999985</v>
      </c>
      <c r="T25" s="136">
        <f t="shared" si="5"/>
        <v>3.506038176860149E-2</v>
      </c>
    </row>
    <row r="26" spans="1:20" s="70" customFormat="1">
      <c r="A26" s="155"/>
      <c r="B26" s="55">
        <v>30</v>
      </c>
      <c r="C26" s="116" t="s">
        <v>107</v>
      </c>
      <c r="D26" s="67">
        <v>4</v>
      </c>
      <c r="E26" s="79">
        <f t="shared" si="24"/>
        <v>4.3330000000000002</v>
      </c>
      <c r="F26" s="121">
        <f t="shared" si="16"/>
        <v>208</v>
      </c>
      <c r="G26" s="115">
        <f>+G25</f>
        <v>158.55000000000001</v>
      </c>
      <c r="H26" s="78">
        <f t="shared" si="25"/>
        <v>32978.400000000001</v>
      </c>
      <c r="I26" s="54">
        <f>$D$113*H26</f>
        <v>30025.505589526281</v>
      </c>
      <c r="J26" s="128">
        <f>(References!$C$49*I26)</f>
        <v>167.69244871750428</v>
      </c>
      <c r="K26" s="128">
        <f>J26/References!$G$52</f>
        <v>172.64742995727815</v>
      </c>
      <c r="L26" s="113">
        <v>25.67</v>
      </c>
      <c r="M26" s="77">
        <f t="shared" si="26"/>
        <v>0.83003572094845268</v>
      </c>
      <c r="N26" s="146">
        <f t="shared" si="12"/>
        <v>26.5</v>
      </c>
      <c r="O26" s="149">
        <f t="shared" si="2"/>
        <v>7.0000000000000007E-2</v>
      </c>
      <c r="P26" s="149">
        <f t="shared" si="18"/>
        <v>26.57</v>
      </c>
      <c r="Q26" s="128">
        <f t="shared" si="14"/>
        <v>5339.3600000000006</v>
      </c>
      <c r="R26" s="128">
        <f t="shared" si="19"/>
        <v>5526.56</v>
      </c>
      <c r="S26" s="128">
        <f t="shared" si="27"/>
        <v>187.19999999999982</v>
      </c>
      <c r="T26" s="136">
        <f t="shared" si="5"/>
        <v>3.506038176860149E-2</v>
      </c>
    </row>
    <row r="27" spans="1:20" s="70" customFormat="1">
      <c r="A27" s="155"/>
      <c r="B27" s="55">
        <v>30</v>
      </c>
      <c r="C27" s="116" t="s">
        <v>129</v>
      </c>
      <c r="D27" s="67">
        <v>4</v>
      </c>
      <c r="E27" s="79">
        <v>1</v>
      </c>
      <c r="F27" s="121">
        <f t="shared" si="16"/>
        <v>48</v>
      </c>
      <c r="G27" s="115">
        <f>+References!B28</f>
        <v>250</v>
      </c>
      <c r="H27" s="78">
        <f t="shared" si="25"/>
        <v>12000</v>
      </c>
      <c r="I27" s="54">
        <f>$D$113*H27</f>
        <v>10925.516916354807</v>
      </c>
      <c r="J27" s="128">
        <f>(References!$C$49*I27)</f>
        <v>61.019011977841593</v>
      </c>
      <c r="K27" s="128">
        <f>J27/References!$G$52</f>
        <v>62.822003477650149</v>
      </c>
      <c r="L27" s="113">
        <v>29.44</v>
      </c>
      <c r="M27" s="77">
        <f t="shared" si="26"/>
        <v>1.3087917391177115</v>
      </c>
      <c r="N27" s="146">
        <f t="shared" si="12"/>
        <v>30.75</v>
      </c>
      <c r="O27" s="149">
        <f t="shared" si="2"/>
        <v>0.08</v>
      </c>
      <c r="P27" s="149">
        <f t="shared" si="18"/>
        <v>30.83</v>
      </c>
      <c r="Q27" s="128">
        <f t="shared" si="14"/>
        <v>1413.1200000000001</v>
      </c>
      <c r="R27" s="128">
        <f t="shared" si="19"/>
        <v>1479.84</v>
      </c>
      <c r="S27" s="128">
        <f t="shared" si="27"/>
        <v>66.7199999999998</v>
      </c>
      <c r="T27" s="136">
        <f t="shared" si="5"/>
        <v>4.7214673913043459E-2</v>
      </c>
    </row>
    <row r="28" spans="1:20" s="70" customFormat="1">
      <c r="A28" s="155"/>
      <c r="B28" s="55">
        <v>30</v>
      </c>
      <c r="C28" s="116" t="s">
        <v>130</v>
      </c>
      <c r="D28" s="67">
        <v>10</v>
      </c>
      <c r="E28" s="79">
        <f>+E24</f>
        <v>2.1667000000000001</v>
      </c>
      <c r="F28" s="121">
        <f t="shared" si="16"/>
        <v>260</v>
      </c>
      <c r="G28" s="118">
        <f>+G27</f>
        <v>250</v>
      </c>
      <c r="H28" s="78">
        <f t="shared" si="25"/>
        <v>65000</v>
      </c>
      <c r="I28" s="54">
        <f>$D$113*H28</f>
        <v>59179.883296921871</v>
      </c>
      <c r="J28" s="128">
        <f>(References!$C$49*I28)</f>
        <v>330.51964821330864</v>
      </c>
      <c r="K28" s="128">
        <f>J28/References!$G$52</f>
        <v>340.28585217060498</v>
      </c>
      <c r="L28" s="113">
        <v>29.44</v>
      </c>
      <c r="M28" s="77">
        <f t="shared" si="26"/>
        <v>1.3087917391177115</v>
      </c>
      <c r="N28" s="146">
        <f t="shared" si="12"/>
        <v>30.75</v>
      </c>
      <c r="O28" s="149">
        <f t="shared" si="2"/>
        <v>0.08</v>
      </c>
      <c r="P28" s="149">
        <f t="shared" si="18"/>
        <v>30.83</v>
      </c>
      <c r="Q28" s="128">
        <f t="shared" si="14"/>
        <v>7654.4000000000005</v>
      </c>
      <c r="R28" s="128">
        <f t="shared" si="19"/>
        <v>8015.7999999999993</v>
      </c>
      <c r="S28" s="128">
        <f t="shared" si="27"/>
        <v>361.39999999999873</v>
      </c>
      <c r="T28" s="136">
        <f t="shared" si="5"/>
        <v>4.7214673913043459E-2</v>
      </c>
    </row>
    <row r="29" spans="1:20" s="70" customFormat="1">
      <c r="A29" s="155"/>
      <c r="B29" s="55">
        <v>30</v>
      </c>
      <c r="C29" s="116" t="s">
        <v>108</v>
      </c>
      <c r="D29" s="67">
        <v>44</v>
      </c>
      <c r="E29" s="79">
        <f>+E26</f>
        <v>4.3330000000000002</v>
      </c>
      <c r="F29" s="121">
        <f t="shared" si="16"/>
        <v>2288</v>
      </c>
      <c r="G29" s="118">
        <f>+G28</f>
        <v>250</v>
      </c>
      <c r="H29" s="78">
        <f t="shared" si="25"/>
        <v>572000</v>
      </c>
      <c r="I29" s="54">
        <f>$D$113*H29</f>
        <v>520782.97301291244</v>
      </c>
      <c r="J29" s="128">
        <f>(References!$C$49*I29)</f>
        <v>2908.5729042771159</v>
      </c>
      <c r="K29" s="128">
        <f>J29/References!$G$52</f>
        <v>2994.5154991013237</v>
      </c>
      <c r="L29" s="113">
        <v>29.44</v>
      </c>
      <c r="M29" s="77">
        <f t="shared" si="26"/>
        <v>1.3087917391177115</v>
      </c>
      <c r="N29" s="146">
        <f t="shared" si="12"/>
        <v>30.75</v>
      </c>
      <c r="O29" s="149">
        <f t="shared" si="2"/>
        <v>0.08</v>
      </c>
      <c r="P29" s="149">
        <f t="shared" si="18"/>
        <v>30.83</v>
      </c>
      <c r="Q29" s="128">
        <f t="shared" si="14"/>
        <v>67358.720000000001</v>
      </c>
      <c r="R29" s="128">
        <f t="shared" si="19"/>
        <v>70539.039999999994</v>
      </c>
      <c r="S29" s="128">
        <f t="shared" si="27"/>
        <v>3180.3199999999924</v>
      </c>
      <c r="T29" s="136">
        <f t="shared" si="5"/>
        <v>4.7214673913043459E-2</v>
      </c>
    </row>
    <row r="30" spans="1:20" s="70" customFormat="1">
      <c r="A30" s="155"/>
      <c r="B30" s="55">
        <v>30</v>
      </c>
      <c r="C30" s="116" t="s">
        <v>131</v>
      </c>
      <c r="D30" s="67">
        <v>3</v>
      </c>
      <c r="E30" s="79">
        <v>1</v>
      </c>
      <c r="F30" s="121">
        <f t="shared" si="16"/>
        <v>36</v>
      </c>
      <c r="G30" s="118">
        <f>+References!B29</f>
        <v>324</v>
      </c>
      <c r="H30" s="78">
        <f t="shared" si="25"/>
        <v>11664</v>
      </c>
      <c r="I30" s="54">
        <f>$D$113*H30</f>
        <v>10619.602442696872</v>
      </c>
      <c r="J30" s="128">
        <f>(References!$C$49*I30)</f>
        <v>59.310479642462028</v>
      </c>
      <c r="K30" s="128">
        <f>J30/References!$G$52</f>
        <v>61.062987380275942</v>
      </c>
      <c r="L30" s="113">
        <v>36.89</v>
      </c>
      <c r="M30" s="77">
        <f t="shared" si="26"/>
        <v>1.6961940938965538</v>
      </c>
      <c r="N30" s="146">
        <f t="shared" si="12"/>
        <v>38.590000000000003</v>
      </c>
      <c r="O30" s="149">
        <f t="shared" si="2"/>
        <v>0.1</v>
      </c>
      <c r="P30" s="149">
        <f t="shared" si="18"/>
        <v>38.690000000000005</v>
      </c>
      <c r="Q30" s="128">
        <f t="shared" si="14"/>
        <v>1328.04</v>
      </c>
      <c r="R30" s="128">
        <f t="shared" si="19"/>
        <v>1392.8400000000001</v>
      </c>
      <c r="S30" s="128">
        <f t="shared" si="27"/>
        <v>64.800000000000182</v>
      </c>
      <c r="T30" s="136">
        <f t="shared" si="5"/>
        <v>4.879371103280028E-2</v>
      </c>
    </row>
    <row r="31" spans="1:20" s="70" customFormat="1">
      <c r="A31" s="155"/>
      <c r="B31" s="55">
        <v>30</v>
      </c>
      <c r="C31" s="116" t="s">
        <v>132</v>
      </c>
      <c r="D31" s="67">
        <v>5</v>
      </c>
      <c r="E31" s="79">
        <f>+E28</f>
        <v>2.1667000000000001</v>
      </c>
      <c r="F31" s="121">
        <f t="shared" si="16"/>
        <v>130</v>
      </c>
      <c r="G31" s="118">
        <f>+G30</f>
        <v>324</v>
      </c>
      <c r="H31" s="78">
        <f t="shared" si="25"/>
        <v>42120</v>
      </c>
      <c r="I31" s="54">
        <f>$D$113*H31</f>
        <v>38348.564376405375</v>
      </c>
      <c r="J31" s="128">
        <f>(References!$C$49*I31)</f>
        <v>214.17673204222402</v>
      </c>
      <c r="K31" s="128">
        <f>J31/References!$G$52</f>
        <v>220.50523220655205</v>
      </c>
      <c r="L31" s="113">
        <v>36.89</v>
      </c>
      <c r="M31" s="77">
        <f t="shared" si="26"/>
        <v>1.6961940938965543</v>
      </c>
      <c r="N31" s="146">
        <f t="shared" si="12"/>
        <v>38.590000000000003</v>
      </c>
      <c r="O31" s="149">
        <f t="shared" si="2"/>
        <v>0.1</v>
      </c>
      <c r="P31" s="149">
        <f t="shared" si="18"/>
        <v>38.690000000000005</v>
      </c>
      <c r="Q31" s="128">
        <f t="shared" si="14"/>
        <v>4795.7</v>
      </c>
      <c r="R31" s="128">
        <f t="shared" si="19"/>
        <v>5029.7000000000007</v>
      </c>
      <c r="S31" s="128">
        <f t="shared" si="27"/>
        <v>234.00000000000091</v>
      </c>
      <c r="T31" s="136">
        <f t="shared" si="5"/>
        <v>4.879371103280028E-2</v>
      </c>
    </row>
    <row r="32" spans="1:20" s="70" customFormat="1">
      <c r="A32" s="155"/>
      <c r="B32" s="55">
        <v>30</v>
      </c>
      <c r="C32" s="116" t="s">
        <v>109</v>
      </c>
      <c r="D32" s="67">
        <v>24</v>
      </c>
      <c r="E32" s="79">
        <f>+E29</f>
        <v>4.3330000000000002</v>
      </c>
      <c r="F32" s="121">
        <f t="shared" si="16"/>
        <v>1248</v>
      </c>
      <c r="G32" s="118">
        <f>+G31</f>
        <v>324</v>
      </c>
      <c r="H32" s="78">
        <f t="shared" si="25"/>
        <v>404352</v>
      </c>
      <c r="I32" s="54">
        <f>$D$113*H32</f>
        <v>368146.21801349154</v>
      </c>
      <c r="J32" s="128">
        <f>(References!$C$49*I32)</f>
        <v>2056.09662760535</v>
      </c>
      <c r="K32" s="128">
        <f>J32/References!$G$52</f>
        <v>2116.8502291828991</v>
      </c>
      <c r="L32" s="113">
        <v>36.89</v>
      </c>
      <c r="M32" s="77">
        <f t="shared" si="26"/>
        <v>1.6961940938965536</v>
      </c>
      <c r="N32" s="146">
        <f t="shared" si="12"/>
        <v>38.590000000000003</v>
      </c>
      <c r="O32" s="149">
        <f t="shared" si="2"/>
        <v>0.1</v>
      </c>
      <c r="P32" s="149">
        <f t="shared" si="18"/>
        <v>38.690000000000005</v>
      </c>
      <c r="Q32" s="128">
        <f t="shared" si="14"/>
        <v>46038.720000000001</v>
      </c>
      <c r="R32" s="128">
        <f t="shared" si="19"/>
        <v>48285.120000000003</v>
      </c>
      <c r="S32" s="128">
        <f t="shared" si="27"/>
        <v>2246.4000000000015</v>
      </c>
      <c r="T32" s="136">
        <f t="shared" si="5"/>
        <v>4.879371103280028E-2</v>
      </c>
    </row>
    <row r="33" spans="1:20" s="70" customFormat="1">
      <c r="A33" s="155"/>
      <c r="B33" s="55">
        <v>30</v>
      </c>
      <c r="C33" s="116" t="s">
        <v>110</v>
      </c>
      <c r="D33" s="67">
        <v>4</v>
      </c>
      <c r="E33" s="79">
        <f>+E32</f>
        <v>4.3330000000000002</v>
      </c>
      <c r="F33" s="121">
        <f t="shared" si="16"/>
        <v>208</v>
      </c>
      <c r="G33" s="118">
        <f>+G32</f>
        <v>324</v>
      </c>
      <c r="H33" s="78">
        <f t="shared" si="25"/>
        <v>67392</v>
      </c>
      <c r="I33" s="54">
        <f>$D$113*H33</f>
        <v>61357.703002248592</v>
      </c>
      <c r="J33" s="128">
        <f>(References!$C$49*I33)</f>
        <v>342.68277126755839</v>
      </c>
      <c r="K33" s="128">
        <f>J33/References!$G$52</f>
        <v>352.80837153048327</v>
      </c>
      <c r="L33" s="113">
        <v>36.89</v>
      </c>
      <c r="M33" s="77">
        <f t="shared" si="26"/>
        <v>1.6961940938965543</v>
      </c>
      <c r="N33" s="146">
        <f t="shared" si="12"/>
        <v>38.590000000000003</v>
      </c>
      <c r="O33" s="149">
        <f t="shared" si="2"/>
        <v>0.1</v>
      </c>
      <c r="P33" s="149">
        <f t="shared" si="18"/>
        <v>38.690000000000005</v>
      </c>
      <c r="Q33" s="128">
        <f t="shared" si="14"/>
        <v>7673.12</v>
      </c>
      <c r="R33" s="128">
        <f t="shared" si="19"/>
        <v>8047.5200000000013</v>
      </c>
      <c r="S33" s="128">
        <f t="shared" si="27"/>
        <v>374.40000000000146</v>
      </c>
      <c r="T33" s="136">
        <f t="shared" si="5"/>
        <v>4.879371103280028E-2</v>
      </c>
    </row>
    <row r="34" spans="1:20" s="70" customFormat="1">
      <c r="A34" s="155"/>
      <c r="B34" s="55">
        <v>30</v>
      </c>
      <c r="C34" s="116" t="s">
        <v>111</v>
      </c>
      <c r="D34" s="67">
        <v>1</v>
      </c>
      <c r="E34" s="79">
        <f>+E32*2</f>
        <v>8.6660000000000004</v>
      </c>
      <c r="F34" s="121">
        <f t="shared" si="16"/>
        <v>104</v>
      </c>
      <c r="G34" s="118">
        <f>+G33</f>
        <v>324</v>
      </c>
      <c r="H34" s="78">
        <f t="shared" si="25"/>
        <v>33696</v>
      </c>
      <c r="I34" s="54">
        <f>$D$113*H34</f>
        <v>30678.851501124296</v>
      </c>
      <c r="J34" s="128">
        <f>(References!$C$49*I34)</f>
        <v>171.3413856337792</v>
      </c>
      <c r="K34" s="128">
        <f>J34/References!$G$52</f>
        <v>176.40418576524164</v>
      </c>
      <c r="L34" s="113">
        <v>36.89</v>
      </c>
      <c r="M34" s="77">
        <f t="shared" si="26"/>
        <v>1.6961940938965543</v>
      </c>
      <c r="N34" s="146">
        <f t="shared" si="12"/>
        <v>38.590000000000003</v>
      </c>
      <c r="O34" s="149">
        <f t="shared" si="2"/>
        <v>0.1</v>
      </c>
      <c r="P34" s="149">
        <f t="shared" si="18"/>
        <v>38.690000000000005</v>
      </c>
      <c r="Q34" s="128">
        <f t="shared" si="14"/>
        <v>3836.56</v>
      </c>
      <c r="R34" s="128">
        <f t="shared" si="19"/>
        <v>4023.7600000000007</v>
      </c>
      <c r="S34" s="128">
        <f t="shared" si="27"/>
        <v>187.20000000000073</v>
      </c>
      <c r="T34" s="136">
        <f t="shared" si="5"/>
        <v>4.879371103280028E-2</v>
      </c>
    </row>
    <row r="35" spans="1:20" s="70" customFormat="1">
      <c r="A35" s="155"/>
      <c r="B35" s="55">
        <v>30</v>
      </c>
      <c r="C35" s="116" t="s">
        <v>133</v>
      </c>
      <c r="D35" s="67">
        <v>6</v>
      </c>
      <c r="E35" s="79">
        <v>1</v>
      </c>
      <c r="F35" s="121">
        <f t="shared" si="16"/>
        <v>72</v>
      </c>
      <c r="G35" s="118">
        <f>+References!B30</f>
        <v>473</v>
      </c>
      <c r="H35" s="78">
        <f t="shared" si="25"/>
        <v>34056</v>
      </c>
      <c r="I35" s="54">
        <f>$D$113*H35</f>
        <v>31006.617008614943</v>
      </c>
      <c r="J35" s="128">
        <f>(References!$C$49*I35)</f>
        <v>173.17195599311444</v>
      </c>
      <c r="K35" s="128">
        <f>J35/References!$G$52</f>
        <v>178.28884586957111</v>
      </c>
      <c r="L35" s="113">
        <v>52.68</v>
      </c>
      <c r="M35" s="77">
        <f t="shared" si="26"/>
        <v>2.4762339704107097</v>
      </c>
      <c r="N35" s="146">
        <f t="shared" si="12"/>
        <v>55.16</v>
      </c>
      <c r="O35" s="149">
        <f t="shared" si="2"/>
        <v>0.14000000000000001</v>
      </c>
      <c r="P35" s="149">
        <f t="shared" si="18"/>
        <v>55.3</v>
      </c>
      <c r="Q35" s="128">
        <f t="shared" si="14"/>
        <v>3792.96</v>
      </c>
      <c r="R35" s="128">
        <f t="shared" si="19"/>
        <v>3981.6</v>
      </c>
      <c r="S35" s="128">
        <f t="shared" si="27"/>
        <v>188.63999999999987</v>
      </c>
      <c r="T35" s="136">
        <f t="shared" si="5"/>
        <v>4.9734244495064583E-2</v>
      </c>
    </row>
    <row r="36" spans="1:20" s="70" customFormat="1">
      <c r="A36" s="155"/>
      <c r="B36" s="55">
        <v>30</v>
      </c>
      <c r="C36" s="116" t="s">
        <v>134</v>
      </c>
      <c r="D36" s="67">
        <v>5</v>
      </c>
      <c r="E36" s="79">
        <f>+E31</f>
        <v>2.1667000000000001</v>
      </c>
      <c r="F36" s="121">
        <f t="shared" si="16"/>
        <v>130</v>
      </c>
      <c r="G36" s="118">
        <f t="shared" ref="G36:G41" si="28">+G35</f>
        <v>473</v>
      </c>
      <c r="H36" s="78">
        <f t="shared" si="25"/>
        <v>61490</v>
      </c>
      <c r="I36" s="54">
        <f>$D$113*H36</f>
        <v>55984.169598888089</v>
      </c>
      <c r="J36" s="128">
        <f>(References!$C$49*I36)</f>
        <v>312.67158720978995</v>
      </c>
      <c r="K36" s="128">
        <f>J36/References!$G$52</f>
        <v>321.9104161533923</v>
      </c>
      <c r="L36" s="113">
        <v>52.68</v>
      </c>
      <c r="M36" s="77">
        <f t="shared" si="26"/>
        <v>2.4762339704107101</v>
      </c>
      <c r="N36" s="146">
        <f t="shared" si="12"/>
        <v>55.16</v>
      </c>
      <c r="O36" s="149">
        <f t="shared" si="2"/>
        <v>0.14000000000000001</v>
      </c>
      <c r="P36" s="149">
        <f t="shared" si="18"/>
        <v>55.3</v>
      </c>
      <c r="Q36" s="128">
        <f t="shared" si="14"/>
        <v>6848.4</v>
      </c>
      <c r="R36" s="128">
        <f t="shared" si="19"/>
        <v>7189</v>
      </c>
      <c r="S36" s="128">
        <f t="shared" si="27"/>
        <v>340.60000000000036</v>
      </c>
      <c r="T36" s="136">
        <f t="shared" si="5"/>
        <v>4.9734244495064583E-2</v>
      </c>
    </row>
    <row r="37" spans="1:20" s="70" customFormat="1">
      <c r="A37" s="155"/>
      <c r="B37" s="55">
        <v>30</v>
      </c>
      <c r="C37" s="116" t="s">
        <v>112</v>
      </c>
      <c r="D37" s="67">
        <v>21</v>
      </c>
      <c r="E37" s="79">
        <f>+E33</f>
        <v>4.3330000000000002</v>
      </c>
      <c r="F37" s="121">
        <f t="shared" si="16"/>
        <v>1092</v>
      </c>
      <c r="G37" s="118">
        <f t="shared" si="28"/>
        <v>473</v>
      </c>
      <c r="H37" s="78">
        <f t="shared" si="25"/>
        <v>516516</v>
      </c>
      <c r="I37" s="54">
        <f>$D$113*H37</f>
        <v>470267.02463065996</v>
      </c>
      <c r="J37" s="128">
        <f>(References!$C$49*I37)</f>
        <v>2626.4413325622359</v>
      </c>
      <c r="K37" s="128">
        <f>J37/References!$G$52</f>
        <v>2704.0474956884955</v>
      </c>
      <c r="L37" s="113">
        <v>52.68</v>
      </c>
      <c r="M37" s="77">
        <f t="shared" si="26"/>
        <v>2.4762339704107101</v>
      </c>
      <c r="N37" s="146">
        <f t="shared" si="12"/>
        <v>55.16</v>
      </c>
      <c r="O37" s="149">
        <f t="shared" si="2"/>
        <v>0.14000000000000001</v>
      </c>
      <c r="P37" s="149">
        <f t="shared" si="18"/>
        <v>55.3</v>
      </c>
      <c r="Q37" s="128">
        <f t="shared" si="14"/>
        <v>57526.559999999998</v>
      </c>
      <c r="R37" s="128">
        <f t="shared" si="19"/>
        <v>60387.6</v>
      </c>
      <c r="S37" s="128">
        <f t="shared" si="27"/>
        <v>2861.0400000000009</v>
      </c>
      <c r="T37" s="136">
        <f t="shared" si="5"/>
        <v>4.9734244495064583E-2</v>
      </c>
    </row>
    <row r="38" spans="1:20" s="70" customFormat="1">
      <c r="A38" s="155"/>
      <c r="B38" s="55">
        <v>30</v>
      </c>
      <c r="C38" s="116" t="s">
        <v>113</v>
      </c>
      <c r="D38" s="67">
        <v>4</v>
      </c>
      <c r="E38" s="79">
        <f>+E37</f>
        <v>4.3330000000000002</v>
      </c>
      <c r="F38" s="121">
        <f t="shared" si="16"/>
        <v>208</v>
      </c>
      <c r="G38" s="118">
        <f t="shared" si="28"/>
        <v>473</v>
      </c>
      <c r="H38" s="78">
        <f t="shared" si="25"/>
        <v>98384</v>
      </c>
      <c r="I38" s="54">
        <f>$D$113*H38</f>
        <v>89574.671358220949</v>
      </c>
      <c r="J38" s="128">
        <f>(References!$C$49*I38)</f>
        <v>500.27453953566396</v>
      </c>
      <c r="K38" s="128">
        <f>J38/References!$G$52</f>
        <v>515.05666584542769</v>
      </c>
      <c r="L38" s="113">
        <v>52.68</v>
      </c>
      <c r="M38" s="77">
        <f t="shared" si="26"/>
        <v>2.4762339704107101</v>
      </c>
      <c r="N38" s="146">
        <f t="shared" si="12"/>
        <v>55.16</v>
      </c>
      <c r="O38" s="149">
        <f t="shared" si="2"/>
        <v>0.14000000000000001</v>
      </c>
      <c r="P38" s="149">
        <f t="shared" si="18"/>
        <v>55.3</v>
      </c>
      <c r="Q38" s="128">
        <f t="shared" si="14"/>
        <v>10957.44</v>
      </c>
      <c r="R38" s="128">
        <f t="shared" si="19"/>
        <v>11502.4</v>
      </c>
      <c r="S38" s="128">
        <f t="shared" si="27"/>
        <v>544.95999999999913</v>
      </c>
      <c r="T38" s="136">
        <f t="shared" si="5"/>
        <v>4.9734244495064583E-2</v>
      </c>
    </row>
    <row r="39" spans="1:20" s="70" customFormat="1">
      <c r="A39" s="155"/>
      <c r="B39" s="55">
        <v>30</v>
      </c>
      <c r="C39" s="117" t="s">
        <v>114</v>
      </c>
      <c r="D39" s="67">
        <v>6</v>
      </c>
      <c r="E39" s="79">
        <f>+E38</f>
        <v>4.3330000000000002</v>
      </c>
      <c r="F39" s="121">
        <f t="shared" si="16"/>
        <v>312</v>
      </c>
      <c r="G39" s="118">
        <f t="shared" si="28"/>
        <v>473</v>
      </c>
      <c r="H39" s="78">
        <f t="shared" si="25"/>
        <v>147576</v>
      </c>
      <c r="I39" s="54">
        <f>$D$113*H39</f>
        <v>134362.00703733141</v>
      </c>
      <c r="J39" s="128">
        <f>(References!$C$49*I39)</f>
        <v>750.41180930349583</v>
      </c>
      <c r="K39" s="128">
        <f>J39/References!$G$52</f>
        <v>772.58499876814142</v>
      </c>
      <c r="L39" s="113">
        <v>52.68</v>
      </c>
      <c r="M39" s="77">
        <f t="shared" si="26"/>
        <v>2.4762339704107097</v>
      </c>
      <c r="N39" s="146">
        <f t="shared" si="12"/>
        <v>55.16</v>
      </c>
      <c r="O39" s="149">
        <f t="shared" si="2"/>
        <v>0.14000000000000001</v>
      </c>
      <c r="P39" s="149">
        <f t="shared" si="18"/>
        <v>55.3</v>
      </c>
      <c r="Q39" s="128">
        <f t="shared" si="14"/>
        <v>16436.16</v>
      </c>
      <c r="R39" s="128">
        <f t="shared" si="19"/>
        <v>17253.599999999999</v>
      </c>
      <c r="S39" s="128">
        <f t="shared" si="27"/>
        <v>817.43999999999869</v>
      </c>
      <c r="T39" s="136">
        <f t="shared" si="5"/>
        <v>4.9734244495064583E-2</v>
      </c>
    </row>
    <row r="40" spans="1:20" s="70" customFormat="1">
      <c r="A40" s="155"/>
      <c r="B40" s="55">
        <v>30</v>
      </c>
      <c r="C40" s="117" t="s">
        <v>115</v>
      </c>
      <c r="D40" s="67">
        <v>5</v>
      </c>
      <c r="E40" s="79">
        <f>+E39</f>
        <v>4.3330000000000002</v>
      </c>
      <c r="F40" s="121">
        <f t="shared" si="16"/>
        <v>260</v>
      </c>
      <c r="G40" s="118">
        <f t="shared" si="28"/>
        <v>473</v>
      </c>
      <c r="H40" s="78">
        <f t="shared" si="25"/>
        <v>122980</v>
      </c>
      <c r="I40" s="54">
        <f>$D$113*H40</f>
        <v>111968.33919777618</v>
      </c>
      <c r="J40" s="128">
        <f>(References!$C$49*I40)</f>
        <v>625.3431744195799</v>
      </c>
      <c r="K40" s="128">
        <f>J40/References!$G$52</f>
        <v>643.82083230678461</v>
      </c>
      <c r="L40" s="113">
        <v>52.68</v>
      </c>
      <c r="M40" s="77">
        <f t="shared" si="26"/>
        <v>2.4762339704107101</v>
      </c>
      <c r="N40" s="146">
        <f t="shared" si="12"/>
        <v>55.16</v>
      </c>
      <c r="O40" s="149">
        <f t="shared" si="2"/>
        <v>0.14000000000000001</v>
      </c>
      <c r="P40" s="149">
        <f t="shared" si="18"/>
        <v>55.3</v>
      </c>
      <c r="Q40" s="128">
        <f t="shared" si="14"/>
        <v>13696.8</v>
      </c>
      <c r="R40" s="128">
        <f t="shared" si="19"/>
        <v>14378</v>
      </c>
      <c r="S40" s="128">
        <f t="shared" si="27"/>
        <v>681.20000000000073</v>
      </c>
      <c r="T40" s="136">
        <f t="shared" si="5"/>
        <v>4.9734244495064583E-2</v>
      </c>
    </row>
    <row r="41" spans="1:20" s="70" customFormat="1">
      <c r="A41" s="155"/>
      <c r="B41" s="55">
        <v>30</v>
      </c>
      <c r="C41" s="117" t="s">
        <v>135</v>
      </c>
      <c r="D41" s="67">
        <v>6</v>
      </c>
      <c r="E41" s="79">
        <f>+E40</f>
        <v>4.3330000000000002</v>
      </c>
      <c r="F41" s="121">
        <f t="shared" si="16"/>
        <v>312</v>
      </c>
      <c r="G41" s="118">
        <f t="shared" si="28"/>
        <v>473</v>
      </c>
      <c r="H41" s="78">
        <f t="shared" si="25"/>
        <v>147576</v>
      </c>
      <c r="I41" s="54">
        <f>$D$113*H41</f>
        <v>134362.00703733141</v>
      </c>
      <c r="J41" s="128">
        <f>(References!$C$49*I41)</f>
        <v>750.41180930349583</v>
      </c>
      <c r="K41" s="128">
        <f>J41/References!$G$52</f>
        <v>772.58499876814142</v>
      </c>
      <c r="L41" s="113">
        <v>52.68</v>
      </c>
      <c r="M41" s="77">
        <f t="shared" si="26"/>
        <v>2.4762339704107097</v>
      </c>
      <c r="N41" s="146">
        <f t="shared" si="12"/>
        <v>55.16</v>
      </c>
      <c r="O41" s="149">
        <f t="shared" si="2"/>
        <v>0.14000000000000001</v>
      </c>
      <c r="P41" s="149">
        <f t="shared" si="18"/>
        <v>55.3</v>
      </c>
      <c r="Q41" s="128">
        <f t="shared" si="14"/>
        <v>16436.16</v>
      </c>
      <c r="R41" s="128">
        <f t="shared" si="19"/>
        <v>17253.599999999999</v>
      </c>
      <c r="S41" s="128">
        <f t="shared" si="27"/>
        <v>817.43999999999869</v>
      </c>
      <c r="T41" s="136">
        <f t="shared" si="5"/>
        <v>4.9734244495064583E-2</v>
      </c>
    </row>
    <row r="42" spans="1:20" s="70" customFormat="1">
      <c r="A42" s="155"/>
      <c r="B42" s="55">
        <v>30</v>
      </c>
      <c r="C42" s="116" t="s">
        <v>136</v>
      </c>
      <c r="D42" s="67">
        <v>1</v>
      </c>
      <c r="E42" s="79">
        <v>1</v>
      </c>
      <c r="F42" s="121">
        <f t="shared" si="16"/>
        <v>12</v>
      </c>
      <c r="G42" s="118">
        <f>+References!B31</f>
        <v>613</v>
      </c>
      <c r="H42" s="78">
        <f t="shared" si="25"/>
        <v>7356</v>
      </c>
      <c r="I42" s="54">
        <f>$D$113*H42</f>
        <v>6697.3418697254965</v>
      </c>
      <c r="J42" s="128">
        <f>(References!$C$49*I42)</f>
        <v>37.404654342416897</v>
      </c>
      <c r="K42" s="128">
        <f>J42/References!$G$52</f>
        <v>38.509888131799542</v>
      </c>
      <c r="L42" s="113">
        <v>66.3</v>
      </c>
      <c r="M42" s="77">
        <f t="shared" si="26"/>
        <v>3.2091573443166284</v>
      </c>
      <c r="N42" s="146">
        <f t="shared" si="12"/>
        <v>69.510000000000005</v>
      </c>
      <c r="O42" s="149">
        <f t="shared" si="2"/>
        <v>0.17</v>
      </c>
      <c r="P42" s="149">
        <f t="shared" si="18"/>
        <v>69.680000000000007</v>
      </c>
      <c r="Q42" s="128">
        <f t="shared" si="14"/>
        <v>795.59999999999991</v>
      </c>
      <c r="R42" s="128">
        <f t="shared" si="19"/>
        <v>836.16000000000008</v>
      </c>
      <c r="S42" s="128">
        <f t="shared" si="27"/>
        <v>40.560000000000173</v>
      </c>
      <c r="T42" s="136">
        <f t="shared" si="5"/>
        <v>5.0980392156862786E-2</v>
      </c>
    </row>
    <row r="43" spans="1:20" s="70" customFormat="1">
      <c r="A43" s="155"/>
      <c r="B43" s="55">
        <v>30</v>
      </c>
      <c r="C43" s="116" t="s">
        <v>137</v>
      </c>
      <c r="D43" s="67">
        <v>5</v>
      </c>
      <c r="E43" s="79">
        <f>+E36</f>
        <v>2.1667000000000001</v>
      </c>
      <c r="F43" s="121">
        <f t="shared" si="16"/>
        <v>130</v>
      </c>
      <c r="G43" s="118">
        <f>+G42</f>
        <v>613</v>
      </c>
      <c r="H43" s="78">
        <f t="shared" si="25"/>
        <v>79690</v>
      </c>
      <c r="I43" s="54">
        <f>$D$113*H43</f>
        <v>72554.536922026207</v>
      </c>
      <c r="J43" s="128">
        <f>(References!$C$49*I43)</f>
        <v>405.21708870951636</v>
      </c>
      <c r="K43" s="128">
        <f>J43/References!$G$52</f>
        <v>417.19045476116167</v>
      </c>
      <c r="L43" s="113">
        <v>66.3</v>
      </c>
      <c r="M43" s="77">
        <f t="shared" si="26"/>
        <v>3.2091573443166284</v>
      </c>
      <c r="N43" s="146">
        <f t="shared" si="12"/>
        <v>69.510000000000005</v>
      </c>
      <c r="O43" s="149">
        <f t="shared" si="2"/>
        <v>0.17</v>
      </c>
      <c r="P43" s="149">
        <f t="shared" si="18"/>
        <v>69.680000000000007</v>
      </c>
      <c r="Q43" s="128">
        <f t="shared" si="14"/>
        <v>8619</v>
      </c>
      <c r="R43" s="128">
        <f t="shared" si="19"/>
        <v>9058.4000000000015</v>
      </c>
      <c r="S43" s="128">
        <f t="shared" si="27"/>
        <v>439.40000000000146</v>
      </c>
      <c r="T43" s="136">
        <f t="shared" si="5"/>
        <v>5.0980392156862786E-2</v>
      </c>
    </row>
    <row r="44" spans="1:20" s="70" customFormat="1">
      <c r="A44" s="155"/>
      <c r="B44" s="55">
        <v>30</v>
      </c>
      <c r="C44" s="116" t="s">
        <v>116</v>
      </c>
      <c r="D44" s="67">
        <v>21</v>
      </c>
      <c r="E44" s="79">
        <f>+E41</f>
        <v>4.3330000000000002</v>
      </c>
      <c r="F44" s="121">
        <f t="shared" si="16"/>
        <v>1092</v>
      </c>
      <c r="G44" s="118">
        <f>+G43</f>
        <v>613</v>
      </c>
      <c r="H44" s="78">
        <f t="shared" si="25"/>
        <v>669396</v>
      </c>
      <c r="I44" s="54">
        <f>$D$113*H44</f>
        <v>609458.11014502018</v>
      </c>
      <c r="J44" s="128">
        <f>(References!$C$49*I44)</f>
        <v>3403.8235451599376</v>
      </c>
      <c r="K44" s="128">
        <f>J44/References!$G$52</f>
        <v>3504.3998199937582</v>
      </c>
      <c r="L44" s="113">
        <v>66.3</v>
      </c>
      <c r="M44" s="77">
        <f t="shared" si="26"/>
        <v>3.2091573443166284</v>
      </c>
      <c r="N44" s="146">
        <f t="shared" si="12"/>
        <v>69.510000000000005</v>
      </c>
      <c r="O44" s="149">
        <f t="shared" si="2"/>
        <v>0.17</v>
      </c>
      <c r="P44" s="149">
        <f t="shared" si="18"/>
        <v>69.680000000000007</v>
      </c>
      <c r="Q44" s="128">
        <f t="shared" si="14"/>
        <v>72399.599999999991</v>
      </c>
      <c r="R44" s="128">
        <f t="shared" si="19"/>
        <v>76090.560000000012</v>
      </c>
      <c r="S44" s="128">
        <f t="shared" si="27"/>
        <v>3690.960000000021</v>
      </c>
      <c r="T44" s="136">
        <f t="shared" si="5"/>
        <v>5.0980392156862786E-2</v>
      </c>
    </row>
    <row r="45" spans="1:20" s="70" customFormat="1">
      <c r="A45" s="155"/>
      <c r="B45" s="55">
        <v>30</v>
      </c>
      <c r="C45" s="116" t="s">
        <v>117</v>
      </c>
      <c r="D45" s="67">
        <v>4</v>
      </c>
      <c r="E45" s="79">
        <f>+E44</f>
        <v>4.3330000000000002</v>
      </c>
      <c r="F45" s="121">
        <f t="shared" si="16"/>
        <v>208</v>
      </c>
      <c r="G45" s="118">
        <f>+G44</f>
        <v>613</v>
      </c>
      <c r="H45" s="78">
        <f t="shared" si="25"/>
        <v>127504</v>
      </c>
      <c r="I45" s="54">
        <f>$D$113*H45</f>
        <v>116087.25907524193</v>
      </c>
      <c r="J45" s="128">
        <f>(References!$C$49*I45)</f>
        <v>648.34734193522615</v>
      </c>
      <c r="K45" s="128">
        <f>J45/References!$G$52</f>
        <v>667.50472761785863</v>
      </c>
      <c r="L45" s="113">
        <v>66.3</v>
      </c>
      <c r="M45" s="77">
        <f t="shared" si="26"/>
        <v>3.2091573443166279</v>
      </c>
      <c r="N45" s="146">
        <f t="shared" si="12"/>
        <v>69.510000000000005</v>
      </c>
      <c r="O45" s="149">
        <f t="shared" si="2"/>
        <v>0.17</v>
      </c>
      <c r="P45" s="149">
        <f t="shared" si="18"/>
        <v>69.680000000000007</v>
      </c>
      <c r="Q45" s="128">
        <f t="shared" si="14"/>
        <v>13790.4</v>
      </c>
      <c r="R45" s="128">
        <f t="shared" si="19"/>
        <v>14493.440000000002</v>
      </c>
      <c r="S45" s="128">
        <f t="shared" si="27"/>
        <v>703.04000000000269</v>
      </c>
      <c r="T45" s="136">
        <f t="shared" si="5"/>
        <v>5.0980392156862786E-2</v>
      </c>
    </row>
    <row r="46" spans="1:20" s="70" customFormat="1">
      <c r="A46" s="155"/>
      <c r="B46" s="55">
        <v>30</v>
      </c>
      <c r="C46" s="116" t="s">
        <v>138</v>
      </c>
      <c r="D46" s="67">
        <v>4</v>
      </c>
      <c r="E46" s="79">
        <f>+E45*2</f>
        <v>8.6660000000000004</v>
      </c>
      <c r="F46" s="121">
        <f t="shared" si="16"/>
        <v>416</v>
      </c>
      <c r="G46" s="118">
        <f>+G45</f>
        <v>613</v>
      </c>
      <c r="H46" s="78">
        <f t="shared" si="25"/>
        <v>255008</v>
      </c>
      <c r="I46" s="54">
        <f>$D$113*H46</f>
        <v>232174.51815048387</v>
      </c>
      <c r="J46" s="128">
        <f>(References!$C$49*I46)</f>
        <v>1296.6946838704523</v>
      </c>
      <c r="K46" s="128">
        <f>J46/References!$G$52</f>
        <v>1335.0094552357173</v>
      </c>
      <c r="L46" s="113">
        <v>66.3</v>
      </c>
      <c r="M46" s="77">
        <f t="shared" si="26"/>
        <v>3.2091573443166279</v>
      </c>
      <c r="N46" s="146">
        <f t="shared" si="12"/>
        <v>69.510000000000005</v>
      </c>
      <c r="O46" s="149">
        <f t="shared" si="2"/>
        <v>0.17</v>
      </c>
      <c r="P46" s="149">
        <f t="shared" si="18"/>
        <v>69.680000000000007</v>
      </c>
      <c r="Q46" s="128">
        <f t="shared" si="14"/>
        <v>27580.799999999999</v>
      </c>
      <c r="R46" s="128">
        <f t="shared" si="19"/>
        <v>28986.880000000005</v>
      </c>
      <c r="S46" s="128">
        <f t="shared" si="27"/>
        <v>1406.0800000000054</v>
      </c>
      <c r="T46" s="136">
        <f t="shared" si="5"/>
        <v>5.0980392156862786E-2</v>
      </c>
    </row>
    <row r="47" spans="1:20" s="70" customFormat="1">
      <c r="A47" s="155"/>
      <c r="B47" s="55">
        <v>30</v>
      </c>
      <c r="C47" s="116" t="s">
        <v>118</v>
      </c>
      <c r="D47" s="67">
        <v>13</v>
      </c>
      <c r="E47" s="79">
        <f>+E45</f>
        <v>4.3330000000000002</v>
      </c>
      <c r="F47" s="121">
        <f t="shared" si="16"/>
        <v>676</v>
      </c>
      <c r="G47" s="118">
        <f>+References!B32</f>
        <v>840</v>
      </c>
      <c r="H47" s="78">
        <f t="shared" si="25"/>
        <v>567840</v>
      </c>
      <c r="I47" s="54">
        <f>$D$113*H47</f>
        <v>516995.46048190945</v>
      </c>
      <c r="J47" s="128">
        <f>(References!$C$49*I47)</f>
        <v>2887.4196467914639</v>
      </c>
      <c r="K47" s="128">
        <f>J47/References!$G$52</f>
        <v>2972.7372045624047</v>
      </c>
      <c r="L47" s="113">
        <v>92.91</v>
      </c>
      <c r="M47" s="77">
        <f t="shared" si="26"/>
        <v>4.3975402434355102</v>
      </c>
      <c r="N47" s="146">
        <f t="shared" si="12"/>
        <v>97.31</v>
      </c>
      <c r="O47" s="149">
        <f t="shared" si="2"/>
        <v>0.24</v>
      </c>
      <c r="P47" s="149">
        <f t="shared" si="18"/>
        <v>97.55</v>
      </c>
      <c r="Q47" s="128">
        <f t="shared" si="14"/>
        <v>62807.159999999996</v>
      </c>
      <c r="R47" s="128">
        <f t="shared" si="19"/>
        <v>65943.8</v>
      </c>
      <c r="S47" s="128">
        <f t="shared" si="27"/>
        <v>3136.6400000000067</v>
      </c>
      <c r="T47" s="136">
        <f t="shared" si="5"/>
        <v>4.9940802927564309E-2</v>
      </c>
    </row>
    <row r="48" spans="1:20" s="70" customFormat="1">
      <c r="A48" s="155"/>
      <c r="B48" s="55">
        <v>30</v>
      </c>
      <c r="C48" s="116" t="s">
        <v>139</v>
      </c>
      <c r="D48" s="67">
        <v>2</v>
      </c>
      <c r="E48" s="79">
        <f>+E46</f>
        <v>8.6660000000000004</v>
      </c>
      <c r="F48" s="121">
        <f t="shared" si="16"/>
        <v>208</v>
      </c>
      <c r="G48" s="118">
        <f>+G47</f>
        <v>840</v>
      </c>
      <c r="H48" s="78">
        <f t="shared" si="25"/>
        <v>174720</v>
      </c>
      <c r="I48" s="54">
        <f>$D$113*H48</f>
        <v>159075.52630212597</v>
      </c>
      <c r="J48" s="128">
        <f>(References!$C$49*I48)</f>
        <v>888.4368143973735</v>
      </c>
      <c r="K48" s="128">
        <f>J48/References!$G$52</f>
        <v>914.68837063458602</v>
      </c>
      <c r="L48" s="113">
        <v>92.91</v>
      </c>
      <c r="M48" s="77">
        <f t="shared" si="26"/>
        <v>4.3975402434355093</v>
      </c>
      <c r="N48" s="146">
        <f t="shared" si="12"/>
        <v>97.31</v>
      </c>
      <c r="O48" s="149">
        <f t="shared" si="2"/>
        <v>0.24</v>
      </c>
      <c r="P48" s="149">
        <f t="shared" si="18"/>
        <v>97.55</v>
      </c>
      <c r="Q48" s="128">
        <f t="shared" si="14"/>
        <v>19325.28</v>
      </c>
      <c r="R48" s="128">
        <f t="shared" si="19"/>
        <v>20290.399999999998</v>
      </c>
      <c r="S48" s="128">
        <f t="shared" si="27"/>
        <v>965.11999999999898</v>
      </c>
      <c r="T48" s="136">
        <f t="shared" si="5"/>
        <v>4.9940802927564309E-2</v>
      </c>
    </row>
    <row r="49" spans="1:25" s="70" customFormat="1">
      <c r="A49" s="155"/>
      <c r="B49" s="55">
        <v>30</v>
      </c>
      <c r="C49" s="116" t="s">
        <v>119</v>
      </c>
      <c r="D49" s="67">
        <v>14</v>
      </c>
      <c r="E49" s="79">
        <f>+E47</f>
        <v>4.3330000000000002</v>
      </c>
      <c r="F49" s="121">
        <f t="shared" si="16"/>
        <v>728</v>
      </c>
      <c r="G49" s="118">
        <f>+G48</f>
        <v>840</v>
      </c>
      <c r="H49" s="78">
        <f t="shared" si="25"/>
        <v>611520</v>
      </c>
      <c r="I49" s="54">
        <f>$D$113*H49</f>
        <v>556764.3420574409</v>
      </c>
      <c r="J49" s="128">
        <f>(References!$C$49*I49)</f>
        <v>3109.5288503908073</v>
      </c>
      <c r="K49" s="128">
        <f>J49/References!$G$52</f>
        <v>3201.4092972210515</v>
      </c>
      <c r="L49" s="113">
        <v>92.91</v>
      </c>
      <c r="M49" s="77">
        <f t="shared" si="26"/>
        <v>4.3975402434355102</v>
      </c>
      <c r="N49" s="146">
        <f t="shared" si="12"/>
        <v>97.31</v>
      </c>
      <c r="O49" s="149">
        <f t="shared" si="2"/>
        <v>0.24</v>
      </c>
      <c r="P49" s="149">
        <f t="shared" si="18"/>
        <v>97.55</v>
      </c>
      <c r="Q49" s="128">
        <f t="shared" si="14"/>
        <v>67638.48</v>
      </c>
      <c r="R49" s="128">
        <f t="shared" si="19"/>
        <v>71016.399999999994</v>
      </c>
      <c r="S49" s="128">
        <f t="shared" si="27"/>
        <v>3377.9199999999983</v>
      </c>
      <c r="T49" s="136">
        <f t="shared" si="5"/>
        <v>4.9940802927564309E-2</v>
      </c>
    </row>
    <row r="50" spans="1:25" s="70" customFormat="1">
      <c r="A50" s="155"/>
      <c r="B50" s="55">
        <v>30</v>
      </c>
      <c r="C50" s="117" t="s">
        <v>120</v>
      </c>
      <c r="D50" s="67">
        <v>3</v>
      </c>
      <c r="E50" s="79">
        <f>+E49</f>
        <v>4.3330000000000002</v>
      </c>
      <c r="F50" s="121">
        <f t="shared" si="16"/>
        <v>156</v>
      </c>
      <c r="G50" s="118">
        <f>+G49</f>
        <v>840</v>
      </c>
      <c r="H50" s="78">
        <f t="shared" si="25"/>
        <v>131040</v>
      </c>
      <c r="I50" s="54">
        <f>$D$113*H50</f>
        <v>119306.64472659449</v>
      </c>
      <c r="J50" s="128">
        <f>(References!$C$49*I50)</f>
        <v>666.32761079803015</v>
      </c>
      <c r="K50" s="128">
        <f>J50/References!$G$52</f>
        <v>686.0162779759396</v>
      </c>
      <c r="L50" s="113">
        <v>92.91</v>
      </c>
      <c r="M50" s="77">
        <f t="shared" si="26"/>
        <v>4.3975402434355102</v>
      </c>
      <c r="N50" s="146">
        <f t="shared" si="12"/>
        <v>97.31</v>
      </c>
      <c r="O50" s="149">
        <f t="shared" si="2"/>
        <v>0.24</v>
      </c>
      <c r="P50" s="149">
        <f t="shared" si="18"/>
        <v>97.55</v>
      </c>
      <c r="Q50" s="128">
        <f t="shared" si="14"/>
        <v>14493.96</v>
      </c>
      <c r="R50" s="128">
        <f t="shared" si="19"/>
        <v>15217.8</v>
      </c>
      <c r="S50" s="128">
        <f t="shared" si="27"/>
        <v>723.84000000000015</v>
      </c>
      <c r="T50" s="136">
        <f t="shared" si="5"/>
        <v>4.9940802927564309E-2</v>
      </c>
    </row>
    <row r="51" spans="1:25" s="70" customFormat="1">
      <c r="A51" s="155"/>
      <c r="B51" s="55">
        <v>30</v>
      </c>
      <c r="C51" s="116" t="s">
        <v>140</v>
      </c>
      <c r="D51" s="67">
        <v>2</v>
      </c>
      <c r="E51" s="79">
        <v>1</v>
      </c>
      <c r="F51" s="121">
        <f t="shared" si="16"/>
        <v>24</v>
      </c>
      <c r="G51" s="118">
        <f>+References!B33</f>
        <v>980</v>
      </c>
      <c r="H51" s="78">
        <f t="shared" si="25"/>
        <v>23520</v>
      </c>
      <c r="I51" s="54">
        <f>$D$113*H51</f>
        <v>21414.013156055422</v>
      </c>
      <c r="J51" s="128">
        <f>(References!$C$49*I51)</f>
        <v>119.59726347656952</v>
      </c>
      <c r="K51" s="128">
        <f>J51/References!$G$52</f>
        <v>123.1311268161943</v>
      </c>
      <c r="L51" s="113">
        <v>115.6</v>
      </c>
      <c r="M51" s="77">
        <f t="shared" si="26"/>
        <v>5.1304636173414293</v>
      </c>
      <c r="N51" s="146">
        <v>146.5</v>
      </c>
      <c r="O51" s="149">
        <f t="shared" si="2"/>
        <v>0.37</v>
      </c>
      <c r="P51" s="149">
        <f t="shared" si="18"/>
        <v>146.87</v>
      </c>
      <c r="Q51" s="128">
        <f t="shared" si="14"/>
        <v>2774.3999999999996</v>
      </c>
      <c r="R51" s="128">
        <f t="shared" si="19"/>
        <v>3524.88</v>
      </c>
      <c r="S51" s="128">
        <f t="shared" si="27"/>
        <v>750.48000000000047</v>
      </c>
      <c r="T51" s="136">
        <f t="shared" si="5"/>
        <v>0.2705017301038064</v>
      </c>
      <c r="V51" s="70">
        <v>139.79</v>
      </c>
      <c r="W51" s="77">
        <f>+V51*1.048</f>
        <v>146.49992</v>
      </c>
    </row>
    <row r="52" spans="1:25" s="70" customFormat="1">
      <c r="A52" s="155"/>
      <c r="B52" s="55">
        <v>30</v>
      </c>
      <c r="C52" s="116" t="s">
        <v>141</v>
      </c>
      <c r="D52" s="67">
        <v>2</v>
      </c>
      <c r="E52" s="79">
        <f>+E43</f>
        <v>2.1667000000000001</v>
      </c>
      <c r="F52" s="121">
        <f t="shared" si="16"/>
        <v>52</v>
      </c>
      <c r="G52" s="118">
        <f>+G51</f>
        <v>980</v>
      </c>
      <c r="H52" s="78">
        <f t="shared" si="25"/>
        <v>50960</v>
      </c>
      <c r="I52" s="54">
        <f>$D$113*H52</f>
        <v>46397.028504786744</v>
      </c>
      <c r="J52" s="128">
        <f>(References!$C$49*I52)</f>
        <v>259.12740419923392</v>
      </c>
      <c r="K52" s="128">
        <f>J52/References!$G$52</f>
        <v>266.78410810175427</v>
      </c>
      <c r="L52" s="113">
        <v>115.6</v>
      </c>
      <c r="M52" s="77">
        <f t="shared" si="26"/>
        <v>5.1304636173414284</v>
      </c>
      <c r="N52" s="146">
        <f t="shared" si="12"/>
        <v>120.73</v>
      </c>
      <c r="O52" s="149">
        <f t="shared" si="2"/>
        <v>0.3</v>
      </c>
      <c r="P52" s="149">
        <f t="shared" si="18"/>
        <v>121.03</v>
      </c>
      <c r="Q52" s="128">
        <f t="shared" si="14"/>
        <v>6011.2</v>
      </c>
      <c r="R52" s="128">
        <f t="shared" si="19"/>
        <v>6293.56</v>
      </c>
      <c r="S52" s="128">
        <f t="shared" si="27"/>
        <v>282.36000000000058</v>
      </c>
      <c r="T52" s="136">
        <f t="shared" si="5"/>
        <v>4.6972318339100427E-2</v>
      </c>
      <c r="V52" s="70">
        <v>142.49</v>
      </c>
      <c r="W52" s="77">
        <f>+V52*1.048</f>
        <v>149.32952</v>
      </c>
    </row>
    <row r="53" spans="1:25" s="70" customFormat="1">
      <c r="A53" s="155"/>
      <c r="B53" s="55">
        <v>30</v>
      </c>
      <c r="C53" s="116" t="s">
        <v>121</v>
      </c>
      <c r="D53" s="67">
        <v>4</v>
      </c>
      <c r="E53" s="79">
        <f>+E50</f>
        <v>4.3330000000000002</v>
      </c>
      <c r="F53" s="121">
        <f t="shared" si="16"/>
        <v>208</v>
      </c>
      <c r="G53" s="118">
        <f>+G52</f>
        <v>980</v>
      </c>
      <c r="H53" s="78">
        <f t="shared" si="25"/>
        <v>203840</v>
      </c>
      <c r="I53" s="54">
        <f>$D$113*H53</f>
        <v>185588.11401914697</v>
      </c>
      <c r="J53" s="128">
        <f>(References!$C$49*I53)</f>
        <v>1036.5096167969357</v>
      </c>
      <c r="K53" s="128">
        <f>J53/References!$G$52</f>
        <v>1067.1364324070171</v>
      </c>
      <c r="L53" s="113">
        <v>115.6</v>
      </c>
      <c r="M53" s="77">
        <f t="shared" si="26"/>
        <v>5.1304636173414284</v>
      </c>
      <c r="N53" s="146">
        <f t="shared" si="12"/>
        <v>120.73</v>
      </c>
      <c r="O53" s="149">
        <f t="shared" si="2"/>
        <v>0.3</v>
      </c>
      <c r="P53" s="149">
        <f t="shared" si="18"/>
        <v>121.03</v>
      </c>
      <c r="Q53" s="128">
        <f t="shared" si="14"/>
        <v>24044.799999999999</v>
      </c>
      <c r="R53" s="128">
        <f t="shared" si="19"/>
        <v>25174.240000000002</v>
      </c>
      <c r="S53" s="128">
        <f t="shared" si="27"/>
        <v>1129.4400000000023</v>
      </c>
      <c r="T53" s="136">
        <f t="shared" si="5"/>
        <v>4.6972318339100427E-2</v>
      </c>
    </row>
    <row r="54" spans="1:25" s="70" customFormat="1">
      <c r="A54" s="155"/>
      <c r="B54" s="55">
        <v>30</v>
      </c>
      <c r="C54" s="116" t="s">
        <v>122</v>
      </c>
      <c r="D54" s="67">
        <v>2</v>
      </c>
      <c r="E54" s="79">
        <f>+E48</f>
        <v>8.6660000000000004</v>
      </c>
      <c r="F54" s="121">
        <f t="shared" si="16"/>
        <v>208</v>
      </c>
      <c r="G54" s="118">
        <f>+G53</f>
        <v>980</v>
      </c>
      <c r="H54" s="78">
        <f t="shared" si="25"/>
        <v>203840</v>
      </c>
      <c r="I54" s="54">
        <f>$D$113*H54</f>
        <v>185588.11401914697</v>
      </c>
      <c r="J54" s="128">
        <f>(References!$C$49*I54)</f>
        <v>1036.5096167969357</v>
      </c>
      <c r="K54" s="128">
        <f>J54/References!$G$52</f>
        <v>1067.1364324070171</v>
      </c>
      <c r="L54" s="113">
        <v>115.6</v>
      </c>
      <c r="M54" s="77">
        <f t="shared" si="26"/>
        <v>5.1304636173414284</v>
      </c>
      <c r="N54" s="146">
        <f t="shared" si="12"/>
        <v>120.73</v>
      </c>
      <c r="O54" s="149">
        <f t="shared" si="2"/>
        <v>0.3</v>
      </c>
      <c r="P54" s="149">
        <f t="shared" si="18"/>
        <v>121.03</v>
      </c>
      <c r="Q54" s="128">
        <f t="shared" si="14"/>
        <v>24044.799999999999</v>
      </c>
      <c r="R54" s="128">
        <f t="shared" si="19"/>
        <v>25174.240000000002</v>
      </c>
      <c r="S54" s="128">
        <f t="shared" si="27"/>
        <v>1129.4400000000023</v>
      </c>
      <c r="T54" s="136">
        <f t="shared" si="5"/>
        <v>4.6972318339100427E-2</v>
      </c>
    </row>
    <row r="55" spans="1:25" s="70" customFormat="1">
      <c r="A55" s="155"/>
      <c r="B55" s="55">
        <v>33</v>
      </c>
      <c r="C55" s="116" t="s">
        <v>166</v>
      </c>
      <c r="D55" s="67">
        <v>0.1</v>
      </c>
      <c r="E55" s="79">
        <v>4.3330000000000002</v>
      </c>
      <c r="F55" s="121">
        <f t="shared" ref="F55:F56" si="29">ROUND(+E55*D55*12,0)</f>
        <v>5</v>
      </c>
      <c r="G55" s="118">
        <f>+References!B38</f>
        <v>1686</v>
      </c>
      <c r="H55" s="78">
        <f t="shared" ref="H55:H56" si="30">F55*G55</f>
        <v>8430</v>
      </c>
      <c r="I55" s="54">
        <f t="shared" ref="I55:I56" si="31">$D$113*H55</f>
        <v>7675.1756337392517</v>
      </c>
      <c r="J55" s="128">
        <f>(References!$C$49*I55)</f>
        <v>42.865855914433716</v>
      </c>
      <c r="K55" s="128">
        <f>J55/References!$G$52</f>
        <v>44.132457443049226</v>
      </c>
      <c r="L55" s="113">
        <v>139.79</v>
      </c>
      <c r="M55" s="77">
        <f t="shared" ref="M55:M56" si="32">K55/F55</f>
        <v>8.8264914886098449</v>
      </c>
      <c r="N55" s="146">
        <f t="shared" ref="N55:N56" si="33">ROUND(M55+L55,2)</f>
        <v>148.62</v>
      </c>
      <c r="O55" s="149">
        <f t="shared" ref="O55:O56" si="34">ROUND(+N55*$O$1,2)</f>
        <v>0.37</v>
      </c>
      <c r="P55" s="149">
        <f t="shared" ref="P55:P56" si="35">+O55+N55</f>
        <v>148.99</v>
      </c>
      <c r="Q55" s="128">
        <f t="shared" ref="Q55:Q56" si="36">F55*L55</f>
        <v>698.94999999999993</v>
      </c>
      <c r="R55" s="128">
        <f t="shared" ref="R55:R56" si="37">+F55*P55</f>
        <v>744.95</v>
      </c>
      <c r="S55" s="128">
        <f t="shared" ref="S55:S56" si="38">R55-Q55</f>
        <v>46.000000000000114</v>
      </c>
      <c r="T55" s="136">
        <f t="shared" ref="T55:T56" si="39">+P55/L55-1</f>
        <v>6.5813005222119081E-2</v>
      </c>
    </row>
    <row r="56" spans="1:25" s="70" customFormat="1">
      <c r="A56" s="155"/>
      <c r="B56" s="55">
        <v>33</v>
      </c>
      <c r="C56" s="116" t="s">
        <v>167</v>
      </c>
      <c r="D56" s="67">
        <v>0.1</v>
      </c>
      <c r="E56" s="79">
        <v>4.3330000000000002</v>
      </c>
      <c r="F56" s="121">
        <f t="shared" si="29"/>
        <v>5</v>
      </c>
      <c r="G56" s="118">
        <f>+References!B40</f>
        <v>2310</v>
      </c>
      <c r="H56" s="78">
        <f t="shared" si="30"/>
        <v>11550</v>
      </c>
      <c r="I56" s="54">
        <f t="shared" si="31"/>
        <v>10515.810031991501</v>
      </c>
      <c r="J56" s="128">
        <f>(References!$C$49*I56)</f>
        <v>58.730799028672529</v>
      </c>
      <c r="K56" s="128">
        <f>J56/References!$G$52</f>
        <v>60.466178347238262</v>
      </c>
      <c r="L56" s="113">
        <v>196.1</v>
      </c>
      <c r="M56" s="77">
        <f t="shared" si="32"/>
        <v>12.093235669447653</v>
      </c>
      <c r="N56" s="146">
        <f t="shared" si="33"/>
        <v>208.19</v>
      </c>
      <c r="O56" s="149">
        <f t="shared" si="34"/>
        <v>0.52</v>
      </c>
      <c r="P56" s="149">
        <f t="shared" si="35"/>
        <v>208.71</v>
      </c>
      <c r="Q56" s="128">
        <f t="shared" si="36"/>
        <v>980.5</v>
      </c>
      <c r="R56" s="128">
        <f t="shared" si="37"/>
        <v>1043.55</v>
      </c>
      <c r="S56" s="128">
        <f t="shared" si="38"/>
        <v>63.049999999999955</v>
      </c>
      <c r="T56" s="136">
        <f t="shared" si="39"/>
        <v>6.4303926568077596E-2</v>
      </c>
    </row>
    <row r="57" spans="1:25" s="70" customFormat="1">
      <c r="A57" s="155"/>
      <c r="B57" s="55">
        <v>24</v>
      </c>
      <c r="C57" s="116" t="s">
        <v>123</v>
      </c>
      <c r="D57" s="67">
        <v>9</v>
      </c>
      <c r="E57" s="79">
        <v>1</v>
      </c>
      <c r="F57" s="121">
        <f t="shared" si="16"/>
        <v>108</v>
      </c>
      <c r="G57" s="118">
        <f>+References!B42</f>
        <v>125</v>
      </c>
      <c r="H57" s="78">
        <f t="shared" si="25"/>
        <v>13500</v>
      </c>
      <c r="I57" s="54">
        <f>$D$113*H57</f>
        <v>12291.206530899157</v>
      </c>
      <c r="J57" s="128">
        <f>(References!$C$49*I57)</f>
        <v>68.646388475071788</v>
      </c>
      <c r="K57" s="128">
        <f>J57/References!$G$52</f>
        <v>70.674753912356408</v>
      </c>
      <c r="L57" s="113">
        <v>22.6</v>
      </c>
      <c r="M57" s="77">
        <f t="shared" si="26"/>
        <v>0.65439586955885565</v>
      </c>
      <c r="N57" s="146">
        <f t="shared" si="12"/>
        <v>23.25</v>
      </c>
      <c r="O57" s="149">
        <f t="shared" si="2"/>
        <v>0.06</v>
      </c>
      <c r="P57" s="149">
        <f t="shared" si="18"/>
        <v>23.31</v>
      </c>
      <c r="Q57" s="128">
        <f t="shared" si="14"/>
        <v>2440.8000000000002</v>
      </c>
      <c r="R57" s="128">
        <f t="shared" si="19"/>
        <v>2517.48</v>
      </c>
      <c r="S57" s="128">
        <f t="shared" si="27"/>
        <v>76.679999999999836</v>
      </c>
      <c r="T57" s="136">
        <f t="shared" si="5"/>
        <v>3.1415929203539639E-2</v>
      </c>
    </row>
    <row r="58" spans="1:25" s="70" customFormat="1">
      <c r="A58" s="58"/>
      <c r="B58" s="56"/>
      <c r="C58" s="60" t="s">
        <v>15</v>
      </c>
      <c r="D58" s="61">
        <f>SUM(D19:D57)</f>
        <v>321.20000000000005</v>
      </c>
      <c r="E58" s="61"/>
      <c r="F58" s="61">
        <f>SUM(F19:F57)</f>
        <v>15072</v>
      </c>
      <c r="G58" s="61"/>
      <c r="H58" s="61">
        <f>SUM(H19:H57)</f>
        <v>5928330</v>
      </c>
      <c r="I58" s="65">
        <f>SUM(I19:I57)</f>
        <v>5397505.8083944758</v>
      </c>
      <c r="J58" s="129">
        <f>SUM(J19:J57)</f>
        <v>30145.069939883138</v>
      </c>
      <c r="K58" s="129">
        <f>SUM(K19:K57)</f>
        <v>31035.797323054812</v>
      </c>
      <c r="L58" s="83"/>
      <c r="M58" s="83"/>
      <c r="N58" s="83"/>
      <c r="O58" s="83"/>
      <c r="P58" s="83"/>
      <c r="Q58" s="129">
        <f>SUM(Q19:Q57)</f>
        <v>686492.22999999986</v>
      </c>
      <c r="R58" s="83">
        <f>SUM(R19:R57)</f>
        <v>719982.16000000015</v>
      </c>
      <c r="S58" s="129">
        <f>SUM(S19:S57)</f>
        <v>33489.930000000029</v>
      </c>
      <c r="T58" s="137">
        <f>+S58/Q58</f>
        <v>4.8784135546588829E-2</v>
      </c>
      <c r="V58" s="156" t="s">
        <v>151</v>
      </c>
      <c r="W58" s="157"/>
      <c r="X58" s="157"/>
      <c r="Y58" s="157"/>
    </row>
    <row r="59" spans="1:25">
      <c r="C59" s="73" t="s">
        <v>3</v>
      </c>
      <c r="D59" s="74">
        <f>D18+D58</f>
        <v>3581.2</v>
      </c>
      <c r="E59" s="74"/>
      <c r="F59" s="96">
        <f>F18+F58</f>
        <v>168288</v>
      </c>
      <c r="G59" s="74"/>
      <c r="H59" s="74">
        <f>H18+H58</f>
        <v>12518950</v>
      </c>
      <c r="I59" s="74">
        <f>I18+I58</f>
        <v>11398000.000000002</v>
      </c>
      <c r="J59" s="130">
        <f t="shared" ref="J59:K59" si="40">J18+J58</f>
        <v>63657.83</v>
      </c>
      <c r="K59" s="130">
        <f t="shared" si="40"/>
        <v>65538.793369710693</v>
      </c>
      <c r="L59" s="85"/>
      <c r="M59" s="85"/>
      <c r="N59" s="85"/>
      <c r="O59" s="85"/>
      <c r="P59" s="85"/>
      <c r="Q59" s="130">
        <f>Q18+Q58</f>
        <v>1349868.9099999997</v>
      </c>
      <c r="R59" s="130">
        <f>R18+R58</f>
        <v>1419707.2000000002</v>
      </c>
      <c r="S59" s="130">
        <f>S18+S58</f>
        <v>69838.290000000008</v>
      </c>
      <c r="T59" s="144">
        <f>+S59/Q59</f>
        <v>5.1737090529775979E-2</v>
      </c>
      <c r="V59" s="157"/>
      <c r="W59" s="157"/>
      <c r="X59" s="157"/>
      <c r="Y59" s="157"/>
    </row>
    <row r="60" spans="1:25">
      <c r="C60" s="73"/>
      <c r="D60" s="74"/>
      <c r="E60" s="74"/>
      <c r="F60" s="96"/>
      <c r="G60" s="74"/>
      <c r="H60" s="74"/>
      <c r="I60" s="74"/>
      <c r="J60" s="130"/>
      <c r="K60" s="130"/>
      <c r="L60" s="85"/>
      <c r="M60" s="85"/>
      <c r="N60" s="85"/>
      <c r="O60" s="85"/>
      <c r="P60" s="85"/>
      <c r="Q60" s="130"/>
      <c r="R60" s="130"/>
      <c r="S60" s="130"/>
      <c r="T60" s="144"/>
      <c r="V60" s="158"/>
      <c r="W60" s="158"/>
      <c r="X60" s="158"/>
      <c r="Y60" s="158"/>
    </row>
    <row r="61" spans="1:25">
      <c r="C61" s="73"/>
      <c r="D61" s="74"/>
      <c r="E61" s="74"/>
      <c r="F61" s="96"/>
      <c r="G61" s="74"/>
      <c r="H61" s="74"/>
      <c r="I61" s="74"/>
      <c r="J61" s="130"/>
      <c r="K61" s="130"/>
      <c r="L61" s="85"/>
      <c r="M61" s="85"/>
      <c r="N61" s="85"/>
      <c r="O61" s="85"/>
      <c r="P61" s="85"/>
      <c r="Q61" s="164" t="s">
        <v>185</v>
      </c>
      <c r="R61" s="164" t="s">
        <v>185</v>
      </c>
      <c r="S61" s="130"/>
      <c r="T61" s="144"/>
      <c r="V61" s="158"/>
      <c r="W61" s="158"/>
      <c r="X61" s="158"/>
      <c r="Y61" s="158"/>
    </row>
    <row r="62" spans="1:25" ht="17.25">
      <c r="C62" s="160" t="s">
        <v>153</v>
      </c>
      <c r="D62" s="74"/>
      <c r="E62" s="74"/>
      <c r="F62" s="96"/>
      <c r="G62" s="74"/>
      <c r="H62" s="74"/>
      <c r="I62" s="74"/>
      <c r="J62" s="130"/>
      <c r="K62" s="130"/>
      <c r="L62" s="85"/>
      <c r="M62" s="85"/>
      <c r="N62" s="85"/>
      <c r="O62" s="85"/>
      <c r="P62" s="85"/>
      <c r="Q62" s="165" t="s">
        <v>186</v>
      </c>
      <c r="R62" s="165" t="s">
        <v>187</v>
      </c>
      <c r="S62" s="130"/>
      <c r="T62" s="144"/>
      <c r="V62" s="158"/>
      <c r="W62" s="158"/>
      <c r="X62" s="158"/>
      <c r="Y62" s="158"/>
    </row>
    <row r="63" spans="1:25">
      <c r="B63" s="71">
        <v>30</v>
      </c>
      <c r="C63" s="50" t="s">
        <v>152</v>
      </c>
      <c r="D63" s="74"/>
      <c r="E63" s="74"/>
      <c r="F63" s="96"/>
      <c r="G63" s="74"/>
      <c r="H63" s="74"/>
      <c r="I63" s="74"/>
      <c r="J63" s="130"/>
      <c r="K63" s="130"/>
      <c r="L63" s="85"/>
      <c r="M63" s="85"/>
      <c r="N63" s="159">
        <v>47.19</v>
      </c>
      <c r="O63" s="149">
        <f t="shared" ref="O63" si="41">ROUND(+N63*$O$1,2)</f>
        <v>0.12</v>
      </c>
      <c r="P63" s="149">
        <f t="shared" ref="P63" si="42">+O63+N63</f>
        <v>47.309999999999995</v>
      </c>
      <c r="Q63" s="159"/>
      <c r="R63" s="159"/>
      <c r="S63" s="159"/>
      <c r="T63" s="144"/>
      <c r="V63" s="158"/>
      <c r="W63" s="158"/>
      <c r="X63" s="158"/>
      <c r="Y63" s="158"/>
    </row>
    <row r="64" spans="1:25">
      <c r="B64" s="71">
        <v>30</v>
      </c>
      <c r="C64" s="50" t="s">
        <v>154</v>
      </c>
      <c r="D64" s="74"/>
      <c r="E64" s="74"/>
      <c r="F64" s="96"/>
      <c r="G64" s="74"/>
      <c r="H64" s="74"/>
      <c r="I64" s="74"/>
      <c r="J64" s="130"/>
      <c r="K64" s="130"/>
      <c r="L64" s="85"/>
      <c r="M64" s="85"/>
      <c r="N64" s="159">
        <v>14.54</v>
      </c>
      <c r="O64" s="149">
        <f t="shared" ref="O64:O78" si="43">ROUND(+N64*$O$1,2)</f>
        <v>0.04</v>
      </c>
      <c r="P64" s="149">
        <f t="shared" ref="P64:P78" si="44">+O64+N64</f>
        <v>14.579999999999998</v>
      </c>
      <c r="Q64" s="159"/>
      <c r="R64" s="159"/>
      <c r="S64" s="159"/>
      <c r="T64" s="144"/>
      <c r="V64" s="158"/>
      <c r="W64" s="158"/>
      <c r="X64" s="158"/>
      <c r="Y64" s="158"/>
    </row>
    <row r="65" spans="2:25">
      <c r="B65" s="71">
        <v>33</v>
      </c>
      <c r="C65" s="50" t="s">
        <v>168</v>
      </c>
      <c r="D65" s="74"/>
      <c r="E65" s="74"/>
      <c r="F65" s="96"/>
      <c r="G65" s="74"/>
      <c r="H65" s="74"/>
      <c r="I65" s="74"/>
      <c r="J65" s="130"/>
      <c r="K65" s="130"/>
      <c r="L65" s="85"/>
      <c r="M65" s="85"/>
      <c r="N65" s="159">
        <v>22.45</v>
      </c>
      <c r="O65" s="149">
        <f t="shared" ref="O65" si="45">ROUND(+N65*$O$1,2)</f>
        <v>0.06</v>
      </c>
      <c r="P65" s="149">
        <f t="shared" ref="P65" si="46">+O65+N65</f>
        <v>22.509999999999998</v>
      </c>
      <c r="Q65" s="159"/>
      <c r="R65" s="159"/>
      <c r="S65" s="159"/>
      <c r="T65" s="144"/>
      <c r="V65" s="158"/>
      <c r="W65" s="158"/>
      <c r="X65" s="158"/>
      <c r="Y65" s="158"/>
    </row>
    <row r="66" spans="2:25">
      <c r="B66" s="71">
        <v>31</v>
      </c>
      <c r="C66" s="50" t="s">
        <v>162</v>
      </c>
      <c r="D66" s="74"/>
      <c r="E66" s="74"/>
      <c r="F66" s="96"/>
      <c r="G66" s="74"/>
      <c r="H66" s="74"/>
      <c r="I66" s="74"/>
      <c r="J66" s="130"/>
      <c r="K66" s="130"/>
      <c r="L66" s="85"/>
      <c r="M66" s="85"/>
      <c r="N66" s="159">
        <v>5.55</v>
      </c>
      <c r="O66" s="149">
        <f t="shared" ref="O66:O67" si="47">ROUND(+N66*$O$1,2)</f>
        <v>0.01</v>
      </c>
      <c r="P66" s="149">
        <f t="shared" ref="P66:P67" si="48">+O66+N66</f>
        <v>5.56</v>
      </c>
      <c r="Q66" s="159">
        <f>9.05-5.55</f>
        <v>3.5000000000000009</v>
      </c>
      <c r="R66" s="159">
        <f>+Q66+P66</f>
        <v>9.06</v>
      </c>
      <c r="S66" s="159"/>
      <c r="T66" s="144"/>
      <c r="V66" s="158"/>
      <c r="W66" s="158"/>
      <c r="X66" s="158"/>
      <c r="Y66" s="158"/>
    </row>
    <row r="67" spans="2:25">
      <c r="B67" s="71">
        <v>31</v>
      </c>
      <c r="C67" s="50" t="s">
        <v>163</v>
      </c>
      <c r="D67" s="74"/>
      <c r="E67" s="74"/>
      <c r="F67" s="96"/>
      <c r="G67" s="74"/>
      <c r="H67" s="74"/>
      <c r="I67" s="74"/>
      <c r="J67" s="130"/>
      <c r="K67" s="130"/>
      <c r="L67" s="85"/>
      <c r="M67" s="85"/>
      <c r="N67" s="159">
        <v>6.8</v>
      </c>
      <c r="O67" s="149">
        <f t="shared" si="47"/>
        <v>0.02</v>
      </c>
      <c r="P67" s="149">
        <f t="shared" si="48"/>
        <v>6.8199999999999994</v>
      </c>
      <c r="Q67" s="159">
        <v>3.5</v>
      </c>
      <c r="R67" s="159">
        <f t="shared" ref="R67:R76" si="49">+Q67+P67</f>
        <v>10.32</v>
      </c>
      <c r="S67" s="159"/>
      <c r="T67" s="144"/>
      <c r="V67" s="158"/>
      <c r="W67" s="158"/>
      <c r="X67" s="158"/>
      <c r="Y67" s="158"/>
    </row>
    <row r="68" spans="2:25">
      <c r="B68" s="71">
        <v>31</v>
      </c>
      <c r="C68" s="50" t="s">
        <v>164</v>
      </c>
      <c r="D68" s="74"/>
      <c r="E68" s="74"/>
      <c r="F68" s="96"/>
      <c r="G68" s="74"/>
      <c r="H68" s="74"/>
      <c r="I68" s="74"/>
      <c r="J68" s="130"/>
      <c r="K68" s="130"/>
      <c r="L68" s="85"/>
      <c r="M68" s="85"/>
      <c r="N68" s="159">
        <v>7.95</v>
      </c>
      <c r="O68" s="149">
        <f t="shared" si="43"/>
        <v>0.02</v>
      </c>
      <c r="P68" s="149">
        <f t="shared" si="44"/>
        <v>7.97</v>
      </c>
      <c r="Q68" s="159">
        <f>+Q67</f>
        <v>3.5</v>
      </c>
      <c r="R68" s="159">
        <f t="shared" si="49"/>
        <v>11.469999999999999</v>
      </c>
      <c r="S68" s="159"/>
      <c r="T68" s="144"/>
      <c r="V68" s="158"/>
      <c r="W68" s="158"/>
      <c r="X68" s="158"/>
      <c r="Y68" s="158"/>
    </row>
    <row r="69" spans="2:25">
      <c r="B69" s="71">
        <v>31</v>
      </c>
      <c r="C69" s="50" t="s">
        <v>165</v>
      </c>
      <c r="D69" s="74"/>
      <c r="E69" s="74"/>
      <c r="F69" s="96"/>
      <c r="G69" s="74"/>
      <c r="H69" s="74"/>
      <c r="I69" s="74"/>
      <c r="J69" s="130"/>
      <c r="K69" s="130"/>
      <c r="L69" s="85"/>
      <c r="M69" s="85"/>
      <c r="N69" s="159">
        <v>14.44</v>
      </c>
      <c r="O69" s="149">
        <f t="shared" ref="O69" si="50">ROUND(+N69*$O$1,2)</f>
        <v>0.04</v>
      </c>
      <c r="P69" s="149">
        <f t="shared" ref="P69" si="51">+O69+N69</f>
        <v>14.479999999999999</v>
      </c>
      <c r="Q69" s="159">
        <v>3.75</v>
      </c>
      <c r="R69" s="159">
        <f t="shared" si="49"/>
        <v>18.229999999999997</v>
      </c>
      <c r="S69" s="159"/>
      <c r="T69" s="144"/>
      <c r="V69" s="158"/>
      <c r="W69" s="158"/>
      <c r="X69" s="158"/>
      <c r="Y69" s="158"/>
    </row>
    <row r="70" spans="2:25">
      <c r="B70" s="71">
        <v>31</v>
      </c>
      <c r="C70" s="50" t="s">
        <v>155</v>
      </c>
      <c r="D70" s="74"/>
      <c r="E70" s="74"/>
      <c r="F70" s="96"/>
      <c r="G70" s="74"/>
      <c r="H70" s="74"/>
      <c r="I70" s="74"/>
      <c r="J70" s="130"/>
      <c r="K70" s="130"/>
      <c r="L70" s="85"/>
      <c r="M70" s="85"/>
      <c r="N70" s="159">
        <v>16.32</v>
      </c>
      <c r="O70" s="149">
        <f t="shared" si="43"/>
        <v>0.04</v>
      </c>
      <c r="P70" s="149">
        <f t="shared" si="44"/>
        <v>16.36</v>
      </c>
      <c r="Q70" s="159">
        <v>3.75</v>
      </c>
      <c r="R70" s="159">
        <f t="shared" si="49"/>
        <v>20.11</v>
      </c>
      <c r="S70" s="159"/>
      <c r="T70" s="144"/>
      <c r="V70" s="158"/>
      <c r="W70" s="158"/>
      <c r="X70" s="158"/>
      <c r="Y70" s="158"/>
    </row>
    <row r="71" spans="2:25">
      <c r="B71" s="71">
        <v>31</v>
      </c>
      <c r="C71" s="50" t="s">
        <v>156</v>
      </c>
      <c r="D71" s="74"/>
      <c r="E71" s="74"/>
      <c r="F71" s="96"/>
      <c r="G71" s="74"/>
      <c r="H71" s="74"/>
      <c r="I71" s="74"/>
      <c r="J71" s="130"/>
      <c r="K71" s="130"/>
      <c r="L71" s="85"/>
      <c r="M71" s="85"/>
      <c r="N71" s="159">
        <v>18.52</v>
      </c>
      <c r="O71" s="149">
        <f t="shared" si="43"/>
        <v>0.05</v>
      </c>
      <c r="P71" s="149">
        <f t="shared" si="44"/>
        <v>18.57</v>
      </c>
      <c r="Q71" s="159">
        <v>3.75</v>
      </c>
      <c r="R71" s="159">
        <f t="shared" si="49"/>
        <v>22.32</v>
      </c>
      <c r="S71" s="159"/>
      <c r="T71" s="144"/>
      <c r="V71" s="158"/>
      <c r="W71" s="158"/>
      <c r="X71" s="158"/>
      <c r="Y71" s="158"/>
    </row>
    <row r="72" spans="2:25">
      <c r="B72" s="71">
        <v>31</v>
      </c>
      <c r="C72" s="50" t="s">
        <v>157</v>
      </c>
      <c r="D72" s="74"/>
      <c r="E72" s="74"/>
      <c r="F72" s="96"/>
      <c r="G72" s="74"/>
      <c r="H72" s="74"/>
      <c r="I72" s="74"/>
      <c r="J72" s="130"/>
      <c r="K72" s="130"/>
      <c r="L72" s="85"/>
      <c r="M72" s="85"/>
      <c r="N72" s="159">
        <v>22.71</v>
      </c>
      <c r="O72" s="149">
        <f t="shared" si="43"/>
        <v>0.06</v>
      </c>
      <c r="P72" s="149">
        <f t="shared" si="44"/>
        <v>22.77</v>
      </c>
      <c r="Q72" s="159">
        <v>3.75</v>
      </c>
      <c r="R72" s="159">
        <f t="shared" si="49"/>
        <v>26.52</v>
      </c>
      <c r="S72" s="159"/>
      <c r="T72" s="144"/>
      <c r="V72" s="158"/>
      <c r="W72" s="158"/>
      <c r="X72" s="158"/>
      <c r="Y72" s="158"/>
    </row>
    <row r="73" spans="2:25">
      <c r="B73" s="71">
        <v>31</v>
      </c>
      <c r="C73" s="50" t="s">
        <v>158</v>
      </c>
      <c r="D73" s="74"/>
      <c r="E73" s="74"/>
      <c r="F73" s="96"/>
      <c r="G73" s="74"/>
      <c r="H73" s="74"/>
      <c r="I73" s="74"/>
      <c r="J73" s="130"/>
      <c r="K73" s="130"/>
      <c r="L73" s="85"/>
      <c r="M73" s="85"/>
      <c r="N73" s="159">
        <v>31.29</v>
      </c>
      <c r="O73" s="149">
        <f t="shared" si="43"/>
        <v>0.08</v>
      </c>
      <c r="P73" s="149">
        <f t="shared" si="44"/>
        <v>31.369999999999997</v>
      </c>
      <c r="Q73" s="159">
        <v>3.75</v>
      </c>
      <c r="R73" s="159">
        <f t="shared" si="49"/>
        <v>35.119999999999997</v>
      </c>
      <c r="S73" s="159"/>
      <c r="T73" s="144"/>
      <c r="V73" s="158"/>
      <c r="W73" s="158"/>
      <c r="X73" s="158"/>
      <c r="Y73" s="158"/>
    </row>
    <row r="74" spans="2:25">
      <c r="B74" s="71">
        <v>31</v>
      </c>
      <c r="C74" s="50" t="s">
        <v>159</v>
      </c>
      <c r="D74" s="74"/>
      <c r="E74" s="74"/>
      <c r="F74" s="96"/>
      <c r="G74" s="74"/>
      <c r="H74" s="74"/>
      <c r="I74" s="74"/>
      <c r="J74" s="130"/>
      <c r="K74" s="130"/>
      <c r="L74" s="85"/>
      <c r="M74" s="85"/>
      <c r="N74" s="159">
        <v>39.869999999999997</v>
      </c>
      <c r="O74" s="149">
        <f t="shared" si="43"/>
        <v>0.1</v>
      </c>
      <c r="P74" s="149">
        <f t="shared" si="44"/>
        <v>39.97</v>
      </c>
      <c r="Q74" s="159">
        <v>3.75</v>
      </c>
      <c r="R74" s="159">
        <f t="shared" si="49"/>
        <v>43.72</v>
      </c>
      <c r="S74" s="159"/>
      <c r="T74" s="144"/>
      <c r="V74" s="158"/>
      <c r="W74" s="158"/>
      <c r="X74" s="158"/>
      <c r="Y74" s="158"/>
    </row>
    <row r="75" spans="2:25">
      <c r="B75" s="71">
        <v>31</v>
      </c>
      <c r="C75" s="50" t="s">
        <v>160</v>
      </c>
      <c r="D75" s="74"/>
      <c r="E75" s="74"/>
      <c r="F75" s="96"/>
      <c r="G75" s="74"/>
      <c r="H75" s="74"/>
      <c r="I75" s="74"/>
      <c r="J75" s="130"/>
      <c r="K75" s="130"/>
      <c r="L75" s="85"/>
      <c r="M75" s="85"/>
      <c r="N75" s="159">
        <v>56.71</v>
      </c>
      <c r="O75" s="149">
        <f t="shared" si="43"/>
        <v>0.14000000000000001</v>
      </c>
      <c r="P75" s="149">
        <f t="shared" si="44"/>
        <v>56.85</v>
      </c>
      <c r="Q75" s="159">
        <v>3.75</v>
      </c>
      <c r="R75" s="159">
        <f t="shared" si="49"/>
        <v>60.6</v>
      </c>
      <c r="S75" s="159"/>
      <c r="T75" s="144"/>
      <c r="V75" s="158"/>
      <c r="W75" s="158"/>
      <c r="X75" s="158"/>
      <c r="Y75" s="158"/>
    </row>
    <row r="76" spans="2:25">
      <c r="B76" s="71">
        <v>31</v>
      </c>
      <c r="C76" s="50" t="s">
        <v>161</v>
      </c>
      <c r="D76" s="74"/>
      <c r="E76" s="74"/>
      <c r="F76" s="96"/>
      <c r="G76" s="74"/>
      <c r="H76" s="74"/>
      <c r="I76" s="74"/>
      <c r="J76" s="130"/>
      <c r="K76" s="130"/>
      <c r="L76" s="85"/>
      <c r="M76" s="85"/>
      <c r="N76" s="159">
        <v>73.77</v>
      </c>
      <c r="O76" s="149">
        <f t="shared" si="43"/>
        <v>0.18</v>
      </c>
      <c r="P76" s="149">
        <f t="shared" si="44"/>
        <v>73.95</v>
      </c>
      <c r="Q76" s="159">
        <f>77.52-73.77</f>
        <v>3.75</v>
      </c>
      <c r="R76" s="159">
        <f t="shared" si="49"/>
        <v>77.7</v>
      </c>
      <c r="S76" s="159"/>
      <c r="T76" s="144"/>
      <c r="V76" s="158"/>
      <c r="W76" s="158"/>
      <c r="X76" s="158"/>
      <c r="Y76" s="158"/>
    </row>
    <row r="77" spans="2:25">
      <c r="B77" s="71">
        <v>31</v>
      </c>
      <c r="C77" s="50" t="s">
        <v>152</v>
      </c>
      <c r="D77" s="74"/>
      <c r="E77" s="74"/>
      <c r="F77" s="96"/>
      <c r="G77" s="74"/>
      <c r="H77" s="74"/>
      <c r="I77" s="74"/>
      <c r="J77" s="130"/>
      <c r="K77" s="130"/>
      <c r="L77" s="85"/>
      <c r="M77" s="85"/>
      <c r="N77" s="159">
        <v>49.39</v>
      </c>
      <c r="O77" s="149">
        <f t="shared" si="43"/>
        <v>0.12</v>
      </c>
      <c r="P77" s="149">
        <f t="shared" si="44"/>
        <v>49.51</v>
      </c>
      <c r="Q77" s="159"/>
      <c r="R77" s="159"/>
      <c r="S77" s="159"/>
      <c r="T77" s="144"/>
      <c r="V77" s="158"/>
      <c r="W77" s="158"/>
      <c r="X77" s="158"/>
      <c r="Y77" s="158"/>
    </row>
    <row r="78" spans="2:25">
      <c r="B78" s="71">
        <v>31</v>
      </c>
      <c r="C78" s="50" t="s">
        <v>154</v>
      </c>
      <c r="D78" s="74"/>
      <c r="E78" s="74"/>
      <c r="F78" s="96"/>
      <c r="G78" s="74"/>
      <c r="H78" s="74"/>
      <c r="I78" s="74"/>
      <c r="J78" s="130"/>
      <c r="K78" s="130"/>
      <c r="L78" s="85"/>
      <c r="M78" s="85"/>
      <c r="N78" s="159">
        <v>12.4</v>
      </c>
      <c r="O78" s="149">
        <f t="shared" si="43"/>
        <v>0.03</v>
      </c>
      <c r="P78" s="149">
        <f t="shared" si="44"/>
        <v>12.43</v>
      </c>
      <c r="Q78" s="130"/>
      <c r="R78" s="130"/>
      <c r="S78" s="130"/>
      <c r="T78" s="144"/>
      <c r="V78" s="158"/>
      <c r="W78" s="158"/>
      <c r="X78" s="158"/>
      <c r="Y78" s="158"/>
    </row>
    <row r="79" spans="2:25">
      <c r="B79" s="71">
        <v>35</v>
      </c>
      <c r="C79" s="50" t="s">
        <v>169</v>
      </c>
      <c r="D79" s="74"/>
      <c r="E79" s="74"/>
      <c r="F79" s="96"/>
      <c r="G79" s="74"/>
      <c r="H79" s="74"/>
      <c r="I79" s="74"/>
      <c r="J79" s="130"/>
      <c r="K79" s="130"/>
      <c r="L79" s="85"/>
      <c r="M79" s="85"/>
      <c r="N79" s="159">
        <v>29.17</v>
      </c>
      <c r="O79" s="149">
        <f t="shared" ref="O79:O104" si="52">ROUND(+N79*$O$1,2)</f>
        <v>7.0000000000000007E-2</v>
      </c>
      <c r="P79" s="149">
        <f t="shared" ref="P79:P104" si="53">+O79+N79</f>
        <v>29.240000000000002</v>
      </c>
      <c r="Q79" s="130"/>
      <c r="R79" s="130"/>
      <c r="S79" s="130"/>
      <c r="T79" s="144"/>
      <c r="V79" s="158"/>
      <c r="W79" s="158"/>
      <c r="X79" s="158"/>
      <c r="Y79" s="158"/>
    </row>
    <row r="80" spans="2:25">
      <c r="B80" s="71">
        <v>35</v>
      </c>
      <c r="C80" s="50" t="s">
        <v>171</v>
      </c>
      <c r="D80" s="74"/>
      <c r="E80" s="74"/>
      <c r="F80" s="96"/>
      <c r="G80" s="74"/>
      <c r="H80" s="74"/>
      <c r="I80" s="74"/>
      <c r="J80" s="130"/>
      <c r="K80" s="130"/>
      <c r="L80" s="85"/>
      <c r="M80" s="85"/>
      <c r="N80" s="159">
        <v>36.520000000000003</v>
      </c>
      <c r="O80" s="149">
        <f t="shared" si="52"/>
        <v>0.09</v>
      </c>
      <c r="P80" s="149">
        <f t="shared" si="53"/>
        <v>36.610000000000007</v>
      </c>
      <c r="Q80" s="130"/>
      <c r="R80" s="130"/>
      <c r="S80" s="130"/>
      <c r="T80" s="144"/>
      <c r="V80" s="158"/>
      <c r="W80" s="158"/>
      <c r="X80" s="158"/>
      <c r="Y80" s="158"/>
    </row>
    <row r="81" spans="2:25">
      <c r="B81" s="71">
        <v>35</v>
      </c>
      <c r="C81" s="50" t="s">
        <v>172</v>
      </c>
      <c r="D81" s="74"/>
      <c r="E81" s="74"/>
      <c r="F81" s="96"/>
      <c r="G81" s="74"/>
      <c r="H81" s="74"/>
      <c r="I81" s="74"/>
      <c r="J81" s="130"/>
      <c r="K81" s="130"/>
      <c r="L81" s="85"/>
      <c r="M81" s="85"/>
      <c r="N81" s="159">
        <v>45.57</v>
      </c>
      <c r="O81" s="149">
        <f t="shared" si="52"/>
        <v>0.11</v>
      </c>
      <c r="P81" s="149">
        <f t="shared" si="53"/>
        <v>45.68</v>
      </c>
      <c r="Q81" s="130"/>
      <c r="R81" s="130"/>
      <c r="S81" s="130"/>
      <c r="T81" s="144"/>
      <c r="V81" s="158"/>
      <c r="W81" s="158"/>
      <c r="X81" s="158"/>
      <c r="Y81" s="158"/>
    </row>
    <row r="82" spans="2:25">
      <c r="B82" s="71">
        <v>35</v>
      </c>
      <c r="C82" s="50" t="s">
        <v>173</v>
      </c>
      <c r="D82" s="74"/>
      <c r="E82" s="74"/>
      <c r="F82" s="96"/>
      <c r="G82" s="74"/>
      <c r="H82" s="74"/>
      <c r="I82" s="74"/>
      <c r="J82" s="130"/>
      <c r="K82" s="130"/>
      <c r="L82" s="85"/>
      <c r="M82" s="85"/>
      <c r="N82" s="159">
        <v>54.73</v>
      </c>
      <c r="O82" s="149">
        <f t="shared" si="52"/>
        <v>0.14000000000000001</v>
      </c>
      <c r="P82" s="149">
        <f t="shared" si="53"/>
        <v>54.87</v>
      </c>
      <c r="Q82" s="130"/>
      <c r="R82" s="130"/>
      <c r="S82" s="130"/>
      <c r="T82" s="144"/>
      <c r="V82" s="158"/>
      <c r="W82" s="158"/>
      <c r="X82" s="158"/>
      <c r="Y82" s="158"/>
    </row>
    <row r="83" spans="2:25">
      <c r="B83" s="71">
        <v>35</v>
      </c>
      <c r="C83" s="50" t="s">
        <v>174</v>
      </c>
      <c r="D83" s="74"/>
      <c r="E83" s="74"/>
      <c r="F83" s="96"/>
      <c r="G83" s="74"/>
      <c r="H83" s="74"/>
      <c r="I83" s="74"/>
      <c r="J83" s="130"/>
      <c r="K83" s="130"/>
      <c r="L83" s="85"/>
      <c r="M83" s="85"/>
      <c r="N83" s="159">
        <v>72.930000000000007</v>
      </c>
      <c r="O83" s="149">
        <f t="shared" si="52"/>
        <v>0.18</v>
      </c>
      <c r="P83" s="149">
        <f t="shared" si="53"/>
        <v>73.110000000000014</v>
      </c>
      <c r="Q83" s="130"/>
      <c r="R83" s="130"/>
      <c r="S83" s="130"/>
      <c r="T83" s="144"/>
      <c r="V83" s="158"/>
      <c r="W83" s="158"/>
      <c r="X83" s="158"/>
      <c r="Y83" s="158"/>
    </row>
    <row r="84" spans="2:25">
      <c r="B84" s="71">
        <v>35</v>
      </c>
      <c r="C84" s="50" t="s">
        <v>175</v>
      </c>
      <c r="D84" s="74"/>
      <c r="E84" s="74"/>
      <c r="F84" s="96"/>
      <c r="G84" s="74"/>
      <c r="H84" s="74"/>
      <c r="I84" s="74"/>
      <c r="J84" s="130"/>
      <c r="K84" s="130"/>
      <c r="L84" s="85"/>
      <c r="M84" s="85"/>
      <c r="N84" s="159">
        <v>91.13</v>
      </c>
      <c r="O84" s="149">
        <f t="shared" si="52"/>
        <v>0.23</v>
      </c>
      <c r="P84" s="149">
        <f t="shared" si="53"/>
        <v>91.36</v>
      </c>
      <c r="Q84" s="130"/>
      <c r="R84" s="130"/>
      <c r="S84" s="130"/>
      <c r="T84" s="144"/>
      <c r="V84" s="158"/>
      <c r="W84" s="158"/>
      <c r="X84" s="158"/>
      <c r="Y84" s="158"/>
    </row>
    <row r="85" spans="2:25">
      <c r="B85" s="71">
        <v>35</v>
      </c>
      <c r="C85" s="50" t="s">
        <v>176</v>
      </c>
      <c r="D85" s="74"/>
      <c r="E85" s="74"/>
      <c r="F85" s="96"/>
      <c r="G85" s="74"/>
      <c r="H85" s="74"/>
      <c r="I85" s="74"/>
      <c r="J85" s="130"/>
      <c r="K85" s="130"/>
      <c r="L85" s="85"/>
      <c r="M85" s="85"/>
      <c r="N85" s="159">
        <v>101.2</v>
      </c>
      <c r="O85" s="149">
        <f t="shared" si="52"/>
        <v>0.25</v>
      </c>
      <c r="P85" s="149">
        <f t="shared" si="53"/>
        <v>101.45</v>
      </c>
      <c r="Q85" s="130"/>
      <c r="R85" s="130"/>
      <c r="S85" s="130"/>
      <c r="T85" s="144"/>
      <c r="V85" s="158"/>
      <c r="W85" s="158"/>
      <c r="X85" s="158"/>
      <c r="Y85" s="158"/>
    </row>
    <row r="86" spans="2:25">
      <c r="B86" s="71">
        <v>35</v>
      </c>
      <c r="C86" s="50" t="s">
        <v>152</v>
      </c>
      <c r="D86" s="74"/>
      <c r="E86" s="74"/>
      <c r="F86" s="96"/>
      <c r="G86" s="74"/>
      <c r="H86" s="74"/>
      <c r="I86" s="74"/>
      <c r="J86" s="130"/>
      <c r="K86" s="130"/>
      <c r="L86" s="85"/>
      <c r="M86" s="85"/>
      <c r="N86" s="159">
        <v>50</v>
      </c>
      <c r="O86" s="149">
        <f t="shared" si="52"/>
        <v>0.13</v>
      </c>
      <c r="P86" s="149">
        <f t="shared" si="53"/>
        <v>50.13</v>
      </c>
      <c r="Q86" s="130"/>
      <c r="R86" s="130"/>
      <c r="S86" s="130"/>
      <c r="T86" s="144"/>
      <c r="V86" s="158"/>
      <c r="W86" s="158"/>
      <c r="X86" s="158"/>
      <c r="Y86" s="158"/>
    </row>
    <row r="87" spans="2:25">
      <c r="B87" s="71">
        <v>35</v>
      </c>
      <c r="C87" s="50" t="s">
        <v>177</v>
      </c>
      <c r="D87" s="74"/>
      <c r="E87" s="74"/>
      <c r="F87" s="96"/>
      <c r="G87" s="74"/>
      <c r="H87" s="74"/>
      <c r="I87" s="74"/>
      <c r="J87" s="130"/>
      <c r="K87" s="130"/>
      <c r="L87" s="85"/>
      <c r="M87" s="85"/>
      <c r="N87" s="159">
        <v>119.51</v>
      </c>
      <c r="O87" s="149">
        <f t="shared" si="52"/>
        <v>0.3</v>
      </c>
      <c r="P87" s="149">
        <f t="shared" si="53"/>
        <v>119.81</v>
      </c>
      <c r="Q87" s="130"/>
      <c r="R87" s="130"/>
      <c r="S87" s="130"/>
      <c r="T87" s="144"/>
      <c r="V87" s="158"/>
      <c r="W87" s="158"/>
      <c r="X87" s="158"/>
      <c r="Y87" s="158"/>
    </row>
    <row r="88" spans="2:25">
      <c r="B88" s="71" t="s">
        <v>182</v>
      </c>
      <c r="C88" s="50" t="s">
        <v>178</v>
      </c>
      <c r="D88" s="74"/>
      <c r="E88" s="74"/>
      <c r="F88" s="96"/>
      <c r="G88" s="74"/>
      <c r="H88" s="74"/>
      <c r="I88" s="74"/>
      <c r="J88" s="130"/>
      <c r="K88" s="130"/>
      <c r="L88" s="85"/>
      <c r="M88" s="85"/>
      <c r="N88" s="159">
        <v>3.17</v>
      </c>
      <c r="O88" s="149">
        <f t="shared" si="52"/>
        <v>0.01</v>
      </c>
      <c r="P88" s="149">
        <f t="shared" si="53"/>
        <v>3.1799999999999997</v>
      </c>
      <c r="Q88" s="130"/>
      <c r="R88" s="130"/>
      <c r="S88" s="130"/>
      <c r="T88" s="144"/>
      <c r="V88" s="158"/>
      <c r="W88" s="158"/>
      <c r="X88" s="158"/>
      <c r="Y88" s="158"/>
    </row>
    <row r="89" spans="2:25">
      <c r="B89" s="71">
        <v>35</v>
      </c>
      <c r="C89" s="50" t="s">
        <v>154</v>
      </c>
      <c r="D89" s="74"/>
      <c r="E89" s="74"/>
      <c r="F89" s="96"/>
      <c r="G89" s="74"/>
      <c r="H89" s="74"/>
      <c r="I89" s="74"/>
      <c r="J89" s="130"/>
      <c r="K89" s="130"/>
      <c r="L89" s="85"/>
      <c r="M89" s="85"/>
      <c r="N89" s="159">
        <v>15.72</v>
      </c>
      <c r="O89" s="159">
        <f t="shared" si="52"/>
        <v>0.04</v>
      </c>
      <c r="P89" s="159">
        <f t="shared" si="53"/>
        <v>15.76</v>
      </c>
      <c r="Q89" s="130"/>
      <c r="R89" s="130"/>
      <c r="S89" s="130"/>
      <c r="T89" s="144"/>
      <c r="V89" s="158"/>
      <c r="W89" s="158"/>
      <c r="X89" s="158"/>
      <c r="Y89" s="158"/>
    </row>
    <row r="90" spans="2:25">
      <c r="B90" s="71">
        <v>36</v>
      </c>
      <c r="C90" s="50" t="s">
        <v>170</v>
      </c>
      <c r="J90" s="128"/>
      <c r="N90" s="162">
        <v>43.19</v>
      </c>
      <c r="O90" s="161">
        <f t="shared" si="52"/>
        <v>0.11</v>
      </c>
      <c r="P90" s="161">
        <f t="shared" si="53"/>
        <v>43.3</v>
      </c>
    </row>
    <row r="91" spans="2:25">
      <c r="B91" s="71">
        <v>36</v>
      </c>
      <c r="C91" s="50" t="s">
        <v>171</v>
      </c>
      <c r="J91" s="128"/>
      <c r="N91" s="162">
        <v>46.58</v>
      </c>
      <c r="O91" s="163">
        <f t="shared" si="52"/>
        <v>0.12</v>
      </c>
      <c r="P91" s="163">
        <f t="shared" si="53"/>
        <v>46.699999999999996</v>
      </c>
    </row>
    <row r="92" spans="2:25">
      <c r="B92" s="71">
        <v>36</v>
      </c>
      <c r="C92" s="50" t="s">
        <v>172</v>
      </c>
      <c r="J92" s="128"/>
      <c r="N92" s="162">
        <v>50.43</v>
      </c>
      <c r="O92" s="163">
        <f t="shared" si="52"/>
        <v>0.13</v>
      </c>
      <c r="P92" s="163">
        <f t="shared" si="53"/>
        <v>50.56</v>
      </c>
    </row>
    <row r="93" spans="2:25">
      <c r="B93" s="71">
        <v>36</v>
      </c>
      <c r="C93" s="50" t="s">
        <v>173</v>
      </c>
      <c r="J93" s="128"/>
      <c r="N93" s="162">
        <v>50.43</v>
      </c>
      <c r="O93" s="163">
        <f t="shared" si="52"/>
        <v>0.13</v>
      </c>
      <c r="P93" s="163">
        <f t="shared" si="53"/>
        <v>50.56</v>
      </c>
    </row>
    <row r="94" spans="2:25">
      <c r="B94" s="71">
        <v>36</v>
      </c>
      <c r="C94" s="50" t="s">
        <v>174</v>
      </c>
      <c r="J94" s="128"/>
      <c r="N94" s="162">
        <v>57.55</v>
      </c>
      <c r="O94" s="163">
        <f t="shared" si="52"/>
        <v>0.14000000000000001</v>
      </c>
      <c r="P94" s="163">
        <f t="shared" si="53"/>
        <v>57.69</v>
      </c>
    </row>
    <row r="95" spans="2:25">
      <c r="B95" s="71">
        <v>36</v>
      </c>
      <c r="C95" s="50" t="s">
        <v>175</v>
      </c>
      <c r="J95" s="128"/>
      <c r="N95" s="162">
        <v>64.790000000000006</v>
      </c>
      <c r="O95" s="163">
        <f t="shared" si="52"/>
        <v>0.16</v>
      </c>
      <c r="P95" s="163">
        <f t="shared" si="53"/>
        <v>64.95</v>
      </c>
    </row>
    <row r="96" spans="2:25">
      <c r="B96" s="71">
        <v>36</v>
      </c>
      <c r="C96" s="50" t="s">
        <v>179</v>
      </c>
      <c r="J96" s="128"/>
      <c r="N96" s="162">
        <v>120.87</v>
      </c>
      <c r="O96" s="163">
        <f t="shared" si="52"/>
        <v>0.3</v>
      </c>
      <c r="P96" s="163">
        <f t="shared" si="53"/>
        <v>121.17</v>
      </c>
    </row>
    <row r="97" spans="1:18">
      <c r="B97" s="71">
        <v>36</v>
      </c>
      <c r="C97" s="50" t="s">
        <v>180</v>
      </c>
      <c r="J97" s="128"/>
      <c r="N97" s="162">
        <v>132.74</v>
      </c>
      <c r="O97" s="163">
        <f t="shared" si="52"/>
        <v>0.33</v>
      </c>
      <c r="P97" s="163">
        <f t="shared" si="53"/>
        <v>133.07000000000002</v>
      </c>
    </row>
    <row r="98" spans="1:18">
      <c r="B98" s="71" t="s">
        <v>184</v>
      </c>
      <c r="C98" s="50" t="s">
        <v>178</v>
      </c>
      <c r="J98" s="128"/>
      <c r="N98" s="162">
        <v>2.54</v>
      </c>
      <c r="O98" s="163">
        <f t="shared" si="52"/>
        <v>0.01</v>
      </c>
      <c r="P98" s="163">
        <f t="shared" si="53"/>
        <v>2.5499999999999998</v>
      </c>
    </row>
    <row r="99" spans="1:18">
      <c r="B99" s="71" t="s">
        <v>184</v>
      </c>
      <c r="C99" s="50" t="s">
        <v>154</v>
      </c>
      <c r="J99" s="128"/>
      <c r="N99" s="162">
        <v>13.4</v>
      </c>
      <c r="O99" s="163">
        <f t="shared" si="52"/>
        <v>0.03</v>
      </c>
      <c r="P99" s="163">
        <f t="shared" si="53"/>
        <v>13.43</v>
      </c>
    </row>
    <row r="100" spans="1:18">
      <c r="B100" s="71">
        <v>37</v>
      </c>
      <c r="C100" s="50" t="s">
        <v>181</v>
      </c>
      <c r="J100" s="128"/>
      <c r="N100" s="162">
        <v>116.91</v>
      </c>
      <c r="O100" s="163">
        <f t="shared" si="52"/>
        <v>0.28999999999999998</v>
      </c>
      <c r="P100" s="163">
        <f t="shared" si="53"/>
        <v>117.2</v>
      </c>
    </row>
    <row r="101" spans="1:18">
      <c r="B101" s="71">
        <v>37</v>
      </c>
      <c r="C101" s="50" t="s">
        <v>168</v>
      </c>
      <c r="J101" s="128"/>
      <c r="N101" s="162">
        <v>24.25</v>
      </c>
      <c r="O101" s="163">
        <f t="shared" si="52"/>
        <v>0.06</v>
      </c>
      <c r="P101" s="163">
        <f t="shared" si="53"/>
        <v>24.31</v>
      </c>
    </row>
    <row r="102" spans="1:18">
      <c r="B102" s="71">
        <v>37</v>
      </c>
      <c r="C102" s="50" t="s">
        <v>154</v>
      </c>
      <c r="J102" s="128"/>
      <c r="N102" s="162">
        <v>15.72</v>
      </c>
      <c r="O102" s="163">
        <f t="shared" si="52"/>
        <v>0.04</v>
      </c>
      <c r="P102" s="163">
        <f t="shared" si="53"/>
        <v>15.76</v>
      </c>
    </row>
    <row r="103" spans="1:18">
      <c r="B103" s="71">
        <v>38</v>
      </c>
      <c r="C103" s="50" t="s">
        <v>183</v>
      </c>
      <c r="J103" s="128"/>
      <c r="N103" s="162">
        <v>126.86</v>
      </c>
      <c r="O103" s="163">
        <f t="shared" si="52"/>
        <v>0.32</v>
      </c>
      <c r="P103" s="163">
        <f t="shared" si="53"/>
        <v>127.17999999999999</v>
      </c>
    </row>
    <row r="104" spans="1:18">
      <c r="B104" s="71">
        <v>38</v>
      </c>
      <c r="C104" s="50" t="s">
        <v>168</v>
      </c>
      <c r="J104" s="128"/>
      <c r="N104" s="162">
        <v>28.95</v>
      </c>
      <c r="O104" s="163">
        <f t="shared" si="52"/>
        <v>7.0000000000000007E-2</v>
      </c>
      <c r="P104" s="163">
        <f t="shared" si="53"/>
        <v>29.02</v>
      </c>
    </row>
    <row r="105" spans="1:18">
      <c r="J105" s="128"/>
    </row>
    <row r="106" spans="1:18">
      <c r="J106" s="128"/>
    </row>
    <row r="107" spans="1:18">
      <c r="A107" s="72"/>
      <c r="C107" s="75"/>
    </row>
    <row r="108" spans="1:18">
      <c r="A108" s="72"/>
      <c r="C108" s="153" t="s">
        <v>79</v>
      </c>
      <c r="D108" s="153"/>
      <c r="E108" s="91"/>
      <c r="F108" s="91"/>
      <c r="H108" s="94" t="s">
        <v>87</v>
      </c>
    </row>
    <row r="109" spans="1:18">
      <c r="A109" s="72"/>
      <c r="D109" s="66" t="s">
        <v>15</v>
      </c>
      <c r="E109" s="44"/>
      <c r="F109" s="44"/>
      <c r="H109" s="92" t="s">
        <v>88</v>
      </c>
      <c r="Q109" s="40"/>
      <c r="R109" s="47"/>
    </row>
    <row r="110" spans="1:18">
      <c r="A110" s="72"/>
      <c r="C110" s="68" t="s">
        <v>29</v>
      </c>
      <c r="D110" s="76">
        <f>+D119</f>
        <v>5699</v>
      </c>
      <c r="G110" s="51"/>
      <c r="H110" s="93" t="s">
        <v>89</v>
      </c>
      <c r="Q110" s="40"/>
      <c r="R110" s="95"/>
    </row>
    <row r="111" spans="1:18">
      <c r="A111" s="72"/>
      <c r="C111" s="68" t="s">
        <v>30</v>
      </c>
      <c r="D111" s="42">
        <f>D110*2000</f>
        <v>11398000</v>
      </c>
      <c r="E111" s="42"/>
      <c r="F111" s="42"/>
      <c r="G111" s="42"/>
      <c r="H111" s="104" t="s">
        <v>91</v>
      </c>
      <c r="Q111" s="40"/>
      <c r="R111" s="95"/>
    </row>
    <row r="112" spans="1:18">
      <c r="A112" s="72"/>
      <c r="C112" s="68" t="s">
        <v>4</v>
      </c>
      <c r="D112" s="42">
        <f>F18+F58</f>
        <v>168288</v>
      </c>
      <c r="E112" s="67"/>
      <c r="F112" s="67"/>
      <c r="G112" s="67"/>
      <c r="H112" s="105" t="s">
        <v>92</v>
      </c>
      <c r="Q112" s="40"/>
      <c r="R112" s="95"/>
    </row>
    <row r="113" spans="2:18">
      <c r="C113" s="48" t="s">
        <v>11</v>
      </c>
      <c r="D113" s="41">
        <f>D111/$H$59</f>
        <v>0.91045974302956723</v>
      </c>
      <c r="E113" s="41"/>
      <c r="F113" s="41"/>
      <c r="G113" s="41"/>
      <c r="H113" s="37"/>
      <c r="L113" s="46"/>
      <c r="N113" s="46"/>
      <c r="O113" s="46"/>
      <c r="P113" s="46"/>
      <c r="Q113" s="40"/>
      <c r="R113" s="45"/>
    </row>
    <row r="114" spans="2:18">
      <c r="G114" s="50"/>
      <c r="H114" s="38"/>
      <c r="L114" s="49"/>
      <c r="N114" s="36"/>
      <c r="O114" s="36"/>
      <c r="P114" s="36"/>
      <c r="R114" s="37"/>
    </row>
    <row r="115" spans="2:18">
      <c r="D115" s="40"/>
      <c r="E115" s="39"/>
      <c r="G115" s="50"/>
      <c r="H115" s="38"/>
      <c r="L115" s="49"/>
      <c r="N115" s="36"/>
      <c r="O115" s="36"/>
      <c r="P115" s="36"/>
      <c r="R115" s="37"/>
    </row>
    <row r="116" spans="2:18">
      <c r="B116" s="138" t="s">
        <v>124</v>
      </c>
      <c r="D116" s="40"/>
      <c r="E116" s="39"/>
      <c r="G116" s="50"/>
      <c r="H116" s="38"/>
      <c r="L116" s="49"/>
      <c r="N116" s="36"/>
      <c r="O116" s="36"/>
      <c r="P116" s="36"/>
      <c r="R116" s="37"/>
    </row>
    <row r="117" spans="2:18">
      <c r="C117" s="68" t="s">
        <v>12</v>
      </c>
      <c r="D117" s="67">
        <v>1936</v>
      </c>
      <c r="I117" s="68"/>
    </row>
    <row r="118" spans="2:18" ht="17.25">
      <c r="C118" s="68" t="s">
        <v>13</v>
      </c>
      <c r="D118" s="122">
        <v>3763</v>
      </c>
      <c r="E118" s="47"/>
      <c r="I118" s="68"/>
    </row>
    <row r="119" spans="2:18" ht="17.25">
      <c r="D119" s="123">
        <f>SUM(D117:D118)</f>
        <v>5699</v>
      </c>
      <c r="I119" s="68"/>
    </row>
    <row r="120" spans="2:18">
      <c r="D120" s="68"/>
      <c r="I120" s="68"/>
    </row>
    <row r="121" spans="2:18" ht="17.25">
      <c r="C121" s="68" t="s">
        <v>142</v>
      </c>
      <c r="D121" s="122">
        <v>2561</v>
      </c>
    </row>
    <row r="123" spans="2:18" ht="17.25">
      <c r="D123" s="139">
        <f>+D121+D119</f>
        <v>8260</v>
      </c>
    </row>
  </sheetData>
  <mergeCells count="4">
    <mergeCell ref="C108:D108"/>
    <mergeCell ref="A3:A15"/>
    <mergeCell ref="A19:A57"/>
    <mergeCell ref="V58:Y59"/>
  </mergeCells>
  <phoneticPr fontId="67" type="noConversion"/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6DACCFE549854EB83714105F611BDE" ma:contentTypeVersion="52" ma:contentTypeDescription="" ma:contentTypeScope="" ma:versionID="bb58a86a934d97b5993d0e9c21c9a7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2020-04-22T07:00:00+00:00</OpenedDate>
    <SignificantOrder xmlns="dc463f71-b30c-4ab2-9473-d307f9d35888">false</SignificantOrder>
    <Date1 xmlns="dc463f71-b30c-4ab2-9473-d307f9d35888">2020-06-02T07:00:00+00:00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200371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2582AF4-E8ED-4557-8596-7ADC03937E2D}"/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2F7EA36-4252-4C6A-9DC2-8D7BC745E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Weinstein, Mike</cp:lastModifiedBy>
  <cp:lastPrinted>2016-06-27T17:35:33Z</cp:lastPrinted>
  <dcterms:created xsi:type="dcterms:W3CDTF">2013-10-29T22:33:54Z</dcterms:created>
  <dcterms:modified xsi:type="dcterms:W3CDTF">2020-06-02T18:02:05Z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0x0101006E56B4D1795A2E4DB2F0B01679ED314A002A6DACCFE549854EB83714105F611BDE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